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bookViews>
    <workbookView xWindow="0" yWindow="6000" windowWidth="6276" windowHeight="1092" tabRatio="763"/>
  </bookViews>
  <sheets>
    <sheet name="Synthèse" sheetId="34" r:id="rId1"/>
    <sheet name="Clients" sheetId="39" r:id="rId2"/>
    <sheet name="Trésorerie" sheetId="43" r:id="rId3"/>
    <sheet name="Résultat" sheetId="49" r:id="rId4"/>
    <sheet name="Tréso mensuel" sheetId="40" r:id="rId5"/>
    <sheet name="Bilan" sheetId="46" r:id="rId6"/>
    <sheet name="Stocks" sheetId="47" r:id="rId7"/>
    <sheet name="Base de données" sheetId="17" r:id="rId8"/>
  </sheets>
  <definedNames>
    <definedName name="_xlnm._FilterDatabase" localSheetId="1" hidden="1">Clients!$A$3:$N$38</definedName>
    <definedName name="_xlnm._FilterDatabase" localSheetId="2" hidden="1">Trésorerie!$A$6:$AM$24</definedName>
    <definedName name="Affaire">#REF!</definedName>
    <definedName name="catégorie_x">'Base de données'!$B$3:$B$22</definedName>
    <definedName name="Catégories">'Base de données'!$B$2:$K$2</definedName>
    <definedName name="Mensualité_prêt_1">#REF!</definedName>
    <definedName name="Mensualité_prêt_2">#REF!</definedName>
    <definedName name="Mensualité_prêt_3">#REF!</definedName>
    <definedName name="Mensualité_prêt_4">#REF!</definedName>
    <definedName name="Méthode_paiement">'Base de données'!$N$3:$N$22</definedName>
    <definedName name="Mode_paiement">'Base de données'!$M$3:$M$23</definedName>
    <definedName name="Montant_prêt_1">#REF!</definedName>
    <definedName name="Montant_prêt_2">#REF!</definedName>
    <definedName name="Montant_prêt_3">#REF!</definedName>
    <definedName name="Montant_prêt_4">#REF!</definedName>
    <definedName name="Premier_paiement_prêt_1">#REF!</definedName>
    <definedName name="Premier_paiement_prêt_2">#REF!</definedName>
    <definedName name="Premier_paiement_prêt_3">#REF!</definedName>
    <definedName name="Premier_paiement_prêt_4">#REF!</definedName>
    <definedName name="Résumé">Résultat!#REF!</definedName>
    <definedName name="SIG">Résultat!$I$1</definedName>
    <definedName name="Tableau_de_bord">Résultat!$O$1</definedName>
    <definedName name="Taux_intérêt_par_an_prêt_1">#REF!</definedName>
    <definedName name="Taux_intérêt_par_an_prêt_2">#REF!</definedName>
    <definedName name="Taux_intérêt_par_an_prêt_3">#REF!</definedName>
    <definedName name="Taux_intérêt_par_an_prêt_4">#REF!</definedName>
  </definedNames>
  <calcPr calcId="145621"/>
  <webPublishing targetScreenSize="1920x1200" codePage="1252"/>
</workbook>
</file>

<file path=xl/calcChain.xml><?xml version="1.0" encoding="utf-8"?>
<calcChain xmlns="http://schemas.openxmlformats.org/spreadsheetml/2006/main">
  <c r="L10" i="39" l="1"/>
  <c r="M10" i="39" s="1"/>
  <c r="L21" i="39"/>
  <c r="M21" i="39" s="1"/>
  <c r="L20" i="39"/>
  <c r="M20" i="39" s="1"/>
  <c r="L19" i="39"/>
  <c r="M19" i="39" s="1"/>
  <c r="H11" i="43"/>
  <c r="AH10" i="43"/>
  <c r="AJ10" i="43" s="1"/>
  <c r="I10" i="43"/>
  <c r="H10" i="43"/>
  <c r="R10" i="43" s="1"/>
  <c r="S10" i="43" s="1"/>
  <c r="A10" i="43"/>
  <c r="G10" i="43" s="1"/>
  <c r="L10" i="43" l="1"/>
  <c r="M10" i="43" s="1"/>
  <c r="N10" i="43"/>
  <c r="O10" i="43" s="1"/>
  <c r="T10" i="43"/>
  <c r="U10" i="43" s="1"/>
  <c r="I11" i="43"/>
  <c r="V11" i="43" s="1"/>
  <c r="V10" i="43"/>
  <c r="W10" i="43" s="1"/>
  <c r="P10" i="43"/>
  <c r="Q10" i="43" s="1"/>
  <c r="F11" i="43"/>
  <c r="G11" i="43"/>
  <c r="J10" i="43"/>
  <c r="K10" i="43" s="1"/>
  <c r="F10" i="43"/>
  <c r="N11" i="43" l="1"/>
  <c r="P11" i="43"/>
  <c r="L11" i="43"/>
  <c r="T11" i="43"/>
  <c r="J11" i="43"/>
  <c r="R11" i="43"/>
  <c r="F17" i="43" l="1"/>
  <c r="G17" i="43"/>
  <c r="H17" i="43"/>
  <c r="I17" i="43"/>
  <c r="AH17" i="43"/>
  <c r="AJ17" i="43" s="1"/>
  <c r="F18" i="43"/>
  <c r="G18" i="43"/>
  <c r="H18" i="43"/>
  <c r="I18" i="43"/>
  <c r="AF18" i="43"/>
  <c r="AH18" i="43" s="1"/>
  <c r="AJ18" i="43" s="1"/>
  <c r="F19" i="43"/>
  <c r="G19" i="43"/>
  <c r="H19" i="43"/>
  <c r="I19" i="43"/>
  <c r="AH19" i="43"/>
  <c r="AJ19" i="43" s="1"/>
  <c r="F20" i="43"/>
  <c r="G20" i="43"/>
  <c r="H20" i="43"/>
  <c r="I20" i="43"/>
  <c r="AF20" i="43"/>
  <c r="AH20" i="43" s="1"/>
  <c r="AJ20" i="43" s="1"/>
  <c r="A21" i="43"/>
  <c r="G21" i="43" s="1"/>
  <c r="H21" i="43"/>
  <c r="I21" i="43"/>
  <c r="AH21" i="43"/>
  <c r="AJ21" i="43" s="1"/>
  <c r="F22" i="43"/>
  <c r="G22" i="43"/>
  <c r="H22" i="43"/>
  <c r="I22" i="43"/>
  <c r="AH22" i="43"/>
  <c r="AI22" i="43"/>
  <c r="J21" i="43" l="1"/>
  <c r="K21" i="43" s="1"/>
  <c r="J19" i="43"/>
  <c r="K19" i="43" s="1"/>
  <c r="T20" i="43"/>
  <c r="U20" i="43" s="1"/>
  <c r="P18" i="43"/>
  <c r="Q18" i="43" s="1"/>
  <c r="R17" i="43"/>
  <c r="S17" i="43" s="1"/>
  <c r="T19" i="43"/>
  <c r="U19" i="43" s="1"/>
  <c r="R19" i="43"/>
  <c r="S19" i="43" s="1"/>
  <c r="L17" i="43"/>
  <c r="M17" i="43" s="1"/>
  <c r="R20" i="43"/>
  <c r="S20" i="43" s="1"/>
  <c r="P19" i="43"/>
  <c r="Q19" i="43" s="1"/>
  <c r="N18" i="43"/>
  <c r="O18" i="43" s="1"/>
  <c r="J17" i="43"/>
  <c r="K17" i="43" s="1"/>
  <c r="P21" i="43"/>
  <c r="Q21" i="43" s="1"/>
  <c r="P17" i="43"/>
  <c r="Q17" i="43" s="1"/>
  <c r="P22" i="43"/>
  <c r="Q22" i="43" s="1"/>
  <c r="R21" i="43"/>
  <c r="S21" i="43" s="1"/>
  <c r="J22" i="43"/>
  <c r="K22" i="43" s="1"/>
  <c r="N17" i="43"/>
  <c r="O17" i="43" s="1"/>
  <c r="J18" i="43"/>
  <c r="K18" i="43" s="1"/>
  <c r="R22" i="43"/>
  <c r="S22" i="43" s="1"/>
  <c r="V18" i="43"/>
  <c r="W18" i="43" s="1"/>
  <c r="V17" i="43"/>
  <c r="W17" i="43" s="1"/>
  <c r="V22" i="43"/>
  <c r="W22" i="43" s="1"/>
  <c r="F21" i="43"/>
  <c r="T18" i="43"/>
  <c r="U18" i="43" s="1"/>
  <c r="T17" i="43"/>
  <c r="U17" i="43" s="1"/>
  <c r="V21" i="43"/>
  <c r="W21" i="43" s="1"/>
  <c r="N20" i="43"/>
  <c r="O20" i="43" s="1"/>
  <c r="V20" i="43"/>
  <c r="W20" i="43" s="1"/>
  <c r="J20" i="43"/>
  <c r="K20" i="43" s="1"/>
  <c r="L20" i="43"/>
  <c r="M20" i="43" s="1"/>
  <c r="P20" i="43"/>
  <c r="Q20" i="43" s="1"/>
  <c r="AJ22" i="43"/>
  <c r="N22" i="43"/>
  <c r="O22" i="43" s="1"/>
  <c r="N21" i="43"/>
  <c r="O21" i="43" s="1"/>
  <c r="N19" i="43"/>
  <c r="O19" i="43" s="1"/>
  <c r="V19" i="43"/>
  <c r="W19" i="43" s="1"/>
  <c r="L18" i="43"/>
  <c r="M18" i="43" s="1"/>
  <c r="L22" i="43"/>
  <c r="M22" i="43" s="1"/>
  <c r="T22" i="43"/>
  <c r="U22" i="43" s="1"/>
  <c r="L21" i="43"/>
  <c r="M21" i="43" s="1"/>
  <c r="T21" i="43"/>
  <c r="U21" i="43" s="1"/>
  <c r="L19" i="43"/>
  <c r="M19" i="43" s="1"/>
  <c r="R18" i="43"/>
  <c r="S18" i="43" s="1"/>
  <c r="D47" i="34"/>
  <c r="D57" i="34"/>
  <c r="D56" i="34"/>
  <c r="D55" i="34"/>
  <c r="D54" i="34"/>
  <c r="D53" i="34"/>
  <c r="D52" i="34"/>
  <c r="D51" i="34"/>
  <c r="D50" i="34"/>
  <c r="D49" i="34"/>
  <c r="D46" i="34"/>
  <c r="D48" i="34"/>
  <c r="D58" i="34"/>
  <c r="D59" i="34"/>
  <c r="D60" i="34"/>
  <c r="D61" i="34"/>
  <c r="D62" i="34"/>
  <c r="D63" i="34"/>
  <c r="F37" i="39"/>
  <c r="F36" i="39"/>
  <c r="F35" i="39"/>
  <c r="F34" i="39"/>
  <c r="F33" i="39"/>
  <c r="F31" i="39"/>
  <c r="F32" i="39"/>
  <c r="F30" i="39"/>
  <c r="F29" i="39"/>
  <c r="F28" i="39"/>
  <c r="F27" i="39"/>
  <c r="F26" i="39"/>
  <c r="F25" i="39"/>
  <c r="F24" i="39"/>
  <c r="F23" i="39"/>
  <c r="F22" i="39"/>
  <c r="F21" i="39"/>
  <c r="F20" i="39"/>
  <c r="F19" i="39"/>
  <c r="F18" i="39"/>
  <c r="F17" i="39"/>
  <c r="F16" i="39"/>
  <c r="F15" i="39"/>
  <c r="F38" i="39"/>
  <c r="F14" i="39"/>
  <c r="F13" i="39"/>
  <c r="F12" i="39"/>
  <c r="F11" i="39"/>
  <c r="F10" i="39"/>
  <c r="F9" i="39"/>
  <c r="F8" i="39"/>
  <c r="F7" i="39"/>
  <c r="F6" i="39"/>
  <c r="F5" i="39"/>
  <c r="F4" i="39"/>
  <c r="F63" i="34" l="1"/>
  <c r="E63" i="34"/>
  <c r="C63" i="34"/>
  <c r="F62" i="34"/>
  <c r="E62" i="34"/>
  <c r="C62" i="34"/>
  <c r="F61" i="34"/>
  <c r="E61" i="34"/>
  <c r="C61" i="34"/>
  <c r="F60" i="34"/>
  <c r="E60" i="34"/>
  <c r="C60" i="34"/>
  <c r="F59" i="34"/>
  <c r="E59" i="34"/>
  <c r="C59" i="34"/>
  <c r="F58" i="34"/>
  <c r="E58" i="34"/>
  <c r="C58" i="34"/>
  <c r="F57" i="34"/>
  <c r="E57" i="34"/>
  <c r="C57" i="34"/>
  <c r="F56" i="34"/>
  <c r="E56" i="34"/>
  <c r="C56" i="34"/>
  <c r="F55" i="34"/>
  <c r="E55" i="34"/>
  <c r="C55" i="34"/>
  <c r="F54" i="34"/>
  <c r="E54" i="34"/>
  <c r="C54" i="34"/>
  <c r="F53" i="34"/>
  <c r="E53" i="34"/>
  <c r="C53" i="34"/>
  <c r="F52" i="34"/>
  <c r="E52" i="34"/>
  <c r="C52" i="34"/>
  <c r="F51" i="34"/>
  <c r="E51" i="34"/>
  <c r="C51" i="34"/>
  <c r="F50" i="34"/>
  <c r="E50" i="34"/>
  <c r="C50" i="34"/>
  <c r="F49" i="34"/>
  <c r="E49" i="34"/>
  <c r="C49" i="34"/>
  <c r="F48" i="34"/>
  <c r="E48" i="34"/>
  <c r="C48" i="34"/>
  <c r="F47" i="34"/>
  <c r="E47" i="34"/>
  <c r="C47" i="34"/>
  <c r="F46" i="34"/>
  <c r="E46" i="34"/>
  <c r="C46" i="34"/>
  <c r="E45" i="34" l="1"/>
  <c r="G49" i="34"/>
  <c r="G48" i="34" l="1"/>
  <c r="G56" i="34"/>
  <c r="G55" i="34"/>
  <c r="G57" i="34"/>
  <c r="G51" i="34"/>
  <c r="G47" i="34"/>
  <c r="G52" i="34"/>
  <c r="G46" i="34"/>
  <c r="G50" i="34"/>
  <c r="G59" i="34"/>
  <c r="G54" i="34"/>
  <c r="G58" i="34"/>
  <c r="G53" i="34"/>
  <c r="G60" i="34"/>
  <c r="G62" i="34"/>
  <c r="G63" i="34"/>
  <c r="G61" i="34"/>
  <c r="J63" i="34" l="1"/>
  <c r="J62" i="34"/>
  <c r="J61" i="34"/>
  <c r="J60" i="34"/>
  <c r="J59" i="34"/>
  <c r="J58" i="34"/>
  <c r="J57" i="34"/>
  <c r="J56" i="34"/>
  <c r="J55" i="34"/>
  <c r="J54" i="34"/>
  <c r="J53" i="34"/>
  <c r="J52" i="34"/>
  <c r="J51" i="34"/>
  <c r="J50" i="34"/>
  <c r="J49" i="34"/>
  <c r="J48" i="34"/>
  <c r="J47" i="34"/>
  <c r="I45" i="34"/>
  <c r="H45" i="34"/>
  <c r="N62" i="46"/>
  <c r="L62" i="46"/>
  <c r="I4" i="46" l="1"/>
  <c r="H4" i="46"/>
  <c r="G4" i="46"/>
  <c r="AG64" i="46"/>
  <c r="AF64" i="46"/>
  <c r="AE64" i="46"/>
  <c r="AD64" i="46"/>
  <c r="AC64" i="46"/>
  <c r="AB64" i="46"/>
  <c r="AA64" i="46"/>
  <c r="Z64" i="46"/>
  <c r="Y64" i="46"/>
  <c r="X64" i="46"/>
  <c r="W64" i="46"/>
  <c r="AG63" i="46"/>
  <c r="AF63" i="46"/>
  <c r="AE63" i="46"/>
  <c r="AD63" i="46"/>
  <c r="AC63" i="46"/>
  <c r="AB63" i="46"/>
  <c r="AA63" i="46"/>
  <c r="Z63" i="46"/>
  <c r="Y63" i="46"/>
  <c r="X63" i="46"/>
  <c r="W63" i="46"/>
  <c r="AG62" i="46"/>
  <c r="AF62" i="46"/>
  <c r="AE62" i="46"/>
  <c r="AD62" i="46"/>
  <c r="AC62" i="46"/>
  <c r="AB62" i="46"/>
  <c r="AA62" i="46"/>
  <c r="Z62" i="46"/>
  <c r="Y62" i="46"/>
  <c r="X62" i="46"/>
  <c r="W62" i="46"/>
  <c r="AG61" i="46"/>
  <c r="AF61" i="46"/>
  <c r="AE61" i="46"/>
  <c r="AD61" i="46"/>
  <c r="AC61" i="46"/>
  <c r="AB61" i="46"/>
  <c r="AA61" i="46"/>
  <c r="Z61" i="46"/>
  <c r="Y61" i="46"/>
  <c r="X61" i="46"/>
  <c r="W61" i="46"/>
  <c r="W60" i="46"/>
  <c r="X60" i="46" s="1"/>
  <c r="Y60" i="46" s="1"/>
  <c r="Z60" i="46" s="1"/>
  <c r="AA60" i="46" s="1"/>
  <c r="AB60" i="46" s="1"/>
  <c r="AC60" i="46" s="1"/>
  <c r="AD60" i="46" s="1"/>
  <c r="AE60" i="46" s="1"/>
  <c r="AF60" i="46" s="1"/>
  <c r="AG60" i="46" s="1"/>
  <c r="V64" i="46"/>
  <c r="V63" i="46"/>
  <c r="V62" i="46"/>
  <c r="V61" i="46"/>
  <c r="V60" i="46"/>
  <c r="AG58" i="46"/>
  <c r="AF58" i="46"/>
  <c r="AE58" i="46"/>
  <c r="AD58" i="46"/>
  <c r="AC58" i="46"/>
  <c r="AB58" i="46"/>
  <c r="AA58" i="46"/>
  <c r="Z58" i="46"/>
  <c r="U58" i="46" s="1"/>
  <c r="Y58" i="46"/>
  <c r="X58" i="46"/>
  <c r="W58" i="46"/>
  <c r="V58" i="46"/>
  <c r="U50" i="46"/>
  <c r="U48" i="46"/>
  <c r="U47" i="46"/>
  <c r="U44" i="46"/>
  <c r="U43" i="46"/>
  <c r="U42" i="46"/>
  <c r="U41" i="46"/>
  <c r="U40" i="46"/>
  <c r="U45" i="46" s="1"/>
  <c r="U38" i="46"/>
  <c r="V36" i="46"/>
  <c r="U59" i="46"/>
  <c r="AD53" i="46"/>
  <c r="AF51" i="46"/>
  <c r="AF53" i="46" s="1"/>
  <c r="AD51" i="46"/>
  <c r="AB51" i="46"/>
  <c r="AB53" i="46" s="1"/>
  <c r="AA51" i="46"/>
  <c r="X51" i="46"/>
  <c r="X53" i="46" s="1"/>
  <c r="V51" i="46"/>
  <c r="AG49" i="46"/>
  <c r="AG51" i="46" s="1"/>
  <c r="AF49" i="46"/>
  <c r="AE49" i="46"/>
  <c r="AE51" i="46" s="1"/>
  <c r="AD49" i="46"/>
  <c r="AC49" i="46"/>
  <c r="AC51" i="46" s="1"/>
  <c r="AB49" i="46"/>
  <c r="AA49" i="46"/>
  <c r="Z49" i="46"/>
  <c r="Z51" i="46" s="1"/>
  <c r="Y49" i="46"/>
  <c r="Y51" i="46" s="1"/>
  <c r="Y53" i="46" s="1"/>
  <c r="X49" i="46"/>
  <c r="W49" i="46"/>
  <c r="W51" i="46" s="1"/>
  <c r="V49" i="46"/>
  <c r="U49" i="46"/>
  <c r="U51" i="46" s="1"/>
  <c r="AD45" i="46"/>
  <c r="AB45" i="46"/>
  <c r="Y45" i="46"/>
  <c r="X45" i="46"/>
  <c r="W44" i="46"/>
  <c r="V44" i="46"/>
  <c r="AG43" i="46"/>
  <c r="AG45" i="46" s="1"/>
  <c r="AF43" i="46"/>
  <c r="AF45" i="46" s="1"/>
  <c r="AE43" i="46"/>
  <c r="AC43" i="46"/>
  <c r="AB43" i="46"/>
  <c r="Z43" i="46"/>
  <c r="Y43" i="46"/>
  <c r="X43" i="46"/>
  <c r="W43" i="46"/>
  <c r="AG42" i="46"/>
  <c r="AF42" i="46"/>
  <c r="AE42" i="46"/>
  <c r="AD42" i="46"/>
  <c r="AC42" i="46"/>
  <c r="AB42" i="46"/>
  <c r="AA42" i="46"/>
  <c r="Z42" i="46"/>
  <c r="Y42" i="46"/>
  <c r="X42" i="46"/>
  <c r="W42" i="46"/>
  <c r="V42" i="46"/>
  <c r="V26" i="46"/>
  <c r="W26" i="46" s="1"/>
  <c r="X26" i="46" s="1"/>
  <c r="Y26" i="46" s="1"/>
  <c r="Z26" i="46" s="1"/>
  <c r="AA26" i="46" s="1"/>
  <c r="AB26" i="46" s="1"/>
  <c r="AC26" i="46" s="1"/>
  <c r="AD26" i="46" s="1"/>
  <c r="AE26" i="46" s="1"/>
  <c r="AF26" i="46" s="1"/>
  <c r="AG26" i="46" s="1"/>
  <c r="AG7" i="46" s="1"/>
  <c r="U16" i="46"/>
  <c r="U14" i="46"/>
  <c r="U13" i="46"/>
  <c r="U10" i="46"/>
  <c r="U9" i="46"/>
  <c r="U8" i="46"/>
  <c r="U7" i="46"/>
  <c r="U6" i="46"/>
  <c r="V2" i="46"/>
  <c r="U4" i="46"/>
  <c r="X30" i="46"/>
  <c r="Y30" i="46" s="1"/>
  <c r="W30" i="46"/>
  <c r="X29" i="46"/>
  <c r="W29" i="46"/>
  <c r="X28" i="46"/>
  <c r="Y28" i="46" s="1"/>
  <c r="Z28" i="46" s="1"/>
  <c r="AA28" i="46" s="1"/>
  <c r="AB28" i="46" s="1"/>
  <c r="AC28" i="46" s="1"/>
  <c r="AD28" i="46" s="1"/>
  <c r="AE28" i="46" s="1"/>
  <c r="AF28" i="46" s="1"/>
  <c r="AG28" i="46" s="1"/>
  <c r="W28" i="46"/>
  <c r="W27" i="46"/>
  <c r="X27" i="46" s="1"/>
  <c r="U25" i="46"/>
  <c r="U24" i="46"/>
  <c r="AG17" i="46"/>
  <c r="AF17" i="46"/>
  <c r="AC17" i="46"/>
  <c r="AB17" i="46"/>
  <c r="Y17" i="46"/>
  <c r="X17" i="46"/>
  <c r="AG15" i="46"/>
  <c r="AF15" i="46"/>
  <c r="AE15" i="46"/>
  <c r="AE17" i="46" s="1"/>
  <c r="AD15" i="46"/>
  <c r="AD17" i="46" s="1"/>
  <c r="AC15" i="46"/>
  <c r="AB15" i="46"/>
  <c r="AA15" i="46"/>
  <c r="AA17" i="46" s="1"/>
  <c r="Z15" i="46"/>
  <c r="Z17" i="46" s="1"/>
  <c r="Y15" i="46"/>
  <c r="X15" i="46"/>
  <c r="W15" i="46"/>
  <c r="W17" i="46" s="1"/>
  <c r="V15" i="46"/>
  <c r="V17" i="46" s="1"/>
  <c r="U11" i="46"/>
  <c r="C53" i="46"/>
  <c r="B53" i="46"/>
  <c r="B54" i="46"/>
  <c r="C48" i="46"/>
  <c r="C47" i="46"/>
  <c r="C46" i="46"/>
  <c r="C45" i="46"/>
  <c r="C44" i="46"/>
  <c r="C49" i="46" s="1"/>
  <c r="C42" i="46"/>
  <c r="C41" i="46"/>
  <c r="C40" i="46"/>
  <c r="C39" i="46"/>
  <c r="C38" i="46"/>
  <c r="C37" i="46"/>
  <c r="B48" i="46"/>
  <c r="A48" i="46"/>
  <c r="B47" i="46"/>
  <c r="B46" i="46"/>
  <c r="B45" i="46"/>
  <c r="B49" i="46"/>
  <c r="B44" i="46"/>
  <c r="B41" i="46"/>
  <c r="B40" i="46"/>
  <c r="B39" i="46"/>
  <c r="B38" i="46"/>
  <c r="B37" i="46"/>
  <c r="B42" i="46"/>
  <c r="D35" i="46"/>
  <c r="C35" i="46"/>
  <c r="B35" i="46"/>
  <c r="N41" i="46"/>
  <c r="P65" i="46"/>
  <c r="P45" i="46" s="1"/>
  <c r="P64" i="46"/>
  <c r="P63" i="46"/>
  <c r="N65" i="46"/>
  <c r="N45" i="46" s="1"/>
  <c r="N64" i="46"/>
  <c r="N43" i="46" s="1"/>
  <c r="N63" i="46"/>
  <c r="P57" i="46"/>
  <c r="N57" i="46"/>
  <c r="N60" i="46" s="1"/>
  <c r="N36" i="46" s="1"/>
  <c r="P43" i="46"/>
  <c r="P41" i="46"/>
  <c r="P32" i="46"/>
  <c r="P31" i="46"/>
  <c r="Q31" i="46" s="1"/>
  <c r="N32" i="46"/>
  <c r="N31" i="46"/>
  <c r="O31" i="46" s="1"/>
  <c r="O33" i="46" s="1"/>
  <c r="L65" i="46"/>
  <c r="L64" i="46"/>
  <c r="L63" i="46"/>
  <c r="L57" i="46"/>
  <c r="L60" i="46" s="1"/>
  <c r="L36" i="46" s="1"/>
  <c r="N21" i="46"/>
  <c r="N51" i="46"/>
  <c r="P4" i="46"/>
  <c r="P21" i="46" s="1"/>
  <c r="N4" i="46"/>
  <c r="L4" i="46"/>
  <c r="L51" i="46" s="1"/>
  <c r="P60" i="46"/>
  <c r="P36" i="46" s="1"/>
  <c r="K37" i="46"/>
  <c r="K36" i="46"/>
  <c r="L32" i="46"/>
  <c r="K32" i="46"/>
  <c r="L31" i="46"/>
  <c r="K31" i="46"/>
  <c r="P11" i="46"/>
  <c r="P8" i="46"/>
  <c r="P25" i="46" s="1"/>
  <c r="P37" i="46" s="1"/>
  <c r="P7" i="46"/>
  <c r="P14" i="46"/>
  <c r="P13" i="46"/>
  <c r="P12" i="46"/>
  <c r="Q17" i="46"/>
  <c r="N8" i="46"/>
  <c r="N25" i="46" s="1"/>
  <c r="N37" i="46" s="1"/>
  <c r="N7" i="46"/>
  <c r="N11" i="46"/>
  <c r="N12" i="46"/>
  <c r="N13" i="46"/>
  <c r="N14" i="46"/>
  <c r="O17" i="46"/>
  <c r="H8" i="46"/>
  <c r="H11" i="46" s="1"/>
  <c r="N6" i="46" s="1"/>
  <c r="X70" i="49"/>
  <c r="P70" i="49"/>
  <c r="W70" i="49" s="1"/>
  <c r="W69" i="49"/>
  <c r="X68" i="49"/>
  <c r="P68" i="49"/>
  <c r="W68" i="49" s="1"/>
  <c r="X67" i="49"/>
  <c r="X71" i="49" s="1"/>
  <c r="P67" i="49"/>
  <c r="W67" i="49" s="1"/>
  <c r="X64" i="49"/>
  <c r="W63" i="49"/>
  <c r="X62" i="49"/>
  <c r="P62" i="49"/>
  <c r="W62" i="49" s="1"/>
  <c r="X61" i="49"/>
  <c r="W61" i="49"/>
  <c r="P61" i="49"/>
  <c r="X60" i="49"/>
  <c r="P60" i="49"/>
  <c r="W60" i="49" s="1"/>
  <c r="X59" i="49"/>
  <c r="P59" i="49"/>
  <c r="W59" i="49" s="1"/>
  <c r="X58" i="49"/>
  <c r="P58" i="49"/>
  <c r="W58" i="49" s="1"/>
  <c r="X53" i="49"/>
  <c r="X54" i="49" s="1"/>
  <c r="P53" i="49"/>
  <c r="P54" i="49" s="1"/>
  <c r="X52" i="49"/>
  <c r="W52" i="49"/>
  <c r="P52" i="49"/>
  <c r="X48" i="49"/>
  <c r="W48" i="49"/>
  <c r="P48" i="49"/>
  <c r="X47" i="49"/>
  <c r="P47" i="49"/>
  <c r="W47" i="49" s="1"/>
  <c r="X46" i="49"/>
  <c r="X49" i="49" s="1"/>
  <c r="P46" i="49"/>
  <c r="P49" i="49" s="1"/>
  <c r="W49" i="49" s="1"/>
  <c r="V45" i="49"/>
  <c r="O45" i="49"/>
  <c r="R39" i="49"/>
  <c r="P39" i="49"/>
  <c r="J35" i="49"/>
  <c r="D34" i="49"/>
  <c r="C34" i="49"/>
  <c r="R33" i="49"/>
  <c r="S33" i="49" s="1"/>
  <c r="P33" i="49"/>
  <c r="Q33" i="49" s="1"/>
  <c r="Q32" i="49"/>
  <c r="G32" i="49"/>
  <c r="G33" i="49" s="1"/>
  <c r="G35" i="49" s="1"/>
  <c r="F32" i="49"/>
  <c r="J27" i="49" s="1"/>
  <c r="J29" i="49" s="1"/>
  <c r="P37" i="49" s="1"/>
  <c r="Q31" i="49"/>
  <c r="L31" i="49"/>
  <c r="J31" i="49"/>
  <c r="R30" i="49"/>
  <c r="R34" i="49" s="1"/>
  <c r="S34" i="49" s="1"/>
  <c r="P30" i="49"/>
  <c r="P34" i="49" s="1"/>
  <c r="Q34" i="49" s="1"/>
  <c r="D29" i="49"/>
  <c r="C29" i="49"/>
  <c r="J25" i="49" s="1"/>
  <c r="P36" i="49" s="1"/>
  <c r="P28" i="49"/>
  <c r="Q28" i="49" s="1"/>
  <c r="L28" i="49"/>
  <c r="L29" i="49" s="1"/>
  <c r="R37" i="49" s="1"/>
  <c r="J28" i="49"/>
  <c r="Q27" i="49"/>
  <c r="L27" i="49"/>
  <c r="G27" i="49"/>
  <c r="L24" i="49" s="1"/>
  <c r="F27" i="49"/>
  <c r="J24" i="49" s="1"/>
  <c r="R26" i="49"/>
  <c r="R28" i="49" s="1"/>
  <c r="S28" i="49" s="1"/>
  <c r="Q25" i="49"/>
  <c r="L25" i="49"/>
  <c r="Q24" i="49"/>
  <c r="Q23" i="49"/>
  <c r="L23" i="49"/>
  <c r="J23" i="49"/>
  <c r="Q22" i="49"/>
  <c r="L21" i="49"/>
  <c r="J21" i="49"/>
  <c r="D21" i="49"/>
  <c r="D37" i="49" s="1"/>
  <c r="D39" i="49" s="1"/>
  <c r="C21" i="49"/>
  <c r="C37" i="49" s="1"/>
  <c r="Q20" i="49"/>
  <c r="L20" i="49"/>
  <c r="J20" i="49"/>
  <c r="Q19" i="49"/>
  <c r="L19" i="49"/>
  <c r="J19" i="49"/>
  <c r="Q18" i="49"/>
  <c r="L18" i="49"/>
  <c r="J18" i="49"/>
  <c r="Q17" i="49"/>
  <c r="L16" i="49"/>
  <c r="J16" i="49"/>
  <c r="F16" i="49"/>
  <c r="Q15" i="49"/>
  <c r="L15" i="49"/>
  <c r="J15" i="49"/>
  <c r="G15" i="49"/>
  <c r="G16" i="49" s="1"/>
  <c r="F15" i="49"/>
  <c r="Q14" i="49"/>
  <c r="L14" i="49"/>
  <c r="J14" i="49"/>
  <c r="Q12" i="49"/>
  <c r="L12" i="49"/>
  <c r="J12" i="49"/>
  <c r="Q11" i="49"/>
  <c r="R9" i="49"/>
  <c r="S9" i="49" s="1"/>
  <c r="Q9" i="49"/>
  <c r="P9" i="49"/>
  <c r="L9" i="49"/>
  <c r="J9" i="49"/>
  <c r="P8" i="49"/>
  <c r="P10" i="49" s="1"/>
  <c r="L8" i="49"/>
  <c r="J8" i="49"/>
  <c r="R7" i="49"/>
  <c r="P7" i="49"/>
  <c r="Q7" i="49" s="1"/>
  <c r="L7" i="49"/>
  <c r="L10" i="49" s="1"/>
  <c r="J7" i="49"/>
  <c r="J10" i="49" s="1"/>
  <c r="G7" i="49"/>
  <c r="F7" i="49"/>
  <c r="P6" i="49"/>
  <c r="L5" i="49"/>
  <c r="J5" i="49"/>
  <c r="J6" i="49" s="1"/>
  <c r="R4" i="49"/>
  <c r="S32" i="49" s="1"/>
  <c r="P4" i="49"/>
  <c r="Q26" i="49" s="1"/>
  <c r="L4" i="49"/>
  <c r="L6" i="49" s="1"/>
  <c r="L11" i="49" s="1"/>
  <c r="J4" i="49"/>
  <c r="M17" i="46"/>
  <c r="L14" i="46"/>
  <c r="L13" i="46"/>
  <c r="L12" i="46"/>
  <c r="L11" i="46"/>
  <c r="L8" i="46"/>
  <c r="L25" i="46" s="1"/>
  <c r="L37" i="46" s="1"/>
  <c r="L7" i="46"/>
  <c r="K13" i="46"/>
  <c r="K12" i="46"/>
  <c r="K11" i="46"/>
  <c r="K6" i="46"/>
  <c r="I26" i="46"/>
  <c r="H26" i="46"/>
  <c r="G26" i="46"/>
  <c r="I11" i="46"/>
  <c r="P6" i="46" s="1"/>
  <c r="D26" i="46"/>
  <c r="C26" i="46"/>
  <c r="B26" i="46"/>
  <c r="D11" i="46"/>
  <c r="C11" i="46"/>
  <c r="B11" i="46"/>
  <c r="AE6" i="46" l="1"/>
  <c r="AG8" i="46"/>
  <c r="X6" i="46"/>
  <c r="Z8" i="46"/>
  <c r="X10" i="46"/>
  <c r="AF10" i="46"/>
  <c r="AC6" i="46"/>
  <c r="Z7" i="46"/>
  <c r="W8" i="46"/>
  <c r="AE8" i="46"/>
  <c r="Y10" i="46"/>
  <c r="AG10" i="46"/>
  <c r="AD6" i="46"/>
  <c r="AA7" i="46"/>
  <c r="X8" i="46"/>
  <c r="AF8" i="46"/>
  <c r="AC10" i="46"/>
  <c r="Z6" i="46"/>
  <c r="W7" i="46"/>
  <c r="AE7" i="46"/>
  <c r="AB8" i="46"/>
  <c r="Z10" i="46"/>
  <c r="Y8" i="46"/>
  <c r="V6" i="46"/>
  <c r="AF6" i="46"/>
  <c r="AB10" i="46"/>
  <c r="AG6" i="46"/>
  <c r="AA8" i="46"/>
  <c r="V8" i="46"/>
  <c r="V10" i="46"/>
  <c r="AD10" i="46"/>
  <c r="AA6" i="46"/>
  <c r="X7" i="46"/>
  <c r="AF7" i="46"/>
  <c r="AC8" i="46"/>
  <c r="W6" i="46"/>
  <c r="AB7" i="46"/>
  <c r="AA10" i="46"/>
  <c r="AC7" i="46"/>
  <c r="V7" i="46"/>
  <c r="Y6" i="46"/>
  <c r="AD7" i="46"/>
  <c r="W10" i="46"/>
  <c r="AE10" i="46"/>
  <c r="AB6" i="46"/>
  <c r="Y7" i="46"/>
  <c r="AD8" i="46"/>
  <c r="L21" i="46"/>
  <c r="U53" i="46"/>
  <c r="AA53" i="46"/>
  <c r="AG53" i="46"/>
  <c r="V45" i="46"/>
  <c r="V53" i="46" s="1"/>
  <c r="W45" i="46"/>
  <c r="W53" i="46" s="1"/>
  <c r="AE45" i="46"/>
  <c r="AE53" i="46" s="1"/>
  <c r="Z45" i="46"/>
  <c r="Z53" i="46" s="1"/>
  <c r="AA45" i="46"/>
  <c r="AC45" i="46"/>
  <c r="AC53" i="46" s="1"/>
  <c r="U15" i="46"/>
  <c r="U17" i="46" s="1"/>
  <c r="U19" i="46" s="1"/>
  <c r="Z30" i="46"/>
  <c r="Y27" i="46"/>
  <c r="Z27" i="46" s="1"/>
  <c r="AA27" i="46" s="1"/>
  <c r="AB27" i="46" s="1"/>
  <c r="AC27" i="46" s="1"/>
  <c r="AD27" i="46" s="1"/>
  <c r="AE27" i="46" s="1"/>
  <c r="AF27" i="46" s="1"/>
  <c r="AG27" i="46" s="1"/>
  <c r="Y29" i="46"/>
  <c r="Z29" i="46" s="1"/>
  <c r="AA29" i="46" s="1"/>
  <c r="AB29" i="46" s="1"/>
  <c r="AC29" i="46" s="1"/>
  <c r="AD29" i="46" s="1"/>
  <c r="AE29" i="46" s="1"/>
  <c r="AF29" i="46" s="1"/>
  <c r="AG29" i="46" s="1"/>
  <c r="C51" i="46"/>
  <c r="C54" i="46" s="1"/>
  <c r="B51" i="46"/>
  <c r="Q36" i="46"/>
  <c r="N26" i="46"/>
  <c r="O25" i="46" s="1"/>
  <c r="O27" i="46" s="1"/>
  <c r="O6" i="46"/>
  <c r="Q12" i="46"/>
  <c r="P26" i="46"/>
  <c r="Q25" i="46" s="1"/>
  <c r="Q27" i="46" s="1"/>
  <c r="Q6" i="46"/>
  <c r="Q14" i="46"/>
  <c r="P51" i="46"/>
  <c r="L43" i="46"/>
  <c r="M31" i="46"/>
  <c r="M33" i="46" s="1"/>
  <c r="L45" i="46"/>
  <c r="L41" i="46"/>
  <c r="Q33" i="46"/>
  <c r="M36" i="46"/>
  <c r="M38" i="46" s="1"/>
  <c r="O36" i="46"/>
  <c r="O38" i="46" s="1"/>
  <c r="Q38" i="46"/>
  <c r="P9" i="46"/>
  <c r="P15" i="46"/>
  <c r="N15" i="46"/>
  <c r="N9" i="46"/>
  <c r="G8" i="46"/>
  <c r="G11" i="46"/>
  <c r="L6" i="46" s="1"/>
  <c r="L26" i="46" s="1"/>
  <c r="M25" i="46" s="1"/>
  <c r="M27" i="46" s="1"/>
  <c r="I28" i="46"/>
  <c r="L15" i="46"/>
  <c r="M14" i="46" s="1"/>
  <c r="C39" i="49"/>
  <c r="F34" i="49"/>
  <c r="F35" i="49" s="1"/>
  <c r="P29" i="49"/>
  <c r="Q10" i="49"/>
  <c r="J11" i="49"/>
  <c r="W54" i="49"/>
  <c r="L13" i="49"/>
  <c r="M11" i="49"/>
  <c r="S13" i="49"/>
  <c r="S25" i="49"/>
  <c r="S7" i="49"/>
  <c r="S17" i="49"/>
  <c r="S19" i="49"/>
  <c r="S22" i="49"/>
  <c r="S24" i="49"/>
  <c r="F33" i="49"/>
  <c r="P64" i="49"/>
  <c r="W64" i="49" s="1"/>
  <c r="S21" i="49"/>
  <c r="S26" i="49"/>
  <c r="S30" i="49"/>
  <c r="W53" i="49"/>
  <c r="Q8" i="49"/>
  <c r="S12" i="49"/>
  <c r="S18" i="49"/>
  <c r="W46" i="49"/>
  <c r="R8" i="49"/>
  <c r="P71" i="49"/>
  <c r="W71" i="49" s="1"/>
  <c r="R6" i="49"/>
  <c r="S11" i="49"/>
  <c r="Q13" i="49"/>
  <c r="Q16" i="49"/>
  <c r="Q21" i="49"/>
  <c r="S27" i="49"/>
  <c r="Q30" i="49"/>
  <c r="S16" i="49"/>
  <c r="S15" i="49"/>
  <c r="S23" i="49"/>
  <c r="S14" i="49"/>
  <c r="S20" i="49"/>
  <c r="S31" i="49"/>
  <c r="B28" i="46"/>
  <c r="H28" i="46"/>
  <c r="C28" i="46"/>
  <c r="D28" i="46"/>
  <c r="X11" i="46" l="1"/>
  <c r="X19" i="46" s="1"/>
  <c r="V11" i="46"/>
  <c r="V19" i="46" s="1"/>
  <c r="W11" i="46"/>
  <c r="W19" i="46" s="1"/>
  <c r="Y11" i="46"/>
  <c r="Y19" i="46" s="1"/>
  <c r="AA30" i="46"/>
  <c r="O8" i="46"/>
  <c r="O11" i="46"/>
  <c r="O13" i="46"/>
  <c r="O7" i="46"/>
  <c r="L9" i="46"/>
  <c r="L17" i="46" s="1"/>
  <c r="Q11" i="46"/>
  <c r="Q8" i="46"/>
  <c r="Q7" i="46"/>
  <c r="O12" i="46"/>
  <c r="Q13" i="46"/>
  <c r="O14" i="46"/>
  <c r="P17" i="46"/>
  <c r="N17" i="46"/>
  <c r="G28" i="46"/>
  <c r="M13" i="46"/>
  <c r="M11" i="46"/>
  <c r="M12" i="46"/>
  <c r="J13" i="49"/>
  <c r="K11" i="49"/>
  <c r="Q29" i="49"/>
  <c r="P35" i="49"/>
  <c r="S8" i="49"/>
  <c r="R10" i="49"/>
  <c r="L17" i="49"/>
  <c r="M13" i="49"/>
  <c r="M6" i="46"/>
  <c r="AB30" i="46" l="1"/>
  <c r="Z11" i="46"/>
  <c r="Z19" i="46" s="1"/>
  <c r="M7" i="46"/>
  <c r="M8" i="46"/>
  <c r="M17" i="49"/>
  <c r="L22" i="49"/>
  <c r="R29" i="49"/>
  <c r="S10" i="49"/>
  <c r="Q35" i="49"/>
  <c r="P40" i="49"/>
  <c r="Q40" i="49" s="1"/>
  <c r="K13" i="49"/>
  <c r="J17" i="49"/>
  <c r="AA11" i="46" l="1"/>
  <c r="AA19" i="46" s="1"/>
  <c r="AC30" i="46"/>
  <c r="S29" i="49"/>
  <c r="R35" i="49"/>
  <c r="L26" i="49"/>
  <c r="M22" i="49"/>
  <c r="J22" i="49"/>
  <c r="K17" i="49"/>
  <c r="AC11" i="46" l="1"/>
  <c r="AC19" i="46" s="1"/>
  <c r="AD30" i="46"/>
  <c r="AB11" i="46"/>
  <c r="AB19" i="46" s="1"/>
  <c r="J26" i="49"/>
  <c r="K22" i="49"/>
  <c r="L32" i="49"/>
  <c r="M32" i="49" s="1"/>
  <c r="M26" i="49"/>
  <c r="R40" i="49"/>
  <c r="S40" i="49" s="1"/>
  <c r="S35" i="49"/>
  <c r="AE30" i="46" l="1"/>
  <c r="AD11" i="46"/>
  <c r="AD19" i="46" s="1"/>
  <c r="K26" i="49"/>
  <c r="J32" i="49"/>
  <c r="K32" i="49" s="1"/>
  <c r="AF30" i="46" l="1"/>
  <c r="AE11" i="46" l="1"/>
  <c r="AE19" i="46" s="1"/>
  <c r="AG30" i="46"/>
  <c r="AF11" i="46" l="1"/>
  <c r="AF19" i="46" s="1"/>
  <c r="AG11" i="46" l="1"/>
  <c r="AG19" i="46" s="1"/>
  <c r="AH15" i="43" l="1"/>
  <c r="AJ15" i="43" s="1"/>
  <c r="I15" i="43"/>
  <c r="A15" i="43" l="1"/>
  <c r="G15" i="43" s="1"/>
  <c r="H15" i="43"/>
  <c r="F15" i="43" l="1"/>
  <c r="J15" i="43"/>
  <c r="K15" i="43" s="1"/>
  <c r="T15" i="43"/>
  <c r="U15" i="43" s="1"/>
  <c r="R15" i="43"/>
  <c r="S15" i="43" s="1"/>
  <c r="P15" i="43"/>
  <c r="Q15" i="43" s="1"/>
  <c r="V15" i="43"/>
  <c r="W15" i="43" s="1"/>
  <c r="N15" i="43"/>
  <c r="O15" i="43" s="1"/>
  <c r="L15" i="43"/>
  <c r="M15" i="43" s="1"/>
  <c r="AH9" i="43" l="1"/>
  <c r="AJ9" i="43" s="1"/>
  <c r="H9" i="43"/>
  <c r="AH13" i="43"/>
  <c r="AJ13" i="43" s="1"/>
  <c r="H13" i="43"/>
  <c r="AI12" i="43"/>
  <c r="AF12" i="43"/>
  <c r="AH12" i="43" s="1"/>
  <c r="I12" i="43"/>
  <c r="AH16" i="43"/>
  <c r="AJ16" i="43" s="1"/>
  <c r="AJ12" i="43" l="1"/>
  <c r="F12" i="43"/>
  <c r="A9" i="43"/>
  <c r="I9" i="43"/>
  <c r="R9" i="43" s="1"/>
  <c r="S9" i="43" s="1"/>
  <c r="I13" i="43"/>
  <c r="V13" i="43" s="1"/>
  <c r="W13" i="43" s="1"/>
  <c r="A13" i="43"/>
  <c r="H14" i="43"/>
  <c r="I14" i="43"/>
  <c r="A14" i="43"/>
  <c r="H16" i="43"/>
  <c r="A16" i="43"/>
  <c r="I16" i="43"/>
  <c r="H12" i="43"/>
  <c r="G12" i="43"/>
  <c r="N14" i="43" l="1"/>
  <c r="O14" i="43" s="1"/>
  <c r="J9" i="43"/>
  <c r="K9" i="43" s="1"/>
  <c r="T14" i="43"/>
  <c r="U14" i="43" s="1"/>
  <c r="L14" i="43"/>
  <c r="M14" i="43" s="1"/>
  <c r="P14" i="43"/>
  <c r="Q14" i="43" s="1"/>
  <c r="L9" i="43"/>
  <c r="M9" i="43" s="1"/>
  <c r="J14" i="43"/>
  <c r="K14" i="43" s="1"/>
  <c r="R14" i="43"/>
  <c r="S14" i="43" s="1"/>
  <c r="T9" i="43"/>
  <c r="U9" i="43" s="1"/>
  <c r="G9" i="43"/>
  <c r="F9" i="43"/>
  <c r="V9" i="43"/>
  <c r="W9" i="43" s="1"/>
  <c r="T13" i="43"/>
  <c r="U13" i="43" s="1"/>
  <c r="N9" i="43"/>
  <c r="O9" i="43" s="1"/>
  <c r="P9" i="43"/>
  <c r="Q9" i="43" s="1"/>
  <c r="L13" i="43"/>
  <c r="M13" i="43" s="1"/>
  <c r="P13" i="43"/>
  <c r="Q13" i="43" s="1"/>
  <c r="N13" i="43"/>
  <c r="O13" i="43" s="1"/>
  <c r="R13" i="43"/>
  <c r="S13" i="43" s="1"/>
  <c r="V14" i="43"/>
  <c r="W14" i="43" s="1"/>
  <c r="J13" i="43"/>
  <c r="K13" i="43" s="1"/>
  <c r="F13" i="43"/>
  <c r="G13" i="43"/>
  <c r="P16" i="43"/>
  <c r="Q16" i="43" s="1"/>
  <c r="V16" i="43"/>
  <c r="W16" i="43" s="1"/>
  <c r="N16" i="43"/>
  <c r="O16" i="43" s="1"/>
  <c r="L16" i="43"/>
  <c r="M16" i="43" s="1"/>
  <c r="T16" i="43"/>
  <c r="U16" i="43" s="1"/>
  <c r="R16" i="43"/>
  <c r="S16" i="43" s="1"/>
  <c r="J16" i="43"/>
  <c r="K16" i="43" s="1"/>
  <c r="T12" i="43"/>
  <c r="U12" i="43" s="1"/>
  <c r="L12" i="43"/>
  <c r="M12" i="43" s="1"/>
  <c r="V12" i="43"/>
  <c r="W12" i="43" s="1"/>
  <c r="R12" i="43"/>
  <c r="S12" i="43" s="1"/>
  <c r="P12" i="43"/>
  <c r="Q12" i="43" s="1"/>
  <c r="J12" i="43"/>
  <c r="K12" i="43" s="1"/>
  <c r="N12" i="43"/>
  <c r="O12" i="43" s="1"/>
  <c r="G14" i="43"/>
  <c r="F14" i="43"/>
  <c r="G16" i="43"/>
  <c r="F16" i="43"/>
  <c r="I24" i="43" l="1"/>
  <c r="H24" i="43"/>
  <c r="G24" i="43"/>
  <c r="F24" i="43"/>
  <c r="I23" i="43"/>
  <c r="H23" i="43"/>
  <c r="G23" i="43"/>
  <c r="F23" i="43"/>
  <c r="V23" i="43" l="1"/>
  <c r="W23" i="43" s="1"/>
  <c r="L23" i="43"/>
  <c r="M23" i="43" s="1"/>
  <c r="J23" i="43"/>
  <c r="K23" i="43" s="1"/>
  <c r="T23" i="43"/>
  <c r="U23" i="43" s="1"/>
  <c r="P24" i="43"/>
  <c r="Q24" i="43" s="1"/>
  <c r="V24" i="43"/>
  <c r="W24" i="43" s="1"/>
  <c r="J24" i="43"/>
  <c r="K24" i="43" s="1"/>
  <c r="R24" i="43"/>
  <c r="S24" i="43" s="1"/>
  <c r="N24" i="43"/>
  <c r="O24" i="43" s="1"/>
  <c r="P23" i="43"/>
  <c r="Q23" i="43" s="1"/>
  <c r="R23" i="43"/>
  <c r="S23" i="43" s="1"/>
  <c r="N23" i="43"/>
  <c r="O23" i="43" s="1"/>
  <c r="L24" i="43"/>
  <c r="M24" i="43" s="1"/>
  <c r="T24" i="43"/>
  <c r="U24" i="43" s="1"/>
  <c r="L6" i="39" l="1"/>
  <c r="M6" i="39" s="1"/>
  <c r="AH24" i="43" l="1"/>
  <c r="AH23" i="43"/>
  <c r="AJ23" i="43" l="1"/>
  <c r="AK23" i="43" s="1"/>
  <c r="AK22" i="43" s="1"/>
  <c r="AK21" i="43" s="1"/>
  <c r="AK20" i="43" s="1"/>
  <c r="AK19" i="43" s="1"/>
  <c r="AK18" i="43" s="1"/>
  <c r="AK17" i="43" s="1"/>
  <c r="AJ24" i="43"/>
  <c r="AL24" i="43" s="1"/>
  <c r="AL22" i="43" s="1"/>
  <c r="AL21" i="43" s="1"/>
  <c r="AL20" i="43" s="1"/>
  <c r="AL19" i="43" s="1"/>
  <c r="AL18" i="43" s="1"/>
  <c r="AL17" i="43" s="1"/>
  <c r="Q22" i="40" l="1"/>
  <c r="Q35" i="40"/>
  <c r="L35" i="40" s="1"/>
  <c r="O47" i="40"/>
  <c r="O46" i="40"/>
  <c r="C48" i="40"/>
  <c r="D48" i="40" s="1"/>
  <c r="E48" i="40" s="1"/>
  <c r="F48" i="40" s="1"/>
  <c r="G48" i="40" s="1"/>
  <c r="H48" i="40" s="1"/>
  <c r="I48" i="40" s="1"/>
  <c r="J48" i="40" s="1"/>
  <c r="K48" i="40" s="1"/>
  <c r="L48" i="40" s="1"/>
  <c r="M48" i="40" s="1"/>
  <c r="N48" i="40" s="1"/>
  <c r="N47" i="40"/>
  <c r="M47" i="40"/>
  <c r="L47" i="40"/>
  <c r="K47" i="40"/>
  <c r="J47" i="40"/>
  <c r="I47" i="40"/>
  <c r="H47" i="40"/>
  <c r="G47" i="40"/>
  <c r="F47" i="40"/>
  <c r="E47" i="40"/>
  <c r="D47" i="40"/>
  <c r="C47" i="40"/>
  <c r="N32" i="40"/>
  <c r="M32" i="40"/>
  <c r="L32" i="40"/>
  <c r="K32" i="40"/>
  <c r="J32" i="40"/>
  <c r="I32" i="40"/>
  <c r="H32" i="40"/>
  <c r="O32" i="40" s="1"/>
  <c r="G32" i="40"/>
  <c r="F32" i="40"/>
  <c r="E32" i="40"/>
  <c r="D32" i="40"/>
  <c r="C32" i="40"/>
  <c r="N22" i="40"/>
  <c r="M22" i="40"/>
  <c r="L22" i="40"/>
  <c r="K22" i="40"/>
  <c r="J22" i="40"/>
  <c r="I22" i="40"/>
  <c r="H22" i="40"/>
  <c r="G22" i="40"/>
  <c r="F22" i="40"/>
  <c r="E22" i="40"/>
  <c r="D22" i="40"/>
  <c r="C22" i="40"/>
  <c r="N16" i="40"/>
  <c r="M16" i="40"/>
  <c r="L16" i="40"/>
  <c r="K16" i="40"/>
  <c r="J16" i="40"/>
  <c r="I16" i="40"/>
  <c r="H16" i="40"/>
  <c r="G16" i="40"/>
  <c r="O16" i="40" s="1"/>
  <c r="F16" i="40"/>
  <c r="E16" i="40"/>
  <c r="D16" i="40"/>
  <c r="C16" i="40"/>
  <c r="N15" i="40"/>
  <c r="M15" i="40"/>
  <c r="L15" i="40"/>
  <c r="K15" i="40"/>
  <c r="J15" i="40"/>
  <c r="I15" i="40"/>
  <c r="H15" i="40"/>
  <c r="G15" i="40"/>
  <c r="F15" i="40"/>
  <c r="E15" i="40"/>
  <c r="D15" i="40"/>
  <c r="C15" i="40"/>
  <c r="O15" i="40" s="1"/>
  <c r="O36" i="40"/>
  <c r="O34" i="40"/>
  <c r="O29" i="40"/>
  <c r="O28" i="40"/>
  <c r="O27" i="40"/>
  <c r="O26" i="40"/>
  <c r="O25" i="40"/>
  <c r="O21" i="40"/>
  <c r="O20" i="40"/>
  <c r="O19" i="40"/>
  <c r="O17" i="40"/>
  <c r="O9" i="40"/>
  <c r="O8" i="40"/>
  <c r="O7" i="40"/>
  <c r="O6" i="40"/>
  <c r="O5" i="40"/>
  <c r="Q33" i="40" l="1"/>
  <c r="Q8" i="40"/>
  <c r="Q32" i="40"/>
  <c r="M35" i="40"/>
  <c r="F35" i="40"/>
  <c r="G35" i="40"/>
  <c r="I35" i="40"/>
  <c r="E35" i="40"/>
  <c r="H35" i="40"/>
  <c r="J35" i="40"/>
  <c r="N35" i="40"/>
  <c r="C35" i="40"/>
  <c r="K35" i="40"/>
  <c r="D35" i="40"/>
  <c r="O22" i="40"/>
  <c r="M33" i="40" l="1"/>
  <c r="D33" i="40"/>
  <c r="L33" i="40"/>
  <c r="G33" i="40"/>
  <c r="I33" i="40"/>
  <c r="N33" i="40"/>
  <c r="J33" i="40"/>
  <c r="F33" i="40"/>
  <c r="E33" i="40"/>
  <c r="K33" i="40"/>
  <c r="C33" i="40"/>
  <c r="H33" i="40"/>
  <c r="Q30" i="40"/>
  <c r="L31" i="40"/>
  <c r="D31" i="40"/>
  <c r="G31" i="40"/>
  <c r="M31" i="40"/>
  <c r="K31" i="40"/>
  <c r="C31" i="40"/>
  <c r="E31" i="40"/>
  <c r="Q31" i="40"/>
  <c r="J31" i="40"/>
  <c r="I31" i="40"/>
  <c r="H31" i="40"/>
  <c r="N31" i="40"/>
  <c r="F31" i="40"/>
  <c r="O35" i="40"/>
  <c r="O33" i="40" l="1"/>
  <c r="I30" i="40"/>
  <c r="L30" i="40"/>
  <c r="K30" i="40"/>
  <c r="J30" i="40"/>
  <c r="D30" i="40"/>
  <c r="C30" i="40"/>
  <c r="H30" i="40"/>
  <c r="F30" i="40"/>
  <c r="N30" i="40"/>
  <c r="M30" i="40"/>
  <c r="G30" i="40"/>
  <c r="E30" i="40"/>
  <c r="O31" i="40"/>
  <c r="H44" i="40" l="1"/>
  <c r="H37" i="40"/>
  <c r="H39" i="40" s="1"/>
  <c r="C44" i="40"/>
  <c r="C45" i="40" s="1"/>
  <c r="O30" i="40"/>
  <c r="O37" i="40" s="1"/>
  <c r="O39" i="40" s="1"/>
  <c r="C37" i="40"/>
  <c r="C39" i="40" s="1"/>
  <c r="D44" i="40"/>
  <c r="D37" i="40"/>
  <c r="D39" i="40" s="1"/>
  <c r="E37" i="40"/>
  <c r="E39" i="40" s="1"/>
  <c r="E44" i="40"/>
  <c r="J44" i="40"/>
  <c r="J37" i="40"/>
  <c r="J39" i="40" s="1"/>
  <c r="G44" i="40"/>
  <c r="G37" i="40"/>
  <c r="G39" i="40" s="1"/>
  <c r="K44" i="40"/>
  <c r="K37" i="40"/>
  <c r="K39" i="40" s="1"/>
  <c r="F44" i="40"/>
  <c r="F37" i="40"/>
  <c r="F39" i="40" s="1"/>
  <c r="M44" i="40"/>
  <c r="M37" i="40"/>
  <c r="M39" i="40" s="1"/>
  <c r="L44" i="40"/>
  <c r="L37" i="40"/>
  <c r="L39" i="40" s="1"/>
  <c r="N44" i="40"/>
  <c r="N37" i="40"/>
  <c r="N39" i="40" s="1"/>
  <c r="I44" i="40"/>
  <c r="I37" i="40"/>
  <c r="I39" i="40" s="1"/>
  <c r="C40" i="40" l="1"/>
  <c r="D40" i="40" s="1"/>
  <c r="E40" i="40" s="1"/>
  <c r="F40" i="40" s="1"/>
  <c r="G40" i="40" s="1"/>
  <c r="H40" i="40" s="1"/>
  <c r="I40" i="40" s="1"/>
  <c r="J40" i="40" s="1"/>
  <c r="K40" i="40" s="1"/>
  <c r="L40" i="40" s="1"/>
  <c r="M40" i="40" s="1"/>
  <c r="N40" i="40" s="1"/>
  <c r="Q39" i="40"/>
  <c r="D45" i="40"/>
  <c r="E45" i="40" s="1"/>
  <c r="F45" i="40" s="1"/>
  <c r="G45" i="40" s="1"/>
  <c r="H45" i="40" s="1"/>
  <c r="I45" i="40" s="1"/>
  <c r="J45" i="40" s="1"/>
  <c r="K45" i="40" s="1"/>
  <c r="L45" i="40" s="1"/>
  <c r="M45" i="40" s="1"/>
  <c r="N45" i="40" s="1"/>
  <c r="O44" i="40"/>
  <c r="Q9" i="40" l="1"/>
  <c r="Q27" i="40" l="1"/>
  <c r="D2" i="43" l="1"/>
  <c r="D3" i="43" l="1"/>
  <c r="C3" i="43"/>
  <c r="E3" i="43" s="1"/>
  <c r="D4" i="43" l="1"/>
  <c r="AK16" i="43" l="1"/>
  <c r="AK15" i="43" s="1"/>
  <c r="AK14" i="43" s="1"/>
  <c r="AK13" i="43" s="1"/>
  <c r="AK12" i="43" s="1"/>
  <c r="AK11" i="43" s="1"/>
  <c r="AL16" i="43"/>
  <c r="AL15" i="43" s="1"/>
  <c r="AL14" i="43" s="1"/>
  <c r="AL13" i="43" s="1"/>
  <c r="AL12" i="43" s="1"/>
  <c r="AL11" i="43" s="1"/>
  <c r="AL10" i="43" s="1"/>
  <c r="AH11" i="43" l="1"/>
  <c r="AK10" i="43"/>
  <c r="AJ11" i="43"/>
  <c r="C2" i="43"/>
  <c r="AI11" i="43" l="1"/>
  <c r="X2" i="43" s="1"/>
  <c r="W11" i="43"/>
  <c r="K11" i="43"/>
  <c r="U11" i="43"/>
  <c r="M11" i="43"/>
  <c r="Q11" i="43"/>
  <c r="O11" i="43"/>
  <c r="S11" i="43"/>
  <c r="E2" i="43"/>
  <c r="C4" i="43"/>
  <c r="E4" i="43" l="1"/>
  <c r="J46" i="34" l="1"/>
  <c r="D45" i="34" l="1"/>
  <c r="C45" i="34"/>
  <c r="F45" i="34"/>
  <c r="G45" i="34" l="1"/>
  <c r="J45" i="34"/>
  <c r="AL9" i="43"/>
  <c r="AK9" i="43"/>
  <c r="AK8" i="43" s="1"/>
  <c r="AL8" i="43" l="1"/>
</calcChain>
</file>

<file path=xl/comments1.xml><?xml version="1.0" encoding="utf-8"?>
<comments xmlns="http://schemas.openxmlformats.org/spreadsheetml/2006/main">
  <authors>
    <author>Frédérik VARLET</author>
  </authors>
  <commentList>
    <comment ref="C44" authorId="0">
      <text>
        <r>
          <rPr>
            <b/>
            <sz val="9"/>
            <color indexed="81"/>
            <rFont val="Tahoma"/>
            <family val="2"/>
          </rPr>
          <t>Note :</t>
        </r>
        <r>
          <rPr>
            <sz val="9"/>
            <color indexed="81"/>
            <rFont val="Tahoma"/>
            <family val="2"/>
          </rPr>
          <t xml:space="preserve">
Tout doublon est exclu du comptage</t>
        </r>
      </text>
    </comment>
    <comment ref="H44" authorId="0">
      <text>
        <r>
          <rPr>
            <sz val="9"/>
            <color indexed="81"/>
            <rFont val="Tahoma"/>
            <family val="2"/>
          </rPr>
          <t>Montant HT Hors pose Hors livraison</t>
        </r>
      </text>
    </comment>
    <comment ref="I44" authorId="0">
      <text>
        <r>
          <rPr>
            <sz val="9"/>
            <color indexed="81"/>
            <rFont val="Tahoma"/>
            <family val="2"/>
          </rPr>
          <t>Montant HT Hors pose Hors livraison
(après réception de chantier)</t>
        </r>
      </text>
    </comment>
    <comment ref="C46" authorId="0">
      <text>
        <r>
          <rPr>
            <b/>
            <sz val="9"/>
            <color indexed="81"/>
            <rFont val="Tahoma"/>
            <family val="2"/>
          </rPr>
          <t>Note :</t>
        </r>
        <r>
          <rPr>
            <sz val="9"/>
            <color indexed="81"/>
            <rFont val="Tahoma"/>
            <family val="2"/>
          </rPr>
          <t xml:space="preserve">
L'année 2012 est également incluse</t>
        </r>
      </text>
    </comment>
  </commentList>
</comments>
</file>

<file path=xl/comments2.xml><?xml version="1.0" encoding="utf-8"?>
<comments xmlns="http://schemas.openxmlformats.org/spreadsheetml/2006/main">
  <authors>
    <author>Frédérik VARLET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Contact :</t>
        </r>
        <r>
          <rPr>
            <sz val="9"/>
            <color indexed="81"/>
            <rFont val="Tahoma"/>
            <charset val="1"/>
          </rPr>
          <t xml:space="preserve"> Personne ayant un projet futur
</t>
        </r>
        <r>
          <rPr>
            <b/>
            <sz val="9"/>
            <color indexed="81"/>
            <rFont val="Tahoma"/>
            <family val="2"/>
          </rPr>
          <t>Ex-contact :</t>
        </r>
        <r>
          <rPr>
            <sz val="9"/>
            <color indexed="81"/>
            <rFont val="Tahoma"/>
            <charset val="1"/>
          </rPr>
          <t xml:space="preserve"> Contact qui a choisi de se désabonner de la newsletter, ou qui ne s'est plus manifesté et dont la demande est très spécifique (ex : commande d'un accessoire uniquement)
</t>
        </r>
        <r>
          <rPr>
            <b/>
            <sz val="9"/>
            <color indexed="81"/>
            <rFont val="Tahoma"/>
            <family val="2"/>
          </rPr>
          <t>Suspect :</t>
        </r>
        <r>
          <rPr>
            <sz val="9"/>
            <color indexed="81"/>
            <rFont val="Tahoma"/>
            <charset val="1"/>
          </rPr>
          <t xml:space="preserve"> Personne ayant un projet proche, visite à programmer prochainement
</t>
        </r>
        <r>
          <rPr>
            <b/>
            <sz val="9"/>
            <color indexed="81"/>
            <rFont val="Tahoma"/>
            <family val="2"/>
          </rPr>
          <t>Ex-suspect :</t>
        </r>
        <r>
          <rPr>
            <sz val="9"/>
            <color indexed="81"/>
            <rFont val="Tahoma"/>
            <charset val="1"/>
          </rPr>
          <t xml:space="preserve"> Suspect qui a finalement choisi un concurrent avant de me rencontrer, ou qui change totalement de projet, ou fausse alerte fournie par un site Internet
</t>
        </r>
        <r>
          <rPr>
            <b/>
            <sz val="9"/>
            <color indexed="81"/>
            <rFont val="Tahoma"/>
            <family val="2"/>
          </rPr>
          <t>Prospect :</t>
        </r>
        <r>
          <rPr>
            <sz val="9"/>
            <color indexed="81"/>
            <rFont val="Tahoma"/>
            <charset val="1"/>
          </rPr>
          <t xml:space="preserve"> Devis en cours
</t>
        </r>
        <r>
          <rPr>
            <b/>
            <sz val="9"/>
            <color indexed="81"/>
            <rFont val="Tahoma"/>
            <family val="2"/>
          </rPr>
          <t>Ex-prospect :</t>
        </r>
        <r>
          <rPr>
            <sz val="9"/>
            <color indexed="81"/>
            <rFont val="Tahoma"/>
            <charset val="1"/>
          </rPr>
          <t xml:space="preserve"> Prospect n'ayant pas retenu mon projet, avec ou sans remise de devis
</t>
        </r>
        <r>
          <rPr>
            <b/>
            <sz val="9"/>
            <color indexed="81"/>
            <rFont val="Tahoma"/>
            <family val="2"/>
          </rPr>
          <t>Client :</t>
        </r>
        <r>
          <rPr>
            <sz val="9"/>
            <color indexed="81"/>
            <rFont val="Tahoma"/>
            <charset val="1"/>
          </rPr>
          <t xml:space="preserve"> Personne ayant signé un ou plusieurs devis
</t>
        </r>
        <r>
          <rPr>
            <b/>
            <sz val="9"/>
            <color indexed="81"/>
            <rFont val="Tahoma"/>
            <family val="2"/>
          </rPr>
          <t>Expo :</t>
        </r>
        <r>
          <rPr>
            <sz val="9"/>
            <color indexed="81"/>
            <rFont val="Tahoma"/>
            <charset val="1"/>
          </rPr>
          <t xml:space="preserve"> Contrat expo, n'entrant pas dans les statistiques</t>
        </r>
      </text>
    </comment>
    <comment ref="C1" authorId="0">
      <text>
        <r>
          <rPr>
            <sz val="9"/>
            <color indexed="81"/>
            <rFont val="Tahoma"/>
            <family val="2"/>
          </rPr>
          <t>Tri par date de contact puis par date de dernier RDV / date de vente.
Présence de doublons possible : certains clients effectuent plusieurs achats
Le tri s'effectue dans la colonne H "Tri"</t>
        </r>
      </text>
    </comment>
    <comment ref="G1" authorId="0">
      <text>
        <r>
          <rPr>
            <sz val="9"/>
            <color indexed="81"/>
            <rFont val="Tahoma"/>
            <family val="2"/>
          </rPr>
          <t>Numéro de la vente pour ce client</t>
        </r>
      </text>
    </comment>
  </commentList>
</comments>
</file>

<file path=xl/comments3.xml><?xml version="1.0" encoding="utf-8"?>
<comments xmlns="http://schemas.openxmlformats.org/spreadsheetml/2006/main">
  <authors>
    <author>Frédérik VARLET</author>
    <author xml:space="preserve"> </author>
  </authors>
  <commentList>
    <comment ref="AE5" authorId="0">
      <text>
        <r>
          <rPr>
            <sz val="9"/>
            <color indexed="81"/>
            <rFont val="Tahoma"/>
            <family val="2"/>
          </rPr>
          <t>Payeur / Destinataire</t>
        </r>
      </text>
    </comment>
    <comment ref="Z6" authorId="1">
      <text>
        <r>
          <rPr>
            <sz val="8"/>
            <color indexed="81"/>
            <rFont val="Tahoma"/>
            <family val="2"/>
          </rPr>
          <t>Titre de l'opération</t>
        </r>
      </text>
    </comment>
    <comment ref="AC6" authorId="1">
      <text>
        <r>
          <rPr>
            <b/>
            <sz val="8"/>
            <color indexed="81"/>
            <rFont val="Tahoma"/>
            <family val="2"/>
          </rPr>
          <t xml:space="preserve">Types d'opération
</t>
        </r>
        <r>
          <rPr>
            <sz val="8"/>
            <color indexed="81"/>
            <rFont val="Tahoma"/>
            <family val="2"/>
          </rPr>
          <t>Carte
Retrait DAB / Versement
Chèque (Chèque émis / Dépôt de chèque)
Espèces
Prélèvement
TIP
Virement (Virement émis / Virement reçu)
Titre</t>
        </r>
      </text>
    </comment>
  </commentList>
</comments>
</file>

<file path=xl/comments4.xml><?xml version="1.0" encoding="utf-8"?>
<comments xmlns="http://schemas.openxmlformats.org/spreadsheetml/2006/main">
  <authors>
    <author xml:space="preserve"> </author>
  </authors>
  <commentList>
    <comment ref="M2" authorId="0">
      <text>
        <r>
          <rPr>
            <b/>
            <sz val="8"/>
            <color indexed="81"/>
            <rFont val="Tahoma"/>
            <family val="2"/>
          </rPr>
          <t xml:space="preserve">Types d'opération
</t>
        </r>
        <r>
          <rPr>
            <sz val="8"/>
            <color indexed="81"/>
            <rFont val="Tahoma"/>
            <family val="2"/>
          </rPr>
          <t>Carte
Retrait DAB / Versement
Chèque (Chèque émis / Dépôt de chèque)
Espèces
Prélèvement
TIP
Virement (Virement émis / Virement reçu)
Titre</t>
        </r>
      </text>
    </comment>
  </commentList>
</comments>
</file>

<file path=xl/sharedStrings.xml><?xml version="1.0" encoding="utf-8"?>
<sst xmlns="http://schemas.openxmlformats.org/spreadsheetml/2006/main" count="871" uniqueCount="514">
  <si>
    <t>Propriétaire compte</t>
  </si>
  <si>
    <t>Livret CIAL</t>
  </si>
  <si>
    <t>Opérations à venir</t>
  </si>
  <si>
    <t>Epargne retraite</t>
  </si>
  <si>
    <t>x</t>
  </si>
  <si>
    <t>Transport</t>
  </si>
  <si>
    <t>Sous-catégorie</t>
  </si>
  <si>
    <t>Restaurant</t>
  </si>
  <si>
    <t>Caisse - Guichet</t>
  </si>
  <si>
    <t>Remboursement</t>
  </si>
  <si>
    <t>Comptes actuels</t>
  </si>
  <si>
    <t>Solde initial</t>
  </si>
  <si>
    <t>Total</t>
  </si>
  <si>
    <t>Espèces</t>
  </si>
  <si>
    <t>Loyer</t>
  </si>
  <si>
    <t>Méthode</t>
  </si>
  <si>
    <t>Compte commun CIAL</t>
  </si>
  <si>
    <t>Avril</t>
  </si>
  <si>
    <t>Juillet</t>
  </si>
  <si>
    <t>Octobre</t>
  </si>
  <si>
    <t>Janvier</t>
  </si>
  <si>
    <t>Février</t>
  </si>
  <si>
    <t>Septembre</t>
  </si>
  <si>
    <t>Autre</t>
  </si>
  <si>
    <t>Société Générale</t>
  </si>
  <si>
    <t>Frais</t>
  </si>
  <si>
    <t>Soldes réels</t>
  </si>
  <si>
    <t>Trésor Public</t>
  </si>
  <si>
    <t>Téléphone</t>
  </si>
  <si>
    <t>Equipement</t>
  </si>
  <si>
    <t>Abonnements</t>
  </si>
  <si>
    <t>Assurance</t>
  </si>
  <si>
    <t>Revenus Annexes</t>
  </si>
  <si>
    <t>Détails de l'opération</t>
  </si>
  <si>
    <t>Banque</t>
  </si>
  <si>
    <t>CCP La Poste</t>
  </si>
  <si>
    <t>Electricité - Gaz</t>
  </si>
  <si>
    <t>Achat / Prêt Auto</t>
  </si>
  <si>
    <t>Achat / Prêt Logement</t>
  </si>
  <si>
    <t>X</t>
  </si>
  <si>
    <t>Capital</t>
  </si>
  <si>
    <t>Livret A La Poste</t>
  </si>
  <si>
    <t>Cloture de compte</t>
  </si>
  <si>
    <t>Retrait</t>
  </si>
  <si>
    <t>Intérêts</t>
  </si>
  <si>
    <t>Prêt</t>
  </si>
  <si>
    <t>Mois</t>
  </si>
  <si>
    <t>Ouverture de compte</t>
  </si>
  <si>
    <t>Déménagement</t>
  </si>
  <si>
    <t>Débit</t>
  </si>
  <si>
    <t>Crédit</t>
  </si>
  <si>
    <t>Chèque</t>
  </si>
  <si>
    <t>Prélèvement</t>
  </si>
  <si>
    <t>Virement</t>
  </si>
  <si>
    <t>Crédit mariage CIAL</t>
  </si>
  <si>
    <t>Novembre</t>
  </si>
  <si>
    <t>Equipement / Réparations</t>
  </si>
  <si>
    <t>Parking / Péage</t>
  </si>
  <si>
    <t>Année</t>
  </si>
  <si>
    <t>Mars</t>
  </si>
  <si>
    <t>Mai</t>
  </si>
  <si>
    <t>Juin</t>
  </si>
  <si>
    <t>Août</t>
  </si>
  <si>
    <t>Décembre</t>
  </si>
  <si>
    <t>Salaire</t>
  </si>
  <si>
    <t>Montant - détails</t>
  </si>
  <si>
    <t>Montant - total</t>
  </si>
  <si>
    <t>Courrier</t>
  </si>
  <si>
    <t>Sans catégorie</t>
  </si>
  <si>
    <t>CB</t>
  </si>
  <si>
    <t>Internet</t>
  </si>
  <si>
    <t>Automatique</t>
  </si>
  <si>
    <t>Mode de paiement</t>
  </si>
  <si>
    <t>Crédit auto CIAL</t>
  </si>
  <si>
    <t>Compte</t>
  </si>
  <si>
    <t>Formation</t>
  </si>
  <si>
    <t>Catégorie</t>
  </si>
  <si>
    <t>Compte - validé</t>
  </si>
  <si>
    <t>TVA</t>
  </si>
  <si>
    <t>Objet</t>
  </si>
  <si>
    <t>Paiement</t>
  </si>
  <si>
    <t>-</t>
  </si>
  <si>
    <t>Tiers</t>
  </si>
  <si>
    <t>Solde général</t>
  </si>
  <si>
    <t>Ventes</t>
  </si>
  <si>
    <t>Affaires</t>
  </si>
  <si>
    <t>Client</t>
  </si>
  <si>
    <t>Fournisseur</t>
  </si>
  <si>
    <t>Sout-traitant</t>
  </si>
  <si>
    <t>TOTAL</t>
  </si>
  <si>
    <t>Compte - à venir</t>
  </si>
  <si>
    <t>Frais généraux</t>
  </si>
  <si>
    <t>Fournitures</t>
  </si>
  <si>
    <t>Fournitures administratives</t>
  </si>
  <si>
    <t>Total HT</t>
  </si>
  <si>
    <t>Montant TVA</t>
  </si>
  <si>
    <t>Date de paiement</t>
  </si>
  <si>
    <t>Internet / Téléphonie</t>
  </si>
  <si>
    <t>Honoraires (experts comptables/juridiques)</t>
  </si>
  <si>
    <t>Franchiseur</t>
  </si>
  <si>
    <t>Franchise</t>
  </si>
  <si>
    <t>Séminaire</t>
  </si>
  <si>
    <t>CHRN</t>
  </si>
  <si>
    <t>Rémunération + Charges</t>
  </si>
  <si>
    <t>Impôts et taxes (hors IS, hors TVA)</t>
  </si>
  <si>
    <t>Apport en capital</t>
  </si>
  <si>
    <t>Emprunts à moyen et long terme</t>
  </si>
  <si>
    <t>Sécurité sociale (RSI)</t>
  </si>
  <si>
    <t>Apport compte courant</t>
  </si>
  <si>
    <t>Apport capital</t>
  </si>
  <si>
    <t>Assu / Complémentaires</t>
  </si>
  <si>
    <t>Opérations bancaires</t>
  </si>
  <si>
    <t>Local pro</t>
  </si>
  <si>
    <t>Autres frais</t>
  </si>
  <si>
    <t>Frais médicaux</t>
  </si>
  <si>
    <t>Santé / Prévoyance</t>
  </si>
  <si>
    <t>Retraite</t>
  </si>
  <si>
    <t>Rémunération</t>
  </si>
  <si>
    <t>Impôts et taxes</t>
  </si>
  <si>
    <t>IS</t>
  </si>
  <si>
    <t>Autres</t>
  </si>
  <si>
    <t>Maintenance info.</t>
  </si>
  <si>
    <t>Informatique</t>
  </si>
  <si>
    <t>Mobilier</t>
  </si>
  <si>
    <t>Indemnités KM</t>
  </si>
  <si>
    <t>Public / Taxi / Location</t>
  </si>
  <si>
    <t>Affranchissement</t>
  </si>
  <si>
    <t>Honoraires</t>
  </si>
  <si>
    <t>Frais de déplacement</t>
  </si>
  <si>
    <t>Communication</t>
  </si>
  <si>
    <t>Transfert</t>
  </si>
  <si>
    <t>Création</t>
  </si>
  <si>
    <t>Publicité</t>
  </si>
  <si>
    <t>E-mail</t>
  </si>
  <si>
    <t>Autorisation prélèvement</t>
  </si>
  <si>
    <t>TIP</t>
  </si>
  <si>
    <t>RC Pro</t>
  </si>
  <si>
    <t>Ouverture du compte bancaire pro</t>
  </si>
  <si>
    <t>Déblocage du capital</t>
  </si>
  <si>
    <t>Cotisation compte pro (part non taxée)</t>
  </si>
  <si>
    <t>Acquisition de la CB (remise 50% pour la 1ère année)</t>
  </si>
  <si>
    <t>Acquisition de la CB</t>
  </si>
  <si>
    <t>Loyers et charges locatives</t>
  </si>
  <si>
    <t>Charges financières</t>
  </si>
  <si>
    <t>Charges exceptionnelles</t>
  </si>
  <si>
    <t>A finaliser</t>
  </si>
  <si>
    <t>Contrôle</t>
  </si>
  <si>
    <t>Mois 1</t>
  </si>
  <si>
    <t>Mois 2</t>
  </si>
  <si>
    <t>Mois 3</t>
  </si>
  <si>
    <t>Mois 4</t>
  </si>
  <si>
    <t>Mois 5</t>
  </si>
  <si>
    <t>Mois 6</t>
  </si>
  <si>
    <t>Mois 7</t>
  </si>
  <si>
    <t>Mois 8</t>
  </si>
  <si>
    <t>Mois 9</t>
  </si>
  <si>
    <t>Mois 10</t>
  </si>
  <si>
    <t>Mois 11</t>
  </si>
  <si>
    <t>Mois 12</t>
  </si>
  <si>
    <t>Commandes T.T.C</t>
  </si>
  <si>
    <t>Facture HT (hors pose, hors livraison)</t>
  </si>
  <si>
    <t>Facture totale HT</t>
  </si>
  <si>
    <t>Factures T.T.C</t>
  </si>
  <si>
    <t>ENCAISSEMENTS</t>
  </si>
  <si>
    <t>Encaissements d'exploitation</t>
  </si>
  <si>
    <t>Chiffre d'affaires encaissé</t>
  </si>
  <si>
    <t>Acomptes</t>
  </si>
  <si>
    <t>Soldes</t>
  </si>
  <si>
    <t>TVA à récupérer</t>
  </si>
  <si>
    <t>Encaissements hors exploitation</t>
  </si>
  <si>
    <t>Apports en comptes courants d'associés</t>
  </si>
  <si>
    <t>TOTAL ENCAISSEMENTS</t>
  </si>
  <si>
    <t>DECAISSEMENTS</t>
  </si>
  <si>
    <t>Investissements</t>
  </si>
  <si>
    <t>Hébergement et déplacement
(formation)</t>
  </si>
  <si>
    <t>Achats marchandise</t>
  </si>
  <si>
    <t>Commissions versées - Acomptes
(pose et livraison)</t>
  </si>
  <si>
    <t>Commissions versées - Soldes
(pose et livraison)</t>
  </si>
  <si>
    <t>Frais Généraux mens.</t>
  </si>
  <si>
    <t>Marketing (publicité hors lancement)</t>
  </si>
  <si>
    <t>Royalties 3 %</t>
  </si>
  <si>
    <t>Remboursement d'emprunt</t>
  </si>
  <si>
    <t>Impôt sur les Sociétés (Année n-1)</t>
  </si>
  <si>
    <t>TOTAL DECAISSEMENTS</t>
  </si>
  <si>
    <t>SOLDE DU MOIS</t>
  </si>
  <si>
    <t>SOLDES CUMULES</t>
  </si>
  <si>
    <t>L'écart entre le plan de trésorerie annuel et mensuel provient des acomptes perçus</t>
  </si>
  <si>
    <t>T.V.A Fournisseurs à 19,7%</t>
  </si>
  <si>
    <t>Soldes cumulés Frs</t>
  </si>
  <si>
    <t>T.V.A pose à 7%</t>
  </si>
  <si>
    <t>Soldes cumulés Cl.</t>
  </si>
  <si>
    <t>remarque 1 :</t>
  </si>
  <si>
    <t>Attention, s'il y a de la TVA 7 %, il faudrait aussi rajouter dans le calcul des flux de TVA, la CA de la pose</t>
  </si>
  <si>
    <t>remarque 2 :</t>
  </si>
  <si>
    <t>Les nouvelles dispositions exigent un facture pour tout acompte perçu donc avec TVA.</t>
  </si>
  <si>
    <t>Trésorerie</t>
  </si>
  <si>
    <t xml:space="preserve">  (nombres cuisines commandées)</t>
  </si>
  <si>
    <t xml:space="preserve">  (nombres cuisines facturées)</t>
  </si>
  <si>
    <t>Virement de 2500 € le 23/02/2013</t>
  </si>
  <si>
    <t xml:space="preserve"> </t>
  </si>
  <si>
    <t>Cuisine expo 2013</t>
  </si>
  <si>
    <t>Solde de TVA</t>
  </si>
  <si>
    <t>Livraison</t>
  </si>
  <si>
    <t>LCR</t>
  </si>
  <si>
    <t>Date prélèvement prévue</t>
  </si>
  <si>
    <t>Date prélèvement effectif</t>
  </si>
  <si>
    <t>Boersch (67)</t>
  </si>
  <si>
    <t>Contribution Economique Territoriale (CET) - Taxe CFE (Cotisation Foncière des Entreprises)</t>
  </si>
  <si>
    <t>Cotisation compte pro (part taxée à 20%)</t>
  </si>
  <si>
    <t>Contact</t>
  </si>
  <si>
    <t>Tableau de bord</t>
  </si>
  <si>
    <t>Chiffre d'affaire</t>
  </si>
  <si>
    <t>Panier moyen</t>
  </si>
  <si>
    <t>Actif</t>
  </si>
  <si>
    <t>Année 2</t>
  </si>
  <si>
    <t>Année 3</t>
  </si>
  <si>
    <t>Passif</t>
  </si>
  <si>
    <t>Année 1
(18 mois)</t>
  </si>
  <si>
    <t>Immobilisations incorporelles</t>
  </si>
  <si>
    <t>Immobilisations corporelles</t>
  </si>
  <si>
    <t xml:space="preserve">Immobilisations financières </t>
  </si>
  <si>
    <t>Total Actif immobilisé</t>
  </si>
  <si>
    <t xml:space="preserve">Stocks et en-cours </t>
  </si>
  <si>
    <t>Avances et comptes versés</t>
  </si>
  <si>
    <t xml:space="preserve">Clients et comptes rattachés </t>
  </si>
  <si>
    <t xml:space="preserve">Autres Créances </t>
  </si>
  <si>
    <t xml:space="preserve">Valeurs mobilières de placement </t>
  </si>
  <si>
    <t>Disponibilités</t>
  </si>
  <si>
    <t>Charges constatées d'avance</t>
  </si>
  <si>
    <t xml:space="preserve">Total actif circulant </t>
  </si>
  <si>
    <t>Total Actif</t>
  </si>
  <si>
    <t>Total Passif</t>
  </si>
  <si>
    <t>Réserves</t>
  </si>
  <si>
    <t>Report à nouveau</t>
  </si>
  <si>
    <t>Résultat de l'exercice</t>
  </si>
  <si>
    <t xml:space="preserve">Capitaux propres </t>
  </si>
  <si>
    <t>Provisions pour risques</t>
  </si>
  <si>
    <t>Emprunts et dettes auprès des établissements de crédit (1)</t>
  </si>
  <si>
    <t>Dettes financières</t>
  </si>
  <si>
    <t>Avances et acomptes reçus sur commande</t>
  </si>
  <si>
    <t>Dettes fournisseurs</t>
  </si>
  <si>
    <t>Dettes fiscales et sociales</t>
  </si>
  <si>
    <t xml:space="preserve">Autres dettes </t>
  </si>
  <si>
    <t xml:space="preserve">Produits constatés d'avance </t>
  </si>
  <si>
    <t>Total Dettes</t>
  </si>
  <si>
    <t xml:space="preserve">(1) Dont découverts bancaires </t>
  </si>
  <si>
    <t>Dettes financières nettes de la trésorerie</t>
  </si>
  <si>
    <t>Total capitaux employés</t>
  </si>
  <si>
    <t>Besoin en fonds de roulement</t>
  </si>
  <si>
    <t>Total emplois à financer</t>
  </si>
  <si>
    <t>Ecart</t>
  </si>
  <si>
    <t xml:space="preserve">% </t>
  </si>
  <si>
    <t>Structure bilantielle</t>
  </si>
  <si>
    <t>Stocks</t>
  </si>
  <si>
    <t>Gestion des stocks</t>
  </si>
  <si>
    <t>Compte de résultat comptable</t>
  </si>
  <si>
    <t>(fourni par l'expert comptable)</t>
  </si>
  <si>
    <t>Tableau des soldes intermédiaires de gestion</t>
  </si>
  <si>
    <t xml:space="preserve">CHARGES </t>
  </si>
  <si>
    <t>Exercice n</t>
  </si>
  <si>
    <t>Exercice n-1</t>
  </si>
  <si>
    <t>PRODUITS</t>
  </si>
  <si>
    <t>Détaillé</t>
  </si>
  <si>
    <t>n</t>
  </si>
  <si>
    <t>%</t>
  </si>
  <si>
    <t>n-1</t>
  </si>
  <si>
    <t>Charges d'exploitation</t>
  </si>
  <si>
    <t>Produits d'exploitation</t>
  </si>
  <si>
    <t>Ventes de marchandises</t>
  </si>
  <si>
    <t>Chiffre d'affaires</t>
  </si>
  <si>
    <t xml:space="preserve">  Achats de marchandises</t>
  </si>
  <si>
    <t xml:space="preserve">  Ventes de marchandises</t>
  </si>
  <si>
    <t>Coût d'achat des marchandises vendues</t>
  </si>
  <si>
    <t xml:space="preserve">  Nombre de couverts</t>
  </si>
  <si>
    <t xml:space="preserve">   Variation de stocks</t>
  </si>
  <si>
    <t xml:space="preserve">  Production vendue  (biens et services)</t>
  </si>
  <si>
    <t>MARGE COMMERCIALE (I)</t>
  </si>
  <si>
    <t xml:space="preserve">  Addition moyenne</t>
  </si>
  <si>
    <t xml:space="preserve">  Achats de matières premières et</t>
  </si>
  <si>
    <t>Sous-total A - Montant net du chiffre d'affaires</t>
  </si>
  <si>
    <t>Production vendue</t>
  </si>
  <si>
    <t>Consommations de matières</t>
  </si>
  <si>
    <t xml:space="preserve">  autres approvisionnements</t>
  </si>
  <si>
    <t>dont à l'exportation</t>
  </si>
  <si>
    <t>Production stockée</t>
  </si>
  <si>
    <t>MARGE BRUTE</t>
  </si>
  <si>
    <t xml:space="preserve">  Production stockée</t>
  </si>
  <si>
    <t>Production immobilisée et consommée</t>
  </si>
  <si>
    <t>Charges de personnel</t>
  </si>
  <si>
    <t xml:space="preserve">  Autres achats et charges externes (1)</t>
  </si>
  <si>
    <t xml:space="preserve">  Production immobilisée et consommée</t>
  </si>
  <si>
    <t>PRODUCTION DE L'EXERCICE (II)</t>
  </si>
  <si>
    <t>MARGE SUR COUT PRINCIPAL</t>
  </si>
  <si>
    <t xml:space="preserve">  Impôts, taxes et versements assimilés</t>
  </si>
  <si>
    <t xml:space="preserve">  Subventions d'exploitation</t>
  </si>
  <si>
    <t>Total I+II</t>
  </si>
  <si>
    <t>Fournitures d'eau et d'énergie</t>
  </si>
  <si>
    <t xml:space="preserve">  Salaires et traitements</t>
  </si>
  <si>
    <t xml:space="preserve">  Reprises sur provisions et amortissements,</t>
  </si>
  <si>
    <t>Consommations de l'exercice en provenance des tiers</t>
  </si>
  <si>
    <t>Fournitures d'exploitation : uniformes,</t>
  </si>
  <si>
    <t xml:space="preserve">  Charges sociales</t>
  </si>
  <si>
    <t xml:space="preserve">  transferts de charges</t>
  </si>
  <si>
    <t>VALEUR AJOUTEE</t>
  </si>
  <si>
    <t xml:space="preserve"> linge, vaisselle, petit matériel</t>
  </si>
  <si>
    <t xml:space="preserve">  Dotations aux amortissements et</t>
  </si>
  <si>
    <t xml:space="preserve">  Autres produits</t>
  </si>
  <si>
    <t>Subventions d'exploitation</t>
  </si>
  <si>
    <t xml:space="preserve">  aux provisions</t>
  </si>
  <si>
    <t>Sous-total B</t>
  </si>
  <si>
    <t>Impôts, taxes et versements assimilés</t>
  </si>
  <si>
    <t>Produits d'entretien</t>
  </si>
  <si>
    <t xml:space="preserve">   sur immobilisations : amortissements</t>
  </si>
  <si>
    <t>Total I (A+B)</t>
  </si>
  <si>
    <t>Blanchissage</t>
  </si>
  <si>
    <t xml:space="preserve">   sur immobilisations : provisions</t>
  </si>
  <si>
    <t xml:space="preserve">Quotes-parts de résultat sur opérations </t>
  </si>
  <si>
    <t>EXECEDENT BRUT D'EXPLOITATION</t>
  </si>
  <si>
    <t>Maintenance</t>
  </si>
  <si>
    <t xml:space="preserve">   sur actif circulant : provisions</t>
  </si>
  <si>
    <t>faites en commun (II)</t>
  </si>
  <si>
    <t>Reprises sur charges et transferts de charges</t>
  </si>
  <si>
    <t>Primes d'assurances</t>
  </si>
  <si>
    <t xml:space="preserve">   pour risques et charges : provisions</t>
  </si>
  <si>
    <t>Produits financiers</t>
  </si>
  <si>
    <t>Autres produits</t>
  </si>
  <si>
    <t>Rémunérations d'intermédiaires</t>
  </si>
  <si>
    <t xml:space="preserve">  Autres charges</t>
  </si>
  <si>
    <t xml:space="preserve">  De participation</t>
  </si>
  <si>
    <t>Dotations aux amortissements et provisions</t>
  </si>
  <si>
    <t>Total I</t>
  </si>
  <si>
    <t xml:space="preserve">  D'autres valeurs mobilières et créances</t>
  </si>
  <si>
    <t>Autres charges</t>
  </si>
  <si>
    <t>Transports, missions, réceptions</t>
  </si>
  <si>
    <t xml:space="preserve">  de l'actif immobilisé</t>
  </si>
  <si>
    <t>RESULTAT D'EXPLOITATION</t>
  </si>
  <si>
    <t>Frais postaux et de télécommunications</t>
  </si>
  <si>
    <t xml:space="preserve">  Autres intérêts et produits assimilés</t>
  </si>
  <si>
    <t>Quote-part de résultat sur opérations faites en commun</t>
  </si>
  <si>
    <t>Services bancaires et commissions</t>
  </si>
  <si>
    <t xml:space="preserve">  Reprises sur provisions et transferts de charges</t>
  </si>
  <si>
    <t>sur moyens de paiement</t>
  </si>
  <si>
    <t xml:space="preserve">  Dotations aux amortissements et aux provisions</t>
  </si>
  <si>
    <t xml:space="preserve">  Différences positives de change</t>
  </si>
  <si>
    <t>Redevances</t>
  </si>
  <si>
    <t xml:space="preserve">  Intérêts et charges assimilées (2)</t>
  </si>
  <si>
    <t xml:space="preserve">  Produits nets sur valeurs mobilières de placement</t>
  </si>
  <si>
    <t>RESULTAT COURANT AVANT IMPOT</t>
  </si>
  <si>
    <t xml:space="preserve">  Différences négatives de change</t>
  </si>
  <si>
    <t>Total III</t>
  </si>
  <si>
    <t>Produits exceptionnels</t>
  </si>
  <si>
    <t>Divers</t>
  </si>
  <si>
    <t xml:space="preserve">  Charges nettes sur valeurs mobilières de placement</t>
  </si>
  <si>
    <t>Total frais généraux</t>
  </si>
  <si>
    <t xml:space="preserve">  Sur opérations de gestion</t>
  </si>
  <si>
    <t>RESULTAT EXCEPTIONNEL</t>
  </si>
  <si>
    <t>RESULTAT BRUT D'EXPLOITATION</t>
  </si>
  <si>
    <t xml:space="preserve">  Sur opérations en capital</t>
  </si>
  <si>
    <t>Participation des salariés</t>
  </si>
  <si>
    <t>Dotations aux amortissements</t>
  </si>
  <si>
    <t>Impôt sur les bénéfices</t>
  </si>
  <si>
    <t>Total IV</t>
  </si>
  <si>
    <t>RESULTAT DE L'EXERCICE</t>
  </si>
  <si>
    <t>Redevances de crédit-bail</t>
  </si>
  <si>
    <t xml:space="preserve">  Dotations aux amortissements et provisions</t>
  </si>
  <si>
    <t>Total des produits (I+II+III+IV)</t>
  </si>
  <si>
    <t>Produits des cessions d'éléments d'actif</t>
  </si>
  <si>
    <t>Intérêts des emprunts</t>
  </si>
  <si>
    <t>Solde débiteur = perte</t>
  </si>
  <si>
    <t>Valeur comptables des éléments d'actifs cédés</t>
  </si>
  <si>
    <t>Coûts d’occupation</t>
  </si>
  <si>
    <t>Participation des salariés aux résultats (V)</t>
  </si>
  <si>
    <t>TOTAL GENERAL</t>
  </si>
  <si>
    <t>Plus-values et moins-values sur cessions d'éléments d'actif</t>
  </si>
  <si>
    <t>RESULTAT COURANT</t>
  </si>
  <si>
    <t>Impôts sur les bénéfices (VI)</t>
  </si>
  <si>
    <t>+/- Résultat financier (hors intérêts)</t>
  </si>
  <si>
    <t>Total des charges ((I+II+III+IV+V+VI)</t>
  </si>
  <si>
    <t>+/- Résultat exceptionnel</t>
  </si>
  <si>
    <t>Solde créditeur = bénéfice</t>
  </si>
  <si>
    <t>-Participation des salariés aux résultats</t>
  </si>
  <si>
    <t>-Impôts sur les bénéfices</t>
  </si>
  <si>
    <t>(1) Dont loyers</t>
  </si>
  <si>
    <t>RESULTAT NET</t>
  </si>
  <si>
    <r>
      <t xml:space="preserve">(2) </t>
    </r>
    <r>
      <rPr>
        <b/>
        <sz val="9"/>
        <rFont val="Arial"/>
        <family val="2"/>
      </rPr>
      <t>Détail du poste</t>
    </r>
  </si>
  <si>
    <t xml:space="preserve">  Intérêts des emprunts</t>
  </si>
  <si>
    <t xml:space="preserve">  Commissions sur moyens de paiement</t>
  </si>
  <si>
    <t>Solution n-1</t>
  </si>
  <si>
    <t>Cliquez ici</t>
  </si>
  <si>
    <t>Solution</t>
  </si>
  <si>
    <t>+/- Variation de stocks</t>
  </si>
  <si>
    <t>- Production immobilisée et consommée</t>
  </si>
  <si>
    <t>+ Charges sociales</t>
  </si>
  <si>
    <t xml:space="preserve">  Autres achats et charges externes</t>
  </si>
  <si>
    <t>+ Impôts, taxes et versements assimilés</t>
  </si>
  <si>
    <t>+ Autres charges</t>
  </si>
  <si>
    <t>+ Commissions sur moyens de paiement</t>
  </si>
  <si>
    <t>- Loyers et charges locatives</t>
  </si>
  <si>
    <t>- Redevances de crédit-bail</t>
  </si>
  <si>
    <t xml:space="preserve"> + Loyers et charges locatives</t>
  </si>
  <si>
    <t xml:space="preserve"> + Redevances de crédit-bail</t>
  </si>
  <si>
    <t xml:space="preserve"> + Intérêts des emprunts</t>
  </si>
  <si>
    <t>Principaux ratios et délais</t>
    <phoneticPr fontId="7" type="noConversion"/>
  </si>
  <si>
    <t>Principaux ratios et délais</t>
  </si>
  <si>
    <t>Taux d'endettement %</t>
  </si>
  <si>
    <t>Emprunts et dettes financières</t>
  </si>
  <si>
    <t xml:space="preserve">Couverture des intérêts </t>
  </si>
  <si>
    <t>Autonomie %</t>
  </si>
  <si>
    <t>Stocks (nombre de jours /CA)</t>
  </si>
  <si>
    <t>Délai de paiement des clients (nombre de jours /CA)</t>
  </si>
  <si>
    <t>Délai de paiement des fournisseurs (nombre de jours /CA)</t>
  </si>
  <si>
    <t xml:space="preserve">Excédent Brut d'exploitation </t>
  </si>
  <si>
    <t xml:space="preserve">Intérêt des emprunts </t>
  </si>
  <si>
    <t xml:space="preserve">Résultat net </t>
  </si>
  <si>
    <t>Dotation aux amortissements et provisions</t>
  </si>
  <si>
    <t>Reprise de provisions et amortissements</t>
  </si>
  <si>
    <t>Capacité d'autofinancement (CAF)</t>
  </si>
  <si>
    <t xml:space="preserve">Chiffre d'affaires </t>
  </si>
  <si>
    <t xml:space="preserve">Clients </t>
  </si>
  <si>
    <t xml:space="preserve">Dettes fournisseurs </t>
  </si>
  <si>
    <t>Variation du Besoin en fonds de roulement</t>
  </si>
  <si>
    <t>Variation Stocks</t>
  </si>
  <si>
    <t>Variation Avances et acomptes versés</t>
  </si>
  <si>
    <t xml:space="preserve">Variation Créances clients </t>
  </si>
  <si>
    <t xml:space="preserve">Variation Autres Créances </t>
  </si>
  <si>
    <t>Variation Charges constatées d'avance</t>
  </si>
  <si>
    <t>Variation Actif Circulant</t>
  </si>
  <si>
    <t>Variation Avances et acomptes reçus</t>
  </si>
  <si>
    <t>Variation Dettes fournisseurs</t>
  </si>
  <si>
    <t>Variation Dettes sociales et  fiscales</t>
  </si>
  <si>
    <t>Variation Autres dettes</t>
  </si>
  <si>
    <t xml:space="preserve">Variation Passif circulant </t>
  </si>
  <si>
    <t>Variation Besoin en Fond de roulement</t>
  </si>
  <si>
    <t xml:space="preserve">Contrôle variation BFR </t>
  </si>
  <si>
    <t>BILAN</t>
  </si>
  <si>
    <t>Prévision de trésorerie mensuelle (prévionnel)</t>
  </si>
  <si>
    <t xml:space="preserve">Mois </t>
  </si>
  <si>
    <t xml:space="preserve">Créances clients </t>
  </si>
  <si>
    <t xml:space="preserve">Investissement </t>
  </si>
  <si>
    <t>Autres éléments du BFR</t>
  </si>
  <si>
    <t>TOTAL BESOINS</t>
  </si>
  <si>
    <t>Fonds propres</t>
  </si>
  <si>
    <t>TOTAL RESSOURCES LT</t>
  </si>
  <si>
    <t xml:space="preserve">Escomptes, concours bancaires </t>
  </si>
  <si>
    <t>TOTAL RESSOURCES</t>
  </si>
  <si>
    <t>TRESORERIE</t>
  </si>
  <si>
    <t>Cumul annuel</t>
  </si>
  <si>
    <t>Chiffre d'affaires N-1</t>
  </si>
  <si>
    <t>Chiffre d'affaires glissant 12 mois</t>
  </si>
  <si>
    <t>Stocks ( nombres de jours de CA)</t>
  </si>
  <si>
    <t xml:space="preserve">Fournisseurs d'exploitation </t>
  </si>
  <si>
    <t xml:space="preserve">BFR normatif </t>
  </si>
  <si>
    <t>Supprimer 2014</t>
  </si>
  <si>
    <t xml:space="preserve">Suivi trésorerie mensuelle (réel) </t>
    <phoneticPr fontId="0" type="noConversion"/>
  </si>
  <si>
    <t>1er contact</t>
  </si>
  <si>
    <t>Dernier RDV / Vente</t>
  </si>
  <si>
    <t>SAV</t>
  </si>
  <si>
    <t>Dates</t>
  </si>
  <si>
    <t>Expo</t>
  </si>
  <si>
    <t>Nombre de ventes</t>
  </si>
  <si>
    <t>Nombre de devis refusés</t>
  </si>
  <si>
    <t>Taux de transformation</t>
  </si>
  <si>
    <t>Montant des ventes</t>
  </si>
  <si>
    <t>Nombre de nouveaux contacts</t>
  </si>
  <si>
    <t>Tableaux de bord</t>
  </si>
  <si>
    <t>Manque : Seuil de rentabilité, Taux de marge du seuil de rentabilité</t>
  </si>
  <si>
    <t>Ajouter dans détail "Commande client" pour chaque fournisseur, et "Acompte client (soldé) / (non soldé)" et "Solde client" pour chaque client</t>
  </si>
  <si>
    <t>Ajouter la gestion des avances et acomptes clients</t>
  </si>
  <si>
    <t>Marge HT</t>
  </si>
  <si>
    <t>CA HT Hors Pose Hors Livraison</t>
  </si>
  <si>
    <t>Coûts</t>
  </si>
  <si>
    <t>Achats
(SAV inclus)</t>
  </si>
  <si>
    <t>Taux de marge</t>
  </si>
  <si>
    <t>Tout ce qui appartient à l'entreprise, Biens et créances</t>
  </si>
  <si>
    <t>Tout ce que l'entreprise doit, Les dettes</t>
  </si>
  <si>
    <t>Montant des acomptes non slodés :</t>
  </si>
  <si>
    <t>Ex-suspect</t>
  </si>
  <si>
    <t>Ex-prospect</t>
  </si>
  <si>
    <t>Prospect</t>
  </si>
  <si>
    <t>XXXX</t>
  </si>
  <si>
    <t>Suspect</t>
  </si>
  <si>
    <t>Statut / Nature du contact</t>
  </si>
  <si>
    <t>Vente n°</t>
  </si>
  <si>
    <t>Tri</t>
  </si>
  <si>
    <t>Nombre de nouveaux devis en cours</t>
  </si>
  <si>
    <t>1er RDV</t>
  </si>
  <si>
    <t>Ma société</t>
  </si>
  <si>
    <t>Moi</t>
  </si>
  <si>
    <t>Banque pro</t>
  </si>
  <si>
    <t>Société</t>
  </si>
  <si>
    <t>Banque perso</t>
  </si>
  <si>
    <t>Numéro de facture</t>
  </si>
  <si>
    <t>FE56-564</t>
  </si>
  <si>
    <t>Référence bancaire</t>
  </si>
  <si>
    <t>65dd9264</t>
  </si>
  <si>
    <t>2539569-62</t>
  </si>
  <si>
    <t>Assurance bancaire</t>
  </si>
  <si>
    <t>Hôtel XXX (Petit déjeuner d'affaire)</t>
  </si>
  <si>
    <t>XXXXXX</t>
  </si>
  <si>
    <t>Apport en capital de 8000 € (Capital total : 10000 €)</t>
  </si>
  <si>
    <t>Maintenance PC (Sauvegarde mensuelle du poste informatique + Assistance infogérance)</t>
  </si>
  <si>
    <t>Hôtel XXXX</t>
  </si>
  <si>
    <t>YYYY</t>
  </si>
  <si>
    <t>Client Aaaa</t>
  </si>
  <si>
    <t>AZ965-654</t>
  </si>
  <si>
    <t>Achat client (soldé) - Client Aaaa</t>
  </si>
  <si>
    <t>Commande client - Client Aaaa</t>
  </si>
  <si>
    <t>sfz698-874</t>
  </si>
  <si>
    <t>Fournisseur Bbbb</t>
  </si>
  <si>
    <t>Client A</t>
  </si>
  <si>
    <t>Client B</t>
  </si>
  <si>
    <t>Client C</t>
  </si>
  <si>
    <t>Xxxxx</t>
  </si>
  <si>
    <t>Xxxxxxxxx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</si>
</sst>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[$€-40C];[Red]\-#,##0.00\ [$€-40C]"/>
    <numFmt numFmtId="165" formatCode="_-* #,##0.00\ [$€]_-;\-* #,##0.00\ [$€]_-;_-* &quot;-&quot;??\ [$€]_-;_-@_-"/>
    <numFmt numFmtId="166" formatCode="dddd\ dd\ mmm"/>
    <numFmt numFmtId="167" formatCode="#,##0\ &quot;€&quot;;[Red]\-#,##0\ &quot;€&quot;;\-"/>
    <numFmt numFmtId="168" formatCode="_(* #,##0_);_(* \(#,##0\);_(* &quot;-&quot;_);_(@_)"/>
    <numFmt numFmtId="169" formatCode="_(&quot;$&quot;* #,##0_);_(&quot;$&quot;* \(#,##0\);_(&quot;$&quot;* &quot;-&quot;_);_(@_)"/>
    <numFmt numFmtId="170" formatCode="_-* #,##0.00\ _F_-;\-* #,##0.00\ _F_-;_-* &quot;-&quot;??\ _F_-;_-@_-"/>
    <numFmt numFmtId="171" formatCode="_-* #,##0.00\ &quot;F&quot;_-;\-* #,##0.00\ &quot;F&quot;_-;_-* &quot;-&quot;??\ &quot;F&quot;_-;_-@_-"/>
    <numFmt numFmtId="172" formatCode="#,##0.00\ &quot;€&quot;;[Red]\-#,##0.00\ &quot;€&quot;;&quot;-  &quot;"/>
    <numFmt numFmtId="173" formatCode="#,##0.00\ &quot;€&quot;"/>
    <numFmt numFmtId="174" formatCode="0.0%"/>
    <numFmt numFmtId="175" formatCode="0.0"/>
    <numFmt numFmtId="176" formatCode="General;;\-"/>
    <numFmt numFmtId="177" formatCode="&quot;T.V.A Clients à &quot;0.00%&quot; (hors pose, hors livraison)&quot;"/>
    <numFmt numFmtId="178" formatCode="&quot;T.V.A Clients à &quot;0.00%"/>
    <numFmt numFmtId="179" formatCode="0.000"/>
    <numFmt numFmtId="180" formatCode="_-* #,##0\ _€_-;\-* #,##0\ _€_-;_-* &quot;-&quot;??\ _€_-;_-@_-"/>
    <numFmt numFmtId="181" formatCode="#,##0&quot;  &quot;"/>
    <numFmt numFmtId="182" formatCode="#,##0;\(#,##0\)"/>
    <numFmt numFmtId="183" formatCode="#,##0&quot; jours &quot;"/>
    <numFmt numFmtId="184" formatCode="#,##0\ _€"/>
    <numFmt numFmtId="185" formatCode="[$-40C]mmmm\-yy;@"/>
    <numFmt numFmtId="186" formatCode="_-* #,##0\ &quot;€&quot;_-;\-* #,##0\ &quot;€&quot;_-;_-* &quot;-&quot;??\ &quot;€&quot;_-;_-@_-"/>
  </numFmts>
  <fonts count="50" x14ac:knownFonts="1">
    <font>
      <sz val="10"/>
      <name val="Arial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10"/>
      <name val="Arial"/>
      <family val="2"/>
    </font>
    <font>
      <sz val="9"/>
      <color indexed="81"/>
      <name val="Tahoma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b/>
      <sz val="16"/>
      <name val="Arial"/>
      <family val="2"/>
    </font>
    <font>
      <sz val="10"/>
      <name val="Verdana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i/>
      <sz val="10"/>
      <color indexed="53"/>
      <name val="Arial"/>
      <family val="2"/>
    </font>
    <font>
      <i/>
      <sz val="10"/>
      <name val="Arial"/>
      <family val="2"/>
    </font>
    <font>
      <b/>
      <sz val="10"/>
      <color indexed="53"/>
      <name val="Arial"/>
      <family val="2"/>
    </font>
    <font>
      <b/>
      <i/>
      <sz val="10"/>
      <name val="Arial"/>
      <family val="2"/>
    </font>
    <font>
      <b/>
      <sz val="12"/>
      <color indexed="25"/>
      <name val="Arial"/>
      <family val="2"/>
    </font>
    <font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9"/>
      <color indexed="81"/>
      <name val="Tahoma"/>
      <family val="2"/>
    </font>
    <font>
      <sz val="10"/>
      <name val="Arial"/>
    </font>
    <font>
      <sz val="8"/>
      <name val="Verdana"/>
      <family val="2"/>
    </font>
    <font>
      <i/>
      <sz val="8"/>
      <name val="Verdana"/>
      <family val="2"/>
    </font>
    <font>
      <b/>
      <i/>
      <sz val="8"/>
      <name val="Verdana"/>
      <family val="2"/>
    </font>
    <font>
      <b/>
      <sz val="8"/>
      <name val="Verdana"/>
      <family val="2"/>
    </font>
    <font>
      <b/>
      <sz val="10"/>
      <name val="Verdana"/>
      <family val="2"/>
    </font>
    <font>
      <sz val="10"/>
      <name val="MS Sans Serif"/>
      <family val="2"/>
    </font>
    <font>
      <b/>
      <sz val="12"/>
      <color indexed="52"/>
      <name val="Arial"/>
      <family val="2"/>
    </font>
    <font>
      <b/>
      <sz val="7"/>
      <name val="Arial"/>
      <family val="2"/>
    </font>
    <font>
      <b/>
      <i/>
      <sz val="10"/>
      <color indexed="12"/>
      <name val="Arial"/>
      <family val="2"/>
    </font>
    <font>
      <b/>
      <sz val="6.5"/>
      <name val="Arial"/>
      <family val="2"/>
    </font>
    <font>
      <b/>
      <i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u/>
      <sz val="10"/>
      <color indexed="12"/>
      <name val="Arial"/>
      <family val="2"/>
    </font>
    <font>
      <u/>
      <sz val="8"/>
      <name val="Verdana"/>
      <family val="2"/>
    </font>
    <font>
      <b/>
      <sz val="24"/>
      <name val="Arial"/>
      <family val="2"/>
    </font>
    <font>
      <sz val="11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u/>
      <sz val="8"/>
      <color indexed="12"/>
      <name val="Arial"/>
      <family val="2"/>
    </font>
    <font>
      <sz val="9"/>
      <color indexed="81"/>
      <name val="Tahoma"/>
      <charset val="1"/>
    </font>
  </fonts>
  <fills count="2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CFFCC"/>
        <bgColor indexed="64"/>
      </patternFill>
    </fill>
  </fills>
  <borders count="18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Dashed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Dashed">
        <color indexed="64"/>
      </right>
      <top/>
      <bottom style="thin">
        <color indexed="64"/>
      </bottom>
      <diagonal/>
    </border>
    <border>
      <left style="mediumDashed">
        <color indexed="64"/>
      </left>
      <right style="medium">
        <color indexed="64"/>
      </right>
      <top style="thin">
        <color indexed="64"/>
      </top>
      <bottom/>
      <diagonal/>
    </border>
    <border>
      <left style="mediumDashed">
        <color indexed="64"/>
      </left>
      <right style="medium">
        <color indexed="64"/>
      </right>
      <top/>
      <bottom style="thin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medium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mediumDashed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auto="1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 style="thin">
        <color indexed="64"/>
      </top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medium">
        <color indexed="64"/>
      </top>
      <bottom/>
      <diagonal/>
    </border>
    <border>
      <left style="dotted">
        <color auto="1"/>
      </left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auto="1"/>
      </top>
      <bottom style="medium">
        <color auto="1"/>
      </bottom>
      <diagonal/>
    </border>
    <border>
      <left style="dotted">
        <color indexed="64"/>
      </left>
      <right style="thin">
        <color indexed="64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 style="mediumDashed">
        <color indexed="64"/>
      </left>
      <right style="dotted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 style="dotted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72">
    <xf numFmtId="0" fontId="0" fillId="0" borderId="0"/>
    <xf numFmtId="4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4" fillId="0" borderId="0"/>
    <xf numFmtId="43" fontId="14" fillId="0" borderId="0" applyFont="0" applyFill="0" applyBorder="0" applyAlignment="0" applyProtection="0"/>
    <xf numFmtId="168" fontId="12" fillId="0" borderId="0" applyFont="0" applyFill="0" applyBorder="0" applyAlignment="0" applyProtection="0"/>
    <xf numFmtId="168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169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65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171" fontId="12" fillId="0" borderId="0" applyFont="0" applyFill="0" applyBorder="0" applyAlignment="0" applyProtection="0"/>
    <xf numFmtId="0" fontId="17" fillId="0" borderId="0"/>
    <xf numFmtId="0" fontId="12" fillId="0" borderId="0"/>
    <xf numFmtId="0" fontId="12" fillId="0" borderId="0"/>
    <xf numFmtId="9" fontId="12" fillId="0" borderId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19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35" fillId="0" borderId="0"/>
    <xf numFmtId="9" fontId="4" fillId="0" borderId="0" applyFont="0" applyFill="0" applyBorder="0" applyAlignment="0" applyProtection="0"/>
    <xf numFmtId="0" fontId="43" fillId="0" borderId="0" applyNumberFormat="0" applyFill="0" applyBorder="0" applyAlignment="0" applyProtection="0">
      <alignment vertical="top"/>
      <protection locked="0"/>
    </xf>
    <xf numFmtId="0" fontId="8" fillId="0" borderId="0"/>
    <xf numFmtId="0" fontId="3" fillId="0" borderId="0"/>
    <xf numFmtId="0" fontId="14" fillId="0" borderId="0"/>
    <xf numFmtId="43" fontId="14" fillId="0" borderId="0" applyFont="0" applyFill="0" applyBorder="0" applyAlignment="0" applyProtection="0"/>
    <xf numFmtId="0" fontId="46" fillId="0" borderId="0"/>
    <xf numFmtId="0" fontId="47" fillId="0" borderId="0" applyNumberFormat="0" applyFill="0" applyBorder="0" applyAlignment="0" applyProtection="0"/>
    <xf numFmtId="44" fontId="14" fillId="0" borderId="0" applyFont="0" applyFill="0" applyBorder="0" applyAlignment="0" applyProtection="0"/>
    <xf numFmtId="0" fontId="46" fillId="0" borderId="0"/>
    <xf numFmtId="0" fontId="4" fillId="0" borderId="0"/>
    <xf numFmtId="173" fontId="48" fillId="0" borderId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>
      <alignment vertical="top"/>
      <protection locked="0"/>
    </xf>
    <xf numFmtId="43" fontId="4" fillId="0" borderId="0" applyFont="0" applyFill="0" applyBorder="0" applyAlignment="0" applyProtection="0"/>
    <xf numFmtId="0" fontId="4" fillId="0" borderId="0" applyNumberFormat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/>
    <xf numFmtId="0" fontId="3" fillId="0" borderId="0"/>
    <xf numFmtId="0" fontId="46" fillId="0" borderId="0"/>
    <xf numFmtId="0" fontId="4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14" fillId="0" borderId="0"/>
    <xf numFmtId="43" fontId="14" fillId="0" borderId="0" applyFont="0" applyFill="0" applyBorder="0" applyAlignment="0" applyProtection="0"/>
    <xf numFmtId="44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850">
    <xf numFmtId="0" fontId="0" fillId="0" borderId="0" xfId="0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64" fontId="9" fillId="0" borderId="0" xfId="2" applyNumberFormat="1" applyFont="1" applyAlignment="1">
      <alignment vertical="center"/>
    </xf>
    <xf numFmtId="164" fontId="9" fillId="0" borderId="0" xfId="2" applyNumberFormat="1" applyFont="1" applyAlignment="1">
      <alignment horizontal="center" vertical="center"/>
    </xf>
    <xf numFmtId="164" fontId="9" fillId="0" borderId="0" xfId="2" applyNumberFormat="1" applyFont="1" applyAlignment="1">
      <alignment horizontal="left" vertical="center"/>
    </xf>
    <xf numFmtId="0" fontId="9" fillId="0" borderId="0" xfId="0" applyFont="1" applyFill="1" applyAlignment="1">
      <alignment vertical="center"/>
    </xf>
    <xf numFmtId="164" fontId="9" fillId="0" borderId="0" xfId="2" applyNumberFormat="1" applyFont="1" applyFill="1" applyAlignment="1">
      <alignment horizontal="center" vertical="center"/>
    </xf>
    <xf numFmtId="164" fontId="8" fillId="0" borderId="0" xfId="2" applyNumberFormat="1" applyFont="1" applyAlignment="1">
      <alignment vertical="center"/>
    </xf>
    <xf numFmtId="164" fontId="8" fillId="0" borderId="0" xfId="2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64" fontId="9" fillId="0" borderId="0" xfId="2" applyNumberFormat="1" applyFont="1" applyFill="1" applyBorder="1" applyAlignment="1">
      <alignment horizontal="center" vertical="center"/>
    </xf>
    <xf numFmtId="164" fontId="7" fillId="0" borderId="5" xfId="2" applyNumberFormat="1" applyFont="1" applyBorder="1" applyAlignment="1">
      <alignment vertical="center"/>
    </xf>
    <xf numFmtId="164" fontId="9" fillId="0" borderId="0" xfId="0" applyNumberFormat="1" applyFont="1" applyBorder="1" applyAlignment="1">
      <alignment vertical="center"/>
    </xf>
    <xf numFmtId="0" fontId="8" fillId="0" borderId="1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164" fontId="8" fillId="0" borderId="0" xfId="2" quotePrefix="1" applyNumberFormat="1" applyFont="1" applyAlignment="1">
      <alignment horizontal="left" vertical="center"/>
    </xf>
    <xf numFmtId="164" fontId="7" fillId="0" borderId="0" xfId="2" applyNumberFormat="1" applyFont="1" applyFill="1" applyBorder="1" applyAlignment="1">
      <alignment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vertical="center"/>
    </xf>
    <xf numFmtId="164" fontId="7" fillId="0" borderId="27" xfId="2" applyNumberFormat="1" applyFont="1" applyFill="1" applyBorder="1" applyAlignment="1">
      <alignment vertical="center"/>
    </xf>
    <xf numFmtId="49" fontId="9" fillId="0" borderId="27" xfId="2" applyNumberFormat="1" applyFont="1" applyFill="1" applyBorder="1" applyAlignment="1">
      <alignment horizontal="center" vertical="center"/>
    </xf>
    <xf numFmtId="164" fontId="8" fillId="0" borderId="15" xfId="2" applyNumberFormat="1" applyFont="1" applyFill="1" applyBorder="1" applyAlignment="1">
      <alignment vertical="center"/>
    </xf>
    <xf numFmtId="164" fontId="9" fillId="0" borderId="15" xfId="2" applyNumberFormat="1" applyFont="1" applyBorder="1" applyAlignment="1">
      <alignment vertical="center"/>
    </xf>
    <xf numFmtId="164" fontId="8" fillId="0" borderId="27" xfId="2" applyNumberFormat="1" applyFont="1" applyFill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164" fontId="9" fillId="0" borderId="19" xfId="2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164" fontId="9" fillId="0" borderId="19" xfId="2" applyNumberFormat="1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164" fontId="9" fillId="0" borderId="20" xfId="2" applyNumberFormat="1" applyFont="1" applyBorder="1" applyAlignment="1">
      <alignment horizontal="center" vertical="center"/>
    </xf>
    <xf numFmtId="164" fontId="9" fillId="0" borderId="21" xfId="2" applyNumberFormat="1" applyFont="1" applyBorder="1" applyAlignment="1">
      <alignment horizontal="center" vertical="center"/>
    </xf>
    <xf numFmtId="164" fontId="8" fillId="0" borderId="19" xfId="2" applyNumberFormat="1" applyFont="1" applyBorder="1" applyAlignment="1">
      <alignment horizontal="center" vertical="center"/>
    </xf>
    <xf numFmtId="164" fontId="8" fillId="0" borderId="19" xfId="2" applyNumberFormat="1" applyFont="1" applyFill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164" fontId="9" fillId="0" borderId="21" xfId="2" applyNumberFormat="1" applyFont="1" applyFill="1" applyBorder="1" applyAlignment="1">
      <alignment horizontal="center" vertical="center"/>
    </xf>
    <xf numFmtId="164" fontId="8" fillId="0" borderId="21" xfId="2" applyNumberFormat="1" applyFont="1" applyBorder="1" applyAlignment="1">
      <alignment horizontal="center" vertical="center"/>
    </xf>
    <xf numFmtId="164" fontId="8" fillId="0" borderId="21" xfId="2" applyNumberFormat="1" applyFont="1" applyFill="1" applyBorder="1" applyAlignment="1">
      <alignment horizontal="center" vertical="center"/>
    </xf>
    <xf numFmtId="0" fontId="9" fillId="0" borderId="19" xfId="0" applyFont="1" applyBorder="1" applyAlignment="1">
      <alignment horizontal="left" vertical="center"/>
    </xf>
    <xf numFmtId="164" fontId="9" fillId="0" borderId="19" xfId="2" applyNumberFormat="1" applyFont="1" applyFill="1" applyBorder="1" applyAlignment="1">
      <alignment horizontal="left" vertical="center"/>
    </xf>
    <xf numFmtId="164" fontId="8" fillId="0" borderId="19" xfId="2" applyNumberFormat="1" applyFont="1" applyFill="1" applyBorder="1" applyAlignment="1">
      <alignment horizontal="left" vertical="center"/>
    </xf>
    <xf numFmtId="164" fontId="8" fillId="0" borderId="19" xfId="2" applyNumberFormat="1" applyFont="1" applyBorder="1" applyAlignment="1">
      <alignment horizontal="left" vertical="center"/>
    </xf>
    <xf numFmtId="0" fontId="8" fillId="0" borderId="19" xfId="0" applyFont="1" applyFill="1" applyBorder="1" applyAlignment="1">
      <alignment horizontal="left" vertical="center"/>
    </xf>
    <xf numFmtId="164" fontId="9" fillId="0" borderId="19" xfId="2" applyNumberFormat="1" applyFont="1" applyBorder="1" applyAlignment="1">
      <alignment vertical="center"/>
    </xf>
    <xf numFmtId="164" fontId="8" fillId="0" borderId="19" xfId="2" applyNumberFormat="1" applyFont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164" fontId="9" fillId="0" borderId="28" xfId="2" applyNumberFormat="1" applyFont="1" applyBorder="1" applyAlignment="1">
      <alignment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16" xfId="0" applyNumberFormat="1" applyFont="1" applyFill="1" applyBorder="1" applyAlignment="1">
      <alignment horizontal="left" vertical="center"/>
    </xf>
    <xf numFmtId="164" fontId="6" fillId="0" borderId="0" xfId="2" applyNumberFormat="1" applyFont="1" applyAlignment="1">
      <alignment vertical="center"/>
    </xf>
    <xf numFmtId="164" fontId="9" fillId="0" borderId="20" xfId="2" applyNumberFormat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164" fontId="7" fillId="12" borderId="7" xfId="2" applyNumberFormat="1" applyFont="1" applyFill="1" applyBorder="1" applyAlignment="1">
      <alignment vertical="center"/>
    </xf>
    <xf numFmtId="164" fontId="8" fillId="12" borderId="8" xfId="2" applyNumberFormat="1" applyFont="1" applyFill="1" applyBorder="1" applyAlignment="1">
      <alignment vertical="center"/>
    </xf>
    <xf numFmtId="164" fontId="7" fillId="12" borderId="9" xfId="2" applyNumberFormat="1" applyFont="1" applyFill="1" applyBorder="1" applyAlignment="1">
      <alignment vertical="center"/>
    </xf>
    <xf numFmtId="164" fontId="7" fillId="12" borderId="21" xfId="2" applyNumberFormat="1" applyFont="1" applyFill="1" applyBorder="1" applyAlignment="1">
      <alignment horizontal="center" vertical="center"/>
    </xf>
    <xf numFmtId="49" fontId="9" fillId="12" borderId="27" xfId="2" applyNumberFormat="1" applyFont="1" applyFill="1" applyBorder="1" applyAlignment="1">
      <alignment horizontal="center" vertical="center"/>
    </xf>
    <xf numFmtId="0" fontId="8" fillId="12" borderId="27" xfId="2" applyNumberFormat="1" applyFont="1" applyFill="1" applyBorder="1" applyAlignment="1">
      <alignment horizontal="center" vertical="center"/>
    </xf>
    <xf numFmtId="0" fontId="8" fillId="12" borderId="27" xfId="0" applyFont="1" applyFill="1" applyBorder="1" applyAlignment="1">
      <alignment vertical="center"/>
    </xf>
    <xf numFmtId="164" fontId="9" fillId="12" borderId="27" xfId="2" applyNumberFormat="1" applyFont="1" applyFill="1" applyBorder="1" applyAlignment="1">
      <alignment vertical="center"/>
    </xf>
    <xf numFmtId="164" fontId="7" fillId="12" borderId="19" xfId="2" applyNumberFormat="1" applyFont="1" applyFill="1" applyBorder="1" applyAlignment="1">
      <alignment horizontal="center" vertical="center"/>
    </xf>
    <xf numFmtId="164" fontId="7" fillId="12" borderId="27" xfId="2" applyNumberFormat="1" applyFont="1" applyFill="1" applyBorder="1" applyAlignment="1">
      <alignment vertical="center"/>
    </xf>
    <xf numFmtId="164" fontId="7" fillId="12" borderId="19" xfId="2" applyNumberFormat="1" applyFont="1" applyFill="1" applyBorder="1" applyAlignment="1">
      <alignment horizontal="left" vertical="center"/>
    </xf>
    <xf numFmtId="164" fontId="7" fillId="13" borderId="7" xfId="2" applyNumberFormat="1" applyFont="1" applyFill="1" applyBorder="1" applyAlignment="1">
      <alignment vertical="center"/>
    </xf>
    <xf numFmtId="164" fontId="8" fillId="13" borderId="8" xfId="2" applyNumberFormat="1" applyFont="1" applyFill="1" applyBorder="1" applyAlignment="1">
      <alignment vertical="center"/>
    </xf>
    <xf numFmtId="164" fontId="7" fillId="13" borderId="9" xfId="2" applyNumberFormat="1" applyFont="1" applyFill="1" applyBorder="1" applyAlignment="1">
      <alignment vertical="center"/>
    </xf>
    <xf numFmtId="164" fontId="7" fillId="13" borderId="21" xfId="2" applyNumberFormat="1" applyFont="1" applyFill="1" applyBorder="1" applyAlignment="1">
      <alignment horizontal="center" vertical="center"/>
    </xf>
    <xf numFmtId="49" fontId="9" fillId="13" borderId="27" xfId="2" applyNumberFormat="1" applyFont="1" applyFill="1" applyBorder="1" applyAlignment="1">
      <alignment horizontal="center" vertical="center"/>
    </xf>
    <xf numFmtId="0" fontId="8" fillId="13" borderId="27" xfId="2" applyNumberFormat="1" applyFont="1" applyFill="1" applyBorder="1" applyAlignment="1">
      <alignment horizontal="center" vertical="center"/>
    </xf>
    <xf numFmtId="0" fontId="8" fillId="13" borderId="27" xfId="0" applyFont="1" applyFill="1" applyBorder="1" applyAlignment="1">
      <alignment vertical="center"/>
    </xf>
    <xf numFmtId="164" fontId="9" fillId="13" borderId="27" xfId="2" applyNumberFormat="1" applyFont="1" applyFill="1" applyBorder="1" applyAlignment="1">
      <alignment vertical="center"/>
    </xf>
    <xf numFmtId="164" fontId="7" fillId="13" borderId="19" xfId="2" applyNumberFormat="1" applyFont="1" applyFill="1" applyBorder="1" applyAlignment="1">
      <alignment horizontal="center" vertical="center"/>
    </xf>
    <xf numFmtId="164" fontId="7" fillId="13" borderId="27" xfId="2" applyNumberFormat="1" applyFont="1" applyFill="1" applyBorder="1" applyAlignment="1">
      <alignment vertical="center"/>
    </xf>
    <xf numFmtId="164" fontId="8" fillId="13" borderId="19" xfId="2" applyNumberFormat="1" applyFont="1" applyFill="1" applyBorder="1" applyAlignment="1">
      <alignment horizontal="center" vertical="center"/>
    </xf>
    <xf numFmtId="164" fontId="9" fillId="13" borderId="21" xfId="2" applyNumberFormat="1" applyFont="1" applyFill="1" applyBorder="1" applyAlignment="1">
      <alignment horizontal="center" vertical="center"/>
    </xf>
    <xf numFmtId="164" fontId="7" fillId="13" borderId="19" xfId="2" applyNumberFormat="1" applyFont="1" applyFill="1" applyBorder="1" applyAlignment="1">
      <alignment horizontal="left" vertical="center"/>
    </xf>
    <xf numFmtId="164" fontId="7" fillId="0" borderId="56" xfId="2" applyNumberFormat="1" applyFont="1" applyFill="1" applyBorder="1" applyAlignment="1">
      <alignment vertical="center"/>
    </xf>
    <xf numFmtId="0" fontId="8" fillId="0" borderId="21" xfId="0" applyFont="1" applyFill="1" applyBorder="1" applyAlignment="1">
      <alignment horizontal="left" vertical="center"/>
    </xf>
    <xf numFmtId="0" fontId="9" fillId="0" borderId="29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8" fillId="0" borderId="27" xfId="0" applyFont="1" applyBorder="1" applyAlignment="1">
      <alignment vertical="center"/>
    </xf>
    <xf numFmtId="0" fontId="0" fillId="8" borderId="0" xfId="0" applyFill="1" applyAlignment="1">
      <alignment vertical="center"/>
    </xf>
    <xf numFmtId="0" fontId="0" fillId="0" borderId="0" xfId="0" applyAlignment="1">
      <alignment vertical="center"/>
    </xf>
    <xf numFmtId="164" fontId="7" fillId="13" borderId="20" xfId="2" applyNumberFormat="1" applyFont="1" applyFill="1" applyBorder="1" applyAlignment="1">
      <alignment horizontal="center" vertical="center"/>
    </xf>
    <xf numFmtId="164" fontId="7" fillId="12" borderId="20" xfId="2" applyNumberFormat="1" applyFont="1" applyFill="1" applyBorder="1" applyAlignment="1">
      <alignment horizontal="center" vertical="center"/>
    </xf>
    <xf numFmtId="0" fontId="8" fillId="9" borderId="19" xfId="0" applyFont="1" applyFill="1" applyBorder="1" applyAlignment="1">
      <alignment horizontal="center" vertical="center" wrapText="1"/>
    </xf>
    <xf numFmtId="0" fontId="9" fillId="0" borderId="63" xfId="0" applyFont="1" applyBorder="1" applyAlignment="1">
      <alignment horizontal="center" vertical="center"/>
    </xf>
    <xf numFmtId="0" fontId="18" fillId="0" borderId="0" xfId="0" applyFont="1"/>
    <xf numFmtId="0" fontId="9" fillId="0" borderId="1" xfId="0" applyFont="1" applyBorder="1" applyAlignment="1">
      <alignment vertical="center"/>
    </xf>
    <xf numFmtId="0" fontId="9" fillId="0" borderId="64" xfId="0" applyFont="1" applyBorder="1" applyAlignment="1">
      <alignment vertical="center"/>
    </xf>
    <xf numFmtId="0" fontId="9" fillId="0" borderId="17" xfId="0" applyFont="1" applyBorder="1" applyAlignment="1">
      <alignment vertical="center"/>
    </xf>
    <xf numFmtId="0" fontId="9" fillId="0" borderId="18" xfId="0" applyFont="1" applyBorder="1" applyAlignment="1">
      <alignment vertical="center"/>
    </xf>
    <xf numFmtId="0" fontId="9" fillId="0" borderId="57" xfId="0" applyFont="1" applyBorder="1" applyAlignment="1">
      <alignment vertical="center"/>
    </xf>
    <xf numFmtId="0" fontId="9" fillId="0" borderId="58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5" borderId="0" xfId="0" applyFont="1" applyFill="1" applyAlignment="1">
      <alignment vertical="center"/>
    </xf>
    <xf numFmtId="164" fontId="9" fillId="0" borderId="27" xfId="2" applyNumberFormat="1" applyFont="1" applyBorder="1" applyAlignment="1">
      <alignment vertical="center"/>
    </xf>
    <xf numFmtId="172" fontId="8" fillId="0" borderId="19" xfId="2" applyNumberFormat="1" applyFont="1" applyBorder="1" applyAlignment="1">
      <alignment vertical="center"/>
    </xf>
    <xf numFmtId="172" fontId="8" fillId="0" borderId="20" xfId="2" applyNumberFormat="1" applyFont="1" applyBorder="1" applyAlignment="1">
      <alignment vertical="center"/>
    </xf>
    <xf numFmtId="172" fontId="9" fillId="0" borderId="28" xfId="2" applyNumberFormat="1" applyFont="1" applyFill="1" applyBorder="1" applyAlignment="1">
      <alignment vertical="center"/>
    </xf>
    <xf numFmtId="172" fontId="9" fillId="0" borderId="29" xfId="2" applyNumberFormat="1" applyFont="1" applyFill="1" applyBorder="1" applyAlignment="1">
      <alignment vertical="center"/>
    </xf>
    <xf numFmtId="172" fontId="9" fillId="0" borderId="15" xfId="2" applyNumberFormat="1" applyFont="1" applyFill="1" applyBorder="1" applyAlignment="1">
      <alignment vertical="center"/>
    </xf>
    <xf numFmtId="172" fontId="9" fillId="0" borderId="28" xfId="2" applyNumberFormat="1" applyFont="1" applyBorder="1" applyAlignment="1">
      <alignment vertical="center"/>
    </xf>
    <xf numFmtId="172" fontId="9" fillId="7" borderId="32" xfId="2" applyNumberFormat="1" applyFont="1" applyFill="1" applyBorder="1" applyAlignment="1">
      <alignment vertical="center"/>
    </xf>
    <xf numFmtId="172" fontId="8" fillId="0" borderId="29" xfId="2" applyNumberFormat="1" applyFont="1" applyFill="1" applyBorder="1" applyAlignment="1">
      <alignment vertical="center"/>
    </xf>
    <xf numFmtId="172" fontId="8" fillId="0" borderId="28" xfId="2" applyNumberFormat="1" applyFont="1" applyBorder="1" applyAlignment="1">
      <alignment vertical="center"/>
    </xf>
    <xf numFmtId="172" fontId="9" fillId="0" borderId="36" xfId="2" applyNumberFormat="1" applyFont="1" applyFill="1" applyBorder="1" applyAlignment="1">
      <alignment vertical="center"/>
    </xf>
    <xf numFmtId="164" fontId="7" fillId="0" borderId="3" xfId="2" applyNumberFormat="1" applyFont="1" applyBorder="1" applyAlignment="1">
      <alignment horizontal="center" vertical="center" wrapText="1"/>
    </xf>
    <xf numFmtId="172" fontId="8" fillId="7" borderId="31" xfId="2" applyNumberFormat="1" applyFont="1" applyFill="1" applyBorder="1" applyAlignment="1">
      <alignment vertical="center"/>
    </xf>
    <xf numFmtId="172" fontId="8" fillId="7" borderId="33" xfId="2" applyNumberFormat="1" applyFont="1" applyFill="1" applyBorder="1" applyAlignment="1">
      <alignment vertical="center"/>
    </xf>
    <xf numFmtId="172" fontId="8" fillId="0" borderId="15" xfId="2" applyNumberFormat="1" applyFont="1" applyFill="1" applyBorder="1" applyAlignment="1">
      <alignment vertical="center"/>
    </xf>
    <xf numFmtId="172" fontId="8" fillId="0" borderId="28" xfId="2" applyNumberFormat="1" applyFont="1" applyFill="1" applyBorder="1" applyAlignment="1">
      <alignment vertical="center"/>
    </xf>
    <xf numFmtId="172" fontId="7" fillId="13" borderId="15" xfId="2" applyNumberFormat="1" applyFont="1" applyFill="1" applyBorder="1" applyAlignment="1">
      <alignment vertical="center"/>
    </xf>
    <xf numFmtId="172" fontId="7" fillId="13" borderId="28" xfId="2" applyNumberFormat="1" applyFont="1" applyFill="1" applyBorder="1" applyAlignment="1">
      <alignment vertical="center"/>
    </xf>
    <xf numFmtId="172" fontId="7" fillId="13" borderId="16" xfId="2" applyNumberFormat="1" applyFont="1" applyFill="1" applyBorder="1" applyAlignment="1">
      <alignment vertical="center"/>
    </xf>
    <xf numFmtId="172" fontId="7" fillId="13" borderId="19" xfId="2" applyNumberFormat="1" applyFont="1" applyFill="1" applyBorder="1" applyAlignment="1">
      <alignment vertical="center"/>
    </xf>
    <xf numFmtId="172" fontId="8" fillId="13" borderId="20" xfId="2" applyNumberFormat="1" applyFont="1" applyFill="1" applyBorder="1" applyAlignment="1">
      <alignment vertical="center"/>
    </xf>
    <xf numFmtId="172" fontId="7" fillId="12" borderId="15" xfId="2" applyNumberFormat="1" applyFont="1" applyFill="1" applyBorder="1" applyAlignment="1">
      <alignment vertical="center"/>
    </xf>
    <xf numFmtId="172" fontId="7" fillId="12" borderId="28" xfId="2" applyNumberFormat="1" applyFont="1" applyFill="1" applyBorder="1" applyAlignment="1">
      <alignment vertical="center"/>
    </xf>
    <xf numFmtId="172" fontId="7" fillId="12" borderId="16" xfId="2" applyNumberFormat="1" applyFont="1" applyFill="1" applyBorder="1" applyAlignment="1">
      <alignment vertical="center"/>
    </xf>
    <xf numFmtId="172" fontId="7" fillId="12" borderId="19" xfId="2" applyNumberFormat="1" applyFont="1" applyFill="1" applyBorder="1" applyAlignment="1">
      <alignment vertical="center"/>
    </xf>
    <xf numFmtId="172" fontId="7" fillId="12" borderId="20" xfId="2" applyNumberFormat="1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164" fontId="8" fillId="0" borderId="0" xfId="2" applyNumberFormat="1" applyFont="1" applyFill="1" applyBorder="1" applyAlignment="1">
      <alignment vertical="center"/>
    </xf>
    <xf numFmtId="0" fontId="20" fillId="0" borderId="0" xfId="0" applyFont="1"/>
    <xf numFmtId="172" fontId="9" fillId="0" borderId="0" xfId="2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right" vertical="center"/>
    </xf>
    <xf numFmtId="43" fontId="15" fillId="5" borderId="0" xfId="4" applyFont="1" applyFill="1" applyAlignment="1" applyProtection="1">
      <alignment horizontal="center" vertical="center"/>
      <protection locked="0"/>
    </xf>
    <xf numFmtId="175" fontId="0" fillId="0" borderId="0" xfId="0" applyNumberFormat="1" applyAlignment="1" applyProtection="1">
      <alignment vertical="center"/>
      <protection locked="0"/>
    </xf>
    <xf numFmtId="43" fontId="0" fillId="0" borderId="0" xfId="4" applyFont="1" applyAlignment="1" applyProtection="1">
      <alignment vertical="center"/>
      <protection locked="0"/>
    </xf>
    <xf numFmtId="3" fontId="4" fillId="0" borderId="0" xfId="4" applyNumberFormat="1" applyFont="1" applyAlignment="1" applyProtection="1">
      <alignment horizontal="center" vertical="center"/>
      <protection locked="0"/>
    </xf>
    <xf numFmtId="43" fontId="16" fillId="0" borderId="0" xfId="4" applyFont="1" applyFill="1" applyBorder="1" applyAlignment="1" applyProtection="1">
      <alignment horizontal="centerContinuous" vertical="center"/>
      <protection locked="0"/>
    </xf>
    <xf numFmtId="175" fontId="16" fillId="0" borderId="0" xfId="0" applyNumberFormat="1" applyFont="1" applyAlignment="1" applyProtection="1">
      <alignment vertical="center"/>
      <protection locked="0"/>
    </xf>
    <xf numFmtId="3" fontId="6" fillId="0" borderId="0" xfId="4" applyNumberFormat="1" applyFont="1" applyFill="1" applyAlignment="1" applyProtection="1">
      <alignment horizontal="center" vertical="center"/>
    </xf>
    <xf numFmtId="175" fontId="0" fillId="0" borderId="0" xfId="0" applyNumberFormat="1" applyBorder="1" applyAlignment="1" applyProtection="1">
      <alignment vertical="center"/>
      <protection locked="0"/>
    </xf>
    <xf numFmtId="43" fontId="0" fillId="0" borderId="0" xfId="4" applyFont="1" applyBorder="1" applyAlignment="1" applyProtection="1">
      <alignment vertical="center"/>
      <protection locked="0"/>
    </xf>
    <xf numFmtId="1" fontId="6" fillId="0" borderId="70" xfId="0" applyNumberFormat="1" applyFont="1" applyBorder="1" applyAlignment="1" applyProtection="1">
      <alignment horizontal="center" vertical="center"/>
    </xf>
    <xf numFmtId="1" fontId="5" fillId="11" borderId="40" xfId="0" applyNumberFormat="1" applyFont="1" applyFill="1" applyBorder="1" applyAlignment="1" applyProtection="1">
      <alignment horizontal="center" vertical="center"/>
      <protection locked="0"/>
    </xf>
    <xf numFmtId="1" fontId="5" fillId="11" borderId="39" xfId="0" applyNumberFormat="1" applyFont="1" applyFill="1" applyBorder="1" applyAlignment="1" applyProtection="1">
      <alignment horizontal="center" vertical="center"/>
      <protection locked="0"/>
    </xf>
    <xf numFmtId="1" fontId="5" fillId="11" borderId="71" xfId="0" applyNumberFormat="1" applyFont="1" applyFill="1" applyBorder="1" applyAlignment="1" applyProtection="1">
      <alignment horizontal="center" vertical="center"/>
      <protection locked="0"/>
    </xf>
    <xf numFmtId="43" fontId="5" fillId="11" borderId="72" xfId="4" applyFont="1" applyFill="1" applyBorder="1" applyAlignment="1" applyProtection="1">
      <alignment horizontal="center" vertical="center"/>
    </xf>
    <xf numFmtId="1" fontId="6" fillId="0" borderId="0" xfId="0" applyNumberFormat="1" applyFont="1" applyAlignment="1" applyProtection="1">
      <alignment horizontal="center" vertical="center"/>
      <protection locked="0"/>
    </xf>
    <xf numFmtId="175" fontId="21" fillId="0" borderId="44" xfId="0" applyNumberFormat="1" applyFont="1" applyBorder="1" applyAlignment="1" applyProtection="1">
      <alignment horizontal="left" vertical="center"/>
    </xf>
    <xf numFmtId="176" fontId="22" fillId="10" borderId="7" xfId="0" applyNumberFormat="1" applyFont="1" applyFill="1" applyBorder="1" applyAlignment="1" applyProtection="1">
      <alignment vertical="center"/>
      <protection locked="0"/>
    </xf>
    <xf numFmtId="176" fontId="22" fillId="10" borderId="8" xfId="0" applyNumberFormat="1" applyFont="1" applyFill="1" applyBorder="1" applyAlignment="1" applyProtection="1">
      <alignment vertical="center"/>
      <protection locked="0"/>
    </xf>
    <xf numFmtId="176" fontId="22" fillId="10" borderId="9" xfId="0" applyNumberFormat="1" applyFont="1" applyFill="1" applyBorder="1" applyAlignment="1" applyProtection="1">
      <alignment vertical="center"/>
      <protection locked="0"/>
    </xf>
    <xf numFmtId="0" fontId="22" fillId="0" borderId="73" xfId="4" applyNumberFormat="1" applyFont="1" applyBorder="1" applyAlignment="1" applyProtection="1">
      <alignment horizontal="right" vertical="center"/>
      <protection hidden="1"/>
    </xf>
    <xf numFmtId="175" fontId="22" fillId="0" borderId="0" xfId="0" applyNumberFormat="1" applyFont="1" applyFill="1" applyAlignment="1" applyProtection="1">
      <alignment vertical="center"/>
      <protection locked="0"/>
    </xf>
    <xf numFmtId="3" fontId="22" fillId="0" borderId="0" xfId="4" applyNumberFormat="1" applyFont="1" applyFill="1" applyAlignment="1" applyProtection="1">
      <alignment horizontal="center" vertical="center"/>
      <protection hidden="1"/>
    </xf>
    <xf numFmtId="175" fontId="5" fillId="11" borderId="42" xfId="0" applyNumberFormat="1" applyFont="1" applyFill="1" applyBorder="1" applyAlignment="1" applyProtection="1">
      <alignment vertical="center"/>
    </xf>
    <xf numFmtId="167" fontId="5" fillId="11" borderId="11" xfId="0" applyNumberFormat="1" applyFont="1" applyFill="1" applyBorder="1" applyAlignment="1" applyProtection="1">
      <alignment vertical="center"/>
      <protection hidden="1"/>
    </xf>
    <xf numFmtId="167" fontId="5" fillId="11" borderId="12" xfId="0" applyNumberFormat="1" applyFont="1" applyFill="1" applyBorder="1" applyAlignment="1" applyProtection="1">
      <alignment vertical="center"/>
      <protection hidden="1"/>
    </xf>
    <xf numFmtId="167" fontId="5" fillId="11" borderId="13" xfId="0" applyNumberFormat="1" applyFont="1" applyFill="1" applyBorder="1" applyAlignment="1" applyProtection="1">
      <alignment vertical="center"/>
      <protection hidden="1"/>
    </xf>
    <xf numFmtId="167" fontId="5" fillId="8" borderId="46" xfId="4" applyNumberFormat="1" applyFont="1" applyFill="1" applyBorder="1" applyAlignment="1" applyProtection="1">
      <alignment vertical="center"/>
      <protection hidden="1"/>
    </xf>
    <xf numFmtId="175" fontId="5" fillId="0" borderId="0" xfId="0" applyNumberFormat="1" applyFont="1" applyFill="1" applyBorder="1" applyAlignment="1" applyProtection="1">
      <alignment vertical="center"/>
      <protection locked="0"/>
    </xf>
    <xf numFmtId="3" fontId="4" fillId="0" borderId="0" xfId="4" applyNumberFormat="1" applyFont="1" applyFill="1" applyAlignment="1" applyProtection="1">
      <alignment horizontal="center" vertical="center"/>
      <protection hidden="1"/>
    </xf>
    <xf numFmtId="175" fontId="5" fillId="0" borderId="0" xfId="0" applyNumberFormat="1" applyFont="1" applyFill="1" applyAlignment="1" applyProtection="1">
      <alignment vertical="center"/>
      <protection locked="0"/>
    </xf>
    <xf numFmtId="175" fontId="21" fillId="0" borderId="42" xfId="0" applyNumberFormat="1" applyFont="1" applyBorder="1" applyAlignment="1" applyProtection="1">
      <alignment vertical="center"/>
    </xf>
    <xf numFmtId="176" fontId="22" fillId="10" borderId="11" xfId="0" applyNumberFormat="1" applyFont="1" applyFill="1" applyBorder="1" applyAlignment="1" applyProtection="1">
      <alignment vertical="center"/>
      <protection locked="0"/>
    </xf>
    <xf numFmtId="176" fontId="22" fillId="10" borderId="12" xfId="0" applyNumberFormat="1" applyFont="1" applyFill="1" applyBorder="1" applyAlignment="1" applyProtection="1">
      <alignment vertical="center"/>
      <protection locked="0"/>
    </xf>
    <xf numFmtId="176" fontId="22" fillId="10" borderId="13" xfId="0" applyNumberFormat="1" applyFont="1" applyFill="1" applyBorder="1" applyAlignment="1" applyProtection="1">
      <alignment vertical="center"/>
      <protection locked="0"/>
    </xf>
    <xf numFmtId="0" fontId="22" fillId="0" borderId="46" xfId="4" applyNumberFormat="1" applyFont="1" applyBorder="1" applyAlignment="1" applyProtection="1">
      <alignment horizontal="right" vertical="center"/>
      <protection hidden="1"/>
    </xf>
    <xf numFmtId="175" fontId="22" fillId="0" borderId="0" xfId="0" applyNumberFormat="1" applyFont="1" applyFill="1" applyBorder="1" applyAlignment="1" applyProtection="1">
      <alignment vertical="center"/>
      <protection locked="0"/>
    </xf>
    <xf numFmtId="3" fontId="22" fillId="0" borderId="0" xfId="4" applyNumberFormat="1" applyFont="1" applyFill="1" applyBorder="1" applyAlignment="1" applyProtection="1">
      <alignment horizontal="center" vertical="center"/>
      <protection hidden="1"/>
    </xf>
    <xf numFmtId="175" fontId="23" fillId="0" borderId="42" xfId="0" applyNumberFormat="1" applyFont="1" applyFill="1" applyBorder="1" applyAlignment="1" applyProtection="1">
      <alignment vertical="center"/>
    </xf>
    <xf numFmtId="167" fontId="4" fillId="0" borderId="11" xfId="0" applyNumberFormat="1" applyFont="1" applyFill="1" applyBorder="1" applyAlignment="1" applyProtection="1">
      <alignment vertical="center"/>
      <protection hidden="1"/>
    </xf>
    <xf numFmtId="167" fontId="4" fillId="0" borderId="12" xfId="0" applyNumberFormat="1" applyFont="1" applyFill="1" applyBorder="1" applyAlignment="1" applyProtection="1">
      <alignment vertical="center"/>
      <protection hidden="1"/>
    </xf>
    <xf numFmtId="167" fontId="4" fillId="0" borderId="13" xfId="0" applyNumberFormat="1" applyFont="1" applyFill="1" applyBorder="1" applyAlignment="1" applyProtection="1">
      <alignment vertical="center"/>
      <protection hidden="1"/>
    </xf>
    <xf numFmtId="167" fontId="20" fillId="0" borderId="46" xfId="4" applyNumberFormat="1" applyFont="1" applyBorder="1" applyAlignment="1" applyProtection="1">
      <alignment vertical="center"/>
      <protection hidden="1"/>
    </xf>
    <xf numFmtId="175" fontId="4" fillId="0" borderId="0" xfId="0" applyNumberFormat="1" applyFont="1" applyFill="1" applyBorder="1" applyAlignment="1" applyProtection="1">
      <alignment vertical="center"/>
      <protection locked="0"/>
    </xf>
    <xf numFmtId="3" fontId="4" fillId="0" borderId="0" xfId="4" applyNumberFormat="1" applyFont="1" applyFill="1" applyBorder="1" applyAlignment="1" applyProtection="1">
      <alignment horizontal="center" vertical="center"/>
      <protection hidden="1"/>
    </xf>
    <xf numFmtId="175" fontId="4" fillId="0" borderId="0" xfId="0" applyNumberFormat="1" applyFont="1" applyFill="1" applyAlignment="1" applyProtection="1">
      <alignment vertical="center"/>
      <protection locked="0"/>
    </xf>
    <xf numFmtId="175" fontId="23" fillId="0" borderId="43" xfId="0" applyNumberFormat="1" applyFont="1" applyFill="1" applyBorder="1" applyAlignment="1" applyProtection="1">
      <alignment vertical="center"/>
    </xf>
    <xf numFmtId="167" fontId="4" fillId="0" borderId="24" xfId="0" applyNumberFormat="1" applyFont="1" applyFill="1" applyBorder="1" applyAlignment="1" applyProtection="1">
      <alignment vertical="center"/>
      <protection hidden="1"/>
    </xf>
    <xf numFmtId="167" fontId="4" fillId="0" borderId="25" xfId="0" applyNumberFormat="1" applyFont="1" applyFill="1" applyBorder="1" applyAlignment="1" applyProtection="1">
      <alignment vertical="center"/>
      <protection hidden="1"/>
    </xf>
    <xf numFmtId="167" fontId="4" fillId="0" borderId="26" xfId="0" applyNumberFormat="1" applyFont="1" applyFill="1" applyBorder="1" applyAlignment="1" applyProtection="1">
      <alignment vertical="center"/>
      <protection hidden="1"/>
    </xf>
    <xf numFmtId="167" fontId="20" fillId="0" borderId="47" xfId="4" applyNumberFormat="1" applyFont="1" applyBorder="1" applyAlignment="1" applyProtection="1">
      <alignment vertical="center"/>
      <protection hidden="1"/>
    </xf>
    <xf numFmtId="175" fontId="5" fillId="11" borderId="74" xfId="0" applyNumberFormat="1" applyFont="1" applyFill="1" applyBorder="1" applyAlignment="1" applyProtection="1">
      <alignment vertical="center"/>
    </xf>
    <xf numFmtId="167" fontId="5" fillId="11" borderId="75" xfId="0" applyNumberFormat="1" applyFont="1" applyFill="1" applyBorder="1" applyAlignment="1" applyProtection="1">
      <alignment vertical="center"/>
      <protection hidden="1"/>
    </xf>
    <xf numFmtId="167" fontId="5" fillId="11" borderId="76" xfId="0" applyNumberFormat="1" applyFont="1" applyFill="1" applyBorder="1" applyAlignment="1" applyProtection="1">
      <alignment vertical="center"/>
      <protection hidden="1"/>
    </xf>
    <xf numFmtId="167" fontId="5" fillId="11" borderId="77" xfId="0" applyNumberFormat="1" applyFont="1" applyFill="1" applyBorder="1" applyAlignment="1" applyProtection="1">
      <alignment vertical="center"/>
      <protection hidden="1"/>
    </xf>
    <xf numFmtId="167" fontId="5" fillId="8" borderId="78" xfId="4" applyNumberFormat="1" applyFont="1" applyFill="1" applyBorder="1" applyAlignment="1" applyProtection="1">
      <alignment vertical="center"/>
      <protection hidden="1"/>
    </xf>
    <xf numFmtId="175" fontId="6" fillId="0" borderId="48" xfId="0" applyNumberFormat="1" applyFont="1" applyBorder="1" applyAlignment="1" applyProtection="1">
      <alignment vertical="center"/>
      <protection locked="0"/>
    </xf>
    <xf numFmtId="175" fontId="6" fillId="0" borderId="79" xfId="0" applyNumberFormat="1" applyFont="1" applyBorder="1" applyAlignment="1" applyProtection="1">
      <alignment vertical="center"/>
      <protection locked="0"/>
    </xf>
    <xf numFmtId="175" fontId="6" fillId="0" borderId="80" xfId="0" applyNumberFormat="1" applyFont="1" applyBorder="1" applyAlignment="1" applyProtection="1">
      <alignment vertical="center"/>
      <protection locked="0"/>
    </xf>
    <xf numFmtId="175" fontId="6" fillId="0" borderId="81" xfId="0" applyNumberFormat="1" applyFont="1" applyBorder="1" applyAlignment="1" applyProtection="1">
      <alignment vertical="center"/>
      <protection locked="0"/>
    </xf>
    <xf numFmtId="43" fontId="6" fillId="0" borderId="49" xfId="4" applyFont="1" applyBorder="1" applyAlignment="1" applyProtection="1">
      <alignment vertical="center"/>
      <protection locked="0"/>
    </xf>
    <xf numFmtId="175" fontId="6" fillId="0" borderId="0" xfId="0" applyNumberFormat="1" applyFont="1" applyFill="1" applyAlignment="1" applyProtection="1">
      <alignment vertical="center"/>
      <protection locked="0"/>
    </xf>
    <xf numFmtId="175" fontId="5" fillId="0" borderId="44" xfId="0" applyNumberFormat="1" applyFont="1" applyBorder="1" applyAlignment="1" applyProtection="1">
      <alignment vertical="center"/>
    </xf>
    <xf numFmtId="2" fontId="15" fillId="0" borderId="82" xfId="0" applyNumberFormat="1" applyFont="1" applyBorder="1" applyAlignment="1" applyProtection="1">
      <alignment vertical="center"/>
      <protection locked="0"/>
    </xf>
    <xf numFmtId="2" fontId="15" fillId="0" borderId="83" xfId="0" applyNumberFormat="1" applyFont="1" applyBorder="1" applyAlignment="1" applyProtection="1">
      <alignment vertical="center"/>
      <protection locked="0"/>
    </xf>
    <xf numFmtId="2" fontId="15" fillId="0" borderId="84" xfId="0" applyNumberFormat="1" applyFont="1" applyBorder="1" applyAlignment="1" applyProtection="1">
      <alignment vertical="center"/>
      <protection locked="0"/>
    </xf>
    <xf numFmtId="43" fontId="20" fillId="0" borderId="45" xfId="4" applyFont="1" applyBorder="1" applyAlignment="1" applyProtection="1">
      <alignment vertical="center"/>
      <protection hidden="1"/>
    </xf>
    <xf numFmtId="175" fontId="15" fillId="0" borderId="0" xfId="0" applyNumberFormat="1" applyFont="1" applyFill="1" applyBorder="1" applyAlignment="1" applyProtection="1">
      <alignment vertical="center"/>
      <protection locked="0"/>
    </xf>
    <xf numFmtId="175" fontId="15" fillId="0" borderId="0" xfId="0" applyNumberFormat="1" applyFont="1" applyFill="1" applyAlignment="1" applyProtection="1">
      <alignment vertical="center"/>
      <protection locked="0"/>
    </xf>
    <xf numFmtId="175" fontId="6" fillId="0" borderId="42" xfId="0" applyNumberFormat="1" applyFont="1" applyBorder="1" applyAlignment="1" applyProtection="1">
      <alignment horizontal="left" vertical="center"/>
    </xf>
    <xf numFmtId="167" fontId="20" fillId="0" borderId="11" xfId="0" applyNumberFormat="1" applyFont="1" applyBorder="1" applyAlignment="1" applyProtection="1">
      <alignment vertical="center"/>
      <protection hidden="1"/>
    </xf>
    <xf numFmtId="167" fontId="20" fillId="0" borderId="12" xfId="0" applyNumberFormat="1" applyFont="1" applyBorder="1" applyAlignment="1" applyProtection="1">
      <alignment vertical="center"/>
      <protection hidden="1"/>
    </xf>
    <xf numFmtId="167" fontId="20" fillId="0" borderId="13" xfId="0" applyNumberFormat="1" applyFont="1" applyBorder="1" applyAlignment="1" applyProtection="1">
      <alignment vertical="center"/>
      <protection hidden="1"/>
    </xf>
    <xf numFmtId="175" fontId="0" fillId="0" borderId="0" xfId="0" applyNumberFormat="1" applyFill="1" applyBorder="1" applyAlignment="1" applyProtection="1">
      <alignment vertical="center"/>
      <protection locked="0"/>
    </xf>
    <xf numFmtId="175" fontId="0" fillId="0" borderId="0" xfId="0" applyNumberFormat="1" applyFill="1" applyAlignment="1" applyProtection="1">
      <alignment vertical="center"/>
      <protection locked="0"/>
    </xf>
    <xf numFmtId="175" fontId="24" fillId="0" borderId="42" xfId="0" applyNumberFormat="1" applyFont="1" applyBorder="1" applyAlignment="1" applyProtection="1">
      <alignment horizontal="left" vertical="center" indent="1"/>
    </xf>
    <xf numFmtId="175" fontId="23" fillId="0" borderId="42" xfId="0" applyNumberFormat="1" applyFont="1" applyBorder="1" applyAlignment="1" applyProtection="1">
      <alignment horizontal="right" vertical="center"/>
    </xf>
    <xf numFmtId="175" fontId="24" fillId="0" borderId="42" xfId="0" applyNumberFormat="1" applyFont="1" applyFill="1" applyBorder="1" applyAlignment="1" applyProtection="1">
      <alignment horizontal="left" vertical="center" indent="1"/>
    </xf>
    <xf numFmtId="167" fontId="20" fillId="0" borderId="11" xfId="0" applyNumberFormat="1" applyFont="1" applyFill="1" applyBorder="1" applyAlignment="1" applyProtection="1">
      <alignment vertical="center"/>
      <protection hidden="1"/>
    </xf>
    <xf numFmtId="167" fontId="20" fillId="0" borderId="12" xfId="0" applyNumberFormat="1" applyFont="1" applyFill="1" applyBorder="1" applyAlignment="1" applyProtection="1">
      <alignment vertical="center"/>
      <protection hidden="1"/>
    </xf>
    <xf numFmtId="167" fontId="20" fillId="0" borderId="13" xfId="0" applyNumberFormat="1" applyFont="1" applyFill="1" applyBorder="1" applyAlignment="1" applyProtection="1">
      <alignment vertical="center"/>
      <protection hidden="1"/>
    </xf>
    <xf numFmtId="167" fontId="20" fillId="0" borderId="46" xfId="4" applyNumberFormat="1" applyFont="1" applyFill="1" applyBorder="1" applyAlignment="1" applyProtection="1">
      <alignment vertical="center"/>
      <protection hidden="1"/>
    </xf>
    <xf numFmtId="167" fontId="20" fillId="0" borderId="11" xfId="0" applyNumberFormat="1" applyFont="1" applyBorder="1" applyAlignment="1" applyProtection="1">
      <alignment vertical="center"/>
      <protection locked="0"/>
    </xf>
    <xf numFmtId="167" fontId="20" fillId="0" borderId="12" xfId="0" applyNumberFormat="1" applyFont="1" applyBorder="1" applyAlignment="1" applyProtection="1">
      <alignment vertical="center"/>
      <protection locked="0"/>
    </xf>
    <xf numFmtId="167" fontId="20" fillId="0" borderId="13" xfId="0" applyNumberFormat="1" applyFont="1" applyBorder="1" applyAlignment="1" applyProtection="1">
      <alignment vertical="center"/>
      <protection locked="0"/>
    </xf>
    <xf numFmtId="175" fontId="23" fillId="0" borderId="42" xfId="0" applyNumberFormat="1" applyFont="1" applyBorder="1" applyAlignment="1" applyProtection="1">
      <alignment horizontal="right" vertical="center" wrapText="1"/>
    </xf>
    <xf numFmtId="175" fontId="15" fillId="0" borderId="82" xfId="0" applyNumberFormat="1" applyFont="1" applyBorder="1" applyAlignment="1" applyProtection="1">
      <alignment vertical="center"/>
      <protection locked="0"/>
    </xf>
    <xf numFmtId="175" fontId="15" fillId="0" borderId="83" xfId="0" applyNumberFormat="1" applyFont="1" applyBorder="1" applyAlignment="1" applyProtection="1">
      <alignment vertical="center"/>
      <protection locked="0"/>
    </xf>
    <xf numFmtId="175" fontId="15" fillId="0" borderId="84" xfId="0" applyNumberFormat="1" applyFont="1" applyBorder="1" applyAlignment="1" applyProtection="1">
      <alignment vertical="center"/>
      <protection locked="0"/>
    </xf>
    <xf numFmtId="43" fontId="15" fillId="0" borderId="45" xfId="4" applyFont="1" applyBorder="1" applyAlignment="1" applyProtection="1">
      <alignment vertical="center"/>
      <protection locked="0"/>
    </xf>
    <xf numFmtId="175" fontId="15" fillId="0" borderId="0" xfId="0" applyNumberFormat="1" applyFont="1" applyAlignment="1" applyProtection="1">
      <alignment vertical="center"/>
      <protection locked="0"/>
    </xf>
    <xf numFmtId="3" fontId="4" fillId="0" borderId="0" xfId="4" applyNumberFormat="1" applyFont="1" applyAlignment="1" applyProtection="1">
      <alignment horizontal="center" vertical="center"/>
      <protection hidden="1"/>
    </xf>
    <xf numFmtId="175" fontId="23" fillId="0" borderId="42" xfId="0" applyNumberFormat="1" applyFont="1" applyFill="1" applyBorder="1" applyAlignment="1" applyProtection="1">
      <alignment horizontal="right" vertical="center" wrapText="1"/>
    </xf>
    <xf numFmtId="175" fontId="23" fillId="0" borderId="42" xfId="0" applyNumberFormat="1" applyFont="1" applyFill="1" applyBorder="1" applyAlignment="1" applyProtection="1">
      <alignment horizontal="right" vertical="center"/>
    </xf>
    <xf numFmtId="167" fontId="4" fillId="0" borderId="82" xfId="0" applyNumberFormat="1" applyFont="1" applyBorder="1" applyAlignment="1" applyProtection="1">
      <alignment vertical="center"/>
      <protection hidden="1"/>
    </xf>
    <xf numFmtId="167" fontId="4" fillId="0" borderId="83" xfId="0" applyNumberFormat="1" applyFont="1" applyBorder="1" applyAlignment="1" applyProtection="1">
      <alignment vertical="center"/>
      <protection hidden="1"/>
    </xf>
    <xf numFmtId="167" fontId="4" fillId="0" borderId="84" xfId="0" applyNumberFormat="1" applyFont="1" applyBorder="1" applyAlignment="1" applyProtection="1">
      <alignment vertical="center"/>
      <protection hidden="1"/>
    </xf>
    <xf numFmtId="167" fontId="4" fillId="0" borderId="45" xfId="4" applyNumberFormat="1" applyFont="1" applyBorder="1" applyAlignment="1" applyProtection="1">
      <alignment vertical="center"/>
      <protection hidden="1"/>
    </xf>
    <xf numFmtId="175" fontId="4" fillId="0" borderId="0" xfId="0" applyNumberFormat="1" applyFont="1" applyAlignment="1" applyProtection="1">
      <alignment vertical="center"/>
      <protection locked="0"/>
    </xf>
    <xf numFmtId="167" fontId="25" fillId="8" borderId="78" xfId="4" applyNumberFormat="1" applyFont="1" applyFill="1" applyBorder="1" applyAlignment="1" applyProtection="1">
      <alignment vertical="center"/>
      <protection locked="0"/>
    </xf>
    <xf numFmtId="3" fontId="4" fillId="0" borderId="0" xfId="4" applyNumberFormat="1" applyFont="1" applyFill="1" applyAlignment="1" applyProtection="1">
      <alignment horizontal="center" vertical="center"/>
      <protection locked="0"/>
    </xf>
    <xf numFmtId="175" fontId="26" fillId="0" borderId="0" xfId="0" applyNumberFormat="1" applyFont="1" applyAlignment="1" applyProtection="1">
      <alignment horizontal="centerContinuous" vertical="center"/>
    </xf>
    <xf numFmtId="175" fontId="0" fillId="0" borderId="0" xfId="0" applyNumberFormat="1" applyAlignment="1" applyProtection="1">
      <alignment horizontal="centerContinuous" vertical="center"/>
      <protection locked="0"/>
    </xf>
    <xf numFmtId="43" fontId="0" fillId="0" borderId="0" xfId="4" applyFont="1" applyAlignment="1" applyProtection="1">
      <alignment horizontal="centerContinuous" vertical="center"/>
      <protection locked="0"/>
    </xf>
    <xf numFmtId="175" fontId="0" fillId="0" borderId="0" xfId="0" applyNumberFormat="1" applyAlignment="1" applyProtection="1">
      <alignment vertical="center"/>
    </xf>
    <xf numFmtId="167" fontId="0" fillId="0" borderId="0" xfId="0" applyNumberFormat="1" applyFont="1" applyBorder="1" applyAlignment="1" applyProtection="1">
      <alignment vertical="center"/>
      <protection hidden="1"/>
    </xf>
    <xf numFmtId="175" fontId="6" fillId="0" borderId="0" xfId="0" applyNumberFormat="1" applyFont="1" applyAlignment="1" applyProtection="1">
      <alignment vertical="center"/>
    </xf>
    <xf numFmtId="167" fontId="27" fillId="0" borderId="0" xfId="0" applyNumberFormat="1" applyFont="1" applyBorder="1" applyAlignment="1" applyProtection="1">
      <alignment vertical="center"/>
      <protection hidden="1"/>
    </xf>
    <xf numFmtId="167" fontId="20" fillId="0" borderId="0" xfId="0" applyNumberFormat="1" applyFont="1" applyBorder="1" applyAlignment="1" applyProtection="1">
      <alignment vertical="center"/>
      <protection hidden="1"/>
    </xf>
    <xf numFmtId="175" fontId="6" fillId="0" borderId="0" xfId="0" applyNumberFormat="1" applyFont="1" applyAlignment="1" applyProtection="1">
      <alignment vertical="center"/>
      <protection locked="0"/>
    </xf>
    <xf numFmtId="3" fontId="6" fillId="0" borderId="0" xfId="4" applyNumberFormat="1" applyFont="1" applyAlignment="1" applyProtection="1">
      <alignment horizontal="center" vertical="center"/>
      <protection locked="0"/>
    </xf>
    <xf numFmtId="177" fontId="0" fillId="0" borderId="0" xfId="0" applyNumberFormat="1" applyAlignment="1" applyProtection="1">
      <alignment horizontal="left" vertical="center"/>
    </xf>
    <xf numFmtId="178" fontId="0" fillId="0" borderId="0" xfId="0" applyNumberFormat="1" applyAlignment="1" applyProtection="1">
      <alignment horizontal="left" vertical="center"/>
    </xf>
    <xf numFmtId="179" fontId="0" fillId="0" borderId="0" xfId="0" applyNumberFormat="1" applyAlignment="1" applyProtection="1">
      <alignment vertical="center"/>
      <protection locked="0"/>
    </xf>
    <xf numFmtId="174" fontId="0" fillId="0" borderId="0" xfId="21" applyNumberFormat="1" applyFont="1" applyAlignment="1" applyProtection="1">
      <alignment vertical="center"/>
      <protection locked="0"/>
    </xf>
    <xf numFmtId="172" fontId="8" fillId="0" borderId="27" xfId="2" applyNumberFormat="1" applyFont="1" applyFill="1" applyBorder="1" applyAlignment="1">
      <alignment vertical="center"/>
    </xf>
    <xf numFmtId="172" fontId="9" fillId="15" borderId="30" xfId="2" applyNumberFormat="1" applyFont="1" applyFill="1" applyBorder="1" applyAlignment="1">
      <alignment vertical="center"/>
    </xf>
    <xf numFmtId="0" fontId="8" fillId="0" borderId="27" xfId="2" applyNumberFormat="1" applyFont="1" applyFill="1" applyBorder="1" applyAlignment="1">
      <alignment vertical="center"/>
    </xf>
    <xf numFmtId="172" fontId="8" fillId="5" borderId="27" xfId="2" applyNumberFormat="1" applyFont="1" applyFill="1" applyBorder="1" applyAlignment="1">
      <alignment vertical="center"/>
    </xf>
    <xf numFmtId="0" fontId="8" fillId="0" borderId="27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7" xfId="0" applyNumberFormat="1" applyFont="1" applyFill="1" applyBorder="1" applyAlignment="1">
      <alignment horizontal="center" vertical="center"/>
    </xf>
    <xf numFmtId="0" fontId="8" fillId="0" borderId="27" xfId="2" applyNumberFormat="1" applyFont="1" applyFill="1" applyBorder="1" applyAlignment="1">
      <alignment horizontal="center" vertical="center"/>
    </xf>
    <xf numFmtId="172" fontId="8" fillId="0" borderId="36" xfId="2" applyNumberFormat="1" applyFont="1" applyFill="1" applyBorder="1" applyAlignment="1">
      <alignment vertical="center"/>
    </xf>
    <xf numFmtId="0" fontId="8" fillId="5" borderId="0" xfId="0" applyFont="1" applyFill="1" applyAlignment="1">
      <alignment vertical="center"/>
    </xf>
    <xf numFmtId="0" fontId="8" fillId="14" borderId="0" xfId="0" applyFont="1" applyFill="1" applyAlignment="1">
      <alignment vertical="center"/>
    </xf>
    <xf numFmtId="164" fontId="7" fillId="13" borderId="2" xfId="2" applyNumberFormat="1" applyFont="1" applyFill="1" applyBorder="1" applyAlignment="1">
      <alignment vertical="center"/>
    </xf>
    <xf numFmtId="164" fontId="9" fillId="0" borderId="1" xfId="2" applyNumberFormat="1" applyFont="1" applyBorder="1" applyAlignment="1">
      <alignment horizontal="center" vertical="center"/>
    </xf>
    <xf numFmtId="164" fontId="9" fillId="0" borderId="1" xfId="2" applyNumberFormat="1" applyFont="1" applyFill="1" applyBorder="1" applyAlignment="1">
      <alignment horizontal="center" vertical="center"/>
    </xf>
    <xf numFmtId="164" fontId="9" fillId="0" borderId="1" xfId="2" applyNumberFormat="1" applyFont="1" applyBorder="1" applyAlignment="1">
      <alignment horizontal="left" vertical="center"/>
    </xf>
    <xf numFmtId="172" fontId="9" fillId="0" borderId="1" xfId="2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64" fontId="9" fillId="0" borderId="85" xfId="2" applyNumberFormat="1" applyFont="1" applyFill="1" applyBorder="1" applyAlignment="1">
      <alignment horizontal="center" vertical="center"/>
    </xf>
    <xf numFmtId="164" fontId="7" fillId="0" borderId="0" xfId="2" applyNumberFormat="1" applyFont="1" applyFill="1" applyBorder="1" applyAlignment="1">
      <alignment horizontal="center" vertical="center"/>
    </xf>
    <xf numFmtId="172" fontId="8" fillId="5" borderId="28" xfId="2" applyNumberFormat="1" applyFont="1" applyFill="1" applyBorder="1" applyAlignment="1">
      <alignment vertical="center"/>
    </xf>
    <xf numFmtId="49" fontId="8" fillId="0" borderId="27" xfId="2" applyNumberFormat="1" applyFont="1" applyFill="1" applyBorder="1" applyAlignment="1">
      <alignment horizontal="center" vertical="center"/>
    </xf>
    <xf numFmtId="16" fontId="8" fillId="0" borderId="63" xfId="0" applyNumberFormat="1" applyFont="1" applyBorder="1" applyAlignment="1">
      <alignment horizontal="center" vertical="center"/>
    </xf>
    <xf numFmtId="16" fontId="8" fillId="0" borderId="63" xfId="0" applyNumberFormat="1" applyFont="1" applyFill="1" applyBorder="1" applyAlignment="1">
      <alignment horizontal="center" vertical="center"/>
    </xf>
    <xf numFmtId="16" fontId="9" fillId="0" borderId="20" xfId="0" applyNumberFormat="1" applyFont="1" applyFill="1" applyBorder="1" applyAlignment="1">
      <alignment horizontal="center" vertical="center" wrapText="1"/>
    </xf>
    <xf numFmtId="166" fontId="8" fillId="14" borderId="63" xfId="0" applyNumberFormat="1" applyFont="1" applyFill="1" applyBorder="1" applyAlignment="1">
      <alignment vertical="center"/>
    </xf>
    <xf numFmtId="166" fontId="8" fillId="0" borderId="63" xfId="0" applyNumberFormat="1" applyFont="1" applyFill="1" applyBorder="1" applyAlignment="1">
      <alignment vertical="center"/>
    </xf>
    <xf numFmtId="16" fontId="8" fillId="0" borderId="20" xfId="0" applyNumberFormat="1" applyFont="1" applyFill="1" applyBorder="1" applyAlignment="1">
      <alignment horizontal="center" vertical="center"/>
    </xf>
    <xf numFmtId="16" fontId="9" fillId="0" borderId="20" xfId="0" applyNumberFormat="1" applyFont="1" applyBorder="1" applyAlignment="1">
      <alignment horizontal="center" vertical="center" wrapText="1"/>
    </xf>
    <xf numFmtId="16" fontId="9" fillId="0" borderId="21" xfId="0" applyNumberFormat="1" applyFont="1" applyBorder="1" applyAlignment="1">
      <alignment horizontal="center" vertical="center" wrapText="1"/>
    </xf>
    <xf numFmtId="16" fontId="8" fillId="0" borderId="20" xfId="0" applyNumberFormat="1" applyFont="1" applyFill="1" applyBorder="1" applyAlignment="1">
      <alignment horizontal="center" vertical="center" wrapText="1"/>
    </xf>
    <xf numFmtId="16" fontId="8" fillId="0" borderId="21" xfId="0" applyNumberFormat="1" applyFont="1" applyFill="1" applyBorder="1" applyAlignment="1">
      <alignment horizontal="center" vertical="center" wrapText="1"/>
    </xf>
    <xf numFmtId="16" fontId="8" fillId="0" borderId="20" xfId="0" applyNumberFormat="1" applyFont="1" applyBorder="1" applyAlignment="1">
      <alignment horizontal="center" vertical="center"/>
    </xf>
    <xf numFmtId="166" fontId="9" fillId="0" borderId="63" xfId="0" applyNumberFormat="1" applyFont="1" applyFill="1" applyBorder="1" applyAlignment="1">
      <alignment horizontal="right" vertical="center"/>
    </xf>
    <xf numFmtId="16" fontId="9" fillId="0" borderId="20" xfId="0" applyNumberFormat="1" applyFont="1" applyBorder="1" applyAlignment="1">
      <alignment horizontal="center" vertical="center"/>
    </xf>
    <xf numFmtId="16" fontId="7" fillId="13" borderId="63" xfId="0" applyNumberFormat="1" applyFont="1" applyFill="1" applyBorder="1" applyAlignment="1">
      <alignment horizontal="center" vertical="center"/>
    </xf>
    <xf numFmtId="16" fontId="7" fillId="12" borderId="63" xfId="0" applyNumberFormat="1" applyFont="1" applyFill="1" applyBorder="1" applyAlignment="1">
      <alignment horizontal="center" vertical="center"/>
    </xf>
    <xf numFmtId="16" fontId="8" fillId="0" borderId="63" xfId="0" applyNumberFormat="1" applyFont="1" applyBorder="1" applyAlignment="1">
      <alignment vertical="center"/>
    </xf>
    <xf numFmtId="166" fontId="7" fillId="13" borderId="63" xfId="0" applyNumberFormat="1" applyFont="1" applyFill="1" applyBorder="1" applyAlignment="1">
      <alignment vertical="center"/>
    </xf>
    <xf numFmtId="0" fontId="7" fillId="13" borderId="20" xfId="0" applyFont="1" applyFill="1" applyBorder="1" applyAlignment="1">
      <alignment horizontal="center" vertical="center"/>
    </xf>
    <xf numFmtId="0" fontId="7" fillId="13" borderId="21" xfId="0" applyFont="1" applyFill="1" applyBorder="1" applyAlignment="1">
      <alignment horizontal="center" vertical="center"/>
    </xf>
    <xf numFmtId="166" fontId="7" fillId="12" borderId="63" xfId="0" applyNumberFormat="1" applyFont="1" applyFill="1" applyBorder="1" applyAlignment="1">
      <alignment vertical="center"/>
    </xf>
    <xf numFmtId="0" fontId="7" fillId="12" borderId="20" xfId="0" applyFont="1" applyFill="1" applyBorder="1" applyAlignment="1">
      <alignment horizontal="center" vertical="center"/>
    </xf>
    <xf numFmtId="0" fontId="7" fillId="12" borderId="21" xfId="0" applyFont="1" applyFill="1" applyBorder="1" applyAlignment="1">
      <alignment horizontal="center" vertical="center"/>
    </xf>
    <xf numFmtId="0" fontId="9" fillId="0" borderId="63" xfId="0" applyFont="1" applyBorder="1" applyAlignment="1">
      <alignment horizontal="center" vertical="center" wrapText="1"/>
    </xf>
    <xf numFmtId="16" fontId="8" fillId="5" borderId="20" xfId="0" applyNumberFormat="1" applyFont="1" applyFill="1" applyBorder="1" applyAlignment="1">
      <alignment horizontal="center" vertical="center"/>
    </xf>
    <xf numFmtId="0" fontId="9" fillId="0" borderId="15" xfId="0" applyFont="1" applyBorder="1" applyAlignment="1">
      <alignment vertical="center"/>
    </xf>
    <xf numFmtId="0" fontId="8" fillId="0" borderId="15" xfId="0" applyFont="1" applyBorder="1" applyAlignment="1">
      <alignment vertical="center"/>
    </xf>
    <xf numFmtId="0" fontId="8" fillId="0" borderId="15" xfId="0" applyFont="1" applyFill="1" applyBorder="1" applyAlignment="1">
      <alignment vertical="center"/>
    </xf>
    <xf numFmtId="0" fontId="8" fillId="0" borderId="27" xfId="0" applyFont="1" applyFill="1" applyBorder="1" applyAlignment="1">
      <alignment vertical="center"/>
    </xf>
    <xf numFmtId="172" fontId="8" fillId="0" borderId="20" xfId="2" applyNumberFormat="1" applyFont="1" applyFill="1" applyBorder="1" applyAlignment="1">
      <alignment vertical="center"/>
    </xf>
    <xf numFmtId="172" fontId="9" fillId="0" borderId="21" xfId="2" applyNumberFormat="1" applyFont="1" applyFill="1" applyBorder="1" applyAlignment="1">
      <alignment vertical="center"/>
    </xf>
    <xf numFmtId="172" fontId="9" fillId="6" borderId="21" xfId="2" applyNumberFormat="1" applyFont="1" applyFill="1" applyBorder="1" applyAlignment="1">
      <alignment vertical="center"/>
    </xf>
    <xf numFmtId="172" fontId="8" fillId="0" borderId="19" xfId="2" applyNumberFormat="1" applyFont="1" applyFill="1" applyBorder="1" applyAlignment="1">
      <alignment vertical="center"/>
    </xf>
    <xf numFmtId="164" fontId="7" fillId="0" borderId="54" xfId="2" applyNumberFormat="1" applyFont="1" applyFill="1" applyBorder="1" applyAlignment="1">
      <alignment vertical="center"/>
    </xf>
    <xf numFmtId="164" fontId="8" fillId="0" borderId="55" xfId="2" applyNumberFormat="1" applyFont="1" applyFill="1" applyBorder="1" applyAlignment="1">
      <alignment vertical="center"/>
    </xf>
    <xf numFmtId="164" fontId="9" fillId="0" borderId="36" xfId="2" applyNumberFormat="1" applyFont="1" applyBorder="1" applyAlignment="1">
      <alignment vertical="center"/>
    </xf>
    <xf numFmtId="172" fontId="9" fillId="0" borderId="50" xfId="2" applyNumberFormat="1" applyFont="1" applyBorder="1" applyAlignment="1">
      <alignment vertical="center"/>
    </xf>
    <xf numFmtId="172" fontId="9" fillId="0" borderId="51" xfId="2" applyNumberFormat="1" applyFont="1" applyBorder="1" applyAlignment="1">
      <alignment vertical="center"/>
    </xf>
    <xf numFmtId="172" fontId="8" fillId="7" borderId="69" xfId="2" applyNumberFormat="1" applyFont="1" applyFill="1" applyBorder="1" applyAlignment="1">
      <alignment vertical="center"/>
    </xf>
    <xf numFmtId="0" fontId="8" fillId="0" borderId="27" xfId="2" applyNumberFormat="1" applyFont="1" applyFill="1" applyBorder="1" applyAlignment="1">
      <alignment horizontal="center" vertical="center"/>
    </xf>
    <xf numFmtId="172" fontId="9" fillId="0" borderId="15" xfId="0" applyNumberFormat="1" applyFont="1" applyFill="1" applyBorder="1" applyAlignment="1">
      <alignment vertical="center"/>
    </xf>
    <xf numFmtId="0" fontId="8" fillId="0" borderId="27" xfId="2" applyNumberFormat="1" applyFont="1" applyFill="1" applyBorder="1" applyAlignment="1">
      <alignment horizontal="center" vertical="center"/>
    </xf>
    <xf numFmtId="0" fontId="9" fillId="0" borderId="27" xfId="0" applyNumberFormat="1" applyFont="1" applyBorder="1" applyAlignment="1">
      <alignment vertical="center"/>
    </xf>
    <xf numFmtId="0" fontId="9" fillId="0" borderId="1" xfId="2" applyNumberFormat="1" applyFont="1" applyBorder="1" applyAlignment="1">
      <alignment vertical="center"/>
    </xf>
    <xf numFmtId="172" fontId="8" fillId="7" borderId="68" xfId="2" applyNumberFormat="1" applyFont="1" applyFill="1" applyBorder="1" applyAlignment="1">
      <alignment vertical="center"/>
    </xf>
    <xf numFmtId="0" fontId="8" fillId="0" borderId="27" xfId="2" applyNumberFormat="1" applyFont="1" applyFill="1" applyBorder="1" applyAlignment="1">
      <alignment vertical="center"/>
    </xf>
    <xf numFmtId="0" fontId="8" fillId="0" borderId="27" xfId="2" applyNumberFormat="1" applyFont="1" applyFill="1" applyBorder="1" applyAlignment="1">
      <alignment vertical="center"/>
    </xf>
    <xf numFmtId="0" fontId="4" fillId="0" borderId="0" xfId="0" applyFont="1" applyAlignment="1">
      <alignment vertical="center"/>
    </xf>
    <xf numFmtId="164" fontId="8" fillId="0" borderId="4" xfId="2" applyNumberFormat="1" applyFont="1" applyBorder="1" applyAlignment="1">
      <alignment horizontal="center" vertical="center" wrapText="1"/>
    </xf>
    <xf numFmtId="0" fontId="8" fillId="18" borderId="19" xfId="0" applyFont="1" applyFill="1" applyBorder="1" applyAlignment="1">
      <alignment horizontal="center" vertical="center"/>
    </xf>
    <xf numFmtId="0" fontId="30" fillId="0" borderId="15" xfId="0" applyFont="1" applyBorder="1" applyAlignment="1">
      <alignment horizontal="left" vertical="center" wrapText="1"/>
    </xf>
    <xf numFmtId="0" fontId="31" fillId="0" borderId="15" xfId="0" applyFont="1" applyBorder="1" applyAlignment="1">
      <alignment horizontal="left" vertical="center" wrapText="1"/>
    </xf>
    <xf numFmtId="0" fontId="32" fillId="0" borderId="10" xfId="0" applyFont="1" applyBorder="1" applyAlignment="1">
      <alignment horizontal="left" vertical="center" wrapText="1"/>
    </xf>
    <xf numFmtId="0" fontId="32" fillId="0" borderId="15" xfId="0" applyFont="1" applyBorder="1" applyAlignment="1">
      <alignment horizontal="left" vertical="center" wrapText="1"/>
    </xf>
    <xf numFmtId="180" fontId="33" fillId="0" borderId="89" xfId="25" applyNumberFormat="1" applyFont="1" applyBorder="1" applyAlignment="1">
      <alignment horizontal="center" vertical="center" wrapText="1"/>
    </xf>
    <xf numFmtId="181" fontId="33" fillId="0" borderId="89" xfId="0" applyNumberFormat="1" applyFont="1" applyBorder="1" applyAlignment="1">
      <alignment horizontal="center" vertical="center"/>
    </xf>
    <xf numFmtId="0" fontId="30" fillId="0" borderId="15" xfId="0" applyFont="1" applyBorder="1" applyAlignment="1">
      <alignment horizontal="left" vertical="center"/>
    </xf>
    <xf numFmtId="0" fontId="31" fillId="0" borderId="15" xfId="0" applyFont="1" applyBorder="1" applyAlignment="1">
      <alignment horizontal="left" vertical="center"/>
    </xf>
    <xf numFmtId="181" fontId="33" fillId="0" borderId="90" xfId="0" applyNumberFormat="1" applyFont="1" applyBorder="1" applyAlignment="1">
      <alignment horizontal="center" vertical="center"/>
    </xf>
    <xf numFmtId="181" fontId="33" fillId="0" borderId="91" xfId="0" applyNumberFormat="1" applyFont="1" applyBorder="1" applyAlignment="1">
      <alignment horizontal="center" vertical="center"/>
    </xf>
    <xf numFmtId="0" fontId="30" fillId="0" borderId="0" xfId="0" applyFont="1"/>
    <xf numFmtId="0" fontId="30" fillId="0" borderId="20" xfId="0" applyFont="1" applyBorder="1" applyAlignment="1">
      <alignment horizontal="left" vertical="center" wrapText="1"/>
    </xf>
    <xf numFmtId="0" fontId="30" fillId="0" borderId="15" xfId="0" applyFont="1" applyBorder="1" applyAlignment="1">
      <alignment vertical="center"/>
    </xf>
    <xf numFmtId="0" fontId="30" fillId="0" borderId="15" xfId="0" applyFont="1" applyFill="1" applyBorder="1" applyAlignment="1">
      <alignment vertical="center"/>
    </xf>
    <xf numFmtId="181" fontId="33" fillId="0" borderId="90" xfId="0" applyNumberFormat="1" applyFont="1" applyBorder="1" applyAlignment="1">
      <alignment horizontal="right" vertical="center"/>
    </xf>
    <xf numFmtId="181" fontId="33" fillId="0" borderId="91" xfId="0" applyNumberFormat="1" applyFont="1" applyBorder="1" applyAlignment="1">
      <alignment horizontal="right" vertical="center"/>
    </xf>
    <xf numFmtId="0" fontId="32" fillId="0" borderId="11" xfId="0" applyFont="1" applyFill="1" applyBorder="1" applyAlignment="1">
      <alignment vertical="center"/>
    </xf>
    <xf numFmtId="181" fontId="33" fillId="0" borderId="95" xfId="0" applyNumberFormat="1" applyFont="1" applyBorder="1" applyAlignment="1">
      <alignment horizontal="center" vertical="center"/>
    </xf>
    <xf numFmtId="0" fontId="32" fillId="0" borderId="15" xfId="0" applyFont="1" applyFill="1" applyBorder="1" applyAlignment="1">
      <alignment vertical="center"/>
    </xf>
    <xf numFmtId="0" fontId="31" fillId="0" borderId="15" xfId="0" applyFont="1" applyFill="1" applyBorder="1" applyAlignment="1">
      <alignment vertical="center"/>
    </xf>
    <xf numFmtId="0" fontId="30" fillId="0" borderId="0" xfId="0" applyFont="1" applyAlignment="1">
      <alignment vertical="center"/>
    </xf>
    <xf numFmtId="182" fontId="30" fillId="0" borderId="97" xfId="25" applyNumberFormat="1" applyFont="1" applyBorder="1" applyAlignment="1">
      <alignment vertical="center"/>
    </xf>
    <xf numFmtId="9" fontId="30" fillId="0" borderId="96" xfId="24" applyFont="1" applyBorder="1" applyAlignment="1">
      <alignment vertical="center"/>
    </xf>
    <xf numFmtId="180" fontId="30" fillId="0" borderId="0" xfId="25" applyNumberFormat="1" applyFont="1" applyAlignment="1">
      <alignment vertical="center"/>
    </xf>
    <xf numFmtId="0" fontId="34" fillId="0" borderId="0" xfId="0" applyFont="1"/>
    <xf numFmtId="0" fontId="34" fillId="0" borderId="0" xfId="0" applyFont="1" applyAlignment="1">
      <alignment vertical="center"/>
    </xf>
    <xf numFmtId="0" fontId="4" fillId="0" borderId="0" xfId="26" applyFont="1"/>
    <xf numFmtId="0" fontId="36" fillId="0" borderId="0" xfId="26" applyFont="1"/>
    <xf numFmtId="0" fontId="35" fillId="0" borderId="0" xfId="26"/>
    <xf numFmtId="0" fontId="6" fillId="0" borderId="0" xfId="26" applyFont="1" applyAlignment="1">
      <alignment horizontal="center"/>
    </xf>
    <xf numFmtId="0" fontId="6" fillId="0" borderId="98" xfId="26" applyFont="1" applyBorder="1" applyAlignment="1">
      <alignment horizontal="center"/>
    </xf>
    <xf numFmtId="0" fontId="37" fillId="0" borderId="12" xfId="26" applyFont="1" applyBorder="1" applyAlignment="1">
      <alignment horizontal="center"/>
    </xf>
    <xf numFmtId="0" fontId="37" fillId="0" borderId="99" xfId="26" applyFont="1" applyBorder="1" applyAlignment="1">
      <alignment horizontal="center"/>
    </xf>
    <xf numFmtId="0" fontId="4" fillId="0" borderId="12" xfId="26" applyFont="1" applyBorder="1"/>
    <xf numFmtId="0" fontId="7" fillId="0" borderId="12" xfId="26" applyFont="1" applyBorder="1" applyAlignment="1">
      <alignment horizontal="center"/>
    </xf>
    <xf numFmtId="0" fontId="7" fillId="0" borderId="99" xfId="26" applyFont="1" applyBorder="1" applyAlignment="1">
      <alignment horizontal="center"/>
    </xf>
    <xf numFmtId="0" fontId="38" fillId="0" borderId="0" xfId="26" applyFont="1" applyAlignment="1">
      <alignment horizontal="center"/>
    </xf>
    <xf numFmtId="0" fontId="6" fillId="0" borderId="12" xfId="26" applyFont="1" applyBorder="1" applyAlignment="1">
      <alignment horizontal="center"/>
    </xf>
    <xf numFmtId="0" fontId="7" fillId="0" borderId="85" xfId="26" applyFont="1" applyBorder="1"/>
    <xf numFmtId="0" fontId="4" fillId="0" borderId="25" xfId="26" applyFont="1" applyBorder="1"/>
    <xf numFmtId="0" fontId="4" fillId="0" borderId="63" xfId="26" applyFont="1" applyBorder="1"/>
    <xf numFmtId="3" fontId="4" fillId="0" borderId="20" xfId="26" applyNumberFormat="1" applyFont="1" applyBorder="1"/>
    <xf numFmtId="3" fontId="4" fillId="0" borderId="63" xfId="26" applyNumberFormat="1" applyFont="1" applyBorder="1"/>
    <xf numFmtId="0" fontId="4" fillId="0" borderId="85" xfId="26" applyFont="1" applyBorder="1"/>
    <xf numFmtId="0" fontId="4" fillId="2" borderId="20" xfId="26" applyFont="1" applyFill="1" applyBorder="1"/>
    <xf numFmtId="3" fontId="4" fillId="17" borderId="0" xfId="26" applyNumberFormat="1" applyFont="1" applyFill="1" applyBorder="1"/>
    <xf numFmtId="10" fontId="4" fillId="0" borderId="25" xfId="27" applyNumberFormat="1" applyFont="1" applyBorder="1"/>
    <xf numFmtId="0" fontId="8" fillId="0" borderId="85" xfId="26" applyFont="1" applyBorder="1"/>
    <xf numFmtId="0" fontId="22" fillId="0" borderId="20" xfId="26" applyFont="1" applyBorder="1"/>
    <xf numFmtId="3" fontId="4" fillId="0" borderId="0" xfId="26" applyNumberFormat="1" applyFont="1"/>
    <xf numFmtId="0" fontId="6" fillId="0" borderId="85" xfId="26" applyFont="1" applyBorder="1"/>
    <xf numFmtId="4" fontId="4" fillId="17" borderId="0" xfId="26" applyNumberFormat="1" applyFont="1" applyFill="1"/>
    <xf numFmtId="2" fontId="4" fillId="17" borderId="0" xfId="26" applyNumberFormat="1" applyFont="1" applyFill="1"/>
    <xf numFmtId="3" fontId="4" fillId="0" borderId="20" xfId="26" applyNumberFormat="1" applyFont="1" applyBorder="1" applyProtection="1"/>
    <xf numFmtId="0" fontId="39" fillId="17" borderId="85" xfId="26" applyFont="1" applyFill="1" applyBorder="1" applyAlignment="1">
      <alignment horizontal="right"/>
    </xf>
    <xf numFmtId="3" fontId="4" fillId="17" borderId="20" xfId="26" applyNumberFormat="1" applyFont="1" applyFill="1" applyBorder="1"/>
    <xf numFmtId="0" fontId="4" fillId="17" borderId="85" xfId="26" applyFont="1" applyFill="1" applyBorder="1"/>
    <xf numFmtId="0" fontId="4" fillId="0" borderId="41" xfId="26" applyFont="1" applyBorder="1"/>
    <xf numFmtId="10" fontId="4" fillId="17" borderId="41" xfId="27" applyNumberFormat="1" applyFont="1" applyFill="1" applyBorder="1"/>
    <xf numFmtId="0" fontId="39" fillId="0" borderId="85" xfId="26" applyFont="1" applyBorder="1" applyAlignment="1">
      <alignment horizontal="right"/>
    </xf>
    <xf numFmtId="3" fontId="6" fillId="17" borderId="98" xfId="26" applyNumberFormat="1" applyFont="1" applyFill="1" applyBorder="1"/>
    <xf numFmtId="10" fontId="6" fillId="17" borderId="12" xfId="27" applyNumberFormat="1" applyFont="1" applyFill="1" applyBorder="1"/>
    <xf numFmtId="3" fontId="6" fillId="17" borderId="12" xfId="26" applyNumberFormat="1" applyFont="1" applyFill="1" applyBorder="1"/>
    <xf numFmtId="10" fontId="6" fillId="17" borderId="25" xfId="27" applyNumberFormat="1" applyFont="1" applyFill="1" applyBorder="1"/>
    <xf numFmtId="0" fontId="4" fillId="0" borderId="20" xfId="26" applyFont="1" applyBorder="1"/>
    <xf numFmtId="3" fontId="4" fillId="17" borderId="85" xfId="26" applyNumberFormat="1" applyFont="1" applyFill="1" applyBorder="1"/>
    <xf numFmtId="10" fontId="4" fillId="17" borderId="12" xfId="27" applyNumberFormat="1" applyFont="1" applyFill="1" applyBorder="1"/>
    <xf numFmtId="0" fontId="6" fillId="17" borderId="85" xfId="26" applyFont="1" applyFill="1" applyBorder="1"/>
    <xf numFmtId="10" fontId="6" fillId="17" borderId="41" xfId="27" applyNumberFormat="1" applyFont="1" applyFill="1" applyBorder="1"/>
    <xf numFmtId="9" fontId="4" fillId="17" borderId="20" xfId="27" applyFont="1" applyFill="1" applyBorder="1"/>
    <xf numFmtId="3" fontId="4" fillId="0" borderId="85" xfId="26" applyNumberFormat="1" applyFont="1" applyBorder="1"/>
    <xf numFmtId="10" fontId="4" fillId="17" borderId="20" xfId="27" applyNumberFormat="1" applyFont="1" applyFill="1" applyBorder="1"/>
    <xf numFmtId="0" fontId="8" fillId="17" borderId="85" xfId="26" applyFont="1" applyFill="1" applyBorder="1"/>
    <xf numFmtId="9" fontId="4" fillId="2" borderId="20" xfId="27" applyFont="1" applyFill="1" applyBorder="1"/>
    <xf numFmtId="0" fontId="40" fillId="17" borderId="85" xfId="26" applyFont="1" applyFill="1" applyBorder="1" applyAlignment="1">
      <alignment horizontal="right"/>
    </xf>
    <xf numFmtId="0" fontId="40" fillId="0" borderId="85" xfId="26" applyFont="1" applyBorder="1" applyAlignment="1">
      <alignment horizontal="right"/>
    </xf>
    <xf numFmtId="0" fontId="24" fillId="0" borderId="20" xfId="26" applyFont="1" applyBorder="1" applyAlignment="1">
      <alignment horizontal="right"/>
    </xf>
    <xf numFmtId="3" fontId="24" fillId="17" borderId="85" xfId="26" applyNumberFormat="1" applyFont="1" applyFill="1" applyBorder="1"/>
    <xf numFmtId="10" fontId="24" fillId="17" borderId="20" xfId="27" applyNumberFormat="1" applyFont="1" applyFill="1" applyBorder="1"/>
    <xf numFmtId="3" fontId="24" fillId="17" borderId="20" xfId="26" applyNumberFormat="1" applyFont="1" applyFill="1" applyBorder="1"/>
    <xf numFmtId="0" fontId="6" fillId="17" borderId="100" xfId="26" applyFont="1" applyFill="1" applyBorder="1"/>
    <xf numFmtId="3" fontId="4" fillId="17" borderId="41" xfId="26" applyNumberFormat="1" applyFont="1" applyFill="1" applyBorder="1"/>
    <xf numFmtId="0" fontId="7" fillId="17" borderId="85" xfId="26" applyFont="1" applyFill="1" applyBorder="1" applyAlignment="1">
      <alignment horizontal="right"/>
    </xf>
    <xf numFmtId="0" fontId="4" fillId="2" borderId="25" xfId="26" applyFont="1" applyFill="1" applyBorder="1"/>
    <xf numFmtId="0" fontId="7" fillId="0" borderId="85" xfId="26" applyFont="1" applyBorder="1" applyAlignment="1">
      <alignment horizontal="center"/>
    </xf>
    <xf numFmtId="0" fontId="7" fillId="17" borderId="100" xfId="26" applyFont="1" applyFill="1" applyBorder="1" applyAlignment="1">
      <alignment horizontal="center"/>
    </xf>
    <xf numFmtId="3" fontId="4" fillId="17" borderId="12" xfId="26" applyNumberFormat="1" applyFont="1" applyFill="1" applyBorder="1"/>
    <xf numFmtId="0" fontId="8" fillId="17" borderId="100" xfId="26" applyFont="1" applyFill="1" applyBorder="1"/>
    <xf numFmtId="0" fontId="4" fillId="2" borderId="41" xfId="26" applyFont="1" applyFill="1" applyBorder="1"/>
    <xf numFmtId="3" fontId="4" fillId="0" borderId="41" xfId="26" applyNumberFormat="1" applyFont="1" applyBorder="1"/>
    <xf numFmtId="0" fontId="4" fillId="0" borderId="20" xfId="26" quotePrefix="1" applyFont="1" applyBorder="1"/>
    <xf numFmtId="0" fontId="4" fillId="4" borderId="20" xfId="26" applyFont="1" applyFill="1" applyBorder="1"/>
    <xf numFmtId="0" fontId="41" fillId="0" borderId="0" xfId="26" quotePrefix="1" applyFont="1"/>
    <xf numFmtId="0" fontId="41" fillId="0" borderId="0" xfId="26" applyFont="1"/>
    <xf numFmtId="0" fontId="43" fillId="21" borderId="0" xfId="28" applyFont="1" applyFill="1" applyAlignment="1" applyProtection="1">
      <alignment horizontal="center"/>
    </xf>
    <xf numFmtId="0" fontId="4" fillId="0" borderId="101" xfId="26" applyFont="1" applyBorder="1"/>
    <xf numFmtId="0" fontId="6" fillId="22" borderId="0" xfId="26" applyFont="1" applyFill="1" applyAlignment="1">
      <alignment horizontal="center"/>
    </xf>
    <xf numFmtId="0" fontId="4" fillId="0" borderId="85" xfId="26" quotePrefix="1" applyFont="1" applyBorder="1"/>
    <xf numFmtId="3" fontId="4" fillId="0" borderId="12" xfId="26" applyNumberFormat="1" applyFont="1" applyBorder="1"/>
    <xf numFmtId="0" fontId="6" fillId="0" borderId="25" xfId="26" applyFont="1" applyBorder="1" applyAlignment="1">
      <alignment horizontal="center"/>
    </xf>
    <xf numFmtId="3" fontId="4" fillId="17" borderId="25" xfId="26" applyNumberFormat="1" applyFont="1" applyFill="1" applyBorder="1"/>
    <xf numFmtId="0" fontId="4" fillId="0" borderId="102" xfId="26" applyFont="1" applyBorder="1"/>
    <xf numFmtId="3" fontId="4" fillId="17" borderId="102" xfId="26" applyNumberFormat="1" applyFont="1" applyFill="1" applyBorder="1"/>
    <xf numFmtId="3" fontId="4" fillId="17" borderId="63" xfId="26" applyNumberFormat="1" applyFont="1" applyFill="1" applyBorder="1"/>
    <xf numFmtId="0" fontId="4" fillId="0" borderId="99" xfId="26" applyFont="1" applyBorder="1"/>
    <xf numFmtId="3" fontId="4" fillId="17" borderId="99" xfId="26" applyNumberFormat="1" applyFont="1" applyFill="1" applyBorder="1"/>
    <xf numFmtId="0" fontId="6" fillId="0" borderId="98" xfId="26" quotePrefix="1" applyFont="1" applyBorder="1" applyAlignment="1">
      <alignment horizontal="center"/>
    </xf>
    <xf numFmtId="180" fontId="30" fillId="5" borderId="92" xfId="25" applyNumberFormat="1" applyFont="1" applyFill="1" applyBorder="1" applyAlignment="1" applyProtection="1">
      <alignment vertical="center"/>
      <protection locked="0"/>
    </xf>
    <xf numFmtId="181" fontId="30" fillId="5" borderId="93" xfId="0" applyNumberFormat="1" applyFont="1" applyFill="1" applyBorder="1" applyAlignment="1" applyProtection="1">
      <alignment horizontal="right" vertical="center"/>
      <protection locked="0"/>
    </xf>
    <xf numFmtId="181" fontId="30" fillId="5" borderId="94" xfId="0" applyNumberFormat="1" applyFont="1" applyFill="1" applyBorder="1" applyAlignment="1" applyProtection="1">
      <alignment horizontal="right" vertical="center"/>
      <protection locked="0"/>
    </xf>
    <xf numFmtId="180" fontId="30" fillId="0" borderId="92" xfId="25" applyNumberFormat="1" applyFont="1" applyFill="1" applyBorder="1" applyAlignment="1" applyProtection="1">
      <alignment vertical="center"/>
      <protection locked="0"/>
    </xf>
    <xf numFmtId="181" fontId="30" fillId="0" borderId="93" xfId="0" applyNumberFormat="1" applyFont="1" applyFill="1" applyBorder="1" applyAlignment="1" applyProtection="1">
      <alignment horizontal="right" vertical="center"/>
      <protection locked="0"/>
    </xf>
    <xf numFmtId="181" fontId="30" fillId="0" borderId="94" xfId="0" applyNumberFormat="1" applyFont="1" applyFill="1" applyBorder="1" applyAlignment="1" applyProtection="1">
      <alignment horizontal="right" vertical="center"/>
      <protection locked="0"/>
    </xf>
    <xf numFmtId="180" fontId="30" fillId="5" borderId="89" xfId="25" applyNumberFormat="1" applyFont="1" applyFill="1" applyBorder="1" applyAlignment="1" applyProtection="1">
      <alignment vertical="center"/>
      <protection locked="0"/>
    </xf>
    <xf numFmtId="181" fontId="30" fillId="5" borderId="90" xfId="0" applyNumberFormat="1" applyFont="1" applyFill="1" applyBorder="1" applyAlignment="1" applyProtection="1">
      <alignment horizontal="right" vertical="center"/>
      <protection locked="0"/>
    </xf>
    <xf numFmtId="181" fontId="30" fillId="5" borderId="103" xfId="0" applyNumberFormat="1" applyFont="1" applyFill="1" applyBorder="1" applyAlignment="1" applyProtection="1">
      <alignment horizontal="right" vertical="center"/>
      <protection locked="0"/>
    </xf>
    <xf numFmtId="0" fontId="33" fillId="19" borderId="3" xfId="0" applyFont="1" applyFill="1" applyBorder="1" applyAlignment="1">
      <alignment horizontal="left" vertical="center" wrapText="1"/>
    </xf>
    <xf numFmtId="182" fontId="33" fillId="19" borderId="104" xfId="0" applyNumberFormat="1" applyFont="1" applyFill="1" applyBorder="1" applyAlignment="1">
      <alignment horizontal="center" vertical="center"/>
    </xf>
    <xf numFmtId="182" fontId="33" fillId="19" borderId="105" xfId="0" applyNumberFormat="1" applyFont="1" applyFill="1" applyBorder="1" applyAlignment="1">
      <alignment horizontal="center" vertical="center"/>
    </xf>
    <xf numFmtId="182" fontId="33" fillId="19" borderId="106" xfId="0" applyNumberFormat="1" applyFont="1" applyFill="1" applyBorder="1" applyAlignment="1">
      <alignment horizontal="center" vertical="center"/>
    </xf>
    <xf numFmtId="0" fontId="33" fillId="19" borderId="23" xfId="0" applyFont="1" applyFill="1" applyBorder="1" applyAlignment="1">
      <alignment horizontal="left" vertical="center" wrapText="1"/>
    </xf>
    <xf numFmtId="180" fontId="33" fillId="19" borderId="107" xfId="25" applyNumberFormat="1" applyFont="1" applyFill="1" applyBorder="1" applyAlignment="1">
      <alignment horizontal="center" vertical="center" wrapText="1"/>
    </xf>
    <xf numFmtId="0" fontId="31" fillId="0" borderId="14" xfId="0" applyFont="1" applyBorder="1" applyAlignment="1">
      <alignment horizontal="left" vertical="center" wrapText="1"/>
    </xf>
    <xf numFmtId="180" fontId="30" fillId="0" borderId="108" xfId="25" applyNumberFormat="1" applyFont="1" applyFill="1" applyBorder="1" applyAlignment="1" applyProtection="1">
      <alignment vertical="center"/>
      <protection locked="0"/>
    </xf>
    <xf numFmtId="181" fontId="30" fillId="0" borderId="109" xfId="0" applyNumberFormat="1" applyFont="1" applyFill="1" applyBorder="1" applyAlignment="1" applyProtection="1">
      <alignment horizontal="right" vertical="center"/>
      <protection locked="0"/>
    </xf>
    <xf numFmtId="181" fontId="30" fillId="0" borderId="110" xfId="0" applyNumberFormat="1" applyFont="1" applyFill="1" applyBorder="1" applyAlignment="1" applyProtection="1">
      <alignment horizontal="right" vertical="center"/>
      <protection locked="0"/>
    </xf>
    <xf numFmtId="0" fontId="7" fillId="0" borderId="109" xfId="0" applyFont="1" applyBorder="1" applyAlignment="1">
      <alignment horizontal="center" vertical="center"/>
    </xf>
    <xf numFmtId="14" fontId="7" fillId="0" borderId="111" xfId="0" applyNumberFormat="1" applyFont="1" applyBorder="1" applyAlignment="1">
      <alignment horizontal="center" vertical="center"/>
    </xf>
    <xf numFmtId="14" fontId="7" fillId="0" borderId="112" xfId="0" applyNumberFormat="1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 wrapText="1"/>
    </xf>
    <xf numFmtId="14" fontId="7" fillId="0" borderId="113" xfId="0" applyNumberFormat="1" applyFont="1" applyBorder="1" applyAlignment="1">
      <alignment horizontal="center" vertical="center"/>
    </xf>
    <xf numFmtId="0" fontId="33" fillId="22" borderId="12" xfId="0" applyFont="1" applyFill="1" applyBorder="1" applyAlignment="1">
      <alignment horizontal="center" vertical="center"/>
    </xf>
    <xf numFmtId="14" fontId="33" fillId="22" borderId="114" xfId="0" applyNumberFormat="1" applyFont="1" applyFill="1" applyBorder="1" applyAlignment="1">
      <alignment horizontal="center" vertical="center" wrapText="1"/>
    </xf>
    <xf numFmtId="14" fontId="33" fillId="22" borderId="115" xfId="0" applyNumberFormat="1" applyFont="1" applyFill="1" applyBorder="1" applyAlignment="1">
      <alignment horizontal="center" vertical="center" wrapText="1"/>
    </xf>
    <xf numFmtId="14" fontId="33" fillId="22" borderId="116" xfId="0" applyNumberFormat="1" applyFont="1" applyFill="1" applyBorder="1" applyAlignment="1">
      <alignment horizontal="center" vertical="center" wrapText="1"/>
    </xf>
    <xf numFmtId="14" fontId="33" fillId="22" borderId="117" xfId="0" applyNumberFormat="1" applyFont="1" applyFill="1" applyBorder="1" applyAlignment="1">
      <alignment horizontal="center" vertical="center" wrapText="1"/>
    </xf>
    <xf numFmtId="0" fontId="30" fillId="0" borderId="25" xfId="0" applyFont="1" applyBorder="1"/>
    <xf numFmtId="0" fontId="30" fillId="0" borderId="101" xfId="0" applyFont="1" applyBorder="1"/>
    <xf numFmtId="0" fontId="30" fillId="0" borderId="20" xfId="0" applyFont="1" applyBorder="1"/>
    <xf numFmtId="0" fontId="30" fillId="0" borderId="41" xfId="0" applyFont="1" applyBorder="1"/>
    <xf numFmtId="14" fontId="33" fillId="0" borderId="85" xfId="0" applyNumberFormat="1" applyFont="1" applyFill="1" applyBorder="1" applyAlignment="1">
      <alignment horizontal="center" vertical="center" wrapText="1"/>
    </xf>
    <xf numFmtId="14" fontId="33" fillId="0" borderId="0" xfId="0" applyNumberFormat="1" applyFont="1" applyFill="1" applyBorder="1" applyAlignment="1">
      <alignment horizontal="center" vertical="center" wrapText="1"/>
    </xf>
    <xf numFmtId="14" fontId="33" fillId="0" borderId="63" xfId="0" applyNumberFormat="1" applyFont="1" applyFill="1" applyBorder="1" applyAlignment="1">
      <alignment horizontal="center" vertical="center" wrapText="1"/>
    </xf>
    <xf numFmtId="0" fontId="30" fillId="0" borderId="100" xfId="0" applyFont="1" applyBorder="1" applyAlignment="1">
      <alignment horizontal="left" vertical="center" wrapText="1"/>
    </xf>
    <xf numFmtId="0" fontId="30" fillId="0" borderId="101" xfId="0" applyFont="1" applyBorder="1" applyAlignment="1">
      <alignment horizontal="left" vertical="center" wrapText="1"/>
    </xf>
    <xf numFmtId="0" fontId="30" fillId="0" borderId="85" xfId="0" applyFont="1" applyBorder="1" applyAlignment="1">
      <alignment horizontal="left" vertical="center" wrapText="1"/>
    </xf>
    <xf numFmtId="14" fontId="33" fillId="23" borderId="127" xfId="0" applyNumberFormat="1" applyFont="1" applyFill="1" applyBorder="1" applyAlignment="1">
      <alignment horizontal="center" vertical="center" wrapText="1"/>
    </xf>
    <xf numFmtId="14" fontId="33" fillId="20" borderId="127" xfId="0" applyNumberFormat="1" applyFont="1" applyFill="1" applyBorder="1" applyAlignment="1">
      <alignment horizontal="center" vertical="center" wrapText="1"/>
    </xf>
    <xf numFmtId="14" fontId="8" fillId="23" borderId="128" xfId="0" applyNumberFormat="1" applyFont="1" applyFill="1" applyBorder="1" applyAlignment="1">
      <alignment horizontal="center" vertical="center"/>
    </xf>
    <xf numFmtId="0" fontId="0" fillId="0" borderId="114" xfId="0" applyBorder="1" applyAlignment="1">
      <alignment vertical="center"/>
    </xf>
    <xf numFmtId="0" fontId="0" fillId="0" borderId="115" xfId="0" applyBorder="1" applyAlignment="1">
      <alignment vertical="center"/>
    </xf>
    <xf numFmtId="0" fontId="0" fillId="0" borderId="25" xfId="0" applyBorder="1" applyAlignment="1">
      <alignment vertical="center"/>
    </xf>
    <xf numFmtId="9" fontId="33" fillId="20" borderId="127" xfId="24" applyFont="1" applyFill="1" applyBorder="1" applyAlignment="1">
      <alignment vertical="center"/>
    </xf>
    <xf numFmtId="0" fontId="33" fillId="20" borderId="12" xfId="0" applyFont="1" applyFill="1" applyBorder="1" applyAlignment="1">
      <alignment horizontal="left" vertical="center" wrapText="1"/>
    </xf>
    <xf numFmtId="182" fontId="33" fillId="20" borderId="128" xfId="25" applyNumberFormat="1" applyFont="1" applyFill="1" applyBorder="1" applyAlignment="1">
      <alignment vertical="center"/>
    </xf>
    <xf numFmtId="14" fontId="33" fillId="20" borderId="98" xfId="0" applyNumberFormat="1" applyFont="1" applyFill="1" applyBorder="1" applyAlignment="1">
      <alignment horizontal="left" vertical="center"/>
    </xf>
    <xf numFmtId="0" fontId="30" fillId="0" borderId="101" xfId="29" applyFont="1" applyBorder="1" applyAlignment="1">
      <alignment vertical="center"/>
    </xf>
    <xf numFmtId="0" fontId="30" fillId="0" borderId="85" xfId="29" applyFont="1" applyBorder="1" applyAlignment="1">
      <alignment vertical="center"/>
    </xf>
    <xf numFmtId="0" fontId="33" fillId="0" borderId="98" xfId="29" applyFont="1" applyBorder="1" applyAlignment="1">
      <alignment vertical="center"/>
    </xf>
    <xf numFmtId="0" fontId="33" fillId="20" borderId="98" xfId="29" applyFont="1" applyFill="1" applyBorder="1" applyAlignment="1">
      <alignment vertical="center"/>
    </xf>
    <xf numFmtId="14" fontId="33" fillId="20" borderId="128" xfId="0" applyNumberFormat="1" applyFont="1" applyFill="1" applyBorder="1" applyAlignment="1">
      <alignment horizontal="center" vertical="center" wrapText="1"/>
    </xf>
    <xf numFmtId="14" fontId="33" fillId="20" borderId="129" xfId="0" applyNumberFormat="1" applyFont="1" applyFill="1" applyBorder="1" applyAlignment="1">
      <alignment horizontal="center" vertical="center" wrapText="1"/>
    </xf>
    <xf numFmtId="182" fontId="30" fillId="0" borderId="97" xfId="29" applyNumberFormat="1" applyFont="1" applyBorder="1" applyAlignment="1">
      <alignment vertical="center"/>
    </xf>
    <xf numFmtId="182" fontId="30" fillId="0" borderId="130" xfId="29" applyNumberFormat="1" applyFont="1" applyBorder="1" applyAlignment="1">
      <alignment vertical="center"/>
    </xf>
    <xf numFmtId="182" fontId="30" fillId="0" borderId="96" xfId="29" applyNumberFormat="1" applyFont="1" applyBorder="1" applyAlignment="1">
      <alignment vertical="center"/>
    </xf>
    <xf numFmtId="182" fontId="33" fillId="0" borderId="128" xfId="29" applyNumberFormat="1" applyFont="1" applyBorder="1" applyAlignment="1">
      <alignment vertical="center"/>
    </xf>
    <xf numFmtId="182" fontId="33" fillId="0" borderId="129" xfId="29" applyNumberFormat="1" applyFont="1" applyBorder="1" applyAlignment="1">
      <alignment vertical="center"/>
    </xf>
    <xf numFmtId="182" fontId="33" fillId="0" borderId="127" xfId="29" applyNumberFormat="1" applyFont="1" applyBorder="1" applyAlignment="1">
      <alignment vertical="center"/>
    </xf>
    <xf numFmtId="182" fontId="33" fillId="20" borderId="128" xfId="29" applyNumberFormat="1" applyFont="1" applyFill="1" applyBorder="1" applyAlignment="1">
      <alignment vertical="center"/>
    </xf>
    <xf numFmtId="182" fontId="33" fillId="20" borderId="129" xfId="29" applyNumberFormat="1" applyFont="1" applyFill="1" applyBorder="1" applyAlignment="1">
      <alignment vertical="center"/>
    </xf>
    <xf numFmtId="182" fontId="33" fillId="20" borderId="127" xfId="29" applyNumberFormat="1" applyFont="1" applyFill="1" applyBorder="1" applyAlignment="1">
      <alignment vertical="center"/>
    </xf>
    <xf numFmtId="0" fontId="30" fillId="0" borderId="138" xfId="0" applyFont="1" applyBorder="1"/>
    <xf numFmtId="0" fontId="30" fillId="0" borderId="133" xfId="0" applyFont="1" applyBorder="1"/>
    <xf numFmtId="0" fontId="30" fillId="0" borderId="134" xfId="0" applyFont="1" applyBorder="1"/>
    <xf numFmtId="0" fontId="30" fillId="0" borderId="20" xfId="29" applyFont="1" applyBorder="1" applyAlignment="1">
      <alignment vertical="center"/>
    </xf>
    <xf numFmtId="182" fontId="30" fillId="0" borderId="138" xfId="0" applyNumberFormat="1" applyFont="1" applyBorder="1"/>
    <xf numFmtId="182" fontId="30" fillId="0" borderId="133" xfId="0" applyNumberFormat="1" applyFont="1" applyBorder="1"/>
    <xf numFmtId="182" fontId="30" fillId="0" borderId="134" xfId="0" applyNumberFormat="1" applyFont="1" applyBorder="1"/>
    <xf numFmtId="0" fontId="30" fillId="0" borderId="41" xfId="29" applyFont="1" applyBorder="1" applyAlignment="1">
      <alignment vertical="center"/>
    </xf>
    <xf numFmtId="0" fontId="33" fillId="24" borderId="12" xfId="29" applyFont="1" applyFill="1" applyBorder="1" applyAlignment="1">
      <alignment vertical="center"/>
    </xf>
    <xf numFmtId="0" fontId="33" fillId="0" borderId="12" xfId="29" applyFont="1" applyBorder="1" applyAlignment="1">
      <alignment vertical="center"/>
    </xf>
    <xf numFmtId="180" fontId="30" fillId="0" borderId="20" xfId="25" applyNumberFormat="1" applyFont="1" applyBorder="1" applyAlignment="1">
      <alignment vertical="center"/>
    </xf>
    <xf numFmtId="0" fontId="30" fillId="0" borderId="12" xfId="0" applyFont="1" applyBorder="1"/>
    <xf numFmtId="180" fontId="30" fillId="0" borderId="20" xfId="0" applyNumberFormat="1" applyFont="1" applyBorder="1"/>
    <xf numFmtId="0" fontId="33" fillId="24" borderId="131" xfId="0" applyFont="1" applyFill="1" applyBorder="1" applyAlignment="1">
      <alignment horizontal="center" vertical="center"/>
    </xf>
    <xf numFmtId="0" fontId="33" fillId="24" borderId="133" xfId="0" applyFont="1" applyFill="1" applyBorder="1" applyAlignment="1">
      <alignment horizontal="center" vertical="center"/>
    </xf>
    <xf numFmtId="0" fontId="33" fillId="24" borderId="134" xfId="0" applyFont="1" applyFill="1" applyBorder="1" applyAlignment="1">
      <alignment horizontal="center" vertical="center"/>
    </xf>
    <xf numFmtId="185" fontId="30" fillId="24" borderId="135" xfId="0" applyNumberFormat="1" applyFont="1" applyFill="1" applyBorder="1" applyAlignment="1">
      <alignment vertical="center"/>
    </xf>
    <xf numFmtId="0" fontId="30" fillId="24" borderId="135" xfId="0" applyFont="1" applyFill="1" applyBorder="1" applyAlignment="1">
      <alignment vertical="center"/>
    </xf>
    <xf numFmtId="0" fontId="30" fillId="24" borderId="136" xfId="0" applyFont="1" applyFill="1" applyBorder="1" applyAlignment="1">
      <alignment vertical="center"/>
    </xf>
    <xf numFmtId="0" fontId="30" fillId="24" borderId="137" xfId="0" applyFont="1" applyFill="1" applyBorder="1" applyAlignment="1">
      <alignment vertical="center"/>
    </xf>
    <xf numFmtId="0" fontId="30" fillId="0" borderId="25" xfId="0" applyFont="1" applyBorder="1" applyAlignment="1">
      <alignment vertical="center"/>
    </xf>
    <xf numFmtId="0" fontId="30" fillId="0" borderId="138" xfId="0" applyFont="1" applyBorder="1" applyAlignment="1">
      <alignment vertical="center"/>
    </xf>
    <xf numFmtId="0" fontId="30" fillId="0" borderId="133" xfId="0" applyFont="1" applyBorder="1" applyAlignment="1">
      <alignment vertical="center"/>
    </xf>
    <xf numFmtId="0" fontId="30" fillId="0" borderId="134" xfId="0" applyFont="1" applyBorder="1" applyAlignment="1">
      <alignment vertical="center"/>
    </xf>
    <xf numFmtId="182" fontId="30" fillId="0" borderId="138" xfId="0" applyNumberFormat="1" applyFont="1" applyBorder="1" applyAlignment="1">
      <alignment vertical="center"/>
    </xf>
    <xf numFmtId="182" fontId="30" fillId="0" borderId="133" xfId="0" applyNumberFormat="1" applyFont="1" applyBorder="1" applyAlignment="1">
      <alignment vertical="center"/>
    </xf>
    <xf numFmtId="182" fontId="30" fillId="0" borderId="134" xfId="0" applyNumberFormat="1" applyFont="1" applyBorder="1" applyAlignment="1">
      <alignment vertical="center"/>
    </xf>
    <xf numFmtId="182" fontId="33" fillId="24" borderId="139" xfId="0" applyNumberFormat="1" applyFont="1" applyFill="1" applyBorder="1" applyAlignment="1">
      <alignment vertical="center"/>
    </xf>
    <xf numFmtId="182" fontId="33" fillId="24" borderId="140" xfId="0" applyNumberFormat="1" applyFont="1" applyFill="1" applyBorder="1" applyAlignment="1">
      <alignment vertical="center"/>
    </xf>
    <xf numFmtId="182" fontId="33" fillId="24" borderId="141" xfId="0" applyNumberFormat="1" applyFont="1" applyFill="1" applyBorder="1" applyAlignment="1">
      <alignment vertical="center"/>
    </xf>
    <xf numFmtId="182" fontId="30" fillId="0" borderId="131" xfId="0" applyNumberFormat="1" applyFont="1" applyBorder="1" applyAlignment="1">
      <alignment vertical="center"/>
    </xf>
    <xf numFmtId="182" fontId="30" fillId="0" borderId="135" xfId="0" applyNumberFormat="1" applyFont="1" applyBorder="1" applyAlignment="1">
      <alignment vertical="center"/>
    </xf>
    <xf numFmtId="182" fontId="33" fillId="0" borderId="139" xfId="0" applyNumberFormat="1" applyFont="1" applyBorder="1" applyAlignment="1">
      <alignment vertical="center"/>
    </xf>
    <xf numFmtId="182" fontId="33" fillId="0" borderId="140" xfId="0" applyNumberFormat="1" applyFont="1" applyBorder="1" applyAlignment="1">
      <alignment vertical="center"/>
    </xf>
    <xf numFmtId="182" fontId="33" fillId="0" borderId="141" xfId="0" applyNumberFormat="1" applyFont="1" applyBorder="1" applyAlignment="1">
      <alignment vertical="center"/>
    </xf>
    <xf numFmtId="0" fontId="30" fillId="0" borderId="20" xfId="0" applyFont="1" applyBorder="1" applyAlignment="1">
      <alignment vertical="center"/>
    </xf>
    <xf numFmtId="0" fontId="30" fillId="0" borderId="12" xfId="0" applyFont="1" applyBorder="1" applyAlignment="1">
      <alignment vertical="center"/>
    </xf>
    <xf numFmtId="0" fontId="30" fillId="0" borderId="139" xfId="0" applyFont="1" applyBorder="1" applyAlignment="1">
      <alignment vertical="center"/>
    </xf>
    <xf numFmtId="0" fontId="30" fillId="0" borderId="140" xfId="0" applyFont="1" applyBorder="1" applyAlignment="1">
      <alignment vertical="center"/>
    </xf>
    <xf numFmtId="0" fontId="30" fillId="0" borderId="141" xfId="0" applyFont="1" applyBorder="1" applyAlignment="1">
      <alignment vertical="center"/>
    </xf>
    <xf numFmtId="0" fontId="30" fillId="0" borderId="101" xfId="0" applyFont="1" applyBorder="1" applyAlignment="1">
      <alignment vertical="center"/>
    </xf>
    <xf numFmtId="0" fontId="30" fillId="0" borderId="102" xfId="0" applyFont="1" applyBorder="1" applyAlignment="1">
      <alignment vertical="center"/>
    </xf>
    <xf numFmtId="0" fontId="30" fillId="0" borderId="118" xfId="0" applyFont="1" applyBorder="1" applyAlignment="1">
      <alignment vertical="center"/>
    </xf>
    <xf numFmtId="0" fontId="33" fillId="24" borderId="132" xfId="0" applyFont="1" applyFill="1" applyBorder="1" applyAlignment="1">
      <alignment horizontal="center" vertical="center"/>
    </xf>
    <xf numFmtId="0" fontId="33" fillId="24" borderId="142" xfId="0" applyFont="1" applyFill="1" applyBorder="1" applyAlignment="1">
      <alignment horizontal="center" vertical="center"/>
    </xf>
    <xf numFmtId="0" fontId="33" fillId="0" borderId="20" xfId="0" applyFont="1" applyBorder="1" applyAlignment="1">
      <alignment vertical="center"/>
    </xf>
    <xf numFmtId="0" fontId="30" fillId="0" borderId="85" xfId="0" applyFont="1" applyBorder="1" applyAlignment="1">
      <alignment vertical="center"/>
    </xf>
    <xf numFmtId="0" fontId="30" fillId="0" borderId="63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41" xfId="0" applyFont="1" applyBorder="1" applyAlignment="1">
      <alignment vertical="center"/>
    </xf>
    <xf numFmtId="180" fontId="30" fillId="0" borderId="85" xfId="25" applyNumberFormat="1" applyFont="1" applyBorder="1" applyAlignment="1">
      <alignment vertical="center"/>
    </xf>
    <xf numFmtId="0" fontId="44" fillId="0" borderId="20" xfId="0" applyFont="1" applyBorder="1" applyAlignment="1">
      <alignment vertical="center"/>
    </xf>
    <xf numFmtId="180" fontId="30" fillId="0" borderId="100" xfId="25" applyNumberFormat="1" applyFont="1" applyBorder="1" applyAlignment="1">
      <alignment vertical="center"/>
    </xf>
    <xf numFmtId="9" fontId="33" fillId="0" borderId="63" xfId="27" applyFont="1" applyBorder="1" applyAlignment="1">
      <alignment vertical="center"/>
    </xf>
    <xf numFmtId="9" fontId="33" fillId="0" borderId="0" xfId="27" applyFont="1" applyBorder="1" applyAlignment="1">
      <alignment vertical="center"/>
    </xf>
    <xf numFmtId="0" fontId="33" fillId="0" borderId="0" xfId="0" applyFont="1" applyFill="1" applyBorder="1" applyAlignment="1">
      <alignment horizontal="center" vertical="center"/>
    </xf>
    <xf numFmtId="0" fontId="33" fillId="0" borderId="63" xfId="0" applyFont="1" applyFill="1" applyBorder="1" applyAlignment="1">
      <alignment horizontal="center" vertical="center"/>
    </xf>
    <xf numFmtId="0" fontId="30" fillId="0" borderId="132" xfId="0" applyFont="1" applyBorder="1" applyAlignment="1">
      <alignment vertical="center"/>
    </xf>
    <xf numFmtId="0" fontId="30" fillId="0" borderId="142" xfId="0" applyFont="1" applyBorder="1" applyAlignment="1">
      <alignment vertical="center"/>
    </xf>
    <xf numFmtId="0" fontId="30" fillId="0" borderId="136" xfId="0" applyFont="1" applyBorder="1" applyAlignment="1">
      <alignment vertical="center"/>
    </xf>
    <xf numFmtId="0" fontId="30" fillId="0" borderId="137" xfId="0" applyFont="1" applyBorder="1" applyAlignment="1">
      <alignment vertical="center"/>
    </xf>
    <xf numFmtId="2" fontId="33" fillId="0" borderId="63" xfId="27" applyNumberFormat="1" applyFont="1" applyBorder="1" applyAlignment="1">
      <alignment vertical="center"/>
    </xf>
    <xf numFmtId="2" fontId="33" fillId="0" borderId="0" xfId="27" applyNumberFormat="1" applyFont="1" applyBorder="1" applyAlignment="1">
      <alignment vertical="center"/>
    </xf>
    <xf numFmtId="180" fontId="30" fillId="0" borderId="101" xfId="25" applyNumberFormat="1" applyFont="1" applyBorder="1" applyAlignment="1">
      <alignment vertical="center"/>
    </xf>
    <xf numFmtId="183" fontId="33" fillId="0" borderId="85" xfId="25" applyNumberFormat="1" applyFont="1" applyBorder="1" applyAlignment="1">
      <alignment vertical="center"/>
    </xf>
    <xf numFmtId="0" fontId="33" fillId="0" borderId="63" xfId="0" applyFont="1" applyBorder="1" applyAlignment="1">
      <alignment vertical="center"/>
    </xf>
    <xf numFmtId="0" fontId="33" fillId="0" borderId="0" xfId="0" applyFont="1" applyBorder="1" applyAlignment="1">
      <alignment vertical="center"/>
    </xf>
    <xf numFmtId="0" fontId="30" fillId="0" borderId="100" xfId="0" applyFont="1" applyBorder="1" applyAlignment="1">
      <alignment vertical="center"/>
    </xf>
    <xf numFmtId="0" fontId="30" fillId="0" borderId="120" xfId="0" applyFont="1" applyBorder="1" applyAlignment="1">
      <alignment vertical="center"/>
    </xf>
    <xf numFmtId="0" fontId="30" fillId="0" borderId="119" xfId="0" applyFont="1" applyBorder="1" applyAlignment="1">
      <alignment vertical="center"/>
    </xf>
    <xf numFmtId="180" fontId="30" fillId="0" borderId="101" xfId="25" applyNumberFormat="1" applyFont="1" applyFill="1" applyBorder="1" applyAlignment="1">
      <alignment vertical="center"/>
    </xf>
    <xf numFmtId="0" fontId="30" fillId="0" borderId="118" xfId="0" applyFont="1" applyFill="1" applyBorder="1" applyAlignment="1">
      <alignment vertical="center"/>
    </xf>
    <xf numFmtId="180" fontId="30" fillId="0" borderId="118" xfId="25" applyNumberFormat="1" applyFont="1" applyFill="1" applyBorder="1" applyAlignment="1">
      <alignment vertical="center"/>
    </xf>
    <xf numFmtId="180" fontId="30" fillId="0" borderId="102" xfId="25" applyNumberFormat="1" applyFont="1" applyFill="1" applyBorder="1" applyAlignment="1">
      <alignment vertical="center"/>
    </xf>
    <xf numFmtId="180" fontId="30" fillId="0" borderId="100" xfId="25" applyNumberFormat="1" applyFont="1" applyFill="1" applyBorder="1" applyAlignment="1">
      <alignment vertical="center"/>
    </xf>
    <xf numFmtId="0" fontId="30" fillId="0" borderId="119" xfId="0" applyFont="1" applyFill="1" applyBorder="1" applyAlignment="1">
      <alignment vertical="center"/>
    </xf>
    <xf numFmtId="180" fontId="30" fillId="0" borderId="120" xfId="25" applyNumberFormat="1" applyFont="1" applyFill="1" applyBorder="1" applyAlignment="1">
      <alignment vertical="center"/>
    </xf>
    <xf numFmtId="184" fontId="30" fillId="0" borderId="0" xfId="0" applyNumberFormat="1" applyFont="1" applyAlignment="1">
      <alignment vertical="center"/>
    </xf>
    <xf numFmtId="0" fontId="30" fillId="0" borderId="118" xfId="0" applyFont="1" applyBorder="1" applyAlignment="1" applyProtection="1">
      <alignment vertical="center"/>
    </xf>
    <xf numFmtId="0" fontId="30" fillId="0" borderId="119" xfId="0" applyFont="1" applyBorder="1" applyAlignment="1" applyProtection="1">
      <alignment vertical="center"/>
    </xf>
    <xf numFmtId="0" fontId="30" fillId="0" borderId="0" xfId="0" applyFont="1" applyAlignment="1" applyProtection="1">
      <alignment vertical="center"/>
    </xf>
    <xf numFmtId="180" fontId="30" fillId="0" borderId="118" xfId="25" applyNumberFormat="1" applyFont="1" applyBorder="1" applyAlignment="1">
      <alignment vertical="center"/>
    </xf>
    <xf numFmtId="180" fontId="30" fillId="0" borderId="118" xfId="25" applyNumberFormat="1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33" fillId="0" borderId="98" xfId="0" applyFont="1" applyBorder="1" applyAlignment="1">
      <alignment vertical="center"/>
    </xf>
    <xf numFmtId="180" fontId="33" fillId="0" borderId="22" xfId="0" applyNumberFormat="1" applyFont="1" applyBorder="1" applyAlignment="1">
      <alignment vertical="center"/>
    </xf>
    <xf numFmtId="0" fontId="33" fillId="0" borderId="22" xfId="0" applyFont="1" applyBorder="1" applyAlignment="1" applyProtection="1">
      <alignment vertical="center"/>
    </xf>
    <xf numFmtId="180" fontId="33" fillId="0" borderId="99" xfId="0" applyNumberFormat="1" applyFont="1" applyBorder="1" applyAlignment="1">
      <alignment vertical="center"/>
    </xf>
    <xf numFmtId="180" fontId="30" fillId="0" borderId="0" xfId="25" applyNumberFormat="1" applyFont="1" applyBorder="1" applyAlignment="1">
      <alignment vertical="center"/>
    </xf>
    <xf numFmtId="180" fontId="30" fillId="0" borderId="63" xfId="25" applyNumberFormat="1" applyFont="1" applyBorder="1" applyAlignment="1">
      <alignment vertical="center"/>
    </xf>
    <xf numFmtId="180" fontId="30" fillId="0" borderId="119" xfId="25" applyNumberFormat="1" applyFont="1" applyBorder="1" applyAlignment="1">
      <alignment vertical="center"/>
    </xf>
    <xf numFmtId="180" fontId="30" fillId="0" borderId="120" xfId="25" applyNumberFormat="1" applyFont="1" applyBorder="1" applyAlignment="1">
      <alignment vertical="center"/>
    </xf>
    <xf numFmtId="0" fontId="33" fillId="25" borderId="138" xfId="0" applyFont="1" applyFill="1" applyBorder="1" applyAlignment="1">
      <alignment horizontal="center" vertical="center"/>
    </xf>
    <xf numFmtId="0" fontId="7" fillId="0" borderId="110" xfId="0" applyFont="1" applyBorder="1" applyAlignment="1">
      <alignment horizontal="center" vertical="center" wrapText="1"/>
    </xf>
    <xf numFmtId="0" fontId="33" fillId="26" borderId="131" xfId="0" applyFont="1" applyFill="1" applyBorder="1" applyAlignment="1">
      <alignment horizontal="center"/>
    </xf>
    <xf numFmtId="14" fontId="33" fillId="0" borderId="0" xfId="0" applyNumberFormat="1" applyFont="1"/>
    <xf numFmtId="185" fontId="33" fillId="26" borderId="135" xfId="0" applyNumberFormat="1" applyFont="1" applyFill="1" applyBorder="1" applyAlignment="1">
      <alignment horizontal="center"/>
    </xf>
    <xf numFmtId="0" fontId="30" fillId="26" borderId="135" xfId="0" applyFont="1" applyFill="1" applyBorder="1"/>
    <xf numFmtId="0" fontId="30" fillId="26" borderId="136" xfId="0" applyFont="1" applyFill="1" applyBorder="1"/>
    <xf numFmtId="0" fontId="30" fillId="26" borderId="137" xfId="0" applyFont="1" applyFill="1" applyBorder="1"/>
    <xf numFmtId="0" fontId="33" fillId="26" borderId="12" xfId="29" applyFont="1" applyFill="1" applyBorder="1" applyAlignment="1">
      <alignment vertical="center"/>
    </xf>
    <xf numFmtId="182" fontId="33" fillId="26" borderId="139" xfId="0" applyNumberFormat="1" applyFont="1" applyFill="1" applyBorder="1"/>
    <xf numFmtId="182" fontId="33" fillId="26" borderId="140" xfId="0" applyNumberFormat="1" applyFont="1" applyFill="1" applyBorder="1"/>
    <xf numFmtId="182" fontId="33" fillId="26" borderId="141" xfId="0" applyNumberFormat="1" applyFont="1" applyFill="1" applyBorder="1"/>
    <xf numFmtId="182" fontId="33" fillId="0" borderId="138" xfId="0" applyNumberFormat="1" applyFont="1" applyBorder="1"/>
    <xf numFmtId="182" fontId="33" fillId="0" borderId="133" xfId="0" applyNumberFormat="1" applyFont="1" applyBorder="1"/>
    <xf numFmtId="182" fontId="33" fillId="0" borderId="134" xfId="0" applyNumberFormat="1" applyFont="1" applyBorder="1"/>
    <xf numFmtId="0" fontId="30" fillId="0" borderId="22" xfId="0" applyFont="1" applyBorder="1"/>
    <xf numFmtId="0" fontId="30" fillId="0" borderId="99" xfId="0" applyFont="1" applyBorder="1"/>
    <xf numFmtId="0" fontId="33" fillId="0" borderId="25" xfId="29" applyFont="1" applyBorder="1" applyAlignment="1">
      <alignment horizontal="center" vertical="center" wrapText="1"/>
    </xf>
    <xf numFmtId="180" fontId="30" fillId="0" borderId="25" xfId="0" applyNumberFormat="1" applyFont="1" applyBorder="1"/>
    <xf numFmtId="182" fontId="30" fillId="0" borderId="131" xfId="25" applyNumberFormat="1" applyFont="1" applyBorder="1"/>
    <xf numFmtId="182" fontId="30" fillId="0" borderId="132" xfId="25" applyNumberFormat="1" applyFont="1" applyBorder="1"/>
    <xf numFmtId="182" fontId="30" fillId="0" borderId="142" xfId="25" applyNumberFormat="1" applyFont="1" applyBorder="1"/>
    <xf numFmtId="180" fontId="30" fillId="0" borderId="138" xfId="25" applyNumberFormat="1" applyFont="1" applyFill="1" applyBorder="1"/>
    <xf numFmtId="180" fontId="30" fillId="0" borderId="133" xfId="25" applyNumberFormat="1" applyFont="1" applyFill="1" applyBorder="1"/>
    <xf numFmtId="180" fontId="30" fillId="0" borderId="134" xfId="25" applyNumberFormat="1" applyFont="1" applyFill="1" applyBorder="1"/>
    <xf numFmtId="0" fontId="30" fillId="0" borderId="100" xfId="29" applyFont="1" applyBorder="1" applyAlignment="1">
      <alignment vertical="center"/>
    </xf>
    <xf numFmtId="180" fontId="30" fillId="0" borderId="135" xfId="25" applyNumberFormat="1" applyFont="1" applyFill="1" applyBorder="1"/>
    <xf numFmtId="180" fontId="30" fillId="0" borderId="136" xfId="25" applyNumberFormat="1" applyFont="1" applyFill="1" applyBorder="1"/>
    <xf numFmtId="180" fontId="30" fillId="0" borderId="137" xfId="25" applyNumberFormat="1" applyFont="1" applyFill="1" applyBorder="1"/>
    <xf numFmtId="0" fontId="33" fillId="27" borderId="149" xfId="0" applyFont="1" applyFill="1" applyBorder="1" applyAlignment="1">
      <alignment horizontal="center"/>
    </xf>
    <xf numFmtId="0" fontId="33" fillId="26" borderId="150" xfId="0" applyFont="1" applyFill="1" applyBorder="1" applyAlignment="1">
      <alignment horizontal="center"/>
    </xf>
    <xf numFmtId="0" fontId="33" fillId="26" borderId="151" xfId="0" applyFont="1" applyFill="1" applyBorder="1" applyAlignment="1">
      <alignment horizontal="center"/>
    </xf>
    <xf numFmtId="182" fontId="30" fillId="0" borderId="20" xfId="29" applyNumberFormat="1" applyFont="1" applyBorder="1" applyAlignment="1">
      <alignment vertical="center"/>
    </xf>
    <xf numFmtId="182" fontId="30" fillId="5" borderId="138" xfId="0" applyNumberFormat="1" applyFont="1" applyFill="1" applyBorder="1" applyProtection="1">
      <protection locked="0"/>
    </xf>
    <xf numFmtId="182" fontId="30" fillId="5" borderId="133" xfId="0" applyNumberFormat="1" applyFont="1" applyFill="1" applyBorder="1" applyProtection="1">
      <protection locked="0"/>
    </xf>
    <xf numFmtId="182" fontId="30" fillId="5" borderId="134" xfId="0" applyNumberFormat="1" applyFont="1" applyFill="1" applyBorder="1" applyProtection="1">
      <protection locked="0"/>
    </xf>
    <xf numFmtId="182" fontId="30" fillId="5" borderId="139" xfId="0" applyNumberFormat="1" applyFont="1" applyFill="1" applyBorder="1" applyProtection="1">
      <protection locked="0"/>
    </xf>
    <xf numFmtId="182" fontId="30" fillId="5" borderId="140" xfId="0" applyNumberFormat="1" applyFont="1" applyFill="1" applyBorder="1" applyProtection="1">
      <protection locked="0"/>
    </xf>
    <xf numFmtId="182" fontId="30" fillId="5" borderId="141" xfId="0" applyNumberFormat="1" applyFont="1" applyFill="1" applyBorder="1" applyProtection="1">
      <protection locked="0"/>
    </xf>
    <xf numFmtId="182" fontId="30" fillId="5" borderId="135" xfId="0" applyNumberFormat="1" applyFont="1" applyFill="1" applyBorder="1" applyProtection="1">
      <protection locked="0"/>
    </xf>
    <xf numFmtId="182" fontId="30" fillId="5" borderId="136" xfId="0" applyNumberFormat="1" applyFont="1" applyFill="1" applyBorder="1" applyProtection="1">
      <protection locked="0"/>
    </xf>
    <xf numFmtId="182" fontId="30" fillId="5" borderId="137" xfId="0" applyNumberFormat="1" applyFont="1" applyFill="1" applyBorder="1" applyProtection="1">
      <protection locked="0"/>
    </xf>
    <xf numFmtId="182" fontId="30" fillId="5" borderId="131" xfId="25" applyNumberFormat="1" applyFont="1" applyFill="1" applyBorder="1" applyAlignment="1" applyProtection="1">
      <alignment vertical="center"/>
      <protection locked="0"/>
    </xf>
    <xf numFmtId="182" fontId="30" fillId="5" borderId="132" xfId="25" applyNumberFormat="1" applyFont="1" applyFill="1" applyBorder="1" applyAlignment="1" applyProtection="1">
      <alignment vertical="center"/>
      <protection locked="0"/>
    </xf>
    <xf numFmtId="182" fontId="30" fillId="5" borderId="142" xfId="25" applyNumberFormat="1" applyFont="1" applyFill="1" applyBorder="1" applyAlignment="1" applyProtection="1">
      <alignment vertical="center"/>
      <protection locked="0"/>
    </xf>
    <xf numFmtId="182" fontId="30" fillId="5" borderId="138" xfId="25" applyNumberFormat="1" applyFont="1" applyFill="1" applyBorder="1" applyAlignment="1" applyProtection="1">
      <alignment vertical="center"/>
      <protection locked="0"/>
    </xf>
    <xf numFmtId="182" fontId="30" fillId="5" borderId="133" xfId="25" applyNumberFormat="1" applyFont="1" applyFill="1" applyBorder="1" applyAlignment="1" applyProtection="1">
      <alignment vertical="center"/>
      <protection locked="0"/>
    </xf>
    <xf numFmtId="182" fontId="30" fillId="5" borderId="134" xfId="25" applyNumberFormat="1" applyFont="1" applyFill="1" applyBorder="1" applyAlignment="1" applyProtection="1">
      <alignment vertical="center"/>
      <protection locked="0"/>
    </xf>
    <xf numFmtId="180" fontId="30" fillId="5" borderId="131" xfId="25" applyNumberFormat="1" applyFont="1" applyFill="1" applyBorder="1" applyAlignment="1" applyProtection="1">
      <alignment vertical="center"/>
      <protection locked="0"/>
    </xf>
    <xf numFmtId="180" fontId="30" fillId="5" borderId="138" xfId="25" applyNumberFormat="1" applyFont="1" applyFill="1" applyBorder="1" applyAlignment="1" applyProtection="1">
      <alignment vertical="center"/>
      <protection locked="0"/>
    </xf>
    <xf numFmtId="180" fontId="30" fillId="5" borderId="135" xfId="25" applyNumberFormat="1" applyFont="1" applyFill="1" applyBorder="1" applyAlignment="1" applyProtection="1">
      <alignment vertical="center"/>
      <protection locked="0"/>
    </xf>
    <xf numFmtId="180" fontId="30" fillId="5" borderId="121" xfId="25" applyNumberFormat="1" applyFont="1" applyFill="1" applyBorder="1" applyAlignment="1" applyProtection="1">
      <alignment vertical="center"/>
      <protection locked="0"/>
    </xf>
    <xf numFmtId="180" fontId="30" fillId="5" borderId="124" xfId="25" applyNumberFormat="1" applyFont="1" applyFill="1" applyBorder="1" applyAlignment="1" applyProtection="1">
      <alignment vertical="center"/>
      <protection locked="0"/>
    </xf>
    <xf numFmtId="180" fontId="30" fillId="5" borderId="0" xfId="25" applyNumberFormat="1" applyFont="1" applyFill="1" applyBorder="1" applyAlignment="1" applyProtection="1">
      <alignment vertical="center"/>
      <protection locked="0"/>
    </xf>
    <xf numFmtId="181" fontId="30" fillId="5" borderId="0" xfId="0" applyNumberFormat="1" applyFont="1" applyFill="1" applyBorder="1" applyAlignment="1" applyProtection="1">
      <alignment horizontal="right" vertical="center"/>
      <protection locked="0"/>
    </xf>
    <xf numFmtId="181" fontId="30" fillId="5" borderId="63" xfId="0" applyNumberFormat="1" applyFont="1" applyFill="1" applyBorder="1" applyAlignment="1" applyProtection="1">
      <alignment horizontal="right" vertical="center"/>
      <protection locked="0"/>
    </xf>
    <xf numFmtId="181" fontId="30" fillId="5" borderId="102" xfId="0" applyNumberFormat="1" applyFont="1" applyFill="1" applyBorder="1" applyAlignment="1" applyProtection="1">
      <alignment horizontal="right" vertical="center"/>
      <protection locked="0"/>
    </xf>
    <xf numFmtId="181" fontId="30" fillId="5" borderId="123" xfId="0" applyNumberFormat="1" applyFont="1" applyFill="1" applyBorder="1" applyAlignment="1" applyProtection="1">
      <alignment horizontal="right" vertical="center"/>
      <protection locked="0"/>
    </xf>
    <xf numFmtId="181" fontId="30" fillId="5" borderId="126" xfId="0" applyNumberFormat="1" applyFont="1" applyFill="1" applyBorder="1" applyAlignment="1" applyProtection="1">
      <alignment horizontal="right" vertical="center"/>
      <protection locked="0"/>
    </xf>
    <xf numFmtId="181" fontId="30" fillId="5" borderId="122" xfId="0" applyNumberFormat="1" applyFont="1" applyFill="1" applyBorder="1" applyAlignment="1" applyProtection="1">
      <alignment horizontal="right" vertical="center"/>
      <protection locked="0"/>
    </xf>
    <xf numFmtId="181" fontId="30" fillId="5" borderId="125" xfId="0" applyNumberFormat="1" applyFont="1" applyFill="1" applyBorder="1" applyAlignment="1" applyProtection="1">
      <alignment horizontal="right" vertical="center"/>
      <protection locked="0"/>
    </xf>
    <xf numFmtId="0" fontId="8" fillId="6" borderId="19" xfId="0" applyFont="1" applyFill="1" applyBorder="1" applyAlignment="1">
      <alignment vertical="center"/>
    </xf>
    <xf numFmtId="0" fontId="0" fillId="8" borderId="97" xfId="0" applyFill="1" applyBorder="1" applyAlignment="1">
      <alignment vertical="center"/>
    </xf>
    <xf numFmtId="0" fontId="0" fillId="8" borderId="96" xfId="0" applyFill="1" applyBorder="1" applyAlignment="1">
      <alignment vertical="center"/>
    </xf>
    <xf numFmtId="0" fontId="0" fillId="8" borderId="156" xfId="0" applyFill="1" applyBorder="1" applyAlignment="1">
      <alignment vertical="center"/>
    </xf>
    <xf numFmtId="0" fontId="0" fillId="8" borderId="157" xfId="0" applyFill="1" applyBorder="1" applyAlignment="1">
      <alignment vertical="center"/>
    </xf>
    <xf numFmtId="0" fontId="0" fillId="8" borderId="20" xfId="0" applyFill="1" applyBorder="1" applyAlignment="1">
      <alignment vertical="center"/>
    </xf>
    <xf numFmtId="0" fontId="0" fillId="8" borderId="51" xfId="0" applyFill="1" applyBorder="1" applyAlignment="1">
      <alignment vertical="center"/>
    </xf>
    <xf numFmtId="186" fontId="0" fillId="8" borderId="20" xfId="0" applyNumberFormat="1" applyFill="1" applyBorder="1" applyAlignment="1">
      <alignment vertical="center"/>
    </xf>
    <xf numFmtId="186" fontId="0" fillId="8" borderId="51" xfId="0" applyNumberFormat="1" applyFill="1" applyBorder="1" applyAlignment="1">
      <alignment vertical="center"/>
    </xf>
    <xf numFmtId="186" fontId="0" fillId="8" borderId="19" xfId="0" applyNumberFormat="1" applyFill="1" applyBorder="1" applyAlignment="1">
      <alignment vertical="center"/>
    </xf>
    <xf numFmtId="186" fontId="0" fillId="8" borderId="50" xfId="0" applyNumberFormat="1" applyFill="1" applyBorder="1" applyAlignment="1">
      <alignment vertical="center"/>
    </xf>
    <xf numFmtId="0" fontId="0" fillId="8" borderId="19" xfId="0" applyFill="1" applyBorder="1" applyAlignment="1">
      <alignment vertical="center"/>
    </xf>
    <xf numFmtId="0" fontId="0" fillId="8" borderId="50" xfId="0" applyFill="1" applyBorder="1" applyAlignment="1">
      <alignment vertical="center"/>
    </xf>
    <xf numFmtId="0" fontId="4" fillId="8" borderId="21" xfId="0" applyFont="1" applyFill="1" applyBorder="1" applyAlignment="1">
      <alignment vertical="center"/>
    </xf>
    <xf numFmtId="0" fontId="0" fillId="8" borderId="21" xfId="0" applyFill="1" applyBorder="1" applyAlignment="1">
      <alignment vertical="center"/>
    </xf>
    <xf numFmtId="0" fontId="0" fillId="8" borderId="0" xfId="0" applyFill="1" applyBorder="1" applyAlignment="1">
      <alignment vertical="center"/>
    </xf>
    <xf numFmtId="0" fontId="4" fillId="8" borderId="16" xfId="0" applyFont="1" applyFill="1" applyBorder="1" applyAlignment="1">
      <alignment vertical="center"/>
    </xf>
    <xf numFmtId="0" fontId="0" fillId="8" borderId="52" xfId="0" applyFill="1" applyBorder="1" applyAlignment="1">
      <alignment vertical="center"/>
    </xf>
    <xf numFmtId="186" fontId="0" fillId="8" borderId="52" xfId="0" applyNumberFormat="1" applyFill="1" applyBorder="1" applyAlignment="1">
      <alignment vertical="center"/>
    </xf>
    <xf numFmtId="186" fontId="0" fillId="8" borderId="21" xfId="0" applyNumberFormat="1" applyFill="1" applyBorder="1" applyAlignment="1">
      <alignment vertical="center"/>
    </xf>
    <xf numFmtId="0" fontId="4" fillId="8" borderId="60" xfId="0" applyFont="1" applyFill="1" applyBorder="1" applyAlignment="1">
      <alignment vertical="center"/>
    </xf>
    <xf numFmtId="0" fontId="0" fillId="8" borderId="62" xfId="0" applyFill="1" applyBorder="1" applyAlignment="1">
      <alignment vertical="center"/>
    </xf>
    <xf numFmtId="0" fontId="0" fillId="8" borderId="59" xfId="0" applyFill="1" applyBorder="1" applyAlignment="1">
      <alignment vertical="center"/>
    </xf>
    <xf numFmtId="0" fontId="0" fillId="8" borderId="152" xfId="0" applyFill="1" applyBorder="1" applyAlignment="1">
      <alignment vertical="center"/>
    </xf>
    <xf numFmtId="0" fontId="0" fillId="8" borderId="153" xfId="0" applyFill="1" applyBorder="1" applyAlignment="1">
      <alignment vertical="center"/>
    </xf>
    <xf numFmtId="186" fontId="0" fillId="8" borderId="62" xfId="0" applyNumberFormat="1" applyFill="1" applyBorder="1" applyAlignment="1">
      <alignment vertical="center"/>
    </xf>
    <xf numFmtId="0" fontId="6" fillId="8" borderId="3" xfId="0" applyFont="1" applyFill="1" applyBorder="1" applyAlignment="1">
      <alignment horizontal="center" vertical="center" wrapText="1"/>
    </xf>
    <xf numFmtId="0" fontId="6" fillId="8" borderId="4" xfId="0" applyFont="1" applyFill="1" applyBorder="1" applyAlignment="1">
      <alignment horizontal="center" vertical="center" wrapText="1"/>
    </xf>
    <xf numFmtId="0" fontId="6" fillId="8" borderId="159" xfId="0" applyFont="1" applyFill="1" applyBorder="1" applyAlignment="1">
      <alignment horizontal="center" vertical="center" wrapText="1"/>
    </xf>
    <xf numFmtId="0" fontId="6" fillId="8" borderId="160" xfId="0" applyFont="1" applyFill="1" applyBorder="1" applyAlignment="1">
      <alignment horizontal="center" vertical="center" wrapText="1"/>
    </xf>
    <xf numFmtId="0" fontId="6" fillId="8" borderId="58" xfId="0" applyFont="1" applyFill="1" applyBorder="1" applyAlignment="1">
      <alignment horizontal="center" vertical="center" wrapText="1"/>
    </xf>
    <xf numFmtId="0" fontId="6" fillId="8" borderId="5" xfId="0" applyFont="1" applyFill="1" applyBorder="1" applyAlignment="1">
      <alignment horizontal="center" vertical="center" wrapText="1"/>
    </xf>
    <xf numFmtId="0" fontId="0" fillId="8" borderId="161" xfId="0" applyFill="1" applyBorder="1" applyAlignment="1">
      <alignment vertical="center"/>
    </xf>
    <xf numFmtId="0" fontId="0" fillId="8" borderId="162" xfId="0" applyFill="1" applyBorder="1" applyAlignment="1">
      <alignment vertical="center"/>
    </xf>
    <xf numFmtId="0" fontId="0" fillId="8" borderId="163" xfId="0" applyFill="1" applyBorder="1" applyAlignment="1">
      <alignment vertical="center"/>
    </xf>
    <xf numFmtId="0" fontId="0" fillId="8" borderId="164" xfId="0" applyFill="1" applyBorder="1" applyAlignment="1">
      <alignment vertical="center"/>
    </xf>
    <xf numFmtId="0" fontId="0" fillId="8" borderId="165" xfId="0" applyFill="1" applyBorder="1" applyAlignment="1">
      <alignment vertical="center"/>
    </xf>
    <xf numFmtId="186" fontId="0" fillId="8" borderId="162" xfId="0" applyNumberFormat="1" applyFill="1" applyBorder="1" applyAlignment="1">
      <alignment vertical="center"/>
    </xf>
    <xf numFmtId="186" fontId="0" fillId="8" borderId="163" xfId="0" applyNumberFormat="1" applyFill="1" applyBorder="1" applyAlignment="1">
      <alignment vertical="center"/>
    </xf>
    <xf numFmtId="186" fontId="0" fillId="8" borderId="161" xfId="0" applyNumberFormat="1" applyFill="1" applyBorder="1" applyAlignment="1">
      <alignment vertical="center"/>
    </xf>
    <xf numFmtId="0" fontId="0" fillId="8" borderId="167" xfId="0" applyFill="1" applyBorder="1" applyAlignment="1">
      <alignment vertical="center"/>
    </xf>
    <xf numFmtId="0" fontId="0" fillId="8" borderId="168" xfId="0" applyFill="1" applyBorder="1" applyAlignment="1">
      <alignment vertical="center"/>
    </xf>
    <xf numFmtId="0" fontId="0" fillId="8" borderId="169" xfId="0" applyFill="1" applyBorder="1" applyAlignment="1">
      <alignment vertical="center"/>
    </xf>
    <xf numFmtId="0" fontId="0" fillId="8" borderId="170" xfId="0" applyFill="1" applyBorder="1" applyAlignment="1">
      <alignment vertical="center"/>
    </xf>
    <xf numFmtId="0" fontId="0" fillId="8" borderId="171" xfId="0" applyFill="1" applyBorder="1" applyAlignment="1">
      <alignment vertical="center"/>
    </xf>
    <xf numFmtId="186" fontId="0" fillId="8" borderId="168" xfId="0" applyNumberFormat="1" applyFill="1" applyBorder="1" applyAlignment="1">
      <alignment vertical="center"/>
    </xf>
    <xf numFmtId="186" fontId="0" fillId="8" borderId="169" xfId="0" applyNumberFormat="1" applyFill="1" applyBorder="1" applyAlignment="1">
      <alignment vertical="center"/>
    </xf>
    <xf numFmtId="186" fontId="0" fillId="8" borderId="167" xfId="0" applyNumberFormat="1" applyFill="1" applyBorder="1" applyAlignment="1">
      <alignment vertical="center"/>
    </xf>
    <xf numFmtId="186" fontId="0" fillId="8" borderId="59" xfId="0" applyNumberFormat="1" applyFill="1" applyBorder="1" applyAlignment="1">
      <alignment vertical="center"/>
    </xf>
    <xf numFmtId="186" fontId="0" fillId="8" borderId="60" xfId="0" applyNumberFormat="1" applyFill="1" applyBorder="1" applyAlignment="1">
      <alignment vertical="center"/>
    </xf>
    <xf numFmtId="0" fontId="6" fillId="8" borderId="3" xfId="0" applyFont="1" applyFill="1" applyBorder="1" applyAlignment="1">
      <alignment vertical="center"/>
    </xf>
    <xf numFmtId="0" fontId="6" fillId="8" borderId="4" xfId="0" applyFont="1" applyFill="1" applyBorder="1" applyAlignment="1">
      <alignment vertical="center"/>
    </xf>
    <xf numFmtId="0" fontId="6" fillId="8" borderId="159" xfId="0" applyFont="1" applyFill="1" applyBorder="1" applyAlignment="1">
      <alignment vertical="center"/>
    </xf>
    <xf numFmtId="0" fontId="6" fillId="8" borderId="160" xfId="0" applyFont="1" applyFill="1" applyBorder="1" applyAlignment="1">
      <alignment vertical="center"/>
    </xf>
    <xf numFmtId="9" fontId="6" fillId="8" borderId="58" xfId="24" applyFont="1" applyFill="1" applyBorder="1" applyAlignment="1">
      <alignment vertical="center"/>
    </xf>
    <xf numFmtId="186" fontId="6" fillId="8" borderId="3" xfId="0" applyNumberFormat="1" applyFont="1" applyFill="1" applyBorder="1" applyAlignment="1">
      <alignment vertical="center"/>
    </xf>
    <xf numFmtId="186" fontId="6" fillId="8" borderId="4" xfId="0" applyNumberFormat="1" applyFont="1" applyFill="1" applyBorder="1" applyAlignment="1">
      <alignment vertical="center"/>
    </xf>
    <xf numFmtId="186" fontId="6" fillId="8" borderId="5" xfId="0" applyNumberFormat="1" applyFont="1" applyFill="1" applyBorder="1" applyAlignment="1">
      <alignment vertical="center"/>
    </xf>
    <xf numFmtId="0" fontId="45" fillId="0" borderId="0" xfId="0" applyFont="1" applyAlignment="1">
      <alignment vertical="center"/>
    </xf>
    <xf numFmtId="164" fontId="8" fillId="5" borderId="0" xfId="2" applyNumberFormat="1" applyFont="1" applyFill="1" applyAlignment="1">
      <alignment vertical="center"/>
    </xf>
    <xf numFmtId="172" fontId="9" fillId="0" borderId="19" xfId="2" applyNumberFormat="1" applyFont="1" applyFill="1" applyBorder="1" applyAlignment="1">
      <alignment vertical="center"/>
    </xf>
    <xf numFmtId="172" fontId="9" fillId="6" borderId="174" xfId="2" applyNumberFormat="1" applyFont="1" applyFill="1" applyBorder="1" applyAlignment="1">
      <alignment vertical="center"/>
    </xf>
    <xf numFmtId="172" fontId="9" fillId="6" borderId="175" xfId="2" applyNumberFormat="1" applyFont="1" applyFill="1" applyBorder="1" applyAlignment="1">
      <alignment vertical="center"/>
    </xf>
    <xf numFmtId="172" fontId="9" fillId="0" borderId="174" xfId="2" applyNumberFormat="1" applyFont="1" applyFill="1" applyBorder="1" applyAlignment="1">
      <alignment vertical="center"/>
    </xf>
    <xf numFmtId="172" fontId="9" fillId="0" borderId="175" xfId="2" applyNumberFormat="1" applyFont="1" applyFill="1" applyBorder="1" applyAlignment="1">
      <alignment vertical="center"/>
    </xf>
    <xf numFmtId="174" fontId="9" fillId="0" borderId="21" xfId="24" applyNumberFormat="1" applyFont="1" applyFill="1" applyBorder="1" applyAlignment="1">
      <alignment vertical="center"/>
    </xf>
    <xf numFmtId="0" fontId="3" fillId="0" borderId="182" xfId="31" applyFont="1" applyBorder="1" applyAlignment="1">
      <alignment horizontal="center" vertical="center"/>
    </xf>
    <xf numFmtId="14" fontId="3" fillId="0" borderId="12" xfId="31" applyNumberFormat="1" applyFont="1" applyBorder="1" applyAlignment="1">
      <alignment horizontal="center" vertical="center"/>
    </xf>
    <xf numFmtId="0" fontId="8" fillId="0" borderId="27" xfId="0" applyFont="1" applyFill="1" applyBorder="1" applyAlignment="1">
      <alignment vertical="center"/>
    </xf>
    <xf numFmtId="0" fontId="8" fillId="0" borderId="27" xfId="0" applyNumberFormat="1" applyFont="1" applyFill="1" applyBorder="1" applyAlignment="1">
      <alignment vertical="center"/>
    </xf>
    <xf numFmtId="164" fontId="9" fillId="0" borderId="27" xfId="2" applyNumberFormat="1" applyFont="1" applyFill="1" applyBorder="1" applyAlignment="1">
      <alignment vertical="center"/>
    </xf>
    <xf numFmtId="164" fontId="8" fillId="0" borderId="27" xfId="2" applyNumberFormat="1" applyFont="1" applyBorder="1" applyAlignment="1">
      <alignment vertical="center"/>
    </xf>
    <xf numFmtId="0" fontId="8" fillId="0" borderId="27" xfId="2" applyNumberFormat="1" applyFont="1" applyFill="1" applyBorder="1" applyAlignment="1">
      <alignment horizontal="center" vertical="center"/>
    </xf>
    <xf numFmtId="0" fontId="3" fillId="0" borderId="181" xfId="31" applyFont="1" applyFill="1" applyBorder="1" applyAlignment="1">
      <alignment horizontal="center" vertical="center"/>
    </xf>
    <xf numFmtId="0" fontId="3" fillId="0" borderId="10" xfId="31" applyFont="1" applyFill="1" applyBorder="1" applyAlignment="1">
      <alignment horizontal="center" vertical="center"/>
    </xf>
    <xf numFmtId="14" fontId="3" fillId="0" borderId="7" xfId="31" applyNumberFormat="1" applyFont="1" applyBorder="1" applyAlignment="1">
      <alignment horizontal="center" vertical="center"/>
    </xf>
    <xf numFmtId="14" fontId="3" fillId="0" borderId="11" xfId="31" applyNumberFormat="1" applyFont="1" applyBorder="1" applyAlignment="1">
      <alignment horizontal="center" vertical="center"/>
    </xf>
    <xf numFmtId="0" fontId="2" fillId="0" borderId="10" xfId="31" applyFont="1" applyFill="1" applyBorder="1" applyAlignment="1">
      <alignment horizontal="center" vertical="center"/>
    </xf>
    <xf numFmtId="0" fontId="2" fillId="0" borderId="181" xfId="31" applyFont="1" applyFill="1" applyBorder="1" applyAlignment="1">
      <alignment horizontal="center" vertical="center"/>
    </xf>
    <xf numFmtId="14" fontId="3" fillId="14" borderId="12" xfId="31" applyNumberFormat="1" applyFont="1" applyFill="1" applyBorder="1" applyAlignment="1">
      <alignment horizontal="center" vertical="center"/>
    </xf>
    <xf numFmtId="9" fontId="0" fillId="8" borderId="64" xfId="24" applyFont="1" applyFill="1" applyBorder="1" applyAlignment="1">
      <alignment horizontal="right" vertical="center"/>
    </xf>
    <xf numFmtId="9" fontId="0" fillId="8" borderId="16" xfId="24" applyFont="1" applyFill="1" applyBorder="1" applyAlignment="1">
      <alignment horizontal="right" vertical="center"/>
    </xf>
    <xf numFmtId="9" fontId="0" fillId="8" borderId="166" xfId="24" applyFont="1" applyFill="1" applyBorder="1" applyAlignment="1">
      <alignment horizontal="right" vertical="center"/>
    </xf>
    <xf numFmtId="9" fontId="0" fillId="8" borderId="172" xfId="24" applyFont="1" applyFill="1" applyBorder="1" applyAlignment="1">
      <alignment horizontal="right" vertical="center"/>
    </xf>
    <xf numFmtId="9" fontId="0" fillId="8" borderId="18" xfId="24" applyFont="1" applyFill="1" applyBorder="1" applyAlignment="1">
      <alignment horizontal="right" vertical="center"/>
    </xf>
    <xf numFmtId="0" fontId="8" fillId="6" borderId="11" xfId="0" applyFont="1" applyFill="1" applyBorder="1" applyAlignment="1">
      <alignment vertical="center"/>
    </xf>
    <xf numFmtId="172" fontId="9" fillId="6" borderId="184" xfId="2" applyNumberFormat="1" applyFont="1" applyFill="1" applyBorder="1" applyAlignment="1">
      <alignment vertical="center"/>
    </xf>
    <xf numFmtId="172" fontId="9" fillId="6" borderId="185" xfId="2" applyNumberFormat="1" applyFont="1" applyFill="1" applyBorder="1" applyAlignment="1">
      <alignment vertical="center"/>
    </xf>
    <xf numFmtId="172" fontId="9" fillId="6" borderId="13" xfId="2" applyNumberFormat="1" applyFont="1" applyFill="1" applyBorder="1" applyAlignment="1">
      <alignment vertical="center"/>
    </xf>
    <xf numFmtId="172" fontId="9" fillId="6" borderId="11" xfId="2" applyNumberFormat="1" applyFont="1" applyFill="1" applyBorder="1" applyAlignment="1">
      <alignment vertical="center"/>
    </xf>
    <xf numFmtId="174" fontId="9" fillId="6" borderId="13" xfId="24" applyNumberFormat="1" applyFont="1" applyFill="1" applyBorder="1" applyAlignment="1">
      <alignment vertical="center"/>
    </xf>
    <xf numFmtId="0" fontId="8" fillId="0" borderId="11" xfId="0" applyFont="1" applyFill="1" applyBorder="1" applyAlignment="1">
      <alignment vertical="center"/>
    </xf>
    <xf numFmtId="172" fontId="9" fillId="0" borderId="184" xfId="2" applyNumberFormat="1" applyFont="1" applyFill="1" applyBorder="1" applyAlignment="1">
      <alignment vertical="center"/>
    </xf>
    <xf numFmtId="172" fontId="9" fillId="0" borderId="185" xfId="2" applyNumberFormat="1" applyFont="1" applyFill="1" applyBorder="1" applyAlignment="1">
      <alignment vertical="center"/>
    </xf>
    <xf numFmtId="172" fontId="9" fillId="0" borderId="13" xfId="2" applyNumberFormat="1" applyFont="1" applyFill="1" applyBorder="1" applyAlignment="1">
      <alignment vertical="center"/>
    </xf>
    <xf numFmtId="172" fontId="9" fillId="0" borderId="11" xfId="2" applyNumberFormat="1" applyFont="1" applyFill="1" applyBorder="1" applyAlignment="1">
      <alignment vertical="center"/>
    </xf>
    <xf numFmtId="174" fontId="9" fillId="0" borderId="13" xfId="24" applyNumberFormat="1" applyFont="1" applyFill="1" applyBorder="1" applyAlignment="1">
      <alignment vertical="center"/>
    </xf>
    <xf numFmtId="14" fontId="3" fillId="0" borderId="120" xfId="31" applyNumberFormat="1" applyFont="1" applyBorder="1" applyAlignment="1">
      <alignment horizontal="center" vertical="center"/>
    </xf>
    <xf numFmtId="14" fontId="3" fillId="0" borderId="99" xfId="31" applyNumberFormat="1" applyFont="1" applyBorder="1" applyAlignment="1">
      <alignment horizontal="center" vertical="center"/>
    </xf>
    <xf numFmtId="14" fontId="2" fillId="0" borderId="99" xfId="31" applyNumberFormat="1" applyFont="1" applyBorder="1" applyAlignment="1">
      <alignment horizontal="center" vertical="center"/>
    </xf>
    <xf numFmtId="0" fontId="0" fillId="5" borderId="20" xfId="0" applyFill="1" applyBorder="1" applyAlignment="1">
      <alignment vertical="center"/>
    </xf>
    <xf numFmtId="0" fontId="8" fillId="9" borderId="20" xfId="0" applyFont="1" applyFill="1" applyBorder="1" applyAlignment="1">
      <alignment horizontal="center" vertical="center" wrapText="1"/>
    </xf>
    <xf numFmtId="166" fontId="7" fillId="0" borderId="63" xfId="0" applyNumberFormat="1" applyFont="1" applyFill="1" applyBorder="1" applyAlignment="1">
      <alignment vertical="center"/>
    </xf>
    <xf numFmtId="16" fontId="7" fillId="0" borderId="20" xfId="0" applyNumberFormat="1" applyFont="1" applyFill="1" applyBorder="1" applyAlignment="1">
      <alignment horizontal="center" vertical="center"/>
    </xf>
    <xf numFmtId="16" fontId="7" fillId="0" borderId="21" xfId="0" applyNumberFormat="1" applyFont="1" applyFill="1" applyBorder="1" applyAlignment="1">
      <alignment horizontal="center" vertical="center"/>
    </xf>
    <xf numFmtId="16" fontId="7" fillId="0" borderId="63" xfId="0" applyNumberFormat="1" applyFont="1" applyFill="1" applyBorder="1" applyAlignment="1">
      <alignment horizontal="center" vertical="center"/>
    </xf>
    <xf numFmtId="164" fontId="7" fillId="0" borderId="21" xfId="2" applyNumberFormat="1" applyFont="1" applyFill="1" applyBorder="1" applyAlignment="1">
      <alignment horizontal="center" vertical="center"/>
    </xf>
    <xf numFmtId="164" fontId="7" fillId="0" borderId="19" xfId="2" applyNumberFormat="1" applyFont="1" applyFill="1" applyBorder="1" applyAlignment="1">
      <alignment horizontal="center" vertical="center"/>
    </xf>
    <xf numFmtId="164" fontId="7" fillId="0" borderId="20" xfId="2" applyNumberFormat="1" applyFont="1" applyFill="1" applyBorder="1" applyAlignment="1">
      <alignment horizontal="center" vertical="center"/>
    </xf>
    <xf numFmtId="164" fontId="7" fillId="0" borderId="19" xfId="2" applyNumberFormat="1" applyFont="1" applyFill="1" applyBorder="1" applyAlignment="1">
      <alignment horizontal="left" vertical="center"/>
    </xf>
    <xf numFmtId="172" fontId="7" fillId="0" borderId="15" xfId="2" applyNumberFormat="1" applyFont="1" applyFill="1" applyBorder="1" applyAlignment="1">
      <alignment vertical="center"/>
    </xf>
    <xf numFmtId="172" fontId="7" fillId="0" borderId="28" xfId="2" applyNumberFormat="1" applyFont="1" applyFill="1" applyBorder="1" applyAlignment="1">
      <alignment vertical="center"/>
    </xf>
    <xf numFmtId="172" fontId="7" fillId="0" borderId="16" xfId="2" applyNumberFormat="1" applyFont="1" applyFill="1" applyBorder="1" applyAlignment="1">
      <alignment vertical="center"/>
    </xf>
    <xf numFmtId="0" fontId="9" fillId="0" borderId="85" xfId="0" applyFont="1" applyBorder="1" applyAlignment="1">
      <alignment horizontal="center" vertical="center"/>
    </xf>
    <xf numFmtId="164" fontId="8" fillId="0" borderId="21" xfId="2" applyNumberFormat="1" applyFont="1" applyFill="1" applyBorder="1" applyAlignment="1">
      <alignment horizontal="right" vertical="center"/>
    </xf>
    <xf numFmtId="164" fontId="7" fillId="12" borderId="21" xfId="2" applyNumberFormat="1" applyFont="1" applyFill="1" applyBorder="1" applyAlignment="1">
      <alignment horizontal="right" vertical="center"/>
    </xf>
    <xf numFmtId="0" fontId="8" fillId="0" borderId="21" xfId="0" applyNumberFormat="1" applyFont="1" applyFill="1" applyBorder="1" applyAlignment="1">
      <alignment horizontal="right" vertical="center"/>
    </xf>
    <xf numFmtId="0" fontId="8" fillId="0" borderId="21" xfId="2" applyNumberFormat="1" applyFont="1" applyFill="1" applyBorder="1" applyAlignment="1">
      <alignment horizontal="right" vertical="center"/>
    </xf>
    <xf numFmtId="0" fontId="8" fillId="0" borderId="21" xfId="2" applyNumberFormat="1" applyFont="1" applyBorder="1" applyAlignment="1">
      <alignment horizontal="right" vertical="center"/>
    </xf>
    <xf numFmtId="0" fontId="7" fillId="0" borderId="21" xfId="2" applyNumberFormat="1" applyFont="1" applyFill="1" applyBorder="1" applyAlignment="1">
      <alignment horizontal="right" vertical="center"/>
    </xf>
    <xf numFmtId="0" fontId="7" fillId="13" borderId="21" xfId="2" applyNumberFormat="1" applyFont="1" applyFill="1" applyBorder="1" applyAlignment="1">
      <alignment horizontal="right" vertical="center"/>
    </xf>
    <xf numFmtId="164" fontId="9" fillId="0" borderId="158" xfId="2" applyNumberFormat="1" applyFont="1" applyBorder="1" applyAlignment="1">
      <alignment horizontal="center" vertical="center"/>
    </xf>
    <xf numFmtId="164" fontId="9" fillId="0" borderId="88" xfId="2" applyNumberFormat="1" applyFont="1" applyBorder="1" applyAlignment="1">
      <alignment horizontal="center" vertical="center"/>
    </xf>
    <xf numFmtId="164" fontId="8" fillId="0" borderId="63" xfId="2" applyNumberFormat="1" applyFont="1" applyFill="1" applyBorder="1" applyAlignment="1">
      <alignment horizontal="center" vertical="center"/>
    </xf>
    <xf numFmtId="0" fontId="9" fillId="0" borderId="63" xfId="0" applyFont="1" applyFill="1" applyBorder="1" applyAlignment="1">
      <alignment horizontal="center" vertical="center"/>
    </xf>
    <xf numFmtId="164" fontId="8" fillId="0" borderId="20" xfId="2" applyNumberFormat="1" applyFont="1" applyFill="1" applyBorder="1" applyAlignment="1">
      <alignment horizontal="left" vertical="center"/>
    </xf>
    <xf numFmtId="164" fontId="8" fillId="0" borderId="20" xfId="2" applyNumberFormat="1" applyFont="1" applyFill="1" applyBorder="1" applyAlignment="1">
      <alignment vertical="center"/>
    </xf>
    <xf numFmtId="0" fontId="8" fillId="0" borderId="20" xfId="0" applyFont="1" applyFill="1" applyBorder="1" applyAlignment="1">
      <alignment horizontal="left" vertical="center"/>
    </xf>
    <xf numFmtId="164" fontId="9" fillId="0" borderId="20" xfId="2" applyNumberFormat="1" applyFont="1" applyBorder="1" applyAlignment="1">
      <alignment horizontal="left" vertical="center"/>
    </xf>
    <xf numFmtId="0" fontId="9" fillId="0" borderId="20" xfId="0" applyFont="1" applyFill="1" applyBorder="1" applyAlignment="1">
      <alignment horizontal="left" vertical="center"/>
    </xf>
    <xf numFmtId="0" fontId="8" fillId="0" borderId="20" xfId="0" applyFont="1" applyBorder="1" applyAlignment="1">
      <alignment horizontal="left" vertical="center"/>
    </xf>
    <xf numFmtId="164" fontId="7" fillId="0" borderId="20" xfId="2" applyNumberFormat="1" applyFont="1" applyFill="1" applyBorder="1" applyAlignment="1">
      <alignment horizontal="left" vertical="center"/>
    </xf>
    <xf numFmtId="164" fontId="7" fillId="13" borderId="20" xfId="2" applyNumberFormat="1" applyFont="1" applyFill="1" applyBorder="1" applyAlignment="1">
      <alignment horizontal="left" vertical="center"/>
    </xf>
    <xf numFmtId="164" fontId="7" fillId="12" borderId="20" xfId="2" applyNumberFormat="1" applyFont="1" applyFill="1" applyBorder="1" applyAlignment="1">
      <alignment horizontal="left" vertical="center"/>
    </xf>
    <xf numFmtId="0" fontId="1" fillId="0" borderId="182" xfId="31" applyFont="1" applyBorder="1" applyAlignment="1">
      <alignment horizontal="center" vertical="center"/>
    </xf>
    <xf numFmtId="0" fontId="6" fillId="8" borderId="50" xfId="0" applyFont="1" applyFill="1" applyBorder="1" applyAlignment="1">
      <alignment horizontal="center" vertical="center" wrapText="1"/>
    </xf>
    <xf numFmtId="0" fontId="6" fillId="8" borderId="52" xfId="0" applyFont="1" applyFill="1" applyBorder="1" applyAlignment="1">
      <alignment horizontal="center" vertical="center" wrapText="1"/>
    </xf>
    <xf numFmtId="0" fontId="6" fillId="8" borderId="173" xfId="0" applyFont="1" applyFill="1" applyBorder="1" applyAlignment="1">
      <alignment horizontal="center" vertical="center" textRotation="90"/>
    </xf>
    <xf numFmtId="0" fontId="6" fillId="8" borderId="154" xfId="0" applyFont="1" applyFill="1" applyBorder="1" applyAlignment="1">
      <alignment horizontal="center" vertical="center" textRotation="90"/>
    </xf>
    <xf numFmtId="0" fontId="6" fillId="8" borderId="155" xfId="0" applyFont="1" applyFill="1" applyBorder="1" applyAlignment="1">
      <alignment horizontal="center" vertical="center" textRotation="90"/>
    </xf>
    <xf numFmtId="0" fontId="6" fillId="8" borderId="3" xfId="0" applyFont="1" applyFill="1" applyBorder="1" applyAlignment="1">
      <alignment horizontal="center" vertical="center" textRotation="90"/>
    </xf>
    <xf numFmtId="0" fontId="7" fillId="0" borderId="5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60" xfId="0" applyFont="1" applyBorder="1" applyAlignment="1">
      <alignment horizontal="center" vertical="center" wrapText="1"/>
    </xf>
    <xf numFmtId="0" fontId="7" fillId="0" borderId="5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 wrapText="1"/>
    </xf>
    <xf numFmtId="0" fontId="7" fillId="0" borderId="59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/>
    </xf>
    <xf numFmtId="0" fontId="7" fillId="0" borderId="6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14" borderId="20" xfId="0" applyFont="1" applyFill="1" applyBorder="1" applyAlignment="1">
      <alignment horizontal="center" vertical="center" wrapText="1"/>
    </xf>
    <xf numFmtId="0" fontId="7" fillId="14" borderId="59" xfId="0" applyFont="1" applyFill="1" applyBorder="1" applyAlignment="1">
      <alignment horizontal="center" vertical="center" wrapText="1"/>
    </xf>
    <xf numFmtId="0" fontId="7" fillId="0" borderId="178" xfId="0" applyFont="1" applyBorder="1" applyAlignment="1">
      <alignment horizontal="center" vertical="center"/>
    </xf>
    <xf numFmtId="0" fontId="7" fillId="0" borderId="179" xfId="0" applyFont="1" applyBorder="1" applyAlignment="1">
      <alignment horizontal="center" vertical="center"/>
    </xf>
    <xf numFmtId="0" fontId="7" fillId="0" borderId="180" xfId="0" applyFont="1" applyBorder="1" applyAlignment="1">
      <alignment horizontal="center" vertical="center"/>
    </xf>
    <xf numFmtId="0" fontId="7" fillId="0" borderId="88" xfId="0" applyFont="1" applyFill="1" applyBorder="1" applyAlignment="1">
      <alignment horizontal="center" vertical="center" wrapText="1"/>
    </xf>
    <xf numFmtId="0" fontId="7" fillId="0" borderId="85" xfId="0" applyFont="1" applyFill="1" applyBorder="1" applyAlignment="1">
      <alignment horizontal="center" vertical="center" wrapText="1"/>
    </xf>
    <xf numFmtId="0" fontId="7" fillId="0" borderId="183" xfId="0" applyFont="1" applyFill="1" applyBorder="1" applyAlignment="1">
      <alignment horizontal="center" vertical="center" wrapText="1"/>
    </xf>
    <xf numFmtId="172" fontId="7" fillId="0" borderId="175" xfId="2" applyNumberFormat="1" applyFont="1" applyFill="1" applyBorder="1" applyAlignment="1">
      <alignment horizontal="center" vertical="center" wrapText="1"/>
    </xf>
    <xf numFmtId="172" fontId="7" fillId="0" borderId="177" xfId="2" applyNumberFormat="1" applyFont="1" applyFill="1" applyBorder="1" applyAlignment="1">
      <alignment horizontal="center" vertical="center" wrapText="1"/>
    </xf>
    <xf numFmtId="172" fontId="7" fillId="0" borderId="174" xfId="2" applyNumberFormat="1" applyFont="1" applyFill="1" applyBorder="1" applyAlignment="1">
      <alignment horizontal="center" vertical="center" wrapText="1"/>
    </xf>
    <xf numFmtId="172" fontId="7" fillId="0" borderId="176" xfId="2" applyNumberFormat="1" applyFont="1" applyFill="1" applyBorder="1" applyAlignment="1">
      <alignment horizontal="center" vertical="center" wrapText="1"/>
    </xf>
    <xf numFmtId="172" fontId="7" fillId="0" borderId="21" xfId="2" applyNumberFormat="1" applyFont="1" applyFill="1" applyBorder="1" applyAlignment="1">
      <alignment horizontal="center" vertical="center" wrapText="1"/>
    </xf>
    <xf numFmtId="172" fontId="7" fillId="0" borderId="60" xfId="2" applyNumberFormat="1" applyFont="1" applyFill="1" applyBorder="1" applyAlignment="1">
      <alignment horizontal="center" vertical="center" wrapText="1"/>
    </xf>
    <xf numFmtId="0" fontId="8" fillId="0" borderId="27" xfId="0" applyNumberFormat="1" applyFont="1" applyFill="1" applyBorder="1" applyAlignment="1">
      <alignment vertical="center"/>
    </xf>
    <xf numFmtId="0" fontId="9" fillId="0" borderId="27" xfId="0" applyNumberFormat="1" applyFont="1" applyFill="1" applyBorder="1" applyAlignment="1">
      <alignment vertical="center"/>
    </xf>
    <xf numFmtId="172" fontId="8" fillId="7" borderId="34" xfId="2" applyNumberFormat="1" applyFont="1" applyFill="1" applyBorder="1" applyAlignment="1">
      <alignment vertical="center"/>
    </xf>
    <xf numFmtId="172" fontId="8" fillId="7" borderId="35" xfId="2" applyNumberFormat="1" applyFont="1" applyFill="1" applyBorder="1" applyAlignment="1">
      <alignment vertical="center"/>
    </xf>
    <xf numFmtId="172" fontId="9" fillId="7" borderId="66" xfId="2" applyNumberFormat="1" applyFont="1" applyFill="1" applyBorder="1" applyAlignment="1">
      <alignment vertical="center"/>
    </xf>
    <xf numFmtId="172" fontId="9" fillId="7" borderId="67" xfId="2" applyNumberFormat="1" applyFont="1" applyFill="1" applyBorder="1" applyAlignment="1">
      <alignment vertical="center"/>
    </xf>
    <xf numFmtId="0" fontId="7" fillId="0" borderId="27" xfId="0" applyNumberFormat="1" applyFont="1" applyBorder="1" applyAlignment="1">
      <alignment horizontal="center" vertical="center"/>
    </xf>
    <xf numFmtId="164" fontId="7" fillId="0" borderId="15" xfId="2" applyNumberFormat="1" applyFont="1" applyBorder="1" applyAlignment="1">
      <alignment horizontal="center" vertical="center" wrapText="1"/>
    </xf>
    <xf numFmtId="164" fontId="7" fillId="0" borderId="16" xfId="2" applyNumberFormat="1" applyFont="1" applyBorder="1" applyAlignment="1">
      <alignment horizontal="center" vertical="center" wrapText="1"/>
    </xf>
    <xf numFmtId="0" fontId="9" fillId="13" borderId="6" xfId="0" applyFont="1" applyFill="1" applyBorder="1" applyAlignment="1">
      <alignment vertical="center"/>
    </xf>
    <xf numFmtId="0" fontId="9" fillId="13" borderId="86" xfId="0" applyFont="1" applyFill="1" applyBorder="1" applyAlignment="1">
      <alignment vertical="center"/>
    </xf>
    <xf numFmtId="0" fontId="8" fillId="12" borderId="6" xfId="0" applyFont="1" applyFill="1" applyBorder="1" applyAlignment="1">
      <alignment vertical="center"/>
    </xf>
    <xf numFmtId="0" fontId="9" fillId="12" borderId="86" xfId="0" applyFont="1" applyFill="1" applyBorder="1" applyAlignment="1">
      <alignment vertical="center"/>
    </xf>
    <xf numFmtId="0" fontId="7" fillId="0" borderId="53" xfId="0" applyFont="1" applyFill="1" applyBorder="1" applyAlignment="1">
      <alignment vertical="center"/>
    </xf>
    <xf numFmtId="0" fontId="7" fillId="0" borderId="87" xfId="0" applyFont="1" applyFill="1" applyBorder="1" applyAlignment="1">
      <alignment vertical="center"/>
    </xf>
    <xf numFmtId="0" fontId="7" fillId="0" borderId="1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63" xfId="0" applyFont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/>
    </xf>
    <xf numFmtId="164" fontId="7" fillId="0" borderId="27" xfId="2" applyNumberFormat="1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7" fillId="0" borderId="27" xfId="0" applyFont="1" applyFill="1" applyBorder="1" applyAlignment="1">
      <alignment horizontal="center"/>
    </xf>
    <xf numFmtId="164" fontId="7" fillId="16" borderId="23" xfId="2" applyNumberFormat="1" applyFont="1" applyFill="1" applyBorder="1" applyAlignment="1">
      <alignment horizontal="center" vertical="center"/>
    </xf>
    <xf numFmtId="164" fontId="7" fillId="16" borderId="58" xfId="2" applyNumberFormat="1" applyFont="1" applyFill="1" applyBorder="1" applyAlignment="1">
      <alignment horizontal="center" vertical="center"/>
    </xf>
    <xf numFmtId="164" fontId="7" fillId="9" borderId="27" xfId="2" applyNumberFormat="1" applyFont="1" applyFill="1" applyBorder="1" applyAlignment="1">
      <alignment horizontal="center" vertical="center"/>
    </xf>
    <xf numFmtId="164" fontId="7" fillId="0" borderId="37" xfId="2" applyNumberFormat="1" applyFont="1" applyBorder="1" applyAlignment="1">
      <alignment horizontal="center" vertical="center"/>
    </xf>
    <xf numFmtId="164" fontId="7" fillId="0" borderId="38" xfId="2" applyNumberFormat="1" applyFont="1" applyBorder="1" applyAlignment="1">
      <alignment horizontal="center" vertical="center"/>
    </xf>
    <xf numFmtId="164" fontId="7" fillId="9" borderId="29" xfId="2" applyNumberFormat="1" applyFont="1" applyFill="1" applyBorder="1" applyAlignment="1">
      <alignment horizontal="center" vertical="center" wrapText="1"/>
    </xf>
    <xf numFmtId="164" fontId="7" fillId="9" borderId="27" xfId="2" applyNumberFormat="1" applyFont="1" applyFill="1" applyBorder="1" applyAlignment="1">
      <alignment horizontal="center" vertical="center" wrapText="1"/>
    </xf>
    <xf numFmtId="164" fontId="7" fillId="9" borderId="36" xfId="2" applyNumberFormat="1" applyFont="1" applyFill="1" applyBorder="1" applyAlignment="1">
      <alignment horizontal="center" vertical="center" wrapText="1"/>
    </xf>
    <xf numFmtId="175" fontId="16" fillId="0" borderId="23" xfId="0" applyNumberFormat="1" applyFont="1" applyFill="1" applyBorder="1" applyAlignment="1" applyProtection="1">
      <alignment horizontal="center" vertical="center"/>
    </xf>
    <xf numFmtId="175" fontId="16" fillId="0" borderId="57" xfId="0" applyNumberFormat="1" applyFont="1" applyFill="1" applyBorder="1" applyAlignment="1" applyProtection="1">
      <alignment horizontal="center" vertical="center"/>
    </xf>
    <xf numFmtId="175" fontId="16" fillId="0" borderId="58" xfId="0" applyNumberFormat="1" applyFont="1" applyFill="1" applyBorder="1" applyAlignment="1" applyProtection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62" xfId="0" applyFont="1" applyBorder="1" applyAlignment="1">
      <alignment horizontal="center" vertical="center"/>
    </xf>
    <xf numFmtId="0" fontId="6" fillId="25" borderId="143" xfId="0" applyFont="1" applyFill="1" applyBorder="1" applyAlignment="1">
      <alignment horizontal="center" vertical="center"/>
    </xf>
    <xf numFmtId="0" fontId="6" fillId="25" borderId="144" xfId="0" applyFont="1" applyFill="1" applyBorder="1" applyAlignment="1">
      <alignment horizontal="center" vertical="center"/>
    </xf>
    <xf numFmtId="0" fontId="6" fillId="25" borderId="145" xfId="0" applyFont="1" applyFill="1" applyBorder="1" applyAlignment="1">
      <alignment horizontal="center" vertical="center"/>
    </xf>
    <xf numFmtId="0" fontId="6" fillId="27" borderId="146" xfId="0" applyFont="1" applyFill="1" applyBorder="1" applyAlignment="1">
      <alignment horizontal="center" vertical="center"/>
    </xf>
    <xf numFmtId="0" fontId="6" fillId="27" borderId="147" xfId="0" applyFont="1" applyFill="1" applyBorder="1" applyAlignment="1">
      <alignment horizontal="center" vertical="center"/>
    </xf>
    <xf numFmtId="0" fontId="6" fillId="27" borderId="148" xfId="0" applyFont="1" applyFill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61" xfId="0" applyFont="1" applyBorder="1" applyAlignment="1">
      <alignment horizontal="center" vertical="center"/>
    </xf>
  </cellXfs>
  <cellStyles count="72">
    <cellStyle name="Comma [0]" xfId="5"/>
    <cellStyle name="Comma [0] 2" xfId="6"/>
    <cellStyle name="Currency [0]" xfId="7"/>
    <cellStyle name="Currency [0] 2" xfId="8"/>
    <cellStyle name="Euro" xfId="1"/>
    <cellStyle name="Euro 2" xfId="9"/>
    <cellStyle name="Euro 3" xfId="10"/>
    <cellStyle name="Euro 4" xfId="11"/>
    <cellStyle name="Euro_Budgets et salaires" xfId="2"/>
    <cellStyle name="Lien hypertexte" xfId="28" builtinId="8"/>
    <cellStyle name="Lien hypertexte 2" xfId="39"/>
    <cellStyle name="Lien hypertexte 3" xfId="38"/>
    <cellStyle name="Lien hypertexte 4" xfId="34"/>
    <cellStyle name="Milliers" xfId="25" builtinId="3"/>
    <cellStyle name="Milliers 2" xfId="4"/>
    <cellStyle name="Milliers 2 2" xfId="40"/>
    <cellStyle name="Milliers 3" xfId="12"/>
    <cellStyle name="Milliers 3 2" xfId="32"/>
    <cellStyle name="Milliers 4" xfId="13"/>
    <cellStyle name="Milliers 4 2" xfId="58"/>
    <cellStyle name="Monétaire 2" xfId="14"/>
    <cellStyle name="Monétaire 2 2" xfId="35"/>
    <cellStyle name="Monétaire 3" xfId="15"/>
    <cellStyle name="Monétaire 3 2" xfId="59"/>
    <cellStyle name="Monétaire 4" xfId="16"/>
    <cellStyle name="Normal" xfId="0" builtinId="0"/>
    <cellStyle name="Normal 10" xfId="30"/>
    <cellStyle name="Normal 10 2" xfId="57"/>
    <cellStyle name="Normal 11" xfId="56"/>
    <cellStyle name="Normal 2" xfId="3"/>
    <cellStyle name="Normal 2 2" xfId="37"/>
    <cellStyle name="Normal 2 3" xfId="45"/>
    <cellStyle name="Normal 2 4" xfId="33"/>
    <cellStyle name="Normal 3" xfId="17"/>
    <cellStyle name="Normal 3 2" xfId="41"/>
    <cellStyle name="Normal 4" xfId="18"/>
    <cellStyle name="Normal 4 2" xfId="46"/>
    <cellStyle name="Normal 4 3" xfId="36"/>
    <cellStyle name="Normal 5" xfId="19"/>
    <cellStyle name="Normal 5 2" xfId="47"/>
    <cellStyle name="Normal 5 2 2" xfId="53"/>
    <cellStyle name="Normal 5 2 2 2" xfId="69"/>
    <cellStyle name="Normal 5 2 3" xfId="63"/>
    <cellStyle name="Normal 5 3" xfId="49"/>
    <cellStyle name="Normal 5 3 2" xfId="55"/>
    <cellStyle name="Normal 5 3 2 2" xfId="71"/>
    <cellStyle name="Normal 5 3 3" xfId="65"/>
    <cellStyle name="Normal 5 4" xfId="51"/>
    <cellStyle name="Normal 5 4 2" xfId="67"/>
    <cellStyle name="Normal 5 5" xfId="43"/>
    <cellStyle name="Normal 5 6" xfId="61"/>
    <cellStyle name="Normal 6" xfId="31"/>
    <cellStyle name="Normal 7" xfId="44"/>
    <cellStyle name="Normal 7 2" xfId="52"/>
    <cellStyle name="Normal 7 2 2" xfId="68"/>
    <cellStyle name="Normal 7 3" xfId="62"/>
    <cellStyle name="Normal 8" xfId="48"/>
    <cellStyle name="Normal 8 2" xfId="54"/>
    <cellStyle name="Normal 8 2 2" xfId="70"/>
    <cellStyle name="Normal 8 3" xfId="64"/>
    <cellStyle name="Normal 9" xfId="50"/>
    <cellStyle name="Normal 9 2" xfId="66"/>
    <cellStyle name="Normal_4ème partie 1 - SIG" xfId="26"/>
    <cellStyle name="Normal_BP_2008_révisé_V26" xfId="29"/>
    <cellStyle name="Pourcentage" xfId="24" builtinId="5"/>
    <cellStyle name="Pourcentage 2" xfId="20"/>
    <cellStyle name="Pourcentage 2 2" xfId="42"/>
    <cellStyle name="Pourcentage 3" xfId="21"/>
    <cellStyle name="Pourcentage 3 2" xfId="60"/>
    <cellStyle name="Pourcentage 4" xfId="22"/>
    <cellStyle name="Pourcentage 5" xfId="23"/>
    <cellStyle name="Pourcentage 6" xfId="27"/>
  </cellStyles>
  <dxfs count="27">
    <dxf>
      <font>
        <condense val="0"/>
        <extend val="0"/>
        <color indexed="48"/>
      </font>
    </dxf>
    <dxf>
      <font>
        <condense val="0"/>
        <extend val="0"/>
        <color indexed="57"/>
      </font>
    </dxf>
    <dxf>
      <font>
        <condense val="0"/>
        <extend val="0"/>
        <color indexed="53"/>
      </font>
    </dxf>
    <dxf>
      <font>
        <condense val="0"/>
        <extend val="0"/>
        <color indexed="10"/>
      </font>
    </dxf>
    <dxf>
      <font>
        <condense val="0"/>
        <extend val="0"/>
        <color indexed="57"/>
      </font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ont>
        <condense val="0"/>
        <extend val="0"/>
        <color auto="1"/>
      </font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9" tint="0.39994506668294322"/>
        </patternFill>
      </fill>
    </dxf>
    <dxf>
      <font>
        <color theme="0"/>
      </font>
    </dxf>
    <dxf>
      <fill>
        <patternFill>
          <bgColor theme="1" tint="0.499984740745262"/>
        </patternFill>
      </fill>
    </dxf>
    <dxf>
      <fill>
        <patternFill>
          <bgColor theme="6" tint="0.39994506668294322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</dxfs>
  <tableStyles count="0" defaultTableStyle="TableStyleMedium9" defaultPivotStyle="PivotStyleLight16"/>
  <colors>
    <mruColors>
      <color rgb="FF808080"/>
      <color rgb="FF339966"/>
      <color rgb="FFCCFFCC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Solde de trésorerie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1"/>
          <c:order val="0"/>
          <c:tx>
            <c:strRef>
              <c:f>Trésorerie!$AK$6</c:f>
              <c:strCache>
                <c:ptCount val="1"/>
                <c:pt idx="0">
                  <c:v>Banque pro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Trésorerie!$C$9:$C$22</c:f>
              <c:numCache>
                <c:formatCode>d\-mmm</c:formatCode>
                <c:ptCount val="14"/>
                <c:pt idx="0">
                  <c:v>41708</c:v>
                </c:pt>
                <c:pt idx="1">
                  <c:v>41799</c:v>
                </c:pt>
                <c:pt idx="2">
                  <c:v>41795</c:v>
                </c:pt>
                <c:pt idx="3">
                  <c:v>41694</c:v>
                </c:pt>
                <c:pt idx="4">
                  <c:v>41690</c:v>
                </c:pt>
                <c:pt idx="5">
                  <c:v>41690</c:v>
                </c:pt>
                <c:pt idx="6">
                  <c:v>41687</c:v>
                </c:pt>
                <c:pt idx="7">
                  <c:v>41687</c:v>
                </c:pt>
                <c:pt idx="8">
                  <c:v>41283</c:v>
                </c:pt>
                <c:pt idx="9">
                  <c:v>41283</c:v>
                </c:pt>
                <c:pt idx="10">
                  <c:v>41279</c:v>
                </c:pt>
                <c:pt idx="11">
                  <c:v>41279</c:v>
                </c:pt>
                <c:pt idx="12">
                  <c:v>41279</c:v>
                </c:pt>
                <c:pt idx="13">
                  <c:v>41279</c:v>
                </c:pt>
              </c:numCache>
            </c:numRef>
          </c:cat>
          <c:val>
            <c:numRef>
              <c:f>Trésorerie!$AK$9:$AK$22</c:f>
              <c:numCache>
                <c:formatCode>#,##0.00\ "€";[Red]\-#,##0.00\ "€";"-  "</c:formatCode>
                <c:ptCount val="14"/>
                <c:pt idx="0">
                  <c:v>1557.7299999999998</c:v>
                </c:pt>
                <c:pt idx="1">
                  <c:v>1817.7299999999998</c:v>
                </c:pt>
                <c:pt idx="2">
                  <c:v>1817.7299999999998</c:v>
                </c:pt>
                <c:pt idx="3">
                  <c:v>1817.7299999999998</c:v>
                </c:pt>
                <c:pt idx="4">
                  <c:v>1827.7299999999998</c:v>
                </c:pt>
                <c:pt idx="5">
                  <c:v>1863.37</c:v>
                </c:pt>
                <c:pt idx="6">
                  <c:v>1863.37</c:v>
                </c:pt>
                <c:pt idx="7">
                  <c:v>1901.37</c:v>
                </c:pt>
                <c:pt idx="8">
                  <c:v>1943.37</c:v>
                </c:pt>
                <c:pt idx="9">
                  <c:v>-56.629999999999995</c:v>
                </c:pt>
                <c:pt idx="10">
                  <c:v>-16.88</c:v>
                </c:pt>
                <c:pt idx="11">
                  <c:v>-33.75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43808"/>
        <c:axId val="104345600"/>
      </c:lineChart>
      <c:dateAx>
        <c:axId val="104343808"/>
        <c:scaling>
          <c:orientation val="minMax"/>
          <c:max val="42004"/>
          <c:min val="41275"/>
        </c:scaling>
        <c:delete val="0"/>
        <c:axPos val="b"/>
        <c:minorGridlines/>
        <c:numFmt formatCode="mmm" sourceLinked="0"/>
        <c:majorTickMark val="out"/>
        <c:minorTickMark val="none"/>
        <c:tickLblPos val="nextTo"/>
        <c:crossAx val="104345600"/>
        <c:crosses val="autoZero"/>
        <c:auto val="1"/>
        <c:lblOffset val="100"/>
        <c:baseTimeUnit val="days"/>
        <c:majorUnit val="1"/>
        <c:majorTimeUnit val="months"/>
        <c:minorUnit val="1"/>
        <c:minorTimeUnit val="years"/>
      </c:dateAx>
      <c:valAx>
        <c:axId val="104345600"/>
        <c:scaling>
          <c:orientation val="minMax"/>
          <c:max val="15000"/>
          <c:min val="-5000"/>
        </c:scaling>
        <c:delete val="0"/>
        <c:axPos val="l"/>
        <c:majorGridlines>
          <c:spPr>
            <a:ln>
              <a:solidFill>
                <a:schemeClr val="bg1">
                  <a:lumMod val="85000"/>
                </a:schemeClr>
              </a:solidFill>
              <a:prstDash val="sysDash"/>
            </a:ln>
          </c:spPr>
        </c:majorGridlines>
        <c:numFmt formatCode="#,##0\ [$€-40C];[Red]\-#,##0\ [$€-40C]" sourceLinked="0"/>
        <c:majorTickMark val="out"/>
        <c:minorTickMark val="none"/>
        <c:tickLblPos val="nextTo"/>
        <c:crossAx val="104343808"/>
        <c:crosses val="autoZero"/>
        <c:crossBetween val="between"/>
        <c:majorUnit val="5000"/>
        <c:minorUnit val="500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de la clientèle 2013-2014</a:t>
            </a:r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Synthèse!$G$44</c:f>
              <c:strCache>
                <c:ptCount val="1"/>
                <c:pt idx="0">
                  <c:v>Taux de transformation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harsh" dir="t">
                <a:rot lat="0" lon="0" rev="0"/>
              </a:lightRig>
            </a:scene3d>
            <a:sp3d prstMaterial="dkEdge">
              <a:bevelT w="44450"/>
            </a:sp3d>
          </c:spPr>
          <c:invertIfNegative val="0"/>
          <c:cat>
            <c:strRef>
              <c:f>Synthèse!$B$46:$B$63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  <c:pt idx="16">
                  <c:v>Mai</c:v>
                </c:pt>
                <c:pt idx="17">
                  <c:v>Juin</c:v>
                </c:pt>
              </c:strCache>
            </c:strRef>
          </c:cat>
          <c:val>
            <c:numRef>
              <c:f>Synthèse!$G$46:$G$63</c:f>
              <c:numCache>
                <c:formatCode>0%</c:formatCode>
                <c:ptCount val="1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0.6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926208"/>
        <c:axId val="104924672"/>
      </c:barChart>
      <c:lineChart>
        <c:grouping val="standard"/>
        <c:varyColors val="0"/>
        <c:ser>
          <c:idx val="0"/>
          <c:order val="0"/>
          <c:tx>
            <c:strRef>
              <c:f>Synthèse!$C$44</c:f>
              <c:strCache>
                <c:ptCount val="1"/>
                <c:pt idx="0">
                  <c:v>Nombre de nouveaux contacts</c:v>
                </c:pt>
              </c:strCache>
            </c:strRef>
          </c:tx>
          <c:marker>
            <c:symbol val="star"/>
            <c:size val="7"/>
          </c:marker>
          <c:cat>
            <c:strRef>
              <c:f>Synthèse!$B$46:$B$63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  <c:pt idx="16">
                  <c:v>Mai</c:v>
                </c:pt>
                <c:pt idx="17">
                  <c:v>Juin</c:v>
                </c:pt>
              </c:strCache>
            </c:strRef>
          </c:cat>
          <c:val>
            <c:numRef>
              <c:f>Synthèse!$C$46:$C$63</c:f>
              <c:numCache>
                <c:formatCode>General</c:formatCode>
                <c:ptCount val="18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4</c:v>
                </c:pt>
                <c:pt idx="4">
                  <c:v>7</c:v>
                </c:pt>
                <c:pt idx="5">
                  <c:v>3</c:v>
                </c:pt>
                <c:pt idx="6">
                  <c:v>0</c:v>
                </c:pt>
                <c:pt idx="7">
                  <c:v>3</c:v>
                </c:pt>
                <c:pt idx="8">
                  <c:v>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Synthèse!$F$44</c:f>
              <c:strCache>
                <c:ptCount val="1"/>
                <c:pt idx="0">
                  <c:v>Nombre de ventes</c:v>
                </c:pt>
              </c:strCache>
            </c:strRef>
          </c:tx>
          <c:marker>
            <c:symbol val="star"/>
            <c:size val="7"/>
          </c:marker>
          <c:cat>
            <c:strRef>
              <c:f>Synthèse!$B$46:$B$63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  <c:pt idx="16">
                  <c:v>Mai</c:v>
                </c:pt>
                <c:pt idx="17">
                  <c:v>Juin</c:v>
                </c:pt>
              </c:strCache>
            </c:strRef>
          </c:cat>
          <c:val>
            <c:numRef>
              <c:f>Synthèse!$F$46:$F$63</c:f>
              <c:numCache>
                <c:formatCode>General</c:formatCode>
                <c:ptCount val="18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388864"/>
        <c:axId val="104923136"/>
      </c:lineChart>
      <c:catAx>
        <c:axId val="104388864"/>
        <c:scaling>
          <c:orientation val="minMax"/>
        </c:scaling>
        <c:delete val="0"/>
        <c:axPos val="b"/>
        <c:majorTickMark val="out"/>
        <c:minorTickMark val="none"/>
        <c:tickLblPos val="nextTo"/>
        <c:crossAx val="104923136"/>
        <c:crosses val="autoZero"/>
        <c:auto val="1"/>
        <c:lblAlgn val="ctr"/>
        <c:lblOffset val="100"/>
        <c:noMultiLvlLbl val="0"/>
      </c:catAx>
      <c:valAx>
        <c:axId val="10492313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4388864"/>
        <c:crosses val="autoZero"/>
        <c:crossBetween val="between"/>
      </c:valAx>
      <c:valAx>
        <c:axId val="104924672"/>
        <c:scaling>
          <c:orientation val="minMax"/>
          <c:max val="1"/>
          <c:min val="0"/>
        </c:scaling>
        <c:delete val="0"/>
        <c:axPos val="r"/>
        <c:numFmt formatCode="0%" sourceLinked="1"/>
        <c:majorTickMark val="out"/>
        <c:minorTickMark val="none"/>
        <c:tickLblPos val="nextTo"/>
        <c:crossAx val="104926208"/>
        <c:crosses val="max"/>
        <c:crossBetween val="between"/>
      </c:valAx>
      <c:catAx>
        <c:axId val="104926208"/>
        <c:scaling>
          <c:orientation val="minMax"/>
        </c:scaling>
        <c:delete val="1"/>
        <c:axPos val="b"/>
        <c:majorTickMark val="out"/>
        <c:minorTickMark val="none"/>
        <c:tickLblPos val="nextTo"/>
        <c:crossAx val="104924672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FR"/>
              <a:t>Evolution CA </a:t>
            </a:r>
            <a:r>
              <a:rPr lang="fr-FR" sz="1800" b="1" i="0" u="none" strike="noStrike" baseline="0">
                <a:effectLst/>
              </a:rPr>
              <a:t>2013-2014</a:t>
            </a:r>
            <a:endParaRPr lang="fr-FR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2"/>
          <c:order val="2"/>
          <c:tx>
            <c:strRef>
              <c:f>Synthèse!$J$44</c:f>
              <c:strCache>
                <c:ptCount val="1"/>
                <c:pt idx="0">
                  <c:v>Panier moyen</c:v>
                </c:pt>
              </c:strCache>
            </c:strRef>
          </c:tx>
          <c:spPr>
            <a:solidFill>
              <a:schemeClr val="accent3">
                <a:lumMod val="75000"/>
              </a:schemeClr>
            </a:solidFill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  <a:scene3d>
              <a:camera prst="orthographicFront"/>
              <a:lightRig rig="harsh" dir="t">
                <a:rot lat="0" lon="0" rev="0"/>
              </a:lightRig>
            </a:scene3d>
            <a:sp3d prstMaterial="dkEdge">
              <a:bevelT w="44450"/>
            </a:sp3d>
          </c:spPr>
          <c:invertIfNegative val="0"/>
          <c:cat>
            <c:strRef>
              <c:f>Synthèse!$B$46:$B$63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  <c:pt idx="16">
                  <c:v>Mai</c:v>
                </c:pt>
                <c:pt idx="17">
                  <c:v>Juin</c:v>
                </c:pt>
              </c:strCache>
            </c:strRef>
          </c:cat>
          <c:val>
            <c:numRef>
              <c:f>Synthèse!$J$46:$J$63</c:f>
              <c:numCache>
                <c:formatCode>_-* #,##0\ "€"_-;\-* #,##0\ "€"_-;_-* "-"??\ "€"_-;_-@_-</c:formatCode>
                <c:ptCount val="18"/>
                <c:pt idx="0">
                  <c:v>15000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7666.666666666667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4970880"/>
        <c:axId val="104969344"/>
      </c:barChart>
      <c:lineChart>
        <c:grouping val="standard"/>
        <c:varyColors val="0"/>
        <c:ser>
          <c:idx val="0"/>
          <c:order val="0"/>
          <c:tx>
            <c:strRef>
              <c:f>Synthèse!$H$44</c:f>
              <c:strCache>
                <c:ptCount val="1"/>
                <c:pt idx="0">
                  <c:v>Montant des ventes</c:v>
                </c:pt>
              </c:strCache>
            </c:strRef>
          </c:tx>
          <c:marker>
            <c:symbol val="star"/>
            <c:size val="7"/>
          </c:marker>
          <c:cat>
            <c:strRef>
              <c:f>Synthèse!$B$46:$B$63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  <c:pt idx="16">
                  <c:v>Mai</c:v>
                </c:pt>
                <c:pt idx="17">
                  <c:v>Juin</c:v>
                </c:pt>
              </c:strCache>
            </c:strRef>
          </c:cat>
          <c:val>
            <c:numRef>
              <c:f>Synthèse!$H$46:$H$63</c:f>
              <c:numCache>
                <c:formatCode>_-* #,##0\ "€"_-;\-* #,##0\ "€"_-;_-* "-"??\ "€"_-;_-@_-</c:formatCode>
                <c:ptCount val="18"/>
                <c:pt idx="0">
                  <c:v>15000</c:v>
                </c:pt>
                <c:pt idx="1">
                  <c:v>17000</c:v>
                </c:pt>
                <c:pt idx="2">
                  <c:v>19000</c:v>
                </c:pt>
                <c:pt idx="3">
                  <c:v>21000</c:v>
                </c:pt>
                <c:pt idx="4">
                  <c:v>23000</c:v>
                </c:pt>
                <c:pt idx="5">
                  <c:v>25000</c:v>
                </c:pt>
                <c:pt idx="6">
                  <c:v>27000</c:v>
                </c:pt>
                <c:pt idx="7">
                  <c:v>29000</c:v>
                </c:pt>
                <c:pt idx="8">
                  <c:v>31000</c:v>
                </c:pt>
                <c:pt idx="9">
                  <c:v>33000</c:v>
                </c:pt>
                <c:pt idx="10">
                  <c:v>35000</c:v>
                </c:pt>
                <c:pt idx="11">
                  <c:v>37000</c:v>
                </c:pt>
                <c:pt idx="12">
                  <c:v>39000</c:v>
                </c:pt>
                <c:pt idx="13">
                  <c:v>41000</c:v>
                </c:pt>
                <c:pt idx="14">
                  <c:v>43000</c:v>
                </c:pt>
                <c:pt idx="15">
                  <c:v>45000</c:v>
                </c:pt>
                <c:pt idx="16">
                  <c:v>47000</c:v>
                </c:pt>
                <c:pt idx="17">
                  <c:v>49000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Synthèse!$I$44</c:f>
              <c:strCache>
                <c:ptCount val="1"/>
                <c:pt idx="0">
                  <c:v>Chiffre d'affaire</c:v>
                </c:pt>
              </c:strCache>
            </c:strRef>
          </c:tx>
          <c:marker>
            <c:symbol val="star"/>
            <c:size val="7"/>
          </c:marker>
          <c:cat>
            <c:strRef>
              <c:f>Synthèse!$B$46:$B$63</c:f>
              <c:strCache>
                <c:ptCount val="18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  <c:pt idx="12">
                  <c:v>Janvier</c:v>
                </c:pt>
                <c:pt idx="13">
                  <c:v>Février</c:v>
                </c:pt>
                <c:pt idx="14">
                  <c:v>Mars</c:v>
                </c:pt>
                <c:pt idx="15">
                  <c:v>Avril</c:v>
                </c:pt>
                <c:pt idx="16">
                  <c:v>Mai</c:v>
                </c:pt>
                <c:pt idx="17">
                  <c:v>Juin</c:v>
                </c:pt>
              </c:strCache>
            </c:strRef>
          </c:cat>
          <c:val>
            <c:numRef>
              <c:f>Synthèse!$I$46:$I$63</c:f>
              <c:numCache>
                <c:formatCode>_-* #,##0\ "€"_-;\-* #,##0\ "€"_-;_-* "-"??\ "€"_-;_-@_-</c:formatCode>
                <c:ptCount val="18"/>
                <c:pt idx="0">
                  <c:v>10000</c:v>
                </c:pt>
                <c:pt idx="1">
                  <c:v>13000</c:v>
                </c:pt>
                <c:pt idx="2">
                  <c:v>16000</c:v>
                </c:pt>
                <c:pt idx="3">
                  <c:v>19000</c:v>
                </c:pt>
                <c:pt idx="4">
                  <c:v>22000</c:v>
                </c:pt>
                <c:pt idx="5">
                  <c:v>25000</c:v>
                </c:pt>
                <c:pt idx="6">
                  <c:v>28000</c:v>
                </c:pt>
                <c:pt idx="7">
                  <c:v>31000</c:v>
                </c:pt>
                <c:pt idx="8">
                  <c:v>34000</c:v>
                </c:pt>
                <c:pt idx="9">
                  <c:v>37000</c:v>
                </c:pt>
                <c:pt idx="10">
                  <c:v>40000</c:v>
                </c:pt>
                <c:pt idx="11">
                  <c:v>43000</c:v>
                </c:pt>
                <c:pt idx="12">
                  <c:v>46000</c:v>
                </c:pt>
                <c:pt idx="13">
                  <c:v>49000</c:v>
                </c:pt>
                <c:pt idx="14">
                  <c:v>52000</c:v>
                </c:pt>
                <c:pt idx="15">
                  <c:v>55000</c:v>
                </c:pt>
                <c:pt idx="16">
                  <c:v>58000</c:v>
                </c:pt>
                <c:pt idx="17">
                  <c:v>61000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4966016"/>
        <c:axId val="104967552"/>
      </c:lineChart>
      <c:catAx>
        <c:axId val="104966016"/>
        <c:scaling>
          <c:orientation val="minMax"/>
        </c:scaling>
        <c:delete val="0"/>
        <c:axPos val="b"/>
        <c:majorTickMark val="out"/>
        <c:minorTickMark val="none"/>
        <c:tickLblPos val="nextTo"/>
        <c:crossAx val="104967552"/>
        <c:crosses val="autoZero"/>
        <c:auto val="1"/>
        <c:lblAlgn val="ctr"/>
        <c:lblOffset val="100"/>
        <c:noMultiLvlLbl val="0"/>
      </c:catAx>
      <c:valAx>
        <c:axId val="104967552"/>
        <c:scaling>
          <c:orientation val="minMax"/>
        </c:scaling>
        <c:delete val="0"/>
        <c:axPos val="l"/>
        <c:majorGridlines/>
        <c:numFmt formatCode="_-* #,##0\ &quot;€&quot;_-;\-* #,##0\ &quot;€&quot;_-;_-* &quot;-&quot;??\ &quot;€&quot;_-;_-@_-" sourceLinked="1"/>
        <c:majorTickMark val="out"/>
        <c:minorTickMark val="none"/>
        <c:tickLblPos val="nextTo"/>
        <c:crossAx val="104966016"/>
        <c:crosses val="autoZero"/>
        <c:crossBetween val="between"/>
      </c:valAx>
      <c:valAx>
        <c:axId val="104969344"/>
        <c:scaling>
          <c:orientation val="minMax"/>
        </c:scaling>
        <c:delete val="0"/>
        <c:axPos val="r"/>
        <c:numFmt formatCode="_-* #,##0\ &quot;€&quot;_-;\-* #,##0\ &quot;€&quot;_-;_-* &quot;-&quot;??\ &quot;€&quot;_-;_-@_-" sourceLinked="1"/>
        <c:majorTickMark val="out"/>
        <c:minorTickMark val="none"/>
        <c:tickLblPos val="nextTo"/>
        <c:crossAx val="104970880"/>
        <c:crosses val="max"/>
        <c:crossBetween val="between"/>
      </c:valAx>
      <c:catAx>
        <c:axId val="104970880"/>
        <c:scaling>
          <c:orientation val="minMax"/>
        </c:scaling>
        <c:delete val="1"/>
        <c:axPos val="b"/>
        <c:majorTickMark val="out"/>
        <c:minorTickMark val="none"/>
        <c:tickLblPos val="nextTo"/>
        <c:crossAx val="104969344"/>
        <c:crosses val="autoZero"/>
        <c:auto val="1"/>
        <c:lblAlgn val="ctr"/>
        <c:lblOffset val="100"/>
        <c:noMultiLvlLbl val="0"/>
      </c:cat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explosion val="30"/>
          <c:dPt>
            <c:idx val="0"/>
            <c:bubble3D val="0"/>
          </c:dPt>
          <c:dLbls>
            <c:dLbl>
              <c:idx val="0"/>
              <c:tx>
                <c:rich>
                  <a:bodyPr/>
                  <a:lstStyle/>
                  <a:p>
                    <a:pPr>
                      <a:defRPr sz="125" b="0" i="0" u="none" strike="noStrike" baseline="0">
                        <a:solidFill>
                          <a:srgbClr val="000000"/>
                        </a:solidFill>
                        <a:latin typeface="Arial"/>
                        <a:ea typeface="Arial"/>
                        <a:cs typeface="Arial"/>
                      </a:defRPr>
                    </a:pPr>
                    <a:r>
                      <a:t>Consommations externes</a:t>
                    </a:r>
                  </a:p>
                </c:rich>
              </c:tx>
              <c:spPr>
                <a:noFill/>
                <a:ln w="25400">
                  <a:noFill/>
                </a:ln>
              </c:spPr>
              <c:dLblPos val="bestFit"/>
              <c:showLegendKey val="0"/>
              <c:showVal val="0"/>
              <c:showCatName val="0"/>
              <c:showSerName val="0"/>
              <c:showPercent val="0"/>
              <c:showBubbleSize val="0"/>
            </c:dLbl>
            <c:dLbl>
              <c:idx val="1"/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2"/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3"/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4"/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5"/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</c:dLbl>
            <c:dLbl>
              <c:idx val="6"/>
              <c:dLblPos val="bestFit"/>
              <c:showLegendKey val="0"/>
              <c:showVal val="0"/>
              <c:showCatName val="1"/>
              <c:showSerName val="0"/>
              <c:showPercent val="0"/>
              <c:showBubbleSize val="0"/>
            </c:dLbl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50" b="0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1"/>
          </c:dLbls>
          <c:cat>
            <c:numRef>
              <c:f>Catégories!#REF!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cat>
          <c:val>
            <c:numRef>
              <c:f>Catégories!#REF!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/>
    <c:pageMargins b="0.984251969" l="0.78740157499999996" r="0.78740157499999996" t="0.984251969" header="0.4921259845" footer="0.492125984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6</xdr:col>
      <xdr:colOff>609600</xdr:colOff>
      <xdr:row>19</xdr:row>
      <xdr:rowOff>60960</xdr:rowOff>
    </xdr:to>
    <xdr:graphicFrame macro="">
      <xdr:nvGraphicFramePr>
        <xdr:cNvPr id="10183697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76200</xdr:colOff>
      <xdr:row>22</xdr:row>
      <xdr:rowOff>22860</xdr:rowOff>
    </xdr:from>
    <xdr:to>
      <xdr:col>8</xdr:col>
      <xdr:colOff>259080</xdr:colOff>
      <xdr:row>41</xdr:row>
      <xdr:rowOff>97124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739140</xdr:colOff>
      <xdr:row>45</xdr:row>
      <xdr:rowOff>76200</xdr:rowOff>
    </xdr:from>
    <xdr:to>
      <xdr:col>19</xdr:col>
      <xdr:colOff>655320</xdr:colOff>
      <xdr:row>64</xdr:row>
      <xdr:rowOff>104744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15240</xdr:colOff>
      <xdr:row>40</xdr:row>
      <xdr:rowOff>137160</xdr:rowOff>
    </xdr:from>
    <xdr:ext cx="1879041" cy="374141"/>
    <xdr:sp macro="" textlink="">
      <xdr:nvSpPr>
        <xdr:cNvPr id="2" name="ZoneTexte 1"/>
        <xdr:cNvSpPr txBox="1"/>
      </xdr:nvSpPr>
      <xdr:spPr>
        <a:xfrm>
          <a:off x="15240" y="6987540"/>
          <a:ext cx="1879041" cy="374141"/>
        </a:xfrm>
        <a:prstGeom prst="rect">
          <a:avLst/>
        </a:prstGeom>
        <a:solidFill>
          <a:srgbClr val="FFFF0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800" b="1"/>
            <a:t>Tableau</a:t>
          </a:r>
          <a:r>
            <a:rPr lang="fr-FR" sz="1800" b="1" baseline="0"/>
            <a:t> concerné</a:t>
          </a:r>
          <a:endParaRPr lang="fr-FR" sz="1800" b="1"/>
        </a:p>
      </xdr:txBody>
    </xdr:sp>
    <xdr:clientData/>
  </xdr:oneCellAnchor>
  <xdr:twoCellAnchor>
    <xdr:from>
      <xdr:col>2</xdr:col>
      <xdr:colOff>571500</xdr:colOff>
      <xdr:row>42</xdr:row>
      <xdr:rowOff>99060</xdr:rowOff>
    </xdr:from>
    <xdr:to>
      <xdr:col>3</xdr:col>
      <xdr:colOff>114300</xdr:colOff>
      <xdr:row>43</xdr:row>
      <xdr:rowOff>266700</xdr:rowOff>
    </xdr:to>
    <xdr:cxnSp macro="">
      <xdr:nvCxnSpPr>
        <xdr:cNvPr id="4" name="Connecteur droit avec flèche 3"/>
        <xdr:cNvCxnSpPr/>
      </xdr:nvCxnSpPr>
      <xdr:spPr>
        <a:xfrm>
          <a:off x="1813560" y="7284720"/>
          <a:ext cx="335280" cy="342900"/>
        </a:xfrm>
        <a:prstGeom prst="straightConnector1">
          <a:avLst/>
        </a:prstGeom>
        <a:ln w="38100">
          <a:solidFill>
            <a:srgbClr val="FF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14</xdr:row>
      <xdr:rowOff>45720</xdr:rowOff>
    </xdr:from>
    <xdr:to>
      <xdr:col>13</xdr:col>
      <xdr:colOff>0</xdr:colOff>
      <xdr:row>28</xdr:row>
      <xdr:rowOff>129540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495300</xdr:colOff>
      <xdr:row>41</xdr:row>
      <xdr:rowOff>160020</xdr:rowOff>
    </xdr:from>
    <xdr:to>
      <xdr:col>4</xdr:col>
      <xdr:colOff>2164080</xdr:colOff>
      <xdr:row>45</xdr:row>
      <xdr:rowOff>121920</xdr:rowOff>
    </xdr:to>
    <xdr:sp macro="" textlink="">
      <xdr:nvSpPr>
        <xdr:cNvPr id="3" name="AutoShape 12"/>
        <xdr:cNvSpPr>
          <a:spLocks/>
        </xdr:cNvSpPr>
      </xdr:nvSpPr>
      <xdr:spPr bwMode="auto">
        <a:xfrm>
          <a:off x="4732020" y="7056120"/>
          <a:ext cx="1668780" cy="662940"/>
        </a:xfrm>
        <a:prstGeom prst="borderCallout1">
          <a:avLst>
            <a:gd name="adj1" fmla="val 18750"/>
            <a:gd name="adj2" fmla="val -4704"/>
            <a:gd name="adj3" fmla="val 14065"/>
            <a:gd name="adj4" fmla="val -28236"/>
          </a:avLst>
        </a:prstGeom>
        <a:solidFill>
          <a:srgbClr xmlns:mc="http://schemas.openxmlformats.org/markup-compatibility/2006" xmlns:a14="http://schemas.microsoft.com/office/drawing/2010/main" val="FFFF99" mc:Ignorable="a14" a14:legacySpreadsheetColorIndex="4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36576" bIns="0" anchor="t" upright="1"/>
        <a:lstStyle/>
        <a:p>
          <a:pPr algn="ctr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Commissions payées sur les cartes bancaires, les tickets restaurant...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685800</xdr:colOff>
      <xdr:row>29</xdr:row>
      <xdr:rowOff>137160</xdr:rowOff>
    </xdr:from>
    <xdr:to>
      <xdr:col>22</xdr:col>
      <xdr:colOff>106680</xdr:colOff>
      <xdr:row>31</xdr:row>
      <xdr:rowOff>60960</xdr:rowOff>
    </xdr:to>
    <xdr:sp macro="" textlink="">
      <xdr:nvSpPr>
        <xdr:cNvPr id="2" name="AutoShape 1"/>
        <xdr:cNvSpPr>
          <a:spLocks/>
        </xdr:cNvSpPr>
      </xdr:nvSpPr>
      <xdr:spPr bwMode="auto">
        <a:xfrm rot="5400000">
          <a:off x="2857500" y="5753100"/>
          <a:ext cx="259080" cy="1021080"/>
        </a:xfrm>
        <a:prstGeom prst="rightBrace">
          <a:avLst>
            <a:gd name="adj1" fmla="val 32843"/>
            <a:gd name="adj2" fmla="val 50648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64"/>
  <sheetViews>
    <sheetView tabSelected="1" topLeftCell="A34" zoomScaleNormal="100" workbookViewId="0">
      <selection activeCell="D47" sqref="D47"/>
    </sheetView>
  </sheetViews>
  <sheetFormatPr baseColWidth="10" defaultRowHeight="13.2" x14ac:dyDescent="0.25"/>
  <cols>
    <col min="1" max="1" width="2.6640625" style="85" customWidth="1"/>
    <col min="2" max="2" width="15.44140625" style="85" customWidth="1"/>
    <col min="3" max="3" width="11.5546875" style="85"/>
    <col min="4" max="4" width="13.88671875" style="85" customWidth="1"/>
    <col min="5" max="5" width="13.33203125" style="85" customWidth="1"/>
    <col min="6" max="6" width="11.5546875" style="85" customWidth="1"/>
    <col min="7" max="7" width="13.88671875" style="85" customWidth="1"/>
    <col min="8" max="13" width="11.5546875" style="85"/>
    <col min="14" max="14" width="2.6640625" style="85" customWidth="1"/>
    <col min="15" max="16384" width="11.5546875" style="85"/>
  </cols>
  <sheetData>
    <row r="1" spans="1:14" ht="30" x14ac:dyDescent="0.25">
      <c r="C1" s="697" t="s">
        <v>464</v>
      </c>
    </row>
    <row r="3" spans="1:14" ht="7.8" customHeight="1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</row>
    <row r="4" spans="1:14" x14ac:dyDescent="0.25">
      <c r="A4" s="84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</row>
    <row r="5" spans="1:14" x14ac:dyDescent="0.25">
      <c r="A5" s="84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</row>
    <row r="6" spans="1:14" x14ac:dyDescent="0.25">
      <c r="A6" s="84"/>
      <c r="B6" s="84"/>
      <c r="C6" s="84"/>
      <c r="D6" s="84"/>
      <c r="E6" s="84"/>
      <c r="F6" s="84"/>
      <c r="G6" s="84"/>
      <c r="H6" s="84"/>
      <c r="I6" s="84"/>
      <c r="J6" s="84"/>
      <c r="K6" s="84"/>
      <c r="L6" s="84"/>
      <c r="M6" s="84"/>
      <c r="N6" s="84"/>
    </row>
    <row r="7" spans="1:14" x14ac:dyDescent="0.25">
      <c r="A7" s="84"/>
      <c r="B7" s="84"/>
      <c r="C7" s="84"/>
      <c r="D7" s="84"/>
      <c r="E7" s="84"/>
      <c r="F7" s="84"/>
      <c r="G7" s="84"/>
      <c r="H7" s="84"/>
      <c r="I7" s="84"/>
      <c r="J7" s="84"/>
      <c r="K7" s="84"/>
      <c r="L7" s="84"/>
      <c r="M7" s="84"/>
      <c r="N7" s="84"/>
    </row>
    <row r="8" spans="1:14" x14ac:dyDescent="0.25">
      <c r="A8" s="84"/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</row>
    <row r="9" spans="1:14" x14ac:dyDescent="0.25">
      <c r="A9" s="84"/>
      <c r="B9" s="84"/>
      <c r="C9" s="84"/>
      <c r="D9" s="84"/>
      <c r="E9" s="84"/>
      <c r="F9" s="84"/>
      <c r="G9" s="84"/>
      <c r="H9" s="84"/>
      <c r="I9" s="84"/>
      <c r="J9" s="84"/>
      <c r="K9" s="84"/>
      <c r="L9" s="84"/>
      <c r="M9" s="84"/>
      <c r="N9" s="84"/>
    </row>
    <row r="10" spans="1:14" x14ac:dyDescent="0.25">
      <c r="A10" s="84"/>
      <c r="B10" s="84"/>
      <c r="C10" s="84"/>
      <c r="D10" s="84"/>
      <c r="E10" s="84"/>
      <c r="F10" s="84"/>
      <c r="G10" s="84"/>
      <c r="H10" s="84"/>
      <c r="I10" s="84"/>
      <c r="J10" s="84"/>
      <c r="K10" s="84"/>
      <c r="L10" s="84"/>
      <c r="M10" s="84"/>
      <c r="N10" s="84"/>
    </row>
    <row r="11" spans="1:14" x14ac:dyDescent="0.25">
      <c r="A11" s="84"/>
      <c r="B11" s="84"/>
      <c r="C11" s="84"/>
      <c r="D11" s="84"/>
      <c r="E11" s="84"/>
      <c r="F11" s="84"/>
      <c r="G11" s="84"/>
      <c r="H11" s="84"/>
      <c r="I11" s="84"/>
      <c r="J11" s="84"/>
      <c r="K11" s="84"/>
      <c r="L11" s="84"/>
      <c r="M11" s="84"/>
      <c r="N11" s="84"/>
    </row>
    <row r="12" spans="1:14" x14ac:dyDescent="0.25">
      <c r="A12" s="84"/>
      <c r="B12" s="84"/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84"/>
      <c r="N12" s="84"/>
    </row>
    <row r="13" spans="1:14" x14ac:dyDescent="0.25">
      <c r="A13" s="84"/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</row>
    <row r="14" spans="1:14" x14ac:dyDescent="0.25">
      <c r="A14" s="84"/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</row>
    <row r="15" spans="1:14" x14ac:dyDescent="0.25">
      <c r="A15" s="84"/>
      <c r="B15" s="84"/>
      <c r="C15" s="84"/>
      <c r="D15" s="84"/>
      <c r="E15" s="84"/>
      <c r="F15" s="84"/>
      <c r="G15" s="84"/>
      <c r="H15" s="84"/>
      <c r="I15" s="84"/>
      <c r="J15" s="84"/>
      <c r="K15" s="84"/>
      <c r="L15" s="84"/>
      <c r="M15" s="84"/>
      <c r="N15" s="84"/>
    </row>
    <row r="16" spans="1:14" x14ac:dyDescent="0.25">
      <c r="A16" s="84"/>
      <c r="B16" s="84"/>
      <c r="C16" s="84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</row>
    <row r="17" spans="1:14" x14ac:dyDescent="0.25">
      <c r="A17" s="84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</row>
    <row r="18" spans="1:14" x14ac:dyDescent="0.25">
      <c r="A18" s="84"/>
      <c r="B18" s="84"/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</row>
    <row r="19" spans="1:14" x14ac:dyDescent="0.25">
      <c r="A19" s="84"/>
      <c r="B19" s="84"/>
      <c r="C19" s="84"/>
      <c r="D19" s="84"/>
      <c r="E19" s="84"/>
      <c r="F19" s="84"/>
      <c r="G19" s="84"/>
      <c r="H19" s="84"/>
      <c r="I19" s="84"/>
      <c r="J19" s="84"/>
      <c r="K19" s="84"/>
      <c r="L19" s="84"/>
      <c r="M19" s="84"/>
      <c r="N19" s="84"/>
    </row>
    <row r="20" spans="1:14" x14ac:dyDescent="0.25">
      <c r="A20" s="84"/>
      <c r="B20" s="84"/>
      <c r="C20" s="84"/>
      <c r="D20" s="84"/>
      <c r="E20" s="84"/>
      <c r="F20" s="84"/>
      <c r="G20" s="84"/>
      <c r="H20" s="84"/>
      <c r="I20" s="84"/>
      <c r="J20" s="84"/>
      <c r="K20" s="84"/>
      <c r="L20" s="84"/>
      <c r="M20" s="84"/>
      <c r="N20" s="84"/>
    </row>
    <row r="21" spans="1:14" x14ac:dyDescent="0.25">
      <c r="A21" s="84"/>
      <c r="B21" s="84"/>
      <c r="C21" s="84"/>
      <c r="D21" s="84"/>
      <c r="E21" s="84"/>
      <c r="F21" s="84"/>
      <c r="G21" s="84"/>
      <c r="H21" s="84"/>
      <c r="I21" s="84"/>
      <c r="J21" s="84"/>
      <c r="K21" s="84"/>
      <c r="L21" s="84"/>
      <c r="M21" s="84"/>
      <c r="N21" s="84"/>
    </row>
    <row r="22" spans="1:14" x14ac:dyDescent="0.25">
      <c r="A22" s="84"/>
      <c r="B22" s="84"/>
      <c r="C22" s="84"/>
      <c r="D22" s="84"/>
      <c r="E22" s="84"/>
      <c r="F22" s="84"/>
      <c r="G22" s="84"/>
      <c r="H22" s="84"/>
      <c r="I22" s="84"/>
      <c r="J22" s="84"/>
      <c r="K22" s="84"/>
      <c r="L22" s="84"/>
      <c r="M22" s="84"/>
      <c r="N22" s="84"/>
    </row>
    <row r="23" spans="1:14" x14ac:dyDescent="0.25">
      <c r="A23" s="84"/>
      <c r="B23" s="84"/>
      <c r="C23" s="84"/>
      <c r="D23" s="84"/>
      <c r="E23" s="84"/>
      <c r="F23" s="84"/>
      <c r="G23" s="84"/>
      <c r="H23" s="84"/>
      <c r="I23" s="84"/>
      <c r="J23" s="84"/>
      <c r="K23" s="84"/>
      <c r="L23" s="84"/>
      <c r="M23" s="84"/>
      <c r="N23" s="84"/>
    </row>
    <row r="24" spans="1:14" x14ac:dyDescent="0.25">
      <c r="A24" s="84"/>
      <c r="B24" s="84"/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84"/>
      <c r="N24" s="84"/>
    </row>
    <row r="25" spans="1:14" x14ac:dyDescent="0.25">
      <c r="A25" s="84"/>
      <c r="B25" s="84"/>
      <c r="C25" s="84"/>
      <c r="D25" s="84"/>
      <c r="E25" s="84"/>
      <c r="F25" s="84"/>
      <c r="G25" s="84"/>
      <c r="H25" s="84"/>
      <c r="I25" s="84"/>
      <c r="J25" s="84"/>
      <c r="K25" s="84"/>
      <c r="L25" s="84"/>
      <c r="M25" s="84"/>
      <c r="N25" s="84"/>
    </row>
    <row r="26" spans="1:14" x14ac:dyDescent="0.25">
      <c r="A26" s="84"/>
      <c r="B26" s="84"/>
      <c r="C26" s="84"/>
      <c r="D26" s="84"/>
      <c r="E26" s="84"/>
      <c r="F26" s="84"/>
      <c r="G26" s="84"/>
      <c r="H26" s="84"/>
      <c r="I26" s="84"/>
      <c r="J26" s="84"/>
      <c r="K26" s="84"/>
      <c r="L26" s="84"/>
      <c r="M26" s="84"/>
      <c r="N26" s="84"/>
    </row>
    <row r="27" spans="1:14" x14ac:dyDescent="0.25">
      <c r="A27" s="84"/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</row>
    <row r="28" spans="1:14" x14ac:dyDescent="0.25">
      <c r="A28" s="84"/>
      <c r="B28" s="84"/>
      <c r="C28" s="84"/>
      <c r="D28" s="84"/>
      <c r="E28" s="84"/>
      <c r="F28" s="84"/>
      <c r="G28" s="84"/>
      <c r="H28" s="84"/>
      <c r="I28" s="84"/>
      <c r="J28" s="84"/>
      <c r="K28" s="84"/>
      <c r="L28" s="84"/>
      <c r="M28" s="84"/>
      <c r="N28" s="84"/>
    </row>
    <row r="29" spans="1:14" x14ac:dyDescent="0.25">
      <c r="A29" s="84"/>
      <c r="B29" s="84"/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</row>
    <row r="30" spans="1:14" x14ac:dyDescent="0.25">
      <c r="A30" s="84"/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</row>
    <row r="31" spans="1:14" x14ac:dyDescent="0.25">
      <c r="A31" s="84"/>
      <c r="B31" s="84"/>
      <c r="C31" s="84"/>
      <c r="D31" s="84"/>
      <c r="E31" s="84"/>
      <c r="F31" s="84"/>
      <c r="G31" s="84"/>
      <c r="H31" s="84"/>
      <c r="I31" s="84"/>
      <c r="J31" s="84"/>
      <c r="K31" s="84"/>
      <c r="L31" s="84"/>
      <c r="M31" s="84"/>
      <c r="N31" s="84"/>
    </row>
    <row r="32" spans="1:14" x14ac:dyDescent="0.25">
      <c r="A32" s="84"/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</row>
    <row r="33" spans="1:14" x14ac:dyDescent="0.25">
      <c r="A33" s="84"/>
      <c r="B33" s="84"/>
      <c r="C33" s="84"/>
      <c r="D33" s="84"/>
      <c r="E33" s="84"/>
      <c r="F33" s="84"/>
      <c r="G33" s="84"/>
      <c r="H33" s="84"/>
      <c r="I33" s="84"/>
      <c r="J33" s="84"/>
      <c r="K33" s="84"/>
      <c r="L33" s="84"/>
      <c r="M33" s="84"/>
      <c r="N33" s="84"/>
    </row>
    <row r="34" spans="1:14" x14ac:dyDescent="0.25">
      <c r="A34" s="84"/>
      <c r="B34" s="84"/>
      <c r="C34" s="84"/>
      <c r="D34" s="84"/>
      <c r="E34" s="84"/>
      <c r="F34" s="84"/>
      <c r="G34" s="84"/>
      <c r="H34" s="84"/>
      <c r="I34" s="84"/>
      <c r="J34" s="84"/>
      <c r="K34" s="84"/>
      <c r="L34" s="84"/>
      <c r="M34" s="84"/>
      <c r="N34" s="84"/>
    </row>
    <row r="35" spans="1:14" x14ac:dyDescent="0.25">
      <c r="A35" s="84"/>
      <c r="B35" s="84"/>
      <c r="C35" s="84"/>
      <c r="D35" s="84"/>
      <c r="E35" s="84"/>
      <c r="F35" s="84"/>
      <c r="G35" s="84"/>
      <c r="H35" s="84"/>
      <c r="I35" s="84"/>
      <c r="J35" s="84"/>
      <c r="K35" s="84"/>
      <c r="L35" s="84"/>
      <c r="M35" s="84"/>
      <c r="N35" s="84"/>
    </row>
    <row r="36" spans="1:14" x14ac:dyDescent="0.25">
      <c r="A36" s="84"/>
      <c r="B36" s="84"/>
      <c r="C36" s="84"/>
      <c r="D36" s="84"/>
      <c r="E36" s="84"/>
      <c r="F36" s="84"/>
      <c r="G36" s="84"/>
      <c r="H36" s="84"/>
      <c r="I36" s="84"/>
      <c r="J36" s="84"/>
      <c r="K36" s="84"/>
      <c r="L36" s="84"/>
      <c r="M36" s="84"/>
      <c r="N36" s="84"/>
    </row>
    <row r="37" spans="1:14" x14ac:dyDescent="0.25">
      <c r="A37" s="84"/>
      <c r="B37" s="84"/>
      <c r="C37" s="84"/>
      <c r="D37" s="84"/>
      <c r="E37" s="84"/>
      <c r="F37" s="84"/>
      <c r="G37" s="84"/>
      <c r="H37" s="84"/>
      <c r="I37" s="84"/>
      <c r="J37" s="84"/>
      <c r="K37" s="84"/>
      <c r="L37" s="84"/>
      <c r="M37" s="84"/>
      <c r="N37" s="84"/>
    </row>
    <row r="38" spans="1:14" x14ac:dyDescent="0.25">
      <c r="A38" s="84"/>
      <c r="B38" s="84"/>
      <c r="C38" s="84"/>
      <c r="D38" s="84"/>
      <c r="E38" s="84"/>
      <c r="F38" s="84"/>
      <c r="G38" s="84"/>
      <c r="H38" s="84"/>
      <c r="I38" s="84"/>
      <c r="J38" s="84"/>
      <c r="K38" s="84"/>
      <c r="L38" s="84"/>
      <c r="M38" s="84"/>
      <c r="N38" s="84"/>
    </row>
    <row r="39" spans="1:14" x14ac:dyDescent="0.25">
      <c r="A39" s="84"/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</row>
    <row r="40" spans="1:14" x14ac:dyDescent="0.25">
      <c r="A40" s="84"/>
      <c r="B40" s="84"/>
      <c r="C40" s="84"/>
      <c r="D40" s="84"/>
      <c r="E40" s="84"/>
      <c r="F40" s="84"/>
      <c r="G40" s="84"/>
      <c r="H40" s="84"/>
      <c r="I40" s="84"/>
      <c r="J40" s="84"/>
      <c r="K40" s="84"/>
      <c r="L40" s="84"/>
      <c r="M40" s="84"/>
      <c r="N40" s="84"/>
    </row>
    <row r="41" spans="1:14" x14ac:dyDescent="0.25">
      <c r="A41" s="84"/>
      <c r="B41" s="84"/>
      <c r="C41" s="84"/>
      <c r="D41" s="84"/>
      <c r="E41" s="84"/>
      <c r="F41" s="84"/>
      <c r="G41" s="84"/>
      <c r="H41" s="84"/>
      <c r="I41" s="84"/>
      <c r="J41" s="84"/>
      <c r="K41" s="84"/>
      <c r="L41" s="84"/>
      <c r="M41" s="84"/>
      <c r="N41" s="84"/>
    </row>
    <row r="42" spans="1:14" x14ac:dyDescent="0.25">
      <c r="A42" s="84"/>
      <c r="B42" s="84"/>
      <c r="C42" s="84"/>
      <c r="D42" s="84"/>
      <c r="E42" s="84"/>
      <c r="F42" s="84"/>
      <c r="G42" s="84"/>
      <c r="H42" s="84"/>
      <c r="I42" s="84"/>
      <c r="J42" s="84"/>
      <c r="K42" s="84"/>
      <c r="L42" s="84"/>
      <c r="M42" s="84"/>
      <c r="N42" s="84"/>
    </row>
    <row r="43" spans="1:14" ht="13.8" thickBot="1" x14ac:dyDescent="0.3">
      <c r="A43" s="84"/>
      <c r="B43" s="84"/>
      <c r="C43" s="84"/>
      <c r="D43" s="84"/>
      <c r="E43" s="84"/>
      <c r="F43" s="84"/>
      <c r="G43" s="84"/>
      <c r="H43" s="84"/>
      <c r="I43" s="84"/>
      <c r="J43" s="84"/>
      <c r="K43" s="84"/>
      <c r="L43" s="84"/>
      <c r="M43" s="84"/>
      <c r="N43" s="84"/>
    </row>
    <row r="44" spans="1:14" ht="40.200000000000003" thickBot="1" x14ac:dyDescent="0.3">
      <c r="A44" s="654"/>
      <c r="B44" s="655"/>
      <c r="C44" s="665" t="s">
        <v>463</v>
      </c>
      <c r="D44" s="666" t="s">
        <v>484</v>
      </c>
      <c r="E44" s="667" t="s">
        <v>460</v>
      </c>
      <c r="F44" s="668" t="s">
        <v>459</v>
      </c>
      <c r="G44" s="669" t="s">
        <v>461</v>
      </c>
      <c r="H44" s="665" t="s">
        <v>462</v>
      </c>
      <c r="I44" s="666" t="s">
        <v>211</v>
      </c>
      <c r="J44" s="670" t="s">
        <v>212</v>
      </c>
      <c r="K44" s="84"/>
      <c r="L44" s="84"/>
      <c r="M44" s="84"/>
      <c r="N44" s="84"/>
    </row>
    <row r="45" spans="1:14" ht="13.8" thickBot="1" x14ac:dyDescent="0.3">
      <c r="A45" s="774" t="s">
        <v>12</v>
      </c>
      <c r="B45" s="775"/>
      <c r="C45" s="689">
        <f>SUM(C46:C63)</f>
        <v>30</v>
      </c>
      <c r="D45" s="690">
        <f>SUM(D46:D63)</f>
        <v>18</v>
      </c>
      <c r="E45" s="691">
        <f>SUM(E46:E63)</f>
        <v>9</v>
      </c>
      <c r="F45" s="692">
        <f>SUM(F46:F63)</f>
        <v>4</v>
      </c>
      <c r="G45" s="693">
        <f>F45/(E45+F45)</f>
        <v>0.30769230769230771</v>
      </c>
      <c r="H45" s="694">
        <f>SUM(H46:H63)</f>
        <v>576000</v>
      </c>
      <c r="I45" s="695">
        <f>SUM(I46:I63)</f>
        <v>639000</v>
      </c>
      <c r="J45" s="696">
        <f>H45/F45</f>
        <v>144000</v>
      </c>
      <c r="K45" s="84"/>
      <c r="L45" s="84"/>
      <c r="M45" s="84"/>
      <c r="N45" s="84"/>
    </row>
    <row r="46" spans="1:14" x14ac:dyDescent="0.25">
      <c r="A46" s="776">
        <v>2013</v>
      </c>
      <c r="B46" s="656" t="s">
        <v>20</v>
      </c>
      <c r="C46" s="651">
        <f>SUMPRODUCT((MONTH(Clients!C$4:C$880)=MONTH(DATEVALUE("01 "&amp;B46)))*(YEAR(Clients!C$4:C$880)=$A$46)*((Clients!G$4:G$880=1)+(Clients!G$4:G$880="-")+ISBLANK(Clients!G$4:G$880)))+SUMPRODUCT((MONTH(Clients!C$4:C$880)=12)*(YEAR(Clients!C$4:C$880)=2012)*((Clients!G$4:G$880=1)+(Clients!G$4:G$880="-")+ISBLANK(Clients!G$4:G$880)))</f>
        <v>2</v>
      </c>
      <c r="D46" s="645">
        <f>SUMPRODUCT(ISNUMBER(SEARCH(MONTH(DATEVALUE("01 "&amp;B46)),MONTH(Clients!D$4:D$880)))*ISNUMBER(SEARCH($A$46,YEAR(Clients!D$4:D$880))))</f>
        <v>3</v>
      </c>
      <c r="E46" s="642">
        <f>SUMPRODUCT((Clients!B$4:B$880="Ex-prospect")*(MONTH(Clients!C$4:C$880)=MONTH(DATEVALUE("01 "&amp;B46)))*(YEAR(Clients!C$4:C$880)=$A$46))+SUMPRODUCT((Clients!B$4:B$880="Ex-prospect")*(MONTH(Clients!C$4:C$880)=12)*(YEAR(Clients!C$4:C$880)=2012))</f>
        <v>0</v>
      </c>
      <c r="F46" s="643">
        <f>SUMPRODUCT((Clients!B$4:B$880="Client")*(MONTH(Clients!C$4:C$880)=MONTH(DATEVALUE("01 "&amp;B46)))*(YEAR(Clients!C$4:C$880)=$A$46))+SUMPRODUCT((Clients!B$4:B$880="Client")*(MONTH(Clients!C$4:C$880)=12)*(YEAR(Clients!C$4:C$880)=2012))</f>
        <v>1</v>
      </c>
      <c r="G46" s="719">
        <f>IF(ISNUMBER(F46/(E46+F46)),F46/(E46+F46),"-")</f>
        <v>1</v>
      </c>
      <c r="H46" s="649">
        <v>15000</v>
      </c>
      <c r="I46" s="647">
        <v>10000</v>
      </c>
      <c r="J46" s="657">
        <f>H46/F46</f>
        <v>15000</v>
      </c>
      <c r="K46" s="84"/>
      <c r="L46" s="84"/>
      <c r="M46" s="84"/>
      <c r="N46" s="84"/>
    </row>
    <row r="47" spans="1:14" x14ac:dyDescent="0.25">
      <c r="A47" s="777"/>
      <c r="B47" s="653" t="s">
        <v>21</v>
      </c>
      <c r="C47" s="650">
        <f>SUMPRODUCT((MONTH(Clients!C$4:C$880)=MONTH(DATEVALUE("01 "&amp;B47)))*(YEAR(Clients!C$4:C$880)=$A$46)*((Clients!G$4:G$880=1)+(Clients!G$4:G$880="-")+ISBLANK(Clients!G$4:G$880)))</f>
        <v>1</v>
      </c>
      <c r="D47" s="739">
        <f>SUMPRODUCT(ISNUMBER(SEARCH(MONTH(DATEVALUE("01 "&amp;B47)),MONTH(Clients!D$4:D$880)))*ISNUMBER(SEARCH($A$46,YEAR(Clients!D$4:D$880))))</f>
        <v>1</v>
      </c>
      <c r="E47" s="640">
        <f>SUMPRODUCT((Clients!B$4:B$880="Ex-prospect")*(MONTH(Clients!C$4:C$880)=MONTH(DATEVALUE("01 "&amp;B47)))*(YEAR(Clients!C$4:C$880)=$A$46))</f>
        <v>1</v>
      </c>
      <c r="F47" s="641">
        <f>SUMPRODUCT((Clients!B$4:B$880="Client")*(MONTH(Clients!C$4:C$880)=MONTH(DATEVALUE("01 "&amp;B47)))*(YEAR(Clients!C$4:C$880)=$A$46))</f>
        <v>0</v>
      </c>
      <c r="G47" s="720">
        <f t="shared" ref="G47:G63" si="0">IF(ISNUMBER(F47/(E47+F47)),F47/(E47+F47),"-")</f>
        <v>0</v>
      </c>
      <c r="H47" s="648">
        <v>17000</v>
      </c>
      <c r="I47" s="646">
        <v>13000</v>
      </c>
      <c r="J47" s="658" t="e">
        <f t="shared" ref="J47:J63" si="1">H47/F47</f>
        <v>#DIV/0!</v>
      </c>
      <c r="K47" s="84"/>
      <c r="L47" s="84"/>
      <c r="M47" s="84"/>
      <c r="N47" s="84"/>
    </row>
    <row r="48" spans="1:14" x14ac:dyDescent="0.25">
      <c r="A48" s="777"/>
      <c r="B48" s="653" t="s">
        <v>59</v>
      </c>
      <c r="C48" s="650">
        <f>SUMPRODUCT((MONTH(Clients!C$4:C$880)=MONTH(DATEVALUE("01 "&amp;B48)))*(YEAR(Clients!C$4:C$880)=$A$46)*((Clients!G$4:G$880=1)+(Clients!G$4:G$880="-")+ISBLANK(Clients!G$4:G$880)))</f>
        <v>2</v>
      </c>
      <c r="D48" s="644">
        <f>SUMPRODUCT(ISNUMBER(SEARCH(MONTH(DATEVALUE("01 "&amp;B48)),MONTH(Clients!D$4:D$880)))*ISNUMBER(SEARCH($A$46,YEAR(Clients!D$4:D$880))))</f>
        <v>0</v>
      </c>
      <c r="E48" s="640">
        <f>SUMPRODUCT((Clients!B$4:B$880="Ex-prospect")*(MONTH(Clients!C$4:C$880)=MONTH(DATEVALUE("01 "&amp;B48)))*(YEAR(Clients!C$4:C$880)=$A$46))</f>
        <v>0</v>
      </c>
      <c r="F48" s="641">
        <f>SUMPRODUCT((Clients!B$4:B$880="Client")*(MONTH(Clients!C$4:C$880)=MONTH(DATEVALUE("01 "&amp;B48)))*(YEAR(Clients!C$4:C$880)=$A$46))</f>
        <v>0</v>
      </c>
      <c r="G48" s="720" t="str">
        <f t="shared" si="0"/>
        <v>-</v>
      </c>
      <c r="H48" s="648">
        <v>19000</v>
      </c>
      <c r="I48" s="646">
        <v>16000</v>
      </c>
      <c r="J48" s="658" t="e">
        <f t="shared" si="1"/>
        <v>#DIV/0!</v>
      </c>
      <c r="K48" s="84"/>
      <c r="L48" s="84"/>
      <c r="M48" s="84"/>
      <c r="N48" s="84"/>
    </row>
    <row r="49" spans="1:14" ht="13.2" customHeight="1" x14ac:dyDescent="0.25">
      <c r="A49" s="777"/>
      <c r="B49" s="652" t="s">
        <v>17</v>
      </c>
      <c r="C49" s="650">
        <f>SUMPRODUCT((MONTH(Clients!C$4:C$880)=MONTH(DATEVALUE("01 "&amp;B49)))*(YEAR(Clients!C$4:C$880)=$A$46)*((Clients!G$4:G$880=1)+(Clients!G$4:G$880="-")+ISBLANK(Clients!G$4:G$880)))</f>
        <v>4</v>
      </c>
      <c r="D49" s="644">
        <f>SUMPRODUCT(ISNUMBER(SEARCH(MONTH(DATEVALUE("01 "&amp;B49)),MONTH(Clients!D$4:D$880)))*ISNUMBER(SEARCH($A$46,YEAR(Clients!D$4:D$880))))</f>
        <v>2</v>
      </c>
      <c r="E49" s="640">
        <f>SUMPRODUCT((Clients!B$4:B$880="Ex-prospect")*(MONTH(Clients!C$4:C$880)=MONTH(DATEVALUE("01 "&amp;B49)))*(YEAR(Clients!C$4:C$880)=$A$46))</f>
        <v>3</v>
      </c>
      <c r="F49" s="641">
        <f>SUMPRODUCT((Clients!B$4:B$880="Client")*(MONTH(Clients!C$4:C$880)=MONTH(DATEVALUE("01 "&amp;B49)))*(YEAR(Clients!C$4:C$880)=$A$46))</f>
        <v>0</v>
      </c>
      <c r="G49" s="720">
        <f t="shared" si="0"/>
        <v>0</v>
      </c>
      <c r="H49" s="648">
        <v>21000</v>
      </c>
      <c r="I49" s="646">
        <v>19000</v>
      </c>
      <c r="J49" s="658" t="e">
        <f t="shared" si="1"/>
        <v>#DIV/0!</v>
      </c>
      <c r="K49" s="84"/>
      <c r="L49" s="84"/>
      <c r="M49" s="84"/>
      <c r="N49" s="84"/>
    </row>
    <row r="50" spans="1:14" x14ac:dyDescent="0.25">
      <c r="A50" s="777"/>
      <c r="B50" s="652" t="s">
        <v>60</v>
      </c>
      <c r="C50" s="650">
        <f>SUMPRODUCT((MONTH(Clients!C$4:C$880)=MONTH(DATEVALUE("01 "&amp;B50)))*(YEAR(Clients!C$4:C$880)=$A$46)*((Clients!G$4:G$880=1)+(Clients!G$4:G$880="-")+ISBLANK(Clients!G$4:G$880)))</f>
        <v>7</v>
      </c>
      <c r="D50" s="644">
        <f>SUMPRODUCT(ISNUMBER(SEARCH(MONTH(DATEVALUE("01 "&amp;B50)),MONTH(Clients!D$4:D$880)))*ISNUMBER(SEARCH($A$46,YEAR(Clients!D$4:D$880))))</f>
        <v>2</v>
      </c>
      <c r="E50" s="640">
        <f>SUMPRODUCT((Clients!B$4:B$880="Ex-prospect")*(MONTH(Clients!C$4:C$880)=MONTH(DATEVALUE("01 "&amp;B50)))*(YEAR(Clients!C$4:C$880)=$A$46))</f>
        <v>2</v>
      </c>
      <c r="F50" s="641">
        <f>SUMPRODUCT((Clients!B$4:B$880="Client")*(MONTH(Clients!C$4:C$880)=MONTH(DATEVALUE("01 "&amp;B50)))*(YEAR(Clients!C$4:C$880)=$A$46))</f>
        <v>3</v>
      </c>
      <c r="G50" s="720">
        <f t="shared" si="0"/>
        <v>0.6</v>
      </c>
      <c r="H50" s="648">
        <v>23000</v>
      </c>
      <c r="I50" s="646">
        <v>22000</v>
      </c>
      <c r="J50" s="658">
        <f t="shared" si="1"/>
        <v>7666.666666666667</v>
      </c>
      <c r="K50" s="84"/>
      <c r="L50" s="84"/>
      <c r="M50" s="84"/>
      <c r="N50" s="84"/>
    </row>
    <row r="51" spans="1:14" x14ac:dyDescent="0.25">
      <c r="A51" s="777"/>
      <c r="B51" s="652" t="s">
        <v>61</v>
      </c>
      <c r="C51" s="650">
        <f>SUMPRODUCT((MONTH(Clients!C$4:C$880)=MONTH(DATEVALUE("01 "&amp;B51)))*(YEAR(Clients!C$4:C$880)=$A$46)*((Clients!G$4:G$880=1)+(Clients!G$4:G$880="-")+ISBLANK(Clients!G$4:G$880)))</f>
        <v>3</v>
      </c>
      <c r="D51" s="644">
        <f>SUMPRODUCT(ISNUMBER(SEARCH(MONTH(DATEVALUE("01 "&amp;B51)),MONTH(Clients!D$4:D$880)))*ISNUMBER(SEARCH($A$46,YEAR(Clients!D$4:D$880))))</f>
        <v>5</v>
      </c>
      <c r="E51" s="640">
        <f>SUMPRODUCT((Clients!B$4:B$880="Ex-prospect")*(MONTH(Clients!C$4:C$880)=MONTH(DATEVALUE("01 "&amp;B51)))*(YEAR(Clients!C$4:C$880)=$A$46))</f>
        <v>2</v>
      </c>
      <c r="F51" s="641">
        <f>SUMPRODUCT((Clients!B$4:B$880="Client")*(MONTH(Clients!C$4:C$880)=MONTH(DATEVALUE("01 "&amp;B51)))*(YEAR(Clients!C$4:C$880)=$A$46))</f>
        <v>0</v>
      </c>
      <c r="G51" s="720">
        <f t="shared" si="0"/>
        <v>0</v>
      </c>
      <c r="H51" s="648">
        <v>25000</v>
      </c>
      <c r="I51" s="646">
        <v>25000</v>
      </c>
      <c r="J51" s="658" t="e">
        <f t="shared" si="1"/>
        <v>#DIV/0!</v>
      </c>
      <c r="K51" s="84"/>
      <c r="L51" s="84"/>
      <c r="M51" s="84"/>
      <c r="N51" s="84"/>
    </row>
    <row r="52" spans="1:14" x14ac:dyDescent="0.25">
      <c r="A52" s="777"/>
      <c r="B52" s="653" t="s">
        <v>18</v>
      </c>
      <c r="C52" s="650">
        <f>SUMPRODUCT((MONTH(Clients!C$4:C$880)=MONTH(DATEVALUE("01 "&amp;B52)))*(YEAR(Clients!C$4:C$880)=$A$46)*((Clients!G$4:G$880=1)+(Clients!G$4:G$880="-")+ISBLANK(Clients!G$4:G$880)))</f>
        <v>0</v>
      </c>
      <c r="D52" s="644">
        <f>SUMPRODUCT(ISNUMBER(SEARCH(MONTH(DATEVALUE("01 "&amp;B52)),MONTH(Clients!D$4:D$880)))*ISNUMBER(SEARCH($A$46,YEAR(Clients!D$4:D$880))))</f>
        <v>1</v>
      </c>
      <c r="E52" s="640">
        <f>SUMPRODUCT((Clients!B$4:B$880="Ex-prospect")*(MONTH(Clients!C$4:C$880)=MONTH(DATEVALUE("01 "&amp;B52)))*(YEAR(Clients!C$4:C$880)=$A$46))</f>
        <v>0</v>
      </c>
      <c r="F52" s="641">
        <f>SUMPRODUCT((Clients!B$4:B$880="Client")*(MONTH(Clients!C$4:C$880)=MONTH(DATEVALUE("01 "&amp;B52)))*(YEAR(Clients!C$4:C$880)=$A$46))</f>
        <v>0</v>
      </c>
      <c r="G52" s="720" t="str">
        <f t="shared" si="0"/>
        <v>-</v>
      </c>
      <c r="H52" s="648">
        <v>27000</v>
      </c>
      <c r="I52" s="646">
        <v>28000</v>
      </c>
      <c r="J52" s="658" t="e">
        <f t="shared" si="1"/>
        <v>#DIV/0!</v>
      </c>
      <c r="K52" s="84"/>
      <c r="L52" s="84"/>
      <c r="M52" s="84"/>
      <c r="N52" s="84"/>
    </row>
    <row r="53" spans="1:14" x14ac:dyDescent="0.25">
      <c r="A53" s="777"/>
      <c r="B53" s="653" t="s">
        <v>62</v>
      </c>
      <c r="C53" s="650">
        <f>SUMPRODUCT((MONTH(Clients!C$4:C$880)=MONTH(DATEVALUE("01 "&amp;B53)))*(YEAR(Clients!C$4:C$880)=$A$46)*((Clients!G$4:G$880=1)+(Clients!G$4:G$880="-")+ISBLANK(Clients!G$4:G$880)))</f>
        <v>3</v>
      </c>
      <c r="D53" s="644">
        <f>SUMPRODUCT(ISNUMBER(SEARCH(MONTH(DATEVALUE("01 "&amp;B53)),MONTH(Clients!D$4:D$880)))*ISNUMBER(SEARCH($A$46,YEAR(Clients!D$4:D$880))))</f>
        <v>0</v>
      </c>
      <c r="E53" s="640">
        <f>SUMPRODUCT((Clients!B$4:B$880="Ex-prospect")*(MONTH(Clients!C$4:C$880)=MONTH(DATEVALUE("01 "&amp;B53)))*(YEAR(Clients!C$4:C$880)=$A$46))</f>
        <v>0</v>
      </c>
      <c r="F53" s="641">
        <f>SUMPRODUCT((Clients!B$4:B$880="Client")*(MONTH(Clients!C$4:C$880)=MONTH(DATEVALUE("01 "&amp;B53)))*(YEAR(Clients!C$4:C$880)=$A$46))</f>
        <v>0</v>
      </c>
      <c r="G53" s="720" t="str">
        <f t="shared" si="0"/>
        <v>-</v>
      </c>
      <c r="H53" s="648">
        <v>29000</v>
      </c>
      <c r="I53" s="646">
        <v>31000</v>
      </c>
      <c r="J53" s="658" t="e">
        <f t="shared" si="1"/>
        <v>#DIV/0!</v>
      </c>
      <c r="K53" s="84"/>
      <c r="L53" s="84"/>
      <c r="M53" s="84"/>
      <c r="N53" s="84"/>
    </row>
    <row r="54" spans="1:14" x14ac:dyDescent="0.25">
      <c r="A54" s="777"/>
      <c r="B54" s="653" t="s">
        <v>22</v>
      </c>
      <c r="C54" s="650">
        <f>SUMPRODUCT((MONTH(Clients!C$4:C$880)=MONTH(DATEVALUE("01 "&amp;B54)))*(YEAR(Clients!C$4:C$880)=$A$46)*((Clients!G$4:G$880=1)+(Clients!G$4:G$880="-")+ISBLANK(Clients!G$4:G$880)))</f>
        <v>5</v>
      </c>
      <c r="D54" s="644">
        <f>SUMPRODUCT(ISNUMBER(SEARCH(MONTH(DATEVALUE("01 "&amp;B54)),MONTH(Clients!D$4:D$880)))*ISNUMBER(SEARCH($A$46,YEAR(Clients!D$4:D$880))))</f>
        <v>0</v>
      </c>
      <c r="E54" s="640">
        <f>SUMPRODUCT((Clients!B$4:B$880="Ex-prospect")*(MONTH(Clients!C$4:C$880)=MONTH(DATEVALUE("01 "&amp;B54)))*(YEAR(Clients!C$4:C$880)=$A$46))</f>
        <v>0</v>
      </c>
      <c r="F54" s="641">
        <f>SUMPRODUCT((Clients!B$4:B$880="Client")*(MONTH(Clients!C$4:C$880)=MONTH(DATEVALUE("01 "&amp;B54)))*(YEAR(Clients!C$4:C$880)=$A$46))</f>
        <v>0</v>
      </c>
      <c r="G54" s="720" t="str">
        <f t="shared" si="0"/>
        <v>-</v>
      </c>
      <c r="H54" s="648">
        <v>31000</v>
      </c>
      <c r="I54" s="646">
        <v>34000</v>
      </c>
      <c r="J54" s="658" t="e">
        <f t="shared" si="1"/>
        <v>#DIV/0!</v>
      </c>
      <c r="K54" s="84"/>
      <c r="L54" s="84"/>
      <c r="M54" s="84"/>
      <c r="N54" s="84"/>
    </row>
    <row r="55" spans="1:14" x14ac:dyDescent="0.25">
      <c r="A55" s="777"/>
      <c r="B55" s="653" t="s">
        <v>19</v>
      </c>
      <c r="C55" s="650">
        <f>SUMPRODUCT((MONTH(Clients!C$4:C$880)=MONTH(DATEVALUE("01 "&amp;B55)))*(YEAR(Clients!C$4:C$880)=$A$46)*((Clients!G$4:G$880=1)+(Clients!G$4:G$880="-")+ISBLANK(Clients!G$4:G$880)))</f>
        <v>1</v>
      </c>
      <c r="D55" s="644">
        <f>SUMPRODUCT(ISNUMBER(SEARCH(MONTH(DATEVALUE("01 "&amp;B55)),MONTH(Clients!D$4:D$880)))*ISNUMBER(SEARCH($A$46,YEAR(Clients!D$4:D$880))))</f>
        <v>2</v>
      </c>
      <c r="E55" s="640">
        <f>SUMPRODUCT((Clients!B$4:B$880="Ex-prospect")*(MONTH(Clients!C$4:C$880)=MONTH(DATEVALUE("01 "&amp;B55)))*(YEAR(Clients!C$4:C$880)=$A$46))</f>
        <v>0</v>
      </c>
      <c r="F55" s="641">
        <f>SUMPRODUCT((Clients!B$4:B$880="Client")*(MONTH(Clients!C$4:C$880)=MONTH(DATEVALUE("01 "&amp;B55)))*(YEAR(Clients!C$4:C$880)=$A$46))</f>
        <v>0</v>
      </c>
      <c r="G55" s="720" t="str">
        <f t="shared" si="0"/>
        <v>-</v>
      </c>
      <c r="H55" s="648">
        <v>33000</v>
      </c>
      <c r="I55" s="646">
        <v>37000</v>
      </c>
      <c r="J55" s="658" t="e">
        <f t="shared" si="1"/>
        <v>#DIV/0!</v>
      </c>
      <c r="K55" s="84"/>
      <c r="L55" s="84"/>
      <c r="M55" s="84"/>
      <c r="N55" s="84"/>
    </row>
    <row r="56" spans="1:14" x14ac:dyDescent="0.25">
      <c r="A56" s="777"/>
      <c r="B56" s="653" t="s">
        <v>55</v>
      </c>
      <c r="C56" s="650">
        <f>SUMPRODUCT((MONTH(Clients!C$4:C$880)=MONTH(DATEVALUE("01 "&amp;B56)))*(YEAR(Clients!C$4:C$880)=$A$46)*((Clients!G$4:G$880=1)+(Clients!G$4:G$880="-")+ISBLANK(Clients!G$4:G$880)))</f>
        <v>0</v>
      </c>
      <c r="D56" s="644">
        <f>SUMPRODUCT(ISNUMBER(SEARCH(MONTH(DATEVALUE("01 "&amp;B56)),MONTH(Clients!D$4:D$880)))*ISNUMBER(SEARCH($A$46,YEAR(Clients!D$4:D$880))))</f>
        <v>0</v>
      </c>
      <c r="E56" s="640">
        <f>SUMPRODUCT((Clients!B$4:B$880="Ex-prospect")*(MONTH(Clients!C$4:C$880)=MONTH(DATEVALUE("01 "&amp;B56)))*(YEAR(Clients!C$4:C$880)=$A$46))</f>
        <v>0</v>
      </c>
      <c r="F56" s="641">
        <f>SUMPRODUCT((Clients!B$4:B$880="Client")*(MONTH(Clients!C$4:C$880)=MONTH(DATEVALUE("01 "&amp;B56)))*(YEAR(Clients!C$4:C$880)=$A$46))</f>
        <v>0</v>
      </c>
      <c r="G56" s="720" t="str">
        <f t="shared" si="0"/>
        <v>-</v>
      </c>
      <c r="H56" s="648">
        <v>35000</v>
      </c>
      <c r="I56" s="646">
        <v>40000</v>
      </c>
      <c r="J56" s="658" t="e">
        <f t="shared" si="1"/>
        <v>#DIV/0!</v>
      </c>
      <c r="K56" s="84"/>
      <c r="L56" s="84"/>
      <c r="M56" s="84"/>
      <c r="N56" s="84"/>
    </row>
    <row r="57" spans="1:14" x14ac:dyDescent="0.25">
      <c r="A57" s="777"/>
      <c r="B57" s="671" t="s">
        <v>63</v>
      </c>
      <c r="C57" s="672">
        <f>SUMPRODUCT((MONTH(Clients!C$4:C$880)=MONTH(DATEVALUE("01 "&amp;B57)))*(YEAR(Clients!C$4:C$880)=$A$46)*((Clients!G$4:G$880=1)+(Clients!G$4:G$880="-")+ISBLANK(Clients!G$4:G$880)))</f>
        <v>0</v>
      </c>
      <c r="D57" s="673">
        <f>SUMPRODUCT(ISNUMBER(SEARCH(MONTH(DATEVALUE("01 "&amp;B57)),MONTH(Clients!D$4:D$880)))*ISNUMBER(SEARCH($A$46,YEAR(Clients!D$4:D$880))))</f>
        <v>0</v>
      </c>
      <c r="E57" s="674">
        <f>SUMPRODUCT((Clients!B$4:B$880="Ex-prospect")*(MONTH(Clients!C$4:C$880)=MONTH(DATEVALUE("01 "&amp;B57)))*(YEAR(Clients!C$4:C$880)=$A$46))</f>
        <v>0</v>
      </c>
      <c r="F57" s="675">
        <f>SUMPRODUCT((Clients!B$4:B$880="Client")*(MONTH(Clients!C$4:C$880)=MONTH(DATEVALUE("01 "&amp;B57)))*(YEAR(Clients!C$4:C$880)=$A$46))</f>
        <v>0</v>
      </c>
      <c r="G57" s="721" t="str">
        <f t="shared" si="0"/>
        <v>-</v>
      </c>
      <c r="H57" s="676">
        <v>37000</v>
      </c>
      <c r="I57" s="677">
        <v>43000</v>
      </c>
      <c r="J57" s="678" t="e">
        <f t="shared" si="1"/>
        <v>#DIV/0!</v>
      </c>
      <c r="K57" s="84"/>
      <c r="L57" s="84"/>
      <c r="M57" s="84"/>
      <c r="N57" s="84"/>
    </row>
    <row r="58" spans="1:14" ht="13.8" thickBot="1" x14ac:dyDescent="0.3">
      <c r="A58" s="778">
        <v>2014</v>
      </c>
      <c r="B58" s="679" t="s">
        <v>20</v>
      </c>
      <c r="C58" s="680">
        <f>SUMPRODUCT((MONTH(Clients!C$4:C$880)=MONTH(DATEVALUE("01 "&amp;B58)))*(YEAR(Clients!C$4:C$880)=$A$58)*((Clients!G$4:G$880=1)+(Clients!G$4:G$880="-")+ISBLANK(Clients!G$4:G$880)))</f>
        <v>0</v>
      </c>
      <c r="D58" s="681">
        <f>SUMPRODUCT((ISNUMBER(SEARCH("prospect",Clients!B$4:B$880))+(Clients!B$4:B$880="Client"))*(MONTH(Clients!C$4:C$880)=MONTH(DATEVALUE("01 "&amp;B58)))*(YEAR(Clients!C$4:C$880)=$A$58))</f>
        <v>0</v>
      </c>
      <c r="E58" s="682">
        <f>SUMPRODUCT((Clients!B$4:B$880="Ex-prospect")*(MONTH(Clients!C$4:C$880)=MONTH(DATEVALUE("01 "&amp;B58)))*(YEAR(Clients!C$4:C$880)=$A$58))</f>
        <v>0</v>
      </c>
      <c r="F58" s="683">
        <f>SUMPRODUCT((Clients!B$4:B$880="Client")*(MONTH(Clients!C$4:C$880)=MONTH(DATEVALUE("01 "&amp;B58)))*(YEAR(Clients!C$4:C$880)=$A$58))</f>
        <v>0</v>
      </c>
      <c r="G58" s="722" t="str">
        <f t="shared" si="0"/>
        <v>-</v>
      </c>
      <c r="H58" s="684">
        <v>39000</v>
      </c>
      <c r="I58" s="685">
        <v>46000</v>
      </c>
      <c r="J58" s="686" t="e">
        <f t="shared" si="1"/>
        <v>#DIV/0!</v>
      </c>
      <c r="K58" s="84"/>
      <c r="L58" s="84"/>
      <c r="M58" s="84"/>
      <c r="N58" s="84"/>
    </row>
    <row r="59" spans="1:14" ht="13.8" thickBot="1" x14ac:dyDescent="0.3">
      <c r="A59" s="779"/>
      <c r="B59" s="653" t="s">
        <v>21</v>
      </c>
      <c r="C59" s="650">
        <f>SUMPRODUCT((MONTH(Clients!C$4:C$880)=MONTH(DATEVALUE("01 "&amp;B59)))*(YEAR(Clients!C$4:C$880)=$A$58)*((Clients!G$4:G$880=1)+(Clients!G$4:G$880="-")+ISBLANK(Clients!G$4:G$880)))</f>
        <v>0</v>
      </c>
      <c r="D59" s="644">
        <f>SUMPRODUCT((ISNUMBER(SEARCH("prospect",Clients!B$4:B$880))+(Clients!B$4:B$880="Client"))*(MONTH(Clients!C$4:C$880)=MONTH(DATEVALUE("01 "&amp;B59)))*(YEAR(Clients!C$4:C$880)=$A$58))</f>
        <v>0</v>
      </c>
      <c r="E59" s="640">
        <f>SUMPRODUCT((Clients!B$4:B$880="Ex-prospect")*(MONTH(Clients!C$4:C$880)=MONTH(DATEVALUE("01 "&amp;B59)))*(YEAR(Clients!C$4:C$880)=$A$58))</f>
        <v>0</v>
      </c>
      <c r="F59" s="641">
        <f>SUMPRODUCT((Clients!B$4:B$880="Client")*(MONTH(Clients!C$4:C$880)=MONTH(DATEVALUE("01 "&amp;B59)))*(YEAR(Clients!C$4:C$880)=$A$58))</f>
        <v>0</v>
      </c>
      <c r="G59" s="720" t="str">
        <f t="shared" si="0"/>
        <v>-</v>
      </c>
      <c r="H59" s="648">
        <v>41000</v>
      </c>
      <c r="I59" s="646">
        <v>49000</v>
      </c>
      <c r="J59" s="658" t="e">
        <f t="shared" si="1"/>
        <v>#DIV/0!</v>
      </c>
      <c r="K59" s="84"/>
      <c r="L59" s="84"/>
      <c r="M59" s="84"/>
      <c r="N59" s="84"/>
    </row>
    <row r="60" spans="1:14" ht="13.8" thickBot="1" x14ac:dyDescent="0.3">
      <c r="A60" s="779"/>
      <c r="B60" s="653" t="s">
        <v>59</v>
      </c>
      <c r="C60" s="650">
        <f>SUMPRODUCT((MONTH(Clients!C$4:C$880)=MONTH(DATEVALUE("01 "&amp;B60)))*(YEAR(Clients!C$4:C$880)=$A$58)*((Clients!G$4:G$880=1)+(Clients!G$4:G$880="-")+ISBLANK(Clients!G$4:G$880)))</f>
        <v>0</v>
      </c>
      <c r="D60" s="644">
        <f>SUMPRODUCT((ISNUMBER(SEARCH("prospect",Clients!B$4:B$880))+(Clients!B$4:B$880="Client"))*(MONTH(Clients!C$4:C$880)=MONTH(DATEVALUE("01 "&amp;B60)))*(YEAR(Clients!C$4:C$880)=$A$58))</f>
        <v>0</v>
      </c>
      <c r="E60" s="640">
        <f>SUMPRODUCT((Clients!B$4:B$880="Ex-prospect")*(MONTH(Clients!C$4:C$880)=MONTH(DATEVALUE("01 "&amp;B60)))*(YEAR(Clients!C$4:C$880)=$A$58))</f>
        <v>0</v>
      </c>
      <c r="F60" s="641">
        <f>SUMPRODUCT((Clients!B$4:B$880="Client")*(MONTH(Clients!C$4:C$880)=MONTH(DATEVALUE("01 "&amp;B60)))*(YEAR(Clients!C$4:C$880)=$A$58))</f>
        <v>0</v>
      </c>
      <c r="G60" s="720" t="str">
        <f t="shared" si="0"/>
        <v>-</v>
      </c>
      <c r="H60" s="648">
        <v>43000</v>
      </c>
      <c r="I60" s="646">
        <v>52000</v>
      </c>
      <c r="J60" s="658" t="e">
        <f t="shared" si="1"/>
        <v>#DIV/0!</v>
      </c>
      <c r="K60" s="84"/>
      <c r="L60" s="84"/>
      <c r="M60" s="84"/>
      <c r="N60" s="84"/>
    </row>
    <row r="61" spans="1:14" ht="13.8" thickBot="1" x14ac:dyDescent="0.3">
      <c r="A61" s="779"/>
      <c r="B61" s="652" t="s">
        <v>17</v>
      </c>
      <c r="C61" s="650">
        <f>SUMPRODUCT((MONTH(Clients!C$4:C$880)=MONTH(DATEVALUE("01 "&amp;B61)))*(YEAR(Clients!C$4:C$880)=$A$58)*((Clients!G$4:G$880=1)+(Clients!G$4:G$880="-")+ISBLANK(Clients!G$4:G$880)))</f>
        <v>0</v>
      </c>
      <c r="D61" s="644">
        <f>SUMPRODUCT((ISNUMBER(SEARCH("prospect",Clients!B$4:B$880))+(Clients!B$4:B$880="Client"))*(MONTH(Clients!C$4:C$880)=MONTH(DATEVALUE("01 "&amp;B61)))*(YEAR(Clients!C$4:C$880)=$A$58))</f>
        <v>0</v>
      </c>
      <c r="E61" s="640">
        <f>SUMPRODUCT((Clients!B$4:B$880="Ex-prospect")*(MONTH(Clients!C$4:C$880)=MONTH(DATEVALUE("01 "&amp;B61)))*(YEAR(Clients!C$4:C$880)=$A$58))</f>
        <v>0</v>
      </c>
      <c r="F61" s="641">
        <f>SUMPRODUCT((Clients!B$4:B$880="Client")*(MONTH(Clients!C$4:C$880)=MONTH(DATEVALUE("01 "&amp;B61)))*(YEAR(Clients!C$4:C$880)=$A$58))</f>
        <v>0</v>
      </c>
      <c r="G61" s="720" t="str">
        <f t="shared" si="0"/>
        <v>-</v>
      </c>
      <c r="H61" s="648">
        <v>45000</v>
      </c>
      <c r="I61" s="646">
        <v>55000</v>
      </c>
      <c r="J61" s="658" t="e">
        <f t="shared" si="1"/>
        <v>#DIV/0!</v>
      </c>
      <c r="K61" s="84"/>
      <c r="L61" s="84"/>
      <c r="M61" s="84"/>
      <c r="N61" s="84"/>
    </row>
    <row r="62" spans="1:14" ht="13.8" thickBot="1" x14ac:dyDescent="0.3">
      <c r="A62" s="779"/>
      <c r="B62" s="652" t="s">
        <v>60</v>
      </c>
      <c r="C62" s="650">
        <f>SUMPRODUCT((MONTH(Clients!C$4:C$880)=MONTH(DATEVALUE("01 "&amp;B62)))*(YEAR(Clients!C$4:C$880)=$A$58)*((Clients!G$4:G$880=1)+(Clients!G$4:G$880="-")+ISBLANK(Clients!G$4:G$880)))</f>
        <v>2</v>
      </c>
      <c r="D62" s="644">
        <f>SUMPRODUCT((ISNUMBER(SEARCH("prospect",Clients!B$4:B$880))+(Clients!B$4:B$880="Client"))*(MONTH(Clients!C$4:C$880)=MONTH(DATEVALUE("01 "&amp;B62)))*(YEAR(Clients!C$4:C$880)=$A$58))</f>
        <v>2</v>
      </c>
      <c r="E62" s="640">
        <f>SUMPRODUCT((Clients!B$4:B$880="Ex-prospect")*(MONTH(Clients!C$4:C$880)=MONTH(DATEVALUE("01 "&amp;B62)))*(YEAR(Clients!C$4:C$880)=$A$58))</f>
        <v>1</v>
      </c>
      <c r="F62" s="641">
        <f>SUMPRODUCT((Clients!B$4:B$880="Client")*(MONTH(Clients!C$4:C$880)=MONTH(DATEVALUE("01 "&amp;B62)))*(YEAR(Clients!C$4:C$880)=$A$58))</f>
        <v>0</v>
      </c>
      <c r="G62" s="720">
        <f t="shared" si="0"/>
        <v>0</v>
      </c>
      <c r="H62" s="648">
        <v>47000</v>
      </c>
      <c r="I62" s="646">
        <v>58000</v>
      </c>
      <c r="J62" s="658" t="e">
        <f t="shared" si="1"/>
        <v>#DIV/0!</v>
      </c>
      <c r="K62" s="84"/>
      <c r="L62" s="84"/>
      <c r="M62" s="84"/>
      <c r="N62" s="84"/>
    </row>
    <row r="63" spans="1:14" ht="13.8" thickBot="1" x14ac:dyDescent="0.3">
      <c r="A63" s="779"/>
      <c r="B63" s="659" t="s">
        <v>61</v>
      </c>
      <c r="C63" s="660">
        <f>SUMPRODUCT((MONTH(Clients!C$4:C$880)=MONTH(DATEVALUE("01 "&amp;B63)))*(YEAR(Clients!C$4:C$880)=$A$58)*((Clients!G$4:G$880=1)+(Clients!G$4:G$880="-")+ISBLANK(Clients!G$4:G$880)))</f>
        <v>0</v>
      </c>
      <c r="D63" s="661">
        <f>SUMPRODUCT((ISNUMBER(SEARCH("prospect",Clients!B$4:B$880))+(Clients!B$4:B$880="Client"))*(MONTH(Clients!C$4:C$880)=MONTH(DATEVALUE("01 "&amp;B63)))*(YEAR(Clients!C$4:C$880)=$A$58))</f>
        <v>0</v>
      </c>
      <c r="E63" s="662">
        <f>SUMPRODUCT((Clients!B$4:B$880="Ex-prospect")*(MONTH(Clients!C$4:C$880)=MONTH(DATEVALUE("01 "&amp;B63)))*(YEAR(Clients!C$4:C$880)=$A$58))</f>
        <v>0</v>
      </c>
      <c r="F63" s="663">
        <f>SUMPRODUCT((Clients!B$4:B$880="Client")*(MONTH(Clients!C$4:C$880)=MONTH(DATEVALUE("01 "&amp;B63)))*(YEAR(Clients!C$4:C$880)=$A$58))</f>
        <v>0</v>
      </c>
      <c r="G63" s="723" t="str">
        <f t="shared" si="0"/>
        <v>-</v>
      </c>
      <c r="H63" s="664">
        <v>49000</v>
      </c>
      <c r="I63" s="687">
        <v>61000</v>
      </c>
      <c r="J63" s="688" t="e">
        <f t="shared" si="1"/>
        <v>#DIV/0!</v>
      </c>
      <c r="K63" s="84"/>
      <c r="L63" s="84"/>
      <c r="M63" s="84"/>
      <c r="N63" s="84"/>
    </row>
    <row r="64" spans="1:14" x14ac:dyDescent="0.25">
      <c r="A64" s="84"/>
      <c r="B64" s="84"/>
      <c r="C64" s="84"/>
      <c r="D64" s="84"/>
      <c r="E64" s="84"/>
      <c r="F64" s="84"/>
      <c r="G64" s="84"/>
      <c r="H64" s="84"/>
      <c r="I64" s="84"/>
      <c r="J64" s="84"/>
      <c r="K64" s="84"/>
      <c r="L64" s="84"/>
      <c r="M64" s="84"/>
      <c r="N64" s="84"/>
    </row>
  </sheetData>
  <mergeCells count="3">
    <mergeCell ref="A45:B45"/>
    <mergeCell ref="A46:A57"/>
    <mergeCell ref="A58:A63"/>
  </mergeCells>
  <pageMargins left="0.7" right="0.7" top="0.75" bottom="0.75" header="0.3" footer="0.3"/>
  <pageSetup paperSize="9" orientation="portrait" horizontalDpi="4294967293" verticalDpi="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tabColor theme="9" tint="0.39997558519241921"/>
  </sheetPr>
  <dimension ref="A1:O38"/>
  <sheetViews>
    <sheetView zoomScaleNormal="100" workbookViewId="0">
      <pane xSplit="1" ySplit="3" topLeftCell="B4" activePane="bottomRight" state="frozenSplit"/>
      <selection activeCell="H2" sqref="H2:I2"/>
      <selection pane="topRight" activeCell="B1" sqref="B1"/>
      <selection pane="bottomLeft"/>
      <selection pane="bottomRight" activeCell="K14" sqref="K14"/>
    </sheetView>
  </sheetViews>
  <sheetFormatPr baseColWidth="10" defaultRowHeight="10.199999999999999" x14ac:dyDescent="0.25"/>
  <cols>
    <col min="1" max="1" width="12" style="1" bestFit="1" customWidth="1"/>
    <col min="2" max="2" width="11.5546875" style="249"/>
    <col min="3" max="5" width="10" style="1" customWidth="1"/>
    <col min="6" max="6" width="10" style="255" customWidth="1"/>
    <col min="7" max="7" width="5.21875" style="129" customWidth="1"/>
    <col min="8" max="8" width="12" style="1" customWidth="1"/>
    <col min="9" max="9" width="10.77734375" style="128" bestFit="1" customWidth="1"/>
    <col min="10" max="10" width="9" style="128" customWidth="1"/>
    <col min="11" max="11" width="7.77734375" style="128" customWidth="1"/>
    <col min="12" max="12" width="8.33203125" style="128" bestFit="1" customWidth="1"/>
    <col min="13" max="13" width="7.77734375" style="128" customWidth="1"/>
    <col min="14" max="16384" width="11.5546875" style="1"/>
  </cols>
  <sheetData>
    <row r="1" spans="1:15" ht="10.8" customHeight="1" x14ac:dyDescent="0.25">
      <c r="A1" s="783" t="s">
        <v>209</v>
      </c>
      <c r="B1" s="797" t="s">
        <v>481</v>
      </c>
      <c r="C1" s="788" t="s">
        <v>457</v>
      </c>
      <c r="D1" s="788"/>
      <c r="E1" s="788"/>
      <c r="F1" s="788"/>
      <c r="G1" s="789" t="s">
        <v>482</v>
      </c>
      <c r="H1" s="794" t="s">
        <v>469</v>
      </c>
      <c r="I1" s="795"/>
      <c r="J1" s="795" t="s">
        <v>470</v>
      </c>
      <c r="K1" s="796"/>
      <c r="L1" s="783" t="s">
        <v>468</v>
      </c>
      <c r="M1" s="780" t="s">
        <v>472</v>
      </c>
      <c r="O1" s="254" t="s">
        <v>465</v>
      </c>
    </row>
    <row r="2" spans="1:15" ht="10.8" customHeight="1" x14ac:dyDescent="0.25">
      <c r="A2" s="784"/>
      <c r="B2" s="798"/>
      <c r="C2" s="784" t="s">
        <v>454</v>
      </c>
      <c r="D2" s="786" t="s">
        <v>485</v>
      </c>
      <c r="E2" s="786" t="s">
        <v>455</v>
      </c>
      <c r="F2" s="792" t="s">
        <v>483</v>
      </c>
      <c r="G2" s="790"/>
      <c r="H2" s="784" t="s">
        <v>84</v>
      </c>
      <c r="I2" s="802" t="s">
        <v>471</v>
      </c>
      <c r="J2" s="800" t="s">
        <v>202</v>
      </c>
      <c r="K2" s="804" t="s">
        <v>456</v>
      </c>
      <c r="L2" s="784"/>
      <c r="M2" s="781"/>
    </row>
    <row r="3" spans="1:15" ht="13.8" customHeight="1" thickBot="1" x14ac:dyDescent="0.3">
      <c r="A3" s="785"/>
      <c r="B3" s="799"/>
      <c r="C3" s="785"/>
      <c r="D3" s="787"/>
      <c r="E3" s="787"/>
      <c r="F3" s="793"/>
      <c r="G3" s="791"/>
      <c r="H3" s="785"/>
      <c r="I3" s="803"/>
      <c r="J3" s="801"/>
      <c r="K3" s="805"/>
      <c r="L3" s="785"/>
      <c r="M3" s="782"/>
    </row>
    <row r="4" spans="1:15" x14ac:dyDescent="0.25">
      <c r="A4" s="773" t="s">
        <v>512</v>
      </c>
      <c r="B4" s="713" t="s">
        <v>477</v>
      </c>
      <c r="C4" s="714">
        <v>41328</v>
      </c>
      <c r="D4" s="736">
        <v>41328</v>
      </c>
      <c r="E4" s="706">
        <v>41337</v>
      </c>
      <c r="F4" s="718">
        <f>IF(OR(ISBLANK(E4),E4="-"),IF(OR(ISBLANK(D4),D4="-"),C4,D4),E4)</f>
        <v>41337</v>
      </c>
      <c r="G4" s="717" t="s">
        <v>81</v>
      </c>
      <c r="H4" s="730"/>
      <c r="I4" s="731"/>
      <c r="J4" s="732"/>
      <c r="K4" s="733"/>
      <c r="L4" s="734"/>
      <c r="M4" s="735"/>
    </row>
    <row r="5" spans="1:15" x14ac:dyDescent="0.25">
      <c r="A5" s="773" t="s">
        <v>513</v>
      </c>
      <c r="B5" s="713" t="s">
        <v>209</v>
      </c>
      <c r="C5" s="715">
        <v>41339</v>
      </c>
      <c r="D5" s="737"/>
      <c r="E5" s="706"/>
      <c r="F5" s="718">
        <f t="shared" ref="F5:F30" si="0">IF(OR(ISBLANK(E5),E5="-"),IF(OR(ISBLANK(D5),D5="-"),C5,D5),E5)</f>
        <v>41339</v>
      </c>
      <c r="G5" s="712"/>
      <c r="H5" s="730"/>
      <c r="I5" s="731"/>
      <c r="J5" s="732"/>
      <c r="K5" s="733"/>
      <c r="L5" s="734"/>
      <c r="M5" s="735"/>
    </row>
    <row r="6" spans="1:15" x14ac:dyDescent="0.25">
      <c r="A6" s="773" t="s">
        <v>509</v>
      </c>
      <c r="B6" s="713" t="s">
        <v>86</v>
      </c>
      <c r="C6" s="715">
        <v>41260</v>
      </c>
      <c r="D6" s="737">
        <v>41283</v>
      </c>
      <c r="E6" s="706">
        <v>41342</v>
      </c>
      <c r="F6" s="718">
        <f t="shared" si="0"/>
        <v>41342</v>
      </c>
      <c r="G6" s="712">
        <v>1</v>
      </c>
      <c r="H6" s="724">
        <v>16359</v>
      </c>
      <c r="I6" s="725">
        <v>9015.36</v>
      </c>
      <c r="J6" s="726">
        <v>225.75</v>
      </c>
      <c r="K6" s="727">
        <v>0</v>
      </c>
      <c r="L6" s="728">
        <f>H6-I6</f>
        <v>7343.6399999999994</v>
      </c>
      <c r="M6" s="729">
        <f>L6/H6</f>
        <v>0.44890518980377769</v>
      </c>
    </row>
    <row r="7" spans="1:15" x14ac:dyDescent="0.25">
      <c r="A7" s="773" t="s">
        <v>513</v>
      </c>
      <c r="B7" s="713" t="s">
        <v>476</v>
      </c>
      <c r="C7" s="715">
        <v>41361</v>
      </c>
      <c r="D7" s="738" t="s">
        <v>81</v>
      </c>
      <c r="E7" s="706" t="s">
        <v>81</v>
      </c>
      <c r="F7" s="718">
        <f t="shared" si="0"/>
        <v>41361</v>
      </c>
      <c r="G7" s="717" t="s">
        <v>81</v>
      </c>
      <c r="H7" s="730"/>
      <c r="I7" s="731"/>
      <c r="J7" s="732"/>
      <c r="K7" s="733"/>
      <c r="L7" s="734"/>
      <c r="M7" s="735"/>
    </row>
    <row r="8" spans="1:15" x14ac:dyDescent="0.25">
      <c r="A8" s="773" t="s">
        <v>513</v>
      </c>
      <c r="B8" s="713" t="s">
        <v>476</v>
      </c>
      <c r="C8" s="715">
        <v>41373</v>
      </c>
      <c r="D8" s="738" t="s">
        <v>81</v>
      </c>
      <c r="E8" s="706" t="s">
        <v>81</v>
      </c>
      <c r="F8" s="718">
        <f t="shared" si="0"/>
        <v>41373</v>
      </c>
      <c r="G8" s="717" t="s">
        <v>81</v>
      </c>
      <c r="H8" s="730"/>
      <c r="I8" s="731"/>
      <c r="J8" s="732"/>
      <c r="K8" s="733"/>
      <c r="L8" s="734"/>
      <c r="M8" s="735"/>
    </row>
    <row r="9" spans="1:15" x14ac:dyDescent="0.25">
      <c r="A9" s="773" t="s">
        <v>513</v>
      </c>
      <c r="B9" s="713" t="s">
        <v>477</v>
      </c>
      <c r="C9" s="715">
        <v>41386</v>
      </c>
      <c r="D9" s="737">
        <v>41386</v>
      </c>
      <c r="E9" s="706">
        <v>41386</v>
      </c>
      <c r="F9" s="718">
        <f t="shared" si="0"/>
        <v>41386</v>
      </c>
      <c r="G9" s="717" t="s">
        <v>81</v>
      </c>
      <c r="H9" s="730"/>
      <c r="I9" s="731"/>
      <c r="J9" s="732"/>
      <c r="K9" s="733"/>
      <c r="L9" s="734"/>
      <c r="M9" s="735"/>
    </row>
    <row r="10" spans="1:15" x14ac:dyDescent="0.25">
      <c r="A10" s="705" t="s">
        <v>200</v>
      </c>
      <c r="B10" s="713" t="s">
        <v>458</v>
      </c>
      <c r="C10" s="715">
        <v>41260</v>
      </c>
      <c r="D10" s="737">
        <v>41260</v>
      </c>
      <c r="E10" s="706">
        <v>41397</v>
      </c>
      <c r="F10" s="718">
        <f t="shared" si="0"/>
        <v>41397</v>
      </c>
      <c r="G10" s="712">
        <v>1</v>
      </c>
      <c r="H10" s="15">
        <v>0</v>
      </c>
      <c r="I10" s="702">
        <v>4136.2299999999996</v>
      </c>
      <c r="J10" s="703">
        <v>225.75</v>
      </c>
      <c r="K10" s="295"/>
      <c r="L10" s="699">
        <f>H10-I10</f>
        <v>-4136.2299999999996</v>
      </c>
      <c r="M10" s="704" t="e">
        <f>L10/H10</f>
        <v>#DIV/0!</v>
      </c>
    </row>
    <row r="11" spans="1:15" x14ac:dyDescent="0.25">
      <c r="A11" s="773" t="s">
        <v>513</v>
      </c>
      <c r="B11" s="713" t="s">
        <v>477</v>
      </c>
      <c r="C11" s="715">
        <v>41389</v>
      </c>
      <c r="D11" s="737">
        <v>41398</v>
      </c>
      <c r="E11" s="706">
        <v>41398</v>
      </c>
      <c r="F11" s="718">
        <f t="shared" si="0"/>
        <v>41398</v>
      </c>
      <c r="G11" s="717" t="s">
        <v>81</v>
      </c>
      <c r="H11" s="730"/>
      <c r="I11" s="731"/>
      <c r="J11" s="732"/>
      <c r="K11" s="733"/>
      <c r="L11" s="734"/>
      <c r="M11" s="735"/>
    </row>
    <row r="12" spans="1:15" x14ac:dyDescent="0.25">
      <c r="A12" s="773" t="s">
        <v>513</v>
      </c>
      <c r="B12" s="713" t="s">
        <v>477</v>
      </c>
      <c r="C12" s="715">
        <v>41377</v>
      </c>
      <c r="D12" s="737">
        <v>41382</v>
      </c>
      <c r="E12" s="706">
        <v>41408</v>
      </c>
      <c r="F12" s="718">
        <f t="shared" si="0"/>
        <v>41408</v>
      </c>
      <c r="G12" s="717" t="s">
        <v>81</v>
      </c>
      <c r="H12" s="730"/>
      <c r="I12" s="731"/>
      <c r="J12" s="732"/>
      <c r="K12" s="733"/>
      <c r="L12" s="734"/>
      <c r="M12" s="735"/>
    </row>
    <row r="13" spans="1:15" x14ac:dyDescent="0.25">
      <c r="A13" s="773" t="s">
        <v>513</v>
      </c>
      <c r="B13" s="713" t="s">
        <v>209</v>
      </c>
      <c r="C13" s="715">
        <v>41412</v>
      </c>
      <c r="D13" s="737"/>
      <c r="E13" s="706"/>
      <c r="F13" s="718">
        <f t="shared" si="0"/>
        <v>41412</v>
      </c>
      <c r="G13" s="712"/>
      <c r="H13" s="730"/>
      <c r="I13" s="731"/>
      <c r="J13" s="732"/>
      <c r="K13" s="733"/>
      <c r="L13" s="734"/>
      <c r="M13" s="735"/>
    </row>
    <row r="14" spans="1:15" x14ac:dyDescent="0.25">
      <c r="A14" s="773" t="s">
        <v>513</v>
      </c>
      <c r="B14" s="713" t="s">
        <v>209</v>
      </c>
      <c r="C14" s="715">
        <v>41416</v>
      </c>
      <c r="D14" s="737"/>
      <c r="E14" s="706"/>
      <c r="F14" s="718">
        <f t="shared" si="0"/>
        <v>41416</v>
      </c>
      <c r="G14" s="712"/>
      <c r="H14" s="730"/>
      <c r="I14" s="731"/>
      <c r="J14" s="732"/>
      <c r="K14" s="733"/>
      <c r="L14" s="734"/>
      <c r="M14" s="735"/>
    </row>
    <row r="15" spans="1:15" x14ac:dyDescent="0.25">
      <c r="A15" s="773" t="s">
        <v>513</v>
      </c>
      <c r="B15" s="713" t="s">
        <v>476</v>
      </c>
      <c r="C15" s="715">
        <v>41428</v>
      </c>
      <c r="D15" s="738" t="s">
        <v>81</v>
      </c>
      <c r="E15" s="706" t="s">
        <v>81</v>
      </c>
      <c r="F15" s="718">
        <f t="shared" si="0"/>
        <v>41428</v>
      </c>
      <c r="G15" s="717" t="s">
        <v>81</v>
      </c>
      <c r="H15" s="730"/>
      <c r="I15" s="731"/>
      <c r="J15" s="732"/>
      <c r="K15" s="733"/>
      <c r="L15" s="734"/>
      <c r="M15" s="735"/>
    </row>
    <row r="16" spans="1:15" x14ac:dyDescent="0.25">
      <c r="A16" s="773" t="s">
        <v>513</v>
      </c>
      <c r="B16" s="713" t="s">
        <v>477</v>
      </c>
      <c r="C16" s="715">
        <v>41412</v>
      </c>
      <c r="D16" s="737">
        <v>41430</v>
      </c>
      <c r="E16" s="706">
        <v>41430</v>
      </c>
      <c r="F16" s="718">
        <f t="shared" si="0"/>
        <v>41430</v>
      </c>
      <c r="G16" s="717" t="s">
        <v>81</v>
      </c>
      <c r="H16" s="730"/>
      <c r="I16" s="731"/>
      <c r="J16" s="732"/>
      <c r="K16" s="733"/>
      <c r="L16" s="734"/>
      <c r="M16" s="735"/>
    </row>
    <row r="17" spans="1:13" x14ac:dyDescent="0.25">
      <c r="A17" s="773" t="s">
        <v>513</v>
      </c>
      <c r="B17" s="713" t="s">
        <v>477</v>
      </c>
      <c r="C17" s="715">
        <v>41429</v>
      </c>
      <c r="D17" s="737">
        <v>41430</v>
      </c>
      <c r="E17" s="706">
        <v>41430</v>
      </c>
      <c r="F17" s="718">
        <f t="shared" si="0"/>
        <v>41430</v>
      </c>
      <c r="G17" s="717" t="s">
        <v>81</v>
      </c>
      <c r="H17" s="730"/>
      <c r="I17" s="731"/>
      <c r="J17" s="732"/>
      <c r="K17" s="733"/>
      <c r="L17" s="734"/>
      <c r="M17" s="735"/>
    </row>
    <row r="18" spans="1:13" x14ac:dyDescent="0.25">
      <c r="A18" s="773" t="s">
        <v>513</v>
      </c>
      <c r="B18" s="713" t="s">
        <v>477</v>
      </c>
      <c r="C18" s="715">
        <v>41412</v>
      </c>
      <c r="D18" s="737">
        <v>41431</v>
      </c>
      <c r="E18" s="706">
        <v>41431</v>
      </c>
      <c r="F18" s="718">
        <f t="shared" si="0"/>
        <v>41431</v>
      </c>
      <c r="G18" s="717" t="s">
        <v>81</v>
      </c>
      <c r="H18" s="730"/>
      <c r="I18" s="731"/>
      <c r="J18" s="732"/>
      <c r="K18" s="733"/>
      <c r="L18" s="734"/>
      <c r="M18" s="735"/>
    </row>
    <row r="19" spans="1:13" x14ac:dyDescent="0.25">
      <c r="A19" s="773" t="s">
        <v>510</v>
      </c>
      <c r="B19" s="713" t="s">
        <v>86</v>
      </c>
      <c r="C19" s="715">
        <v>41412</v>
      </c>
      <c r="D19" s="737">
        <v>41418</v>
      </c>
      <c r="E19" s="706">
        <v>41449</v>
      </c>
      <c r="F19" s="718">
        <f t="shared" si="0"/>
        <v>41449</v>
      </c>
      <c r="G19" s="712">
        <v>1</v>
      </c>
      <c r="H19" s="639">
        <v>3642</v>
      </c>
      <c r="I19" s="700">
        <v>1236.1199999999999</v>
      </c>
      <c r="J19" s="701">
        <v>225.75</v>
      </c>
      <c r="K19" s="296"/>
      <c r="L19" s="728">
        <f t="shared" ref="L19:L21" si="1">H19-I19</f>
        <v>2405.88</v>
      </c>
      <c r="M19" s="729">
        <f t="shared" ref="M19:M21" si="2">L19/H19</f>
        <v>0.66059308072487644</v>
      </c>
    </row>
    <row r="20" spans="1:13" x14ac:dyDescent="0.25">
      <c r="A20" s="773" t="s">
        <v>511</v>
      </c>
      <c r="B20" s="713" t="s">
        <v>86</v>
      </c>
      <c r="C20" s="715">
        <v>41412</v>
      </c>
      <c r="D20" s="737">
        <v>41426</v>
      </c>
      <c r="E20" s="706">
        <v>41459</v>
      </c>
      <c r="F20" s="718">
        <f t="shared" si="0"/>
        <v>41459</v>
      </c>
      <c r="G20" s="712">
        <v>1</v>
      </c>
      <c r="H20" s="639">
        <v>23612.36</v>
      </c>
      <c r="I20" s="700">
        <v>15364</v>
      </c>
      <c r="J20" s="701">
        <v>225.75</v>
      </c>
      <c r="K20" s="296">
        <v>236.4</v>
      </c>
      <c r="L20" s="728">
        <f t="shared" si="1"/>
        <v>8248.36</v>
      </c>
      <c r="M20" s="729">
        <f t="shared" si="2"/>
        <v>0.3493238287066604</v>
      </c>
    </row>
    <row r="21" spans="1:13" x14ac:dyDescent="0.25">
      <c r="A21" s="773" t="s">
        <v>509</v>
      </c>
      <c r="B21" s="713" t="s">
        <v>86</v>
      </c>
      <c r="C21" s="715">
        <v>41424</v>
      </c>
      <c r="D21" s="737">
        <v>41437</v>
      </c>
      <c r="E21" s="706">
        <v>41465</v>
      </c>
      <c r="F21" s="718">
        <f t="shared" si="0"/>
        <v>41465</v>
      </c>
      <c r="G21" s="712">
        <v>2</v>
      </c>
      <c r="H21" s="639">
        <v>230.3</v>
      </c>
      <c r="I21" s="700">
        <v>123.12</v>
      </c>
      <c r="J21" s="701">
        <v>225.75</v>
      </c>
      <c r="K21" s="296"/>
      <c r="L21" s="728">
        <f t="shared" si="1"/>
        <v>107.18</v>
      </c>
      <c r="M21" s="729">
        <f t="shared" si="2"/>
        <v>0.46539296569691707</v>
      </c>
    </row>
    <row r="22" spans="1:13" x14ac:dyDescent="0.25">
      <c r="A22" s="773" t="s">
        <v>513</v>
      </c>
      <c r="B22" s="713" t="s">
        <v>209</v>
      </c>
      <c r="C22" s="715">
        <v>41492</v>
      </c>
      <c r="D22" s="737"/>
      <c r="E22" s="706"/>
      <c r="F22" s="718">
        <f t="shared" si="0"/>
        <v>41492</v>
      </c>
      <c r="G22" s="712"/>
      <c r="H22" s="730"/>
      <c r="I22" s="731"/>
      <c r="J22" s="732"/>
      <c r="K22" s="733"/>
      <c r="L22" s="734"/>
      <c r="M22" s="735"/>
    </row>
    <row r="23" spans="1:13" x14ac:dyDescent="0.25">
      <c r="A23" s="773" t="s">
        <v>513</v>
      </c>
      <c r="B23" s="713" t="s">
        <v>209</v>
      </c>
      <c r="C23" s="715">
        <v>41503</v>
      </c>
      <c r="D23" s="737"/>
      <c r="E23" s="706"/>
      <c r="F23" s="718">
        <f t="shared" si="0"/>
        <v>41503</v>
      </c>
      <c r="G23" s="712"/>
      <c r="H23" s="730"/>
      <c r="I23" s="731"/>
      <c r="J23" s="732"/>
      <c r="K23" s="733"/>
      <c r="L23" s="734"/>
      <c r="M23" s="735"/>
    </row>
    <row r="24" spans="1:13" x14ac:dyDescent="0.25">
      <c r="A24" s="773" t="s">
        <v>513</v>
      </c>
      <c r="B24" s="713" t="s">
        <v>209</v>
      </c>
      <c r="C24" s="715">
        <v>41507</v>
      </c>
      <c r="D24" s="737"/>
      <c r="E24" s="706"/>
      <c r="F24" s="718">
        <f t="shared" si="0"/>
        <v>41507</v>
      </c>
      <c r="G24" s="712"/>
      <c r="H24" s="730"/>
      <c r="I24" s="731"/>
      <c r="J24" s="732"/>
      <c r="K24" s="733"/>
      <c r="L24" s="734"/>
      <c r="M24" s="735"/>
    </row>
    <row r="25" spans="1:13" x14ac:dyDescent="0.25">
      <c r="A25" s="773" t="s">
        <v>513</v>
      </c>
      <c r="B25" s="713" t="s">
        <v>477</v>
      </c>
      <c r="C25" s="715">
        <v>41453</v>
      </c>
      <c r="D25" s="737">
        <v>41464</v>
      </c>
      <c r="E25" s="706">
        <v>41521</v>
      </c>
      <c r="F25" s="718">
        <f t="shared" si="0"/>
        <v>41521</v>
      </c>
      <c r="G25" s="717" t="s">
        <v>81</v>
      </c>
      <c r="H25" s="730"/>
      <c r="I25" s="731"/>
      <c r="J25" s="732"/>
      <c r="K25" s="733"/>
      <c r="L25" s="734"/>
      <c r="M25" s="735"/>
    </row>
    <row r="26" spans="1:13" x14ac:dyDescent="0.25">
      <c r="A26" s="773" t="s">
        <v>513</v>
      </c>
      <c r="B26" s="713" t="s">
        <v>476</v>
      </c>
      <c r="C26" s="715">
        <v>41529</v>
      </c>
      <c r="D26" s="738" t="s">
        <v>81</v>
      </c>
      <c r="E26" s="706" t="s">
        <v>81</v>
      </c>
      <c r="F26" s="718">
        <f t="shared" si="0"/>
        <v>41529</v>
      </c>
      <c r="G26" s="717" t="s">
        <v>81</v>
      </c>
      <c r="H26" s="730"/>
      <c r="I26" s="731"/>
      <c r="J26" s="732"/>
      <c r="K26" s="733"/>
      <c r="L26" s="734"/>
      <c r="M26" s="735"/>
    </row>
    <row r="27" spans="1:13" x14ac:dyDescent="0.25">
      <c r="A27" s="773" t="s">
        <v>513</v>
      </c>
      <c r="B27" s="713" t="s">
        <v>209</v>
      </c>
      <c r="C27" s="715">
        <v>41529</v>
      </c>
      <c r="D27" s="737"/>
      <c r="E27" s="706"/>
      <c r="F27" s="718">
        <f t="shared" si="0"/>
        <v>41529</v>
      </c>
      <c r="G27" s="712"/>
      <c r="H27" s="730"/>
      <c r="I27" s="731"/>
      <c r="J27" s="732"/>
      <c r="K27" s="733"/>
      <c r="L27" s="734"/>
      <c r="M27" s="735"/>
    </row>
    <row r="28" spans="1:13" x14ac:dyDescent="0.25">
      <c r="A28" s="773" t="s">
        <v>513</v>
      </c>
      <c r="B28" s="713" t="s">
        <v>480</v>
      </c>
      <c r="C28" s="715"/>
      <c r="D28" s="737"/>
      <c r="E28" s="706"/>
      <c r="F28" s="718">
        <f t="shared" si="0"/>
        <v>0</v>
      </c>
      <c r="G28" s="712"/>
      <c r="H28" s="730"/>
      <c r="I28" s="731"/>
      <c r="J28" s="732"/>
      <c r="K28" s="733"/>
      <c r="L28" s="734"/>
      <c r="M28" s="735"/>
    </row>
    <row r="29" spans="1:13" x14ac:dyDescent="0.25">
      <c r="A29" s="773" t="s">
        <v>513</v>
      </c>
      <c r="B29" s="713" t="s">
        <v>209</v>
      </c>
      <c r="C29" s="715">
        <v>41529</v>
      </c>
      <c r="D29" s="737"/>
      <c r="E29" s="706"/>
      <c r="F29" s="718">
        <f t="shared" si="0"/>
        <v>41529</v>
      </c>
      <c r="G29" s="712"/>
      <c r="H29" s="730"/>
      <c r="I29" s="731"/>
      <c r="J29" s="732"/>
      <c r="K29" s="733"/>
      <c r="L29" s="734"/>
      <c r="M29" s="735"/>
    </row>
    <row r="30" spans="1:13" x14ac:dyDescent="0.25">
      <c r="A30" s="773" t="s">
        <v>513</v>
      </c>
      <c r="B30" s="713" t="s">
        <v>209</v>
      </c>
      <c r="C30" s="715">
        <v>41529</v>
      </c>
      <c r="D30" s="737"/>
      <c r="E30" s="706"/>
      <c r="F30" s="718">
        <f t="shared" si="0"/>
        <v>41529</v>
      </c>
      <c r="G30" s="712"/>
      <c r="H30" s="730"/>
      <c r="I30" s="731"/>
      <c r="J30" s="732"/>
      <c r="K30" s="733"/>
      <c r="L30" s="734"/>
      <c r="M30" s="735"/>
    </row>
    <row r="31" spans="1:13" x14ac:dyDescent="0.25">
      <c r="A31" s="773" t="s">
        <v>513</v>
      </c>
      <c r="B31" s="713" t="s">
        <v>478</v>
      </c>
      <c r="C31" s="715">
        <v>41554</v>
      </c>
      <c r="D31" s="737">
        <v>41565</v>
      </c>
      <c r="E31" s="706"/>
      <c r="F31" s="718">
        <f>IF(OR(ISBLANK(E31),E31="-"),IF(OR(ISBLANK(D31),D31="-"),C31,D31),E31)</f>
        <v>41565</v>
      </c>
      <c r="G31" s="712"/>
      <c r="H31" s="730"/>
      <c r="I31" s="731"/>
      <c r="J31" s="732"/>
      <c r="K31" s="733"/>
      <c r="L31" s="734"/>
      <c r="M31" s="735"/>
    </row>
    <row r="32" spans="1:13" x14ac:dyDescent="0.25">
      <c r="A32" s="773" t="s">
        <v>513</v>
      </c>
      <c r="B32" s="713" t="s">
        <v>478</v>
      </c>
      <c r="C32" s="715">
        <v>41540</v>
      </c>
      <c r="D32" s="737">
        <v>41566</v>
      </c>
      <c r="E32" s="706"/>
      <c r="F32" s="718">
        <f>IF(OR(ISBLANK(E32),E32="-"),IF(OR(ISBLANK(D32),D32="-"),C32,D32),E32)</f>
        <v>41566</v>
      </c>
      <c r="G32" s="712"/>
      <c r="H32" s="730"/>
      <c r="I32" s="731"/>
      <c r="J32" s="732"/>
      <c r="K32" s="733"/>
      <c r="L32" s="734"/>
      <c r="M32" s="735"/>
    </row>
    <row r="33" spans="1:13" x14ac:dyDescent="0.25">
      <c r="A33" s="773" t="s">
        <v>513</v>
      </c>
      <c r="B33" s="713" t="s">
        <v>478</v>
      </c>
      <c r="C33" s="715">
        <v>41763</v>
      </c>
      <c r="D33" s="737">
        <v>41800</v>
      </c>
      <c r="E33" s="706"/>
      <c r="F33" s="718">
        <f>IF(OR(ISBLANK(E33),E33="-"),IF(OR(ISBLANK(D33),D33="-"),C33,D33),E33)</f>
        <v>41800</v>
      </c>
      <c r="G33" s="712"/>
      <c r="H33" s="730"/>
      <c r="I33" s="731"/>
      <c r="J33" s="732"/>
      <c r="K33" s="733"/>
      <c r="L33" s="734"/>
      <c r="M33" s="735"/>
    </row>
    <row r="34" spans="1:13" x14ac:dyDescent="0.25">
      <c r="A34" s="773" t="s">
        <v>513</v>
      </c>
      <c r="B34" s="713" t="s">
        <v>478</v>
      </c>
      <c r="C34" s="715">
        <v>41821</v>
      </c>
      <c r="D34" s="737">
        <v>41823</v>
      </c>
      <c r="E34" s="706"/>
      <c r="F34" s="718">
        <f t="shared" ref="F34:F37" si="3">IF(OR(ISBLANK(E34),E34="-"),IF(OR(ISBLANK(D34),D34="-"),C34,D34),E34)</f>
        <v>41823</v>
      </c>
      <c r="G34" s="712"/>
      <c r="H34" s="730"/>
      <c r="I34" s="731"/>
      <c r="J34" s="732"/>
      <c r="K34" s="733"/>
      <c r="L34" s="734"/>
      <c r="M34" s="735"/>
    </row>
    <row r="35" spans="1:13" x14ac:dyDescent="0.25">
      <c r="A35" s="773" t="s">
        <v>513</v>
      </c>
      <c r="B35" s="713" t="s">
        <v>477</v>
      </c>
      <c r="C35" s="715">
        <v>41763</v>
      </c>
      <c r="D35" s="737">
        <v>41790</v>
      </c>
      <c r="E35" s="706">
        <v>41830</v>
      </c>
      <c r="F35" s="718">
        <f t="shared" si="3"/>
        <v>41830</v>
      </c>
      <c r="G35" s="717" t="s">
        <v>81</v>
      </c>
      <c r="H35" s="730"/>
      <c r="I35" s="731"/>
      <c r="J35" s="732"/>
      <c r="K35" s="733"/>
      <c r="L35" s="734"/>
      <c r="M35" s="735"/>
    </row>
    <row r="36" spans="1:13" x14ac:dyDescent="0.25">
      <c r="A36" s="773" t="s">
        <v>513</v>
      </c>
      <c r="B36" s="716" t="s">
        <v>476</v>
      </c>
      <c r="C36" s="715">
        <v>41844</v>
      </c>
      <c r="D36" s="738" t="s">
        <v>81</v>
      </c>
      <c r="E36" s="706" t="s">
        <v>81</v>
      </c>
      <c r="F36" s="718">
        <f t="shared" si="3"/>
        <v>41844</v>
      </c>
      <c r="G36" s="717" t="s">
        <v>81</v>
      </c>
      <c r="H36" s="730"/>
      <c r="I36" s="731"/>
      <c r="J36" s="732"/>
      <c r="K36" s="733"/>
      <c r="L36" s="734"/>
      <c r="M36" s="735"/>
    </row>
    <row r="37" spans="1:13" x14ac:dyDescent="0.25">
      <c r="A37" s="773" t="s">
        <v>513</v>
      </c>
      <c r="B37" s="713" t="s">
        <v>480</v>
      </c>
      <c r="C37" s="715">
        <v>41846</v>
      </c>
      <c r="D37" s="737"/>
      <c r="E37" s="706"/>
      <c r="F37" s="718">
        <f t="shared" si="3"/>
        <v>41846</v>
      </c>
      <c r="G37" s="712"/>
      <c r="H37" s="730"/>
      <c r="I37" s="731"/>
      <c r="J37" s="732"/>
      <c r="K37" s="733"/>
      <c r="L37" s="734"/>
      <c r="M37" s="735"/>
    </row>
    <row r="38" spans="1:13" x14ac:dyDescent="0.25">
      <c r="A38" s="773" t="s">
        <v>513</v>
      </c>
      <c r="B38" s="713" t="s">
        <v>478</v>
      </c>
      <c r="C38" s="715">
        <v>41422</v>
      </c>
      <c r="D38" s="737">
        <v>41859</v>
      </c>
      <c r="E38" s="706"/>
      <c r="F38" s="718">
        <f>IF(OR(ISBLANK(E38),E38="-"),IF(OR(ISBLANK(D38),D38="-"),C38,D38),E38)</f>
        <v>41859</v>
      </c>
      <c r="G38" s="712"/>
      <c r="H38" s="730"/>
      <c r="I38" s="731"/>
      <c r="J38" s="732"/>
      <c r="K38" s="733"/>
      <c r="L38" s="734"/>
      <c r="M38" s="735"/>
    </row>
  </sheetData>
  <autoFilter ref="A3:N38"/>
  <mergeCells count="16">
    <mergeCell ref="B1:B3"/>
    <mergeCell ref="A1:A3"/>
    <mergeCell ref="J2:J3"/>
    <mergeCell ref="I2:I3"/>
    <mergeCell ref="K2:K3"/>
    <mergeCell ref="C2:C3"/>
    <mergeCell ref="M1:M3"/>
    <mergeCell ref="L1:L3"/>
    <mergeCell ref="H2:H3"/>
    <mergeCell ref="D2:D3"/>
    <mergeCell ref="E2:E3"/>
    <mergeCell ref="C1:F1"/>
    <mergeCell ref="G1:G3"/>
    <mergeCell ref="F2:F3"/>
    <mergeCell ref="H1:I1"/>
    <mergeCell ref="J1:K1"/>
  </mergeCells>
  <conditionalFormatting sqref="D1:E1048576">
    <cfRule type="expression" dxfId="26" priority="28">
      <formula>ISBLANK(D1)</formula>
    </cfRule>
  </conditionalFormatting>
  <conditionalFormatting sqref="B1:B1048576">
    <cfRule type="containsText" dxfId="25" priority="36" operator="containsText" text="Expo">
      <formula>NOT(ISERROR(SEARCH("Expo",B1)))</formula>
    </cfRule>
    <cfRule type="containsText" dxfId="24" priority="37" operator="containsText" text="Client">
      <formula>NOT(ISERROR(SEARCH("Client",B1)))</formula>
    </cfRule>
    <cfRule type="containsText" dxfId="23" priority="38" operator="containsText" text="Ex-">
      <formula>NOT(ISERROR(SEARCH("Ex-",B1)))</formula>
    </cfRule>
    <cfRule type="containsText" dxfId="22" priority="39" operator="containsText" text="Prospect">
      <formula>NOT(ISERROR(SEARCH("Prospect",B1)))</formula>
    </cfRule>
  </conditionalFormatting>
  <dataValidations disablePrompts="1" count="1">
    <dataValidation type="list" allowBlank="1" showInputMessage="1" showErrorMessage="1" sqref="B10 B6 B19:B21">
      <formula1>"Contact,Devis en cours,Devis refusé,Client,Expo"</formula1>
    </dataValidation>
  </dataValidations>
  <pageMargins left="0.7" right="0.7" top="0.75" bottom="0.75" header="0.3" footer="0.3"/>
  <pageSetup paperSize="9" orientation="portrait" horizontalDpi="4294967293" verticalDpi="0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5" operator="containsText" id="{9B1C775E-B99E-4DF3-8321-18B23AD97DF0}">
            <xm:f>NOT(ISERROR(SEARCH("-",C1)))</xm:f>
            <xm:f>"-"</xm:f>
            <x14:dxf>
              <fill>
                <patternFill>
                  <bgColor theme="1" tint="0.499984740745262"/>
                </patternFill>
              </fill>
            </x14:dxf>
          </x14:cfRule>
          <xm:sqref>C1:G1048576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tabColor theme="1" tint="0.34998626667073579"/>
  </sheetPr>
  <dimension ref="A1:AP24"/>
  <sheetViews>
    <sheetView zoomScale="80" zoomScaleNormal="80" workbookViewId="0">
      <pane ySplit="6" topLeftCell="A7" activePane="bottomLeft" state="frozenSplit"/>
      <selection activeCell="X28" sqref="X28"/>
      <selection pane="bottomLeft" activeCell="X28" sqref="X28"/>
    </sheetView>
  </sheetViews>
  <sheetFormatPr baseColWidth="10" defaultColWidth="11.44140625" defaultRowHeight="10.199999999999999" x14ac:dyDescent="0.25"/>
  <cols>
    <col min="1" max="1" width="15" style="2" customWidth="1"/>
    <col min="2" max="2" width="13.21875" style="3" customWidth="1"/>
    <col min="3" max="3" width="12.77734375" style="3" customWidth="1"/>
    <col min="4" max="4" width="9.6640625" style="2" customWidth="1"/>
    <col min="5" max="5" width="10.88671875" style="5" customWidth="1"/>
    <col min="6" max="8" width="10.6640625" style="8" hidden="1" customWidth="1"/>
    <col min="9" max="9" width="11.33203125" style="8" hidden="1" customWidth="1"/>
    <col min="10" max="23" width="9.109375" style="8" hidden="1" customWidth="1"/>
    <col min="24" max="24" width="18.33203125" style="5" bestFit="1" customWidth="1"/>
    <col min="25" max="26" width="16.33203125" style="5" customWidth="1"/>
    <col min="27" max="27" width="16.88671875" style="10" customWidth="1"/>
    <col min="28" max="28" width="18.5546875" style="4" customWidth="1"/>
    <col min="29" max="29" width="9.33203125" style="5" customWidth="1"/>
    <col min="30" max="30" width="11.5546875" style="5" bestFit="1" customWidth="1"/>
    <col min="31" max="31" width="9.109375" style="6" customWidth="1"/>
    <col min="32" max="36" width="9.77734375" style="4" customWidth="1"/>
    <col min="37" max="37" width="8.88671875" style="4" customWidth="1"/>
    <col min="38" max="38" width="8.77734375" style="4" customWidth="1"/>
    <col min="39" max="16384" width="11.44140625" style="2"/>
  </cols>
  <sheetData>
    <row r="1" spans="1:42" ht="21" thickBot="1" x14ac:dyDescent="0.3">
      <c r="A1" s="52" t="s">
        <v>83</v>
      </c>
      <c r="B1" s="52"/>
      <c r="C1" s="110" t="s">
        <v>10</v>
      </c>
      <c r="D1" s="313" t="s">
        <v>2</v>
      </c>
      <c r="E1" s="13" t="s">
        <v>26</v>
      </c>
      <c r="F1" s="262"/>
      <c r="G1" s="12"/>
      <c r="H1" s="12"/>
      <c r="I1" s="12"/>
      <c r="J1" s="12"/>
      <c r="K1" s="263"/>
      <c r="L1" s="263"/>
      <c r="M1" s="263"/>
      <c r="N1" s="263"/>
      <c r="O1" s="263"/>
      <c r="P1" s="263"/>
      <c r="Q1" s="263"/>
      <c r="R1" s="263"/>
      <c r="S1" s="263"/>
      <c r="T1" s="263"/>
      <c r="U1" s="263"/>
      <c r="V1" s="263"/>
      <c r="W1" s="263"/>
      <c r="X1" s="13" t="s">
        <v>201</v>
      </c>
      <c r="Y1" s="18"/>
      <c r="Z1" s="18"/>
      <c r="AA1" s="18"/>
      <c r="AB1" s="18"/>
      <c r="AC1" s="18"/>
      <c r="AD1" s="10"/>
      <c r="AE1" s="10"/>
      <c r="AF1" s="9"/>
      <c r="AI1" s="11"/>
      <c r="AJ1" s="2"/>
      <c r="AK1" s="2"/>
      <c r="AL1" s="2"/>
    </row>
    <row r="2" spans="1:42" ht="10.199999999999999" customHeight="1" thickBot="1" x14ac:dyDescent="0.3">
      <c r="A2" s="815" t="s">
        <v>24</v>
      </c>
      <c r="B2" s="816"/>
      <c r="C2" s="66">
        <f ca="1">SUMIF($H$7:$H$24,A2,$AJ$7:$AJ$24)</f>
        <v>73.188862876254063</v>
      </c>
      <c r="D2" s="67">
        <f>SUMIF($I$7:$I$24,A2,$AJ$7:$AJ$24)</f>
        <v>0</v>
      </c>
      <c r="E2" s="68">
        <f ca="1">C2+D2</f>
        <v>73.188862876254063</v>
      </c>
      <c r="F2" s="262"/>
      <c r="G2" s="12"/>
      <c r="H2" s="12"/>
      <c r="I2" s="12"/>
      <c r="J2" s="12"/>
      <c r="K2" s="263"/>
      <c r="L2" s="263"/>
      <c r="M2" s="263"/>
      <c r="N2" s="263"/>
      <c r="O2" s="263"/>
      <c r="P2" s="263"/>
      <c r="Q2" s="263"/>
      <c r="R2" s="263"/>
      <c r="S2" s="263"/>
      <c r="T2" s="263"/>
      <c r="U2" s="263"/>
      <c r="V2" s="263"/>
      <c r="W2" s="263"/>
      <c r="X2" s="256">
        <f ca="1">-SUM(AI9:AI24)</f>
        <v>-1429.4311371237457</v>
      </c>
      <c r="Y2" s="18"/>
      <c r="Z2" s="18"/>
      <c r="AA2" s="18"/>
      <c r="AB2" s="18"/>
      <c r="AC2" s="18"/>
      <c r="AD2" s="10"/>
      <c r="AE2" s="10"/>
      <c r="AF2" s="698" t="s">
        <v>466</v>
      </c>
      <c r="AI2" s="9"/>
      <c r="AJ2" s="2"/>
      <c r="AK2" s="2"/>
      <c r="AL2" s="2"/>
    </row>
    <row r="3" spans="1:42" ht="10.199999999999999" customHeight="1" thickBot="1" x14ac:dyDescent="0.3">
      <c r="A3" s="817" t="s">
        <v>490</v>
      </c>
      <c r="B3" s="818"/>
      <c r="C3" s="55">
        <f>SUMIF($H$7:$H$24,A3,$AJ$7:$AJ$24)</f>
        <v>8000</v>
      </c>
      <c r="D3" s="56">
        <f>SUMIF($I$7:$I$24,A3,$AJ$7:$AJ$24)</f>
        <v>0</v>
      </c>
      <c r="E3" s="57">
        <f>C3+D3</f>
        <v>8000</v>
      </c>
      <c r="F3" s="262"/>
      <c r="G3" s="12"/>
      <c r="H3" s="12"/>
      <c r="I3" s="12"/>
      <c r="J3" s="12"/>
      <c r="K3" s="263"/>
      <c r="L3" s="263"/>
      <c r="M3" s="263"/>
      <c r="N3" s="263"/>
      <c r="O3" s="263"/>
      <c r="P3" s="263"/>
      <c r="Q3" s="263"/>
      <c r="R3" s="263"/>
      <c r="S3" s="263"/>
      <c r="T3" s="263"/>
      <c r="U3" s="263"/>
      <c r="V3" s="263"/>
      <c r="W3" s="263"/>
      <c r="X3" s="126" t="s">
        <v>198</v>
      </c>
      <c r="Y3" s="18"/>
      <c r="Z3" s="18"/>
      <c r="AA3" s="18" t="s">
        <v>475</v>
      </c>
      <c r="AB3" s="18"/>
      <c r="AC3" s="828"/>
      <c r="AD3" s="829"/>
      <c r="AE3" s="17"/>
      <c r="AF3" s="698" t="s">
        <v>467</v>
      </c>
      <c r="AG3" s="14"/>
      <c r="AH3" s="14"/>
      <c r="AI3" s="11"/>
      <c r="AJ3" s="2"/>
      <c r="AK3" s="2"/>
      <c r="AL3" s="2"/>
    </row>
    <row r="4" spans="1:42" ht="11.4" thickTop="1" thickBot="1" x14ac:dyDescent="0.3">
      <c r="A4" s="819" t="s">
        <v>89</v>
      </c>
      <c r="B4" s="820"/>
      <c r="C4" s="298">
        <f ca="1">SUM(C2:C3)</f>
        <v>8073.1888628762545</v>
      </c>
      <c r="D4" s="299">
        <f>SUM(D2:D3)</f>
        <v>0</v>
      </c>
      <c r="E4" s="79">
        <f ca="1">SUM(E2:E3)</f>
        <v>8073.1888628762545</v>
      </c>
      <c r="F4" s="262"/>
      <c r="G4" s="12"/>
      <c r="H4" s="12"/>
      <c r="I4" s="12"/>
      <c r="J4" s="12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126"/>
      <c r="Y4" s="18"/>
      <c r="Z4" s="18"/>
      <c r="AA4" s="18"/>
      <c r="AB4" s="18"/>
      <c r="AC4" s="18"/>
      <c r="AD4" s="1"/>
      <c r="AE4" s="17"/>
      <c r="AF4" s="9"/>
      <c r="AI4" s="9"/>
      <c r="AJ4" s="9"/>
      <c r="AK4" s="9"/>
      <c r="AL4" s="9"/>
    </row>
    <row r="5" spans="1:42" s="1" customFormat="1" ht="13.8" thickTop="1" x14ac:dyDescent="0.25">
      <c r="A5" s="823" t="s">
        <v>96</v>
      </c>
      <c r="B5" s="786" t="s">
        <v>204</v>
      </c>
      <c r="C5" s="781" t="s">
        <v>205</v>
      </c>
      <c r="D5" s="821" t="s">
        <v>74</v>
      </c>
      <c r="E5" s="822"/>
      <c r="F5" s="83"/>
      <c r="G5" s="83"/>
      <c r="H5" s="83"/>
      <c r="I5" s="250"/>
      <c r="J5" s="83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825" t="s">
        <v>79</v>
      </c>
      <c r="Y5" s="826"/>
      <c r="Z5" s="826"/>
      <c r="AA5" s="826"/>
      <c r="AB5" s="812" t="s">
        <v>493</v>
      </c>
      <c r="AC5" s="813" t="s">
        <v>80</v>
      </c>
      <c r="AD5" s="814"/>
      <c r="AE5" s="827" t="s">
        <v>82</v>
      </c>
      <c r="AF5" s="831" t="s">
        <v>65</v>
      </c>
      <c r="AG5" s="832"/>
      <c r="AH5" s="833" t="s">
        <v>94</v>
      </c>
      <c r="AI5" s="834" t="s">
        <v>95</v>
      </c>
      <c r="AJ5" s="835" t="s">
        <v>66</v>
      </c>
      <c r="AK5" s="830" t="s">
        <v>83</v>
      </c>
      <c r="AL5" s="830"/>
      <c r="AM5" s="291"/>
    </row>
    <row r="6" spans="1:42" ht="20.399999999999999" x14ac:dyDescent="0.25">
      <c r="A6" s="823"/>
      <c r="B6" s="786"/>
      <c r="C6" s="781"/>
      <c r="D6" s="288" t="s">
        <v>0</v>
      </c>
      <c r="E6" s="36" t="s">
        <v>74</v>
      </c>
      <c r="F6" s="250" t="s">
        <v>46</v>
      </c>
      <c r="G6" s="250" t="s">
        <v>58</v>
      </c>
      <c r="H6" s="250" t="s">
        <v>77</v>
      </c>
      <c r="I6" s="50" t="s">
        <v>90</v>
      </c>
      <c r="J6" s="824" t="s">
        <v>35</v>
      </c>
      <c r="K6" s="824"/>
      <c r="L6" s="824" t="s">
        <v>41</v>
      </c>
      <c r="M6" s="824"/>
      <c r="N6" s="824" t="s">
        <v>24</v>
      </c>
      <c r="O6" s="824"/>
      <c r="P6" s="824" t="s">
        <v>1</v>
      </c>
      <c r="Q6" s="824"/>
      <c r="R6" s="824" t="s">
        <v>73</v>
      </c>
      <c r="S6" s="824"/>
      <c r="T6" s="824" t="s">
        <v>16</v>
      </c>
      <c r="U6" s="824"/>
      <c r="V6" s="824" t="s">
        <v>54</v>
      </c>
      <c r="W6" s="824"/>
      <c r="X6" s="26" t="s">
        <v>76</v>
      </c>
      <c r="Y6" s="27" t="s">
        <v>6</v>
      </c>
      <c r="Z6" s="752" t="s">
        <v>33</v>
      </c>
      <c r="AA6" s="16" t="s">
        <v>491</v>
      </c>
      <c r="AB6" s="812"/>
      <c r="AC6" s="46" t="s">
        <v>72</v>
      </c>
      <c r="AD6" s="47" t="s">
        <v>15</v>
      </c>
      <c r="AE6" s="827"/>
      <c r="AF6" s="19" t="s">
        <v>49</v>
      </c>
      <c r="AG6" s="48" t="s">
        <v>50</v>
      </c>
      <c r="AH6" s="833"/>
      <c r="AI6" s="834"/>
      <c r="AJ6" s="835"/>
      <c r="AK6" s="88" t="s">
        <v>488</v>
      </c>
      <c r="AL6" s="740" t="s">
        <v>490</v>
      </c>
      <c r="AM6" s="290"/>
    </row>
    <row r="7" spans="1:42" ht="3" customHeight="1" thickBot="1" x14ac:dyDescent="0.3">
      <c r="A7" s="281"/>
      <c r="B7" s="272"/>
      <c r="C7" s="273"/>
      <c r="D7" s="266"/>
      <c r="E7" s="36"/>
      <c r="F7" s="250" t="s">
        <v>39</v>
      </c>
      <c r="G7" s="250" t="s">
        <v>39</v>
      </c>
      <c r="H7" s="250" t="s">
        <v>39</v>
      </c>
      <c r="I7" s="251" t="s">
        <v>39</v>
      </c>
      <c r="J7" s="250"/>
      <c r="K7" s="250"/>
      <c r="L7" s="250"/>
      <c r="M7" s="250"/>
      <c r="N7" s="250"/>
      <c r="O7" s="250"/>
      <c r="P7" s="250"/>
      <c r="Q7" s="250"/>
      <c r="R7" s="250"/>
      <c r="S7" s="250"/>
      <c r="T7" s="250"/>
      <c r="U7" s="250"/>
      <c r="V7" s="250"/>
      <c r="W7" s="250"/>
      <c r="X7" s="26"/>
      <c r="Y7" s="27"/>
      <c r="Z7" s="752"/>
      <c r="AA7" s="16"/>
      <c r="AB7" s="307"/>
      <c r="AC7" s="34"/>
      <c r="AD7" s="33"/>
      <c r="AE7" s="40"/>
      <c r="AF7" s="24"/>
      <c r="AG7" s="49"/>
      <c r="AH7" s="81"/>
      <c r="AI7" s="82"/>
      <c r="AJ7" s="300"/>
      <c r="AK7" s="45"/>
      <c r="AL7" s="53"/>
    </row>
    <row r="8" spans="1:42" s="91" customFormat="1" ht="3.6" customHeight="1" x14ac:dyDescent="0.25">
      <c r="B8" s="261"/>
      <c r="C8" s="261"/>
      <c r="E8" s="257"/>
      <c r="F8" s="258"/>
      <c r="G8" s="258"/>
      <c r="H8" s="258"/>
      <c r="I8" s="258"/>
      <c r="J8" s="258"/>
      <c r="K8" s="258"/>
      <c r="L8" s="258"/>
      <c r="M8" s="258"/>
      <c r="N8" s="258"/>
      <c r="O8" s="258"/>
      <c r="P8" s="258"/>
      <c r="Q8" s="258"/>
      <c r="R8" s="258"/>
      <c r="S8" s="258"/>
      <c r="T8" s="258"/>
      <c r="U8" s="258"/>
      <c r="V8" s="258"/>
      <c r="W8" s="258"/>
      <c r="X8" s="257"/>
      <c r="Y8" s="760"/>
      <c r="Z8" s="761"/>
      <c r="AA8" s="257"/>
      <c r="AB8" s="308"/>
      <c r="AC8" s="257"/>
      <c r="AD8" s="257"/>
      <c r="AE8" s="259"/>
      <c r="AF8" s="260"/>
      <c r="AG8" s="260"/>
      <c r="AH8" s="260"/>
      <c r="AI8" s="260"/>
      <c r="AJ8" s="260"/>
      <c r="AK8" s="301">
        <f t="shared" ref="AK8:AL10" ca="1" si="0">IF($E8=AK$6,$AJ8,0)+OFFSET($AJ8,1,COLUMN(AK8)-COLUMN($AK$6)+1)</f>
        <v>1557.7299999999998</v>
      </c>
      <c r="AL8" s="302">
        <f t="shared" ca="1" si="0"/>
        <v>8000</v>
      </c>
    </row>
    <row r="9" spans="1:42" ht="11.25" customHeight="1" x14ac:dyDescent="0.25">
      <c r="A9" s="269">
        <f>C9</f>
        <v>41708</v>
      </c>
      <c r="B9" s="278">
        <v>41708</v>
      </c>
      <c r="C9" s="275">
        <v>41708</v>
      </c>
      <c r="D9" s="266" t="s">
        <v>489</v>
      </c>
      <c r="E9" s="33" t="s">
        <v>488</v>
      </c>
      <c r="F9" s="22">
        <f t="shared" ref="F9:F10" si="1">IF(ISNUMBER(A9),MONTH(A9),IF(ISNUMBER(C9),MONTH(C9),0))</f>
        <v>3</v>
      </c>
      <c r="G9" s="22">
        <f t="shared" ref="G9:G10" si="2">IF(ISNUMBER(A9),YEAR(A9),IF(ISNUMBER(C9),YEAR(C9),0))</f>
        <v>2014</v>
      </c>
      <c r="H9" s="22" t="str">
        <f t="shared" ref="H9:H10" si="3">IF(C9&gt;0,E9,)</f>
        <v>Banque pro</v>
      </c>
      <c r="I9" s="304">
        <f t="shared" ref="I9:I10" si="4">IF(C9&gt;0,,E9)</f>
        <v>0</v>
      </c>
      <c r="J9" s="83">
        <f>IF(OR($H9=J$5,$I9=J$5),1,0)</f>
        <v>1</v>
      </c>
      <c r="K9" s="99">
        <f>J9*($AF9+$AG9)</f>
        <v>-216.67</v>
      </c>
      <c r="L9" s="83">
        <f>IF(OR($H9=L$5,$I9=L$5),1,0)</f>
        <v>1</v>
      </c>
      <c r="M9" s="99">
        <f>L9*($AF9+$AG9)</f>
        <v>-216.67</v>
      </c>
      <c r="N9" s="83">
        <f>IF(OR($H9=N$5,$I9=N$5),1,0)</f>
        <v>1</v>
      </c>
      <c r="O9" s="99">
        <f>N9*($AF9+$AG9)</f>
        <v>-216.67</v>
      </c>
      <c r="P9" s="83">
        <f>IF(OR($H9=P$5,$I9=P$5),1,0)</f>
        <v>1</v>
      </c>
      <c r="Q9" s="99">
        <f>P9*($AF9+$AG9)</f>
        <v>-216.67</v>
      </c>
      <c r="R9" s="83">
        <f>IF(OR($H9=R$5,$I9=R$5),1,0)</f>
        <v>1</v>
      </c>
      <c r="S9" s="99">
        <f>R9*($AF9+$AG9)</f>
        <v>-216.67</v>
      </c>
      <c r="T9" s="83">
        <f>IF(OR($H9=T$5,$I9=T$5),1,0)</f>
        <v>1</v>
      </c>
      <c r="U9" s="99">
        <f>T9*($AF9+$AG9)</f>
        <v>-216.67</v>
      </c>
      <c r="V9" s="83">
        <f>IF(OR($H9=V$5,$I9=V$5),1,0)</f>
        <v>1</v>
      </c>
      <c r="W9" s="99">
        <f>V9*($AF9+$AG9)</f>
        <v>-216.67</v>
      </c>
      <c r="X9" s="28" t="s">
        <v>113</v>
      </c>
      <c r="Y9" s="762" t="s">
        <v>127</v>
      </c>
      <c r="Z9" s="764" t="s">
        <v>98</v>
      </c>
      <c r="AA9" s="755" t="s">
        <v>492</v>
      </c>
      <c r="AB9" s="311" t="s">
        <v>498</v>
      </c>
      <c r="AC9" s="35" t="s">
        <v>52</v>
      </c>
      <c r="AD9" s="39" t="s">
        <v>71</v>
      </c>
      <c r="AE9" s="43" t="s">
        <v>502</v>
      </c>
      <c r="AF9" s="113">
        <v>-216.67</v>
      </c>
      <c r="AG9" s="108"/>
      <c r="AH9" s="107">
        <f>SUM(AF9:AG9)</f>
        <v>-216.67</v>
      </c>
      <c r="AI9" s="244">
        <v>-43.33</v>
      </c>
      <c r="AJ9" s="109">
        <f t="shared" ref="AJ9:AJ12" si="5">SUM(AH9:AI9)</f>
        <v>-260</v>
      </c>
      <c r="AK9" s="100">
        <f t="shared" ca="1" si="0"/>
        <v>1557.7299999999998</v>
      </c>
      <c r="AL9" s="101">
        <f t="shared" ca="1" si="0"/>
        <v>8000</v>
      </c>
      <c r="AM9" s="305"/>
    </row>
    <row r="10" spans="1:42" s="1" customFormat="1" ht="11.25" customHeight="1" x14ac:dyDescent="0.25">
      <c r="A10" s="269">
        <f>C10</f>
        <v>41799</v>
      </c>
      <c r="B10" s="289">
        <v>41799</v>
      </c>
      <c r="C10" s="275">
        <v>41799</v>
      </c>
      <c r="D10" s="266" t="s">
        <v>102</v>
      </c>
      <c r="E10" s="38" t="s">
        <v>24</v>
      </c>
      <c r="F10" s="265">
        <f t="shared" si="1"/>
        <v>6</v>
      </c>
      <c r="G10" s="265">
        <f t="shared" si="2"/>
        <v>2014</v>
      </c>
      <c r="H10" s="265" t="str">
        <f t="shared" si="3"/>
        <v>Société Générale</v>
      </c>
      <c r="I10" s="711">
        <f t="shared" si="4"/>
        <v>0</v>
      </c>
      <c r="J10" s="83">
        <f t="shared" ref="J10" si="6">IF(OR($H10=J$8,$I10=J$8),1,0)</f>
        <v>1</v>
      </c>
      <c r="K10" s="710">
        <f>J10*($AF10+$AG10)</f>
        <v>-187.25</v>
      </c>
      <c r="L10" s="83">
        <f t="shared" ref="L10" si="7">IF(OR($H10=L$8,$I10=L$8),1,0)</f>
        <v>1</v>
      </c>
      <c r="M10" s="710">
        <f>L10*($AF10+$AG10)</f>
        <v>-187.25</v>
      </c>
      <c r="N10" s="83">
        <f t="shared" ref="N10" si="8">IF(OR($H10=N$8,$I10=N$8),1,0)</f>
        <v>1</v>
      </c>
      <c r="O10" s="710">
        <f>N10*($AF10+$AG10)</f>
        <v>-187.25</v>
      </c>
      <c r="P10" s="83">
        <f t="shared" ref="P10" si="9">IF(OR($H10=P$8,$I10=P$8),1,0)</f>
        <v>1</v>
      </c>
      <c r="Q10" s="710">
        <f>P10*($AF10+$AG10)</f>
        <v>-187.25</v>
      </c>
      <c r="R10" s="83">
        <f t="shared" ref="R10" si="10">IF(OR($H10=R$8,$I10=R$8),1,0)</f>
        <v>1</v>
      </c>
      <c r="S10" s="710">
        <f>R10*($AF10+$AG10)</f>
        <v>-187.25</v>
      </c>
      <c r="T10" s="83">
        <f t="shared" ref="T10" si="11">IF(OR($H10=T$8,$I10=T$8),1,0)</f>
        <v>1</v>
      </c>
      <c r="U10" s="710">
        <f>T10*($AF10+$AG10)</f>
        <v>-187.25</v>
      </c>
      <c r="V10" s="83">
        <f t="shared" ref="V10" si="12">IF(OR($H10=V$8,$I10=V$8),1,0)</f>
        <v>1</v>
      </c>
      <c r="W10" s="710">
        <f>V10*($AF10+$AG10)</f>
        <v>-187.25</v>
      </c>
      <c r="X10" s="314" t="s">
        <v>85</v>
      </c>
      <c r="Y10" s="10" t="s">
        <v>87</v>
      </c>
      <c r="Z10" s="765" t="s">
        <v>506</v>
      </c>
      <c r="AA10" s="755" t="s">
        <v>507</v>
      </c>
      <c r="AB10" s="51"/>
      <c r="AC10" s="35" t="s">
        <v>203</v>
      </c>
      <c r="AD10" s="39" t="s">
        <v>71</v>
      </c>
      <c r="AE10" s="42" t="s">
        <v>508</v>
      </c>
      <c r="AF10" s="113">
        <v>-187.25</v>
      </c>
      <c r="AG10" s="114"/>
      <c r="AH10" s="107">
        <f>SUM(AF10:AG10)</f>
        <v>-187.25</v>
      </c>
      <c r="AI10" s="244">
        <v>-37.450000000000003</v>
      </c>
      <c r="AJ10" s="253">
        <f>SUM(AH10:AI10)</f>
        <v>-224.7</v>
      </c>
      <c r="AK10" s="100">
        <f t="shared" ca="1" si="0"/>
        <v>1817.7299999999998</v>
      </c>
      <c r="AL10" s="101">
        <f t="shared" ca="1" si="0"/>
        <v>8000</v>
      </c>
      <c r="AM10" s="305"/>
      <c r="AN10" s="2"/>
      <c r="AO10" s="2"/>
    </row>
    <row r="11" spans="1:42" s="1" customFormat="1" ht="11.25" customHeight="1" x14ac:dyDescent="0.25">
      <c r="A11" s="270">
        <v>41795</v>
      </c>
      <c r="B11" s="271">
        <v>41795</v>
      </c>
      <c r="C11" s="275">
        <v>41795</v>
      </c>
      <c r="D11" s="266" t="s">
        <v>102</v>
      </c>
      <c r="E11" s="38" t="s">
        <v>24</v>
      </c>
      <c r="F11" s="265">
        <f>IF(ISNUMBER(A11),MONTH(A11),IF(ISNUMBER(C11),MONTH(C11),0))</f>
        <v>6</v>
      </c>
      <c r="G11" s="265">
        <f>IF(ISNUMBER(A11),YEAR(A11),IF(ISNUMBER(C11),YEAR(C11),0))</f>
        <v>2014</v>
      </c>
      <c r="H11" s="265" t="str">
        <f>IF(C11&gt;0,E11,)</f>
        <v>Société Générale</v>
      </c>
      <c r="I11" s="711">
        <f>IF(C11&gt;0,,E11)</f>
        <v>0</v>
      </c>
      <c r="J11" s="83">
        <f>IF(OR($H11=J$8,$I11=J$8),1,0)</f>
        <v>1</v>
      </c>
      <c r="K11" s="710">
        <f ca="1">J11*($AG11+$AH11)</f>
        <v>1519.8411371237457</v>
      </c>
      <c r="L11" s="83">
        <f>IF(OR($H11=L$8,$I11=L$8),1,0)</f>
        <v>1</v>
      </c>
      <c r="M11" s="710">
        <f ca="1">L11*($AG11+$AH11)</f>
        <v>1519.8411371237457</v>
      </c>
      <c r="N11" s="83">
        <f>IF(OR($H11=N$8,$I11=N$8),1,0)</f>
        <v>1</v>
      </c>
      <c r="O11" s="710">
        <f ca="1">N11*($AG11+$AH11)</f>
        <v>1519.8411371237457</v>
      </c>
      <c r="P11" s="83">
        <f>IF(OR($H11=P$8,$I11=P$8),1,0)</f>
        <v>1</v>
      </c>
      <c r="Q11" s="710">
        <f ca="1">P11*($AG11+$AH11)</f>
        <v>1519.8411371237457</v>
      </c>
      <c r="R11" s="83">
        <f>IF(OR($H11=R$8,$I11=R$8),1,0)</f>
        <v>1</v>
      </c>
      <c r="S11" s="710">
        <f ca="1">R11*($AG11+$AH11)</f>
        <v>1519.8411371237457</v>
      </c>
      <c r="T11" s="83">
        <f>IF(OR($H11=T$8,$I11=T$8),1,0)</f>
        <v>1</v>
      </c>
      <c r="U11" s="710">
        <f ca="1">T11*($AG11+$AH11)</f>
        <v>1519.8411371237457</v>
      </c>
      <c r="V11" s="83">
        <f>IF(OR($H11=V$8,$I11=V$8),1,0)</f>
        <v>1</v>
      </c>
      <c r="W11" s="710">
        <f ca="1">V11*($AG11+$AH11)</f>
        <v>1519.8411371237457</v>
      </c>
      <c r="X11" s="314" t="s">
        <v>85</v>
      </c>
      <c r="Y11" s="10" t="s">
        <v>86</v>
      </c>
      <c r="Z11" s="765" t="s">
        <v>505</v>
      </c>
      <c r="AA11" s="753" t="s">
        <v>504</v>
      </c>
      <c r="AB11" s="708"/>
      <c r="AC11" s="35" t="s">
        <v>51</v>
      </c>
      <c r="AD11" s="39" t="s">
        <v>8</v>
      </c>
      <c r="AE11" s="44" t="s">
        <v>503</v>
      </c>
      <c r="AF11" s="80" t="s">
        <v>206</v>
      </c>
      <c r="AG11" s="113"/>
      <c r="AH11" s="264">
        <f ca="1">AK11/1.196</f>
        <v>1519.8411371237457</v>
      </c>
      <c r="AI11" s="107">
        <f ca="1">SUM(AG11:AH11)</f>
        <v>1519.8411371237457</v>
      </c>
      <c r="AJ11" s="247">
        <f ca="1">AK11-AH11</f>
        <v>297.88886287625405</v>
      </c>
      <c r="AK11" s="100">
        <f t="shared" ref="AK11:AL11" ca="1" si="13">IF($E11=AK$6,$AJ11,0)+OFFSET($AJ11,1,COLUMN(AK11)-COLUMN($AK$6)+1)</f>
        <v>1817.7299999999998</v>
      </c>
      <c r="AL11" s="101">
        <f t="shared" ca="1" si="13"/>
        <v>8000</v>
      </c>
      <c r="AM11" s="305"/>
      <c r="AN11" s="2"/>
      <c r="AO11" s="2"/>
      <c r="AP11" s="125"/>
    </row>
    <row r="12" spans="1:42" ht="11.25" customHeight="1" x14ac:dyDescent="0.25">
      <c r="A12" s="277">
        <v>41691</v>
      </c>
      <c r="B12" s="274">
        <v>41691</v>
      </c>
      <c r="C12" s="275">
        <v>41694</v>
      </c>
      <c r="D12" s="266" t="s">
        <v>489</v>
      </c>
      <c r="E12" s="37" t="s">
        <v>488</v>
      </c>
      <c r="F12" s="22">
        <f t="shared" ref="F12:F14" si="14">IF(ISNUMBER(A12),MONTH(A12),IF(ISNUMBER(C12),MONTH(C12),0))</f>
        <v>2</v>
      </c>
      <c r="G12" s="22">
        <f t="shared" ref="G12:G14" si="15">IF(ISNUMBER(A12),YEAR(A12),IF(ISNUMBER(C12),YEAR(C12),0))</f>
        <v>2014</v>
      </c>
      <c r="H12" s="22" t="str">
        <f t="shared" ref="H12:H14" si="16">IF(C12&gt;0,E12,)</f>
        <v>Banque pro</v>
      </c>
      <c r="I12" s="304">
        <f t="shared" ref="I12:I14" si="17">IF(C12&gt;0,,E12)</f>
        <v>0</v>
      </c>
      <c r="J12" s="83">
        <f>IF(OR($H12=J$6,$I12=J$6),1,0)</f>
        <v>0</v>
      </c>
      <c r="K12" s="99">
        <f t="shared" ref="K12:K24" si="18">J12*($AF12+$AG12)</f>
        <v>0</v>
      </c>
      <c r="L12" s="83">
        <f>IF(OR($H12=L$6,$I12=L$6),1,0)</f>
        <v>0</v>
      </c>
      <c r="M12" s="99">
        <f t="shared" ref="M12:M24" si="19">L12*($AF12+$AG12)</f>
        <v>0</v>
      </c>
      <c r="N12" s="83">
        <f>IF(OR($H12=N$6,$I12=N$6),1,0)</f>
        <v>0</v>
      </c>
      <c r="O12" s="99">
        <f t="shared" ref="O12:O24" si="20">N12*($AF12+$AG12)</f>
        <v>0</v>
      </c>
      <c r="P12" s="83">
        <f>IF(OR($H12=P$6,$I12=P$6),1,0)</f>
        <v>0</v>
      </c>
      <c r="Q12" s="99">
        <f t="shared" ref="Q12:Q24" si="21">P12*($AF12+$AG12)</f>
        <v>0</v>
      </c>
      <c r="R12" s="83">
        <f>IF(OR($H12=R$6,$I12=R$6),1,0)</f>
        <v>0</v>
      </c>
      <c r="S12" s="99">
        <f t="shared" ref="S12:S24" si="22">R12*($AF12+$AG12)</f>
        <v>0</v>
      </c>
      <c r="T12" s="83">
        <f>IF(OR($H12=T$6,$I12=T$6),1,0)</f>
        <v>0</v>
      </c>
      <c r="U12" s="99">
        <f t="shared" ref="U12:U24" si="23">T12*($AF12+$AG12)</f>
        <v>0</v>
      </c>
      <c r="V12" s="83">
        <f>IF(OR($H12=V$6,$I12=V$6),1,0)</f>
        <v>0</v>
      </c>
      <c r="W12" s="99">
        <f t="shared" ref="W12:W24" si="24">V12*($AF12+$AG12)</f>
        <v>0</v>
      </c>
      <c r="X12" s="28" t="s">
        <v>113</v>
      </c>
      <c r="Y12" s="29" t="s">
        <v>128</v>
      </c>
      <c r="Z12" s="766" t="s">
        <v>497</v>
      </c>
      <c r="AA12" s="755">
        <v>20145632</v>
      </c>
      <c r="AB12" s="248" t="s">
        <v>498</v>
      </c>
      <c r="AC12" s="35" t="s">
        <v>69</v>
      </c>
      <c r="AD12" s="39" t="s">
        <v>8</v>
      </c>
      <c r="AE12" s="44" t="s">
        <v>501</v>
      </c>
      <c r="AF12" s="104">
        <f>-(8.18+0.83)</f>
        <v>-9.01</v>
      </c>
      <c r="AG12" s="102"/>
      <c r="AH12" s="107">
        <f t="shared" ref="AH12" si="25">SUM(AF12:AG12)</f>
        <v>-9.01</v>
      </c>
      <c r="AI12" s="107">
        <f>-(0.82+0.17)</f>
        <v>-0.99</v>
      </c>
      <c r="AJ12" s="107">
        <f t="shared" si="5"/>
        <v>-10</v>
      </c>
      <c r="AK12" s="100">
        <f t="shared" ref="AK12:AL22" ca="1" si="26">IF($E12=AK$6,$AJ12,0)+OFFSET($AJ12,1,COLUMN(AK12)-COLUMN($AK$6)+1)</f>
        <v>1817.7299999999998</v>
      </c>
      <c r="AL12" s="101">
        <f t="shared" ca="1" si="26"/>
        <v>8000</v>
      </c>
      <c r="AM12" s="305"/>
    </row>
    <row r="13" spans="1:42" ht="11.25" customHeight="1" x14ac:dyDescent="0.25">
      <c r="A13" s="269">
        <f>C13</f>
        <v>41690</v>
      </c>
      <c r="B13" s="276">
        <v>41689</v>
      </c>
      <c r="C13" s="275">
        <v>41690</v>
      </c>
      <c r="D13" s="266" t="s">
        <v>489</v>
      </c>
      <c r="E13" s="38" t="s">
        <v>488</v>
      </c>
      <c r="F13" s="22">
        <f t="shared" si="14"/>
        <v>2</v>
      </c>
      <c r="G13" s="22">
        <f t="shared" si="15"/>
        <v>2014</v>
      </c>
      <c r="H13" s="22" t="str">
        <f t="shared" si="16"/>
        <v>Banque pro</v>
      </c>
      <c r="I13" s="304">
        <f t="shared" si="17"/>
        <v>0</v>
      </c>
      <c r="J13" s="83">
        <f>IF(OR($H13=J$5,$I13=J$5),1,0)</f>
        <v>1</v>
      </c>
      <c r="K13" s="99">
        <f t="shared" si="18"/>
        <v>-25.78</v>
      </c>
      <c r="L13" s="83">
        <f>IF(OR($H13=L$5,$I13=L$5),1,0)</f>
        <v>1</v>
      </c>
      <c r="M13" s="99">
        <f t="shared" si="19"/>
        <v>-25.78</v>
      </c>
      <c r="N13" s="83">
        <f>IF(OR($H13=N$5,$I13=N$5),1,0)</f>
        <v>1</v>
      </c>
      <c r="O13" s="99">
        <f t="shared" si="20"/>
        <v>-25.78</v>
      </c>
      <c r="P13" s="83">
        <f>IF(OR($H13=P$5,$I13=P$5),1,0)</f>
        <v>1</v>
      </c>
      <c r="Q13" s="99">
        <f t="shared" si="21"/>
        <v>-25.78</v>
      </c>
      <c r="R13" s="83">
        <f>IF(OR($H13=R$5,$I13=R$5),1,0)</f>
        <v>1</v>
      </c>
      <c r="S13" s="99">
        <f t="shared" si="22"/>
        <v>-25.78</v>
      </c>
      <c r="T13" s="83">
        <f>IF(OR($H13=T$5,$I13=T$5),1,0)</f>
        <v>1</v>
      </c>
      <c r="U13" s="99">
        <f t="shared" si="23"/>
        <v>-25.78</v>
      </c>
      <c r="V13" s="83">
        <f>IF(OR($H13=V$5,$I13=V$5),1,0)</f>
        <v>1</v>
      </c>
      <c r="W13" s="99">
        <f t="shared" si="24"/>
        <v>-25.78</v>
      </c>
      <c r="X13" s="31" t="s">
        <v>111</v>
      </c>
      <c r="Y13" s="32" t="s">
        <v>25</v>
      </c>
      <c r="Z13" s="767" t="s">
        <v>139</v>
      </c>
      <c r="AA13" s="756" t="s">
        <v>494</v>
      </c>
      <c r="AB13" s="806" t="s">
        <v>498</v>
      </c>
      <c r="AC13" s="34" t="s">
        <v>52</v>
      </c>
      <c r="AD13" s="39" t="s">
        <v>71</v>
      </c>
      <c r="AE13" s="44" t="s">
        <v>488</v>
      </c>
      <c r="AF13" s="245">
        <v>-25.78</v>
      </c>
      <c r="AG13" s="111"/>
      <c r="AH13" s="808">
        <f>SUM(AF13:AG14)</f>
        <v>-34</v>
      </c>
      <c r="AI13" s="303">
        <v>0</v>
      </c>
      <c r="AJ13" s="810">
        <f>SUM(AH13:AI14)</f>
        <v>-35.64</v>
      </c>
      <c r="AK13" s="100">
        <f t="shared" ca="1" si="26"/>
        <v>1827.7299999999998</v>
      </c>
      <c r="AL13" s="101">
        <f t="shared" ca="1" si="26"/>
        <v>8000</v>
      </c>
      <c r="AM13" s="305"/>
    </row>
    <row r="14" spans="1:42" s="7" customFormat="1" ht="11.25" customHeight="1" x14ac:dyDescent="0.25">
      <c r="A14" s="269">
        <f>C14</f>
        <v>41690</v>
      </c>
      <c r="B14" s="276">
        <v>41689</v>
      </c>
      <c r="C14" s="275">
        <v>41690</v>
      </c>
      <c r="D14" s="266" t="s">
        <v>489</v>
      </c>
      <c r="E14" s="38" t="s">
        <v>488</v>
      </c>
      <c r="F14" s="22">
        <f t="shared" si="14"/>
        <v>2</v>
      </c>
      <c r="G14" s="22">
        <f t="shared" si="15"/>
        <v>2014</v>
      </c>
      <c r="H14" s="22" t="str">
        <f t="shared" si="16"/>
        <v>Banque pro</v>
      </c>
      <c r="I14" s="304">
        <f t="shared" si="17"/>
        <v>0</v>
      </c>
      <c r="J14" s="83">
        <f>IF(OR($H14=J$5,$I14=J$5),1,0)</f>
        <v>1</v>
      </c>
      <c r="K14" s="99">
        <f t="shared" si="18"/>
        <v>-8.2200000000000006</v>
      </c>
      <c r="L14" s="83">
        <f>IF(OR($H14=L$5,$I14=L$5),1,0)</f>
        <v>1</v>
      </c>
      <c r="M14" s="99">
        <f t="shared" si="19"/>
        <v>-8.2200000000000006</v>
      </c>
      <c r="N14" s="83">
        <f>IF(OR($H14=N$5,$I14=N$5),1,0)</f>
        <v>1</v>
      </c>
      <c r="O14" s="99">
        <f t="shared" si="20"/>
        <v>-8.2200000000000006</v>
      </c>
      <c r="P14" s="83">
        <f>IF(OR($H14=P$5,$I14=P$5),1,0)</f>
        <v>1</v>
      </c>
      <c r="Q14" s="99">
        <f t="shared" si="21"/>
        <v>-8.2200000000000006</v>
      </c>
      <c r="R14" s="83">
        <f>IF(OR($H14=R$5,$I14=R$5),1,0)</f>
        <v>1</v>
      </c>
      <c r="S14" s="99">
        <f t="shared" si="22"/>
        <v>-8.2200000000000006</v>
      </c>
      <c r="T14" s="83">
        <f>IF(OR($H14=T$5,$I14=T$5),1,0)</f>
        <v>1</v>
      </c>
      <c r="U14" s="99">
        <f t="shared" si="23"/>
        <v>-8.2200000000000006</v>
      </c>
      <c r="V14" s="83">
        <f>IF(OR($H14=V$5,$I14=V$5),1,0)</f>
        <v>1</v>
      </c>
      <c r="W14" s="99">
        <f t="shared" si="24"/>
        <v>-8.2200000000000006</v>
      </c>
      <c r="X14" s="31" t="s">
        <v>111</v>
      </c>
      <c r="Y14" s="32" t="s">
        <v>25</v>
      </c>
      <c r="Z14" s="767" t="s">
        <v>208</v>
      </c>
      <c r="AA14" s="756" t="s">
        <v>199</v>
      </c>
      <c r="AB14" s="807" t="s">
        <v>498</v>
      </c>
      <c r="AC14" s="34" t="s">
        <v>52</v>
      </c>
      <c r="AD14" s="39" t="s">
        <v>71</v>
      </c>
      <c r="AE14" s="44" t="s">
        <v>488</v>
      </c>
      <c r="AF14" s="106">
        <v>-8.2200000000000006</v>
      </c>
      <c r="AG14" s="112"/>
      <c r="AH14" s="809"/>
      <c r="AI14" s="309">
        <v>-1.64</v>
      </c>
      <c r="AJ14" s="811"/>
      <c r="AK14" s="100">
        <f t="shared" ca="1" si="26"/>
        <v>1863.37</v>
      </c>
      <c r="AL14" s="101">
        <f t="shared" ca="1" si="26"/>
        <v>8000</v>
      </c>
      <c r="AM14" s="305"/>
    </row>
    <row r="15" spans="1:42" ht="11.25" customHeight="1" x14ac:dyDescent="0.25">
      <c r="A15" s="269">
        <f>C15</f>
        <v>41687</v>
      </c>
      <c r="B15" s="268">
        <v>41687</v>
      </c>
      <c r="C15" s="275">
        <v>41687</v>
      </c>
      <c r="D15" s="266" t="s">
        <v>489</v>
      </c>
      <c r="E15" s="33" t="s">
        <v>488</v>
      </c>
      <c r="F15" s="22">
        <f t="shared" ref="F15:F16" si="27">IF(ISNUMBER(A15),MONTH(A15),IF(ISNUMBER(C15),MONTH(C15),0))</f>
        <v>2</v>
      </c>
      <c r="G15" s="22">
        <f t="shared" ref="G15:G16" si="28">IF(ISNUMBER(A15),YEAR(A15),IF(ISNUMBER(C15),YEAR(C15),0))</f>
        <v>2014</v>
      </c>
      <c r="H15" s="22" t="str">
        <f t="shared" ref="H15:H16" si="29">IF(C15&gt;0,E15,)</f>
        <v>Banque pro</v>
      </c>
      <c r="I15" s="306">
        <f t="shared" ref="I15:I16" si="30">IF(C15&gt;0,,E15)</f>
        <v>0</v>
      </c>
      <c r="J15" s="83">
        <f>IF(OR($H15=J$5,$I15=J$5),1,0)</f>
        <v>1</v>
      </c>
      <c r="K15" s="99">
        <f t="shared" si="18"/>
        <v>-38</v>
      </c>
      <c r="L15" s="83">
        <f>IF(OR($H15=L$5,$I15=L$5),1,0)</f>
        <v>1</v>
      </c>
      <c r="M15" s="99">
        <f t="shared" si="19"/>
        <v>-38</v>
      </c>
      <c r="N15" s="83">
        <f>IF(OR($H15=N$5,$I15=N$5),1,0)</f>
        <v>1</v>
      </c>
      <c r="O15" s="99">
        <f t="shared" si="20"/>
        <v>-38</v>
      </c>
      <c r="P15" s="83">
        <f>IF(OR($H15=P$5,$I15=P$5),1,0)</f>
        <v>1</v>
      </c>
      <c r="Q15" s="99">
        <f t="shared" si="21"/>
        <v>-38</v>
      </c>
      <c r="R15" s="83">
        <f>IF(OR($H15=R$5,$I15=R$5),1,0)</f>
        <v>1</v>
      </c>
      <c r="S15" s="99">
        <f t="shared" si="22"/>
        <v>-38</v>
      </c>
      <c r="T15" s="83">
        <f>IF(OR($H15=T$5,$I15=T$5),1,0)</f>
        <v>1</v>
      </c>
      <c r="U15" s="99">
        <f t="shared" si="23"/>
        <v>-38</v>
      </c>
      <c r="V15" s="83">
        <f>IF(OR($H15=V$5,$I15=V$5),1,0)</f>
        <v>1</v>
      </c>
      <c r="W15" s="99">
        <f t="shared" si="24"/>
        <v>-38</v>
      </c>
      <c r="X15" s="31" t="s">
        <v>118</v>
      </c>
      <c r="Y15" s="763" t="s">
        <v>120</v>
      </c>
      <c r="Z15" s="768" t="s">
        <v>207</v>
      </c>
      <c r="AA15" s="757">
        <v>698436</v>
      </c>
      <c r="AB15" s="310" t="s">
        <v>498</v>
      </c>
      <c r="AC15" s="35" t="s">
        <v>52</v>
      </c>
      <c r="AD15" s="39" t="s">
        <v>71</v>
      </c>
      <c r="AE15" s="41" t="s">
        <v>27</v>
      </c>
      <c r="AF15" s="104">
        <v>-38</v>
      </c>
      <c r="AG15" s="102"/>
      <c r="AH15" s="103">
        <f t="shared" ref="AH15:AH16" si="31">SUM(AF15:AG15)</f>
        <v>-38</v>
      </c>
      <c r="AI15" s="244">
        <v>0</v>
      </c>
      <c r="AJ15" s="109">
        <f t="shared" ref="AJ15:AJ16" si="32">SUM(AH15:AI15)</f>
        <v>-38</v>
      </c>
      <c r="AK15" s="100">
        <f t="shared" ca="1" si="26"/>
        <v>1863.37</v>
      </c>
      <c r="AL15" s="101">
        <f t="shared" ca="1" si="26"/>
        <v>8000</v>
      </c>
      <c r="AM15" s="305"/>
    </row>
    <row r="16" spans="1:42" ht="11.25" customHeight="1" x14ac:dyDescent="0.25">
      <c r="A16" s="269">
        <f>C16</f>
        <v>41687</v>
      </c>
      <c r="B16" s="274">
        <v>41680</v>
      </c>
      <c r="C16" s="275">
        <v>41687</v>
      </c>
      <c r="D16" s="266" t="s">
        <v>489</v>
      </c>
      <c r="E16" s="37" t="s">
        <v>488</v>
      </c>
      <c r="F16" s="22">
        <f t="shared" si="27"/>
        <v>2</v>
      </c>
      <c r="G16" s="22">
        <f t="shared" si="28"/>
        <v>2014</v>
      </c>
      <c r="H16" s="22" t="str">
        <f t="shared" si="29"/>
        <v>Banque pro</v>
      </c>
      <c r="I16" s="304">
        <f t="shared" si="30"/>
        <v>0</v>
      </c>
      <c r="J16" s="83">
        <f>IF(OR($H16=J$5,$I16=J$5),1,0)</f>
        <v>1</v>
      </c>
      <c r="K16" s="99">
        <f t="shared" si="18"/>
        <v>-35</v>
      </c>
      <c r="L16" s="83">
        <f>IF(OR($H16=L$5,$I16=L$5),1,0)</f>
        <v>1</v>
      </c>
      <c r="M16" s="99">
        <f t="shared" si="19"/>
        <v>-35</v>
      </c>
      <c r="N16" s="83">
        <f>IF(OR($H16=N$5,$I16=N$5),1,0)</f>
        <v>1</v>
      </c>
      <c r="O16" s="99">
        <f t="shared" si="20"/>
        <v>-35</v>
      </c>
      <c r="P16" s="83">
        <f>IF(OR($H16=P$5,$I16=P$5),1,0)</f>
        <v>1</v>
      </c>
      <c r="Q16" s="99">
        <f t="shared" si="21"/>
        <v>-35</v>
      </c>
      <c r="R16" s="83">
        <f>IF(OR($H16=R$5,$I16=R$5),1,0)</f>
        <v>1</v>
      </c>
      <c r="S16" s="99">
        <f t="shared" si="22"/>
        <v>-35</v>
      </c>
      <c r="T16" s="83">
        <f>IF(OR($H16=T$5,$I16=T$5),1,0)</f>
        <v>1</v>
      </c>
      <c r="U16" s="99">
        <f t="shared" si="23"/>
        <v>-35</v>
      </c>
      <c r="V16" s="83">
        <f>IF(OR($H16=V$5,$I16=V$5),1,0)</f>
        <v>1</v>
      </c>
      <c r="W16" s="99">
        <f t="shared" si="24"/>
        <v>-35</v>
      </c>
      <c r="X16" s="30" t="s">
        <v>112</v>
      </c>
      <c r="Y16" s="27" t="s">
        <v>121</v>
      </c>
      <c r="Z16" s="769" t="s">
        <v>500</v>
      </c>
      <c r="AA16" s="755" t="s">
        <v>495</v>
      </c>
      <c r="AB16" s="246" t="s">
        <v>498</v>
      </c>
      <c r="AC16" s="35" t="s">
        <v>52</v>
      </c>
      <c r="AD16" s="39" t="s">
        <v>71</v>
      </c>
      <c r="AE16" s="44" t="s">
        <v>479</v>
      </c>
      <c r="AF16" s="104">
        <v>-35</v>
      </c>
      <c r="AG16" s="105"/>
      <c r="AH16" s="107">
        <f t="shared" si="31"/>
        <v>-35</v>
      </c>
      <c r="AI16" s="107">
        <v>-7</v>
      </c>
      <c r="AJ16" s="107">
        <f t="shared" si="32"/>
        <v>-42</v>
      </c>
      <c r="AK16" s="100">
        <f t="shared" ca="1" si="26"/>
        <v>1901.37</v>
      </c>
      <c r="AL16" s="101">
        <f t="shared" ca="1" si="26"/>
        <v>8000</v>
      </c>
      <c r="AM16" s="305"/>
    </row>
    <row r="17" spans="1:39" s="7" customFormat="1" ht="11.25" customHeight="1" x14ac:dyDescent="0.25">
      <c r="A17" s="270">
        <v>41283</v>
      </c>
      <c r="B17" s="274">
        <v>41283</v>
      </c>
      <c r="C17" s="275">
        <v>41283</v>
      </c>
      <c r="D17" s="266" t="s">
        <v>489</v>
      </c>
      <c r="E17" s="38" t="s">
        <v>488</v>
      </c>
      <c r="F17" s="22">
        <f t="shared" ref="F17:F22" si="33">IF(ISNUMBER(A17),MONTH(A17),IF(ISNUMBER(C17),MONTH(C17),0))</f>
        <v>1</v>
      </c>
      <c r="G17" s="22">
        <f t="shared" ref="G17:G22" si="34">IF(ISNUMBER(A17),YEAR(A17),IF(ISNUMBER(C17),YEAR(C17),0))</f>
        <v>2013</v>
      </c>
      <c r="H17" s="22" t="str">
        <f t="shared" ref="H17:H22" si="35">IF(C17&gt;0,E17,)</f>
        <v>Banque pro</v>
      </c>
      <c r="I17" s="252">
        <f t="shared" ref="I17:I22" si="36">IF(C17&gt;0,,E17)</f>
        <v>0</v>
      </c>
      <c r="J17" s="83">
        <f t="shared" ref="J17:J24" si="37">IF(OR($H17=J$6,$I17=J$6),1,0)</f>
        <v>0</v>
      </c>
      <c r="K17" s="99">
        <f t="shared" si="18"/>
        <v>0</v>
      </c>
      <c r="L17" s="83">
        <f t="shared" ref="L17:L24" si="38">IF(OR($H17=L$6,$I17=L$6),1,0)</f>
        <v>0</v>
      </c>
      <c r="M17" s="99">
        <f t="shared" si="19"/>
        <v>0</v>
      </c>
      <c r="N17" s="83">
        <f t="shared" ref="N17:N24" si="39">IF(OR($H17=N$6,$I17=N$6),1,0)</f>
        <v>0</v>
      </c>
      <c r="O17" s="99">
        <f t="shared" si="20"/>
        <v>0</v>
      </c>
      <c r="P17" s="83">
        <f t="shared" ref="P17:P24" si="40">IF(OR($H17=P$6,$I17=P$6),1,0)</f>
        <v>0</v>
      </c>
      <c r="Q17" s="99">
        <f t="shared" si="21"/>
        <v>0</v>
      </c>
      <c r="R17" s="83">
        <f t="shared" ref="R17:R24" si="41">IF(OR($H17=R$6,$I17=R$6),1,0)</f>
        <v>0</v>
      </c>
      <c r="S17" s="99">
        <f t="shared" si="22"/>
        <v>0</v>
      </c>
      <c r="T17" s="83">
        <f t="shared" ref="T17:T24" si="42">IF(OR($H17=T$6,$I17=T$6),1,0)</f>
        <v>0</v>
      </c>
      <c r="U17" s="99">
        <f t="shared" si="23"/>
        <v>0</v>
      </c>
      <c r="V17" s="83">
        <f t="shared" ref="V17:V24" si="43">IF(OR($H17=V$6,$I17=V$6),1,0)</f>
        <v>0</v>
      </c>
      <c r="W17" s="99">
        <f t="shared" si="24"/>
        <v>0</v>
      </c>
      <c r="X17" s="31" t="s">
        <v>111</v>
      </c>
      <c r="Y17" s="29" t="s">
        <v>109</v>
      </c>
      <c r="Z17" s="768" t="s">
        <v>138</v>
      </c>
      <c r="AA17" s="755" t="s">
        <v>81</v>
      </c>
      <c r="AB17" s="293" t="s">
        <v>498</v>
      </c>
      <c r="AC17" s="34" t="s">
        <v>53</v>
      </c>
      <c r="AD17" s="37" t="s">
        <v>34</v>
      </c>
      <c r="AE17" s="44" t="s">
        <v>488</v>
      </c>
      <c r="AF17" s="23"/>
      <c r="AG17" s="108">
        <v>2000</v>
      </c>
      <c r="AH17" s="107">
        <f>SUM(AF17:AG17)</f>
        <v>2000</v>
      </c>
      <c r="AI17" s="107">
        <v>0</v>
      </c>
      <c r="AJ17" s="107">
        <f t="shared" ref="AJ17:AJ22" si="44">SUM(AH17:AI17)</f>
        <v>2000</v>
      </c>
      <c r="AK17" s="100">
        <f t="shared" ca="1" si="26"/>
        <v>1943.37</v>
      </c>
      <c r="AL17" s="101">
        <f t="shared" ca="1" si="26"/>
        <v>8000</v>
      </c>
      <c r="AM17" s="292"/>
    </row>
    <row r="18" spans="1:39" s="7" customFormat="1" ht="11.25" customHeight="1" x14ac:dyDescent="0.25">
      <c r="A18" s="270">
        <v>41282</v>
      </c>
      <c r="B18" s="274">
        <v>41283</v>
      </c>
      <c r="C18" s="275">
        <v>41283</v>
      </c>
      <c r="D18" s="266" t="s">
        <v>489</v>
      </c>
      <c r="E18" s="38" t="s">
        <v>488</v>
      </c>
      <c r="F18" s="22">
        <f t="shared" si="33"/>
        <v>1</v>
      </c>
      <c r="G18" s="22">
        <f t="shared" si="34"/>
        <v>2013</v>
      </c>
      <c r="H18" s="22" t="str">
        <f t="shared" si="35"/>
        <v>Banque pro</v>
      </c>
      <c r="I18" s="252">
        <f t="shared" si="36"/>
        <v>0</v>
      </c>
      <c r="J18" s="83">
        <f t="shared" si="37"/>
        <v>0</v>
      </c>
      <c r="K18" s="99">
        <f t="shared" si="18"/>
        <v>0</v>
      </c>
      <c r="L18" s="83">
        <f t="shared" si="38"/>
        <v>0</v>
      </c>
      <c r="M18" s="99">
        <f t="shared" si="19"/>
        <v>0</v>
      </c>
      <c r="N18" s="83">
        <f t="shared" si="39"/>
        <v>0</v>
      </c>
      <c r="O18" s="99">
        <f t="shared" si="20"/>
        <v>0</v>
      </c>
      <c r="P18" s="83">
        <f t="shared" si="40"/>
        <v>0</v>
      </c>
      <c r="Q18" s="99">
        <f t="shared" si="21"/>
        <v>0</v>
      </c>
      <c r="R18" s="83">
        <f t="shared" si="41"/>
        <v>0</v>
      </c>
      <c r="S18" s="99">
        <f t="shared" si="22"/>
        <v>0</v>
      </c>
      <c r="T18" s="83">
        <f t="shared" si="42"/>
        <v>0</v>
      </c>
      <c r="U18" s="99">
        <f t="shared" si="23"/>
        <v>0</v>
      </c>
      <c r="V18" s="83">
        <f t="shared" si="43"/>
        <v>0</v>
      </c>
      <c r="W18" s="99">
        <f t="shared" si="24"/>
        <v>0</v>
      </c>
      <c r="X18" s="31" t="s">
        <v>111</v>
      </c>
      <c r="Y18" s="29" t="s">
        <v>25</v>
      </c>
      <c r="Z18" s="766" t="s">
        <v>496</v>
      </c>
      <c r="AA18" s="755">
        <v>20140221</v>
      </c>
      <c r="AB18" s="293" t="s">
        <v>498</v>
      </c>
      <c r="AC18" s="34" t="s">
        <v>52</v>
      </c>
      <c r="AD18" s="37" t="s">
        <v>34</v>
      </c>
      <c r="AE18" s="44" t="s">
        <v>488</v>
      </c>
      <c r="AF18" s="23">
        <f>-53*(1-25%)</f>
        <v>-39.75</v>
      </c>
      <c r="AG18" s="108"/>
      <c r="AH18" s="107">
        <f>SUM(AF18:AG18)</f>
        <v>-39.75</v>
      </c>
      <c r="AI18" s="107">
        <v>0</v>
      </c>
      <c r="AJ18" s="107">
        <f t="shared" si="44"/>
        <v>-39.75</v>
      </c>
      <c r="AK18" s="100">
        <f t="shared" ca="1" si="26"/>
        <v>-56.629999999999995</v>
      </c>
      <c r="AL18" s="101">
        <f t="shared" ca="1" si="26"/>
        <v>8000</v>
      </c>
      <c r="AM18" s="292"/>
    </row>
    <row r="19" spans="1:39" s="7" customFormat="1" ht="11.25" customHeight="1" x14ac:dyDescent="0.25">
      <c r="A19" s="270">
        <v>41278</v>
      </c>
      <c r="B19" s="274">
        <v>41279</v>
      </c>
      <c r="C19" s="275">
        <v>41279</v>
      </c>
      <c r="D19" s="266" t="s">
        <v>489</v>
      </c>
      <c r="E19" s="38" t="s">
        <v>488</v>
      </c>
      <c r="F19" s="22">
        <f t="shared" si="33"/>
        <v>1</v>
      </c>
      <c r="G19" s="22">
        <f t="shared" si="34"/>
        <v>2013</v>
      </c>
      <c r="H19" s="22" t="str">
        <f t="shared" si="35"/>
        <v>Banque pro</v>
      </c>
      <c r="I19" s="252">
        <f t="shared" si="36"/>
        <v>0</v>
      </c>
      <c r="J19" s="83">
        <f t="shared" si="37"/>
        <v>0</v>
      </c>
      <c r="K19" s="99">
        <f t="shared" si="18"/>
        <v>0</v>
      </c>
      <c r="L19" s="83">
        <f t="shared" si="38"/>
        <v>0</v>
      </c>
      <c r="M19" s="99">
        <f t="shared" si="19"/>
        <v>0</v>
      </c>
      <c r="N19" s="83">
        <f t="shared" si="39"/>
        <v>0</v>
      </c>
      <c r="O19" s="99">
        <f t="shared" si="20"/>
        <v>0</v>
      </c>
      <c r="P19" s="83">
        <f t="shared" si="40"/>
        <v>0</v>
      </c>
      <c r="Q19" s="99">
        <f t="shared" si="21"/>
        <v>0</v>
      </c>
      <c r="R19" s="83">
        <f t="shared" si="41"/>
        <v>0</v>
      </c>
      <c r="S19" s="99">
        <f t="shared" si="22"/>
        <v>0</v>
      </c>
      <c r="T19" s="83">
        <f t="shared" si="42"/>
        <v>0</v>
      </c>
      <c r="U19" s="99">
        <f t="shared" si="23"/>
        <v>0</v>
      </c>
      <c r="V19" s="83">
        <f t="shared" si="43"/>
        <v>0</v>
      </c>
      <c r="W19" s="99">
        <f t="shared" si="24"/>
        <v>0</v>
      </c>
      <c r="X19" s="31" t="s">
        <v>111</v>
      </c>
      <c r="Y19" s="29" t="s">
        <v>25</v>
      </c>
      <c r="Z19" s="768" t="s">
        <v>140</v>
      </c>
      <c r="AA19" s="755" t="s">
        <v>81</v>
      </c>
      <c r="AB19" s="293" t="s">
        <v>498</v>
      </c>
      <c r="AC19" s="34" t="s">
        <v>53</v>
      </c>
      <c r="AD19" s="37" t="s">
        <v>34</v>
      </c>
      <c r="AE19" s="44" t="s">
        <v>488</v>
      </c>
      <c r="AF19" s="23"/>
      <c r="AG19" s="108">
        <v>16.87</v>
      </c>
      <c r="AH19" s="107">
        <f>SUM(AF19:AG19)</f>
        <v>16.87</v>
      </c>
      <c r="AI19" s="107">
        <v>0</v>
      </c>
      <c r="AJ19" s="107">
        <f t="shared" si="44"/>
        <v>16.87</v>
      </c>
      <c r="AK19" s="100">
        <f t="shared" ca="1" si="26"/>
        <v>-16.88</v>
      </c>
      <c r="AL19" s="101">
        <f t="shared" ca="1" si="26"/>
        <v>8000</v>
      </c>
      <c r="AM19" s="292"/>
    </row>
    <row r="20" spans="1:39" s="7" customFormat="1" ht="11.25" customHeight="1" x14ac:dyDescent="0.25">
      <c r="A20" s="270">
        <v>41278</v>
      </c>
      <c r="B20" s="274">
        <v>41279</v>
      </c>
      <c r="C20" s="275">
        <v>41279</v>
      </c>
      <c r="D20" s="266" t="s">
        <v>489</v>
      </c>
      <c r="E20" s="38" t="s">
        <v>488</v>
      </c>
      <c r="F20" s="22">
        <f t="shared" si="33"/>
        <v>1</v>
      </c>
      <c r="G20" s="22">
        <f t="shared" si="34"/>
        <v>2013</v>
      </c>
      <c r="H20" s="22" t="str">
        <f t="shared" si="35"/>
        <v>Banque pro</v>
      </c>
      <c r="I20" s="252">
        <f t="shared" si="36"/>
        <v>0</v>
      </c>
      <c r="J20" s="83">
        <f t="shared" si="37"/>
        <v>0</v>
      </c>
      <c r="K20" s="99">
        <f t="shared" si="18"/>
        <v>0</v>
      </c>
      <c r="L20" s="83">
        <f t="shared" si="38"/>
        <v>0</v>
      </c>
      <c r="M20" s="99">
        <f t="shared" si="19"/>
        <v>0</v>
      </c>
      <c r="N20" s="83">
        <f t="shared" si="39"/>
        <v>0</v>
      </c>
      <c r="O20" s="99">
        <f t="shared" si="20"/>
        <v>0</v>
      </c>
      <c r="P20" s="83">
        <f t="shared" si="40"/>
        <v>0</v>
      </c>
      <c r="Q20" s="99">
        <f t="shared" si="21"/>
        <v>0</v>
      </c>
      <c r="R20" s="83">
        <f t="shared" si="41"/>
        <v>0</v>
      </c>
      <c r="S20" s="99">
        <f t="shared" si="22"/>
        <v>0</v>
      </c>
      <c r="T20" s="83">
        <f t="shared" si="42"/>
        <v>0</v>
      </c>
      <c r="U20" s="99">
        <f t="shared" si="23"/>
        <v>0</v>
      </c>
      <c r="V20" s="83">
        <f t="shared" si="43"/>
        <v>0</v>
      </c>
      <c r="W20" s="99">
        <f t="shared" si="24"/>
        <v>0</v>
      </c>
      <c r="X20" s="31" t="s">
        <v>111</v>
      </c>
      <c r="Y20" s="29" t="s">
        <v>25</v>
      </c>
      <c r="Z20" s="768" t="s">
        <v>141</v>
      </c>
      <c r="AA20" s="755" t="s">
        <v>81</v>
      </c>
      <c r="AB20" s="293" t="s">
        <v>498</v>
      </c>
      <c r="AC20" s="34" t="s">
        <v>52</v>
      </c>
      <c r="AD20" s="37" t="s">
        <v>34</v>
      </c>
      <c r="AE20" s="44" t="s">
        <v>488</v>
      </c>
      <c r="AF20" s="23">
        <f>-45*(1-25%)</f>
        <v>-33.75</v>
      </c>
      <c r="AG20" s="108"/>
      <c r="AH20" s="107">
        <f t="shared" ref="AH20" si="45">SUM(AF20:AG20)</f>
        <v>-33.75</v>
      </c>
      <c r="AI20" s="107">
        <v>0</v>
      </c>
      <c r="AJ20" s="107">
        <f t="shared" si="44"/>
        <v>-33.75</v>
      </c>
      <c r="AK20" s="100">
        <f t="shared" ca="1" si="26"/>
        <v>-33.75</v>
      </c>
      <c r="AL20" s="101">
        <f t="shared" ca="1" si="26"/>
        <v>8000</v>
      </c>
      <c r="AM20" s="292"/>
    </row>
    <row r="21" spans="1:39" s="7" customFormat="1" ht="11.25" customHeight="1" x14ac:dyDescent="0.25">
      <c r="A21" s="269">
        <f>C21</f>
        <v>41279</v>
      </c>
      <c r="B21" s="274">
        <v>41279</v>
      </c>
      <c r="C21" s="275">
        <v>41279</v>
      </c>
      <c r="D21" s="267" t="s">
        <v>487</v>
      </c>
      <c r="E21" s="39" t="s">
        <v>490</v>
      </c>
      <c r="F21" s="22">
        <f t="shared" si="33"/>
        <v>1</v>
      </c>
      <c r="G21" s="22">
        <f t="shared" si="34"/>
        <v>2013</v>
      </c>
      <c r="H21" s="22" t="str">
        <f t="shared" si="35"/>
        <v>Banque perso</v>
      </c>
      <c r="I21" s="711">
        <f t="shared" si="36"/>
        <v>0</v>
      </c>
      <c r="J21" s="707">
        <f t="shared" si="37"/>
        <v>0</v>
      </c>
      <c r="K21" s="709">
        <f t="shared" si="18"/>
        <v>0</v>
      </c>
      <c r="L21" s="707">
        <f t="shared" si="38"/>
        <v>0</v>
      </c>
      <c r="M21" s="709">
        <f t="shared" si="19"/>
        <v>0</v>
      </c>
      <c r="N21" s="707">
        <f t="shared" si="39"/>
        <v>0</v>
      </c>
      <c r="O21" s="709">
        <f t="shared" si="20"/>
        <v>0</v>
      </c>
      <c r="P21" s="707">
        <f t="shared" si="40"/>
        <v>0</v>
      </c>
      <c r="Q21" s="709">
        <f t="shared" si="21"/>
        <v>0</v>
      </c>
      <c r="R21" s="707">
        <f t="shared" si="41"/>
        <v>0</v>
      </c>
      <c r="S21" s="709">
        <f t="shared" si="22"/>
        <v>0</v>
      </c>
      <c r="T21" s="707">
        <f t="shared" si="42"/>
        <v>0</v>
      </c>
      <c r="U21" s="709">
        <f t="shared" si="23"/>
        <v>0</v>
      </c>
      <c r="V21" s="707">
        <f t="shared" si="43"/>
        <v>0</v>
      </c>
      <c r="W21" s="709">
        <f t="shared" si="24"/>
        <v>0</v>
      </c>
      <c r="X21" s="31" t="s">
        <v>111</v>
      </c>
      <c r="Y21" s="29" t="s">
        <v>109</v>
      </c>
      <c r="Z21" s="766" t="s">
        <v>499</v>
      </c>
      <c r="AA21" s="755" t="s">
        <v>81</v>
      </c>
      <c r="AB21" s="707" t="s">
        <v>498</v>
      </c>
      <c r="AC21" s="35"/>
      <c r="AD21" s="37" t="s">
        <v>34</v>
      </c>
      <c r="AE21" s="44" t="s">
        <v>486</v>
      </c>
      <c r="AF21" s="23"/>
      <c r="AG21" s="108">
        <v>8000</v>
      </c>
      <c r="AH21" s="107">
        <f>SUM(AF21:AG21)</f>
        <v>8000</v>
      </c>
      <c r="AI21" s="244">
        <v>0</v>
      </c>
      <c r="AJ21" s="107">
        <f t="shared" si="44"/>
        <v>8000</v>
      </c>
      <c r="AK21" s="100">
        <f t="shared" ca="1" si="26"/>
        <v>0</v>
      </c>
      <c r="AL21" s="101">
        <f t="shared" ca="1" si="26"/>
        <v>8000</v>
      </c>
      <c r="AM21" s="292"/>
    </row>
    <row r="22" spans="1:39" ht="11.25" customHeight="1" x14ac:dyDescent="0.25">
      <c r="A22" s="741">
        <v>41278</v>
      </c>
      <c r="B22" s="742">
        <v>41279</v>
      </c>
      <c r="C22" s="743">
        <v>41279</v>
      </c>
      <c r="D22" s="744" t="s">
        <v>489</v>
      </c>
      <c r="E22" s="745" t="s">
        <v>488</v>
      </c>
      <c r="F22" s="22">
        <f t="shared" si="33"/>
        <v>1</v>
      </c>
      <c r="G22" s="22">
        <f t="shared" si="34"/>
        <v>2013</v>
      </c>
      <c r="H22" s="22" t="str">
        <f t="shared" si="35"/>
        <v>Banque pro</v>
      </c>
      <c r="I22" s="711">
        <f t="shared" si="36"/>
        <v>0</v>
      </c>
      <c r="J22" s="707">
        <f t="shared" si="37"/>
        <v>0</v>
      </c>
      <c r="K22" s="709">
        <f t="shared" si="18"/>
        <v>0</v>
      </c>
      <c r="L22" s="707">
        <f t="shared" si="38"/>
        <v>0</v>
      </c>
      <c r="M22" s="709">
        <f t="shared" si="19"/>
        <v>0</v>
      </c>
      <c r="N22" s="707">
        <f t="shared" si="39"/>
        <v>0</v>
      </c>
      <c r="O22" s="709">
        <f t="shared" si="20"/>
        <v>0</v>
      </c>
      <c r="P22" s="707">
        <f t="shared" si="40"/>
        <v>0</v>
      </c>
      <c r="Q22" s="709">
        <f t="shared" si="21"/>
        <v>0</v>
      </c>
      <c r="R22" s="707">
        <f t="shared" si="41"/>
        <v>0</v>
      </c>
      <c r="S22" s="709">
        <f t="shared" si="22"/>
        <v>0</v>
      </c>
      <c r="T22" s="707">
        <f t="shared" si="42"/>
        <v>0</v>
      </c>
      <c r="U22" s="709">
        <f t="shared" si="23"/>
        <v>0</v>
      </c>
      <c r="V22" s="707">
        <f t="shared" si="43"/>
        <v>0</v>
      </c>
      <c r="W22" s="709">
        <f t="shared" si="24"/>
        <v>0</v>
      </c>
      <c r="X22" s="746" t="s">
        <v>111</v>
      </c>
      <c r="Y22" s="747" t="s">
        <v>47</v>
      </c>
      <c r="Z22" s="770" t="s">
        <v>137</v>
      </c>
      <c r="AA22" s="758"/>
      <c r="AB22" s="21" t="s">
        <v>81</v>
      </c>
      <c r="AC22" s="35"/>
      <c r="AD22" s="37"/>
      <c r="AE22" s="748"/>
      <c r="AF22" s="749"/>
      <c r="AG22" s="750">
        <v>0</v>
      </c>
      <c r="AH22" s="751">
        <f>SUM(AE22:AE22)</f>
        <v>0</v>
      </c>
      <c r="AI22" s="751">
        <f>SUM(AF22:AF22)</f>
        <v>0</v>
      </c>
      <c r="AJ22" s="751">
        <f t="shared" si="44"/>
        <v>0</v>
      </c>
      <c r="AK22" s="297">
        <f t="shared" ca="1" si="26"/>
        <v>0</v>
      </c>
      <c r="AL22" s="294">
        <f t="shared" ca="1" si="26"/>
        <v>0</v>
      </c>
      <c r="AM22" s="292"/>
    </row>
    <row r="23" spans="1:39" ht="11.25" customHeight="1" x14ac:dyDescent="0.25">
      <c r="A23" s="282">
        <v>40178</v>
      </c>
      <c r="B23" s="283" t="s">
        <v>4</v>
      </c>
      <c r="C23" s="284" t="s">
        <v>4</v>
      </c>
      <c r="D23" s="279" t="s">
        <v>489</v>
      </c>
      <c r="E23" s="69" t="s">
        <v>488</v>
      </c>
      <c r="F23" s="70">
        <f t="shared" ref="F23:F24" si="46">IF(ISNUMBER(A23),MONTH(A23),IF(ISNUMBER(C23),MONTH(C23),0))</f>
        <v>12</v>
      </c>
      <c r="G23" s="70">
        <f t="shared" ref="G23:G24" si="47">IF(ISNUMBER(A23),YEAR(A23),IF(ISNUMBER(C23),YEAR(C23),0))</f>
        <v>2009</v>
      </c>
      <c r="H23" s="70" t="str">
        <f t="shared" ref="H23:H24" si="48">IF(C23&gt;0,E23,)</f>
        <v>Banque pro</v>
      </c>
      <c r="I23" s="71">
        <f t="shared" ref="I23:I24" si="49">IF(C23&gt;0,,E23)</f>
        <v>0</v>
      </c>
      <c r="J23" s="72">
        <f t="shared" si="37"/>
        <v>0</v>
      </c>
      <c r="K23" s="73">
        <f t="shared" si="18"/>
        <v>0</v>
      </c>
      <c r="L23" s="72">
        <f t="shared" si="38"/>
        <v>0</v>
      </c>
      <c r="M23" s="73">
        <f t="shared" si="19"/>
        <v>0</v>
      </c>
      <c r="N23" s="72">
        <f t="shared" si="39"/>
        <v>0</v>
      </c>
      <c r="O23" s="73">
        <f t="shared" si="20"/>
        <v>0</v>
      </c>
      <c r="P23" s="72">
        <f t="shared" si="40"/>
        <v>0</v>
      </c>
      <c r="Q23" s="73">
        <f t="shared" si="21"/>
        <v>0</v>
      </c>
      <c r="R23" s="72">
        <f t="shared" si="41"/>
        <v>0</v>
      </c>
      <c r="S23" s="73">
        <f t="shared" si="22"/>
        <v>0</v>
      </c>
      <c r="T23" s="72">
        <f t="shared" si="42"/>
        <v>0</v>
      </c>
      <c r="U23" s="73">
        <f t="shared" si="23"/>
        <v>0</v>
      </c>
      <c r="V23" s="72">
        <f t="shared" si="43"/>
        <v>0</v>
      </c>
      <c r="W23" s="73">
        <f t="shared" si="24"/>
        <v>0</v>
      </c>
      <c r="X23" s="74" t="s">
        <v>111</v>
      </c>
      <c r="Y23" s="86" t="s">
        <v>11</v>
      </c>
      <c r="Z23" s="771" t="s">
        <v>11</v>
      </c>
      <c r="AA23" s="759"/>
      <c r="AB23" s="75" t="s">
        <v>81</v>
      </c>
      <c r="AC23" s="76"/>
      <c r="AD23" s="77"/>
      <c r="AE23" s="78"/>
      <c r="AF23" s="115">
        <v>0</v>
      </c>
      <c r="AG23" s="116"/>
      <c r="AH23" s="117">
        <f>SUM(AF23:AG23)</f>
        <v>0</v>
      </c>
      <c r="AI23" s="117"/>
      <c r="AJ23" s="117">
        <f t="shared" ref="AJ23:AJ24" si="50">SUM(AH23:AI23)</f>
        <v>0</v>
      </c>
      <c r="AK23" s="118">
        <f>AJ23</f>
        <v>0</v>
      </c>
      <c r="AL23" s="119"/>
      <c r="AM23" s="291"/>
    </row>
    <row r="24" spans="1:39" ht="11.25" customHeight="1" x14ac:dyDescent="0.25">
      <c r="A24" s="285">
        <v>40178</v>
      </c>
      <c r="B24" s="286" t="s">
        <v>4</v>
      </c>
      <c r="C24" s="287" t="s">
        <v>4</v>
      </c>
      <c r="D24" s="280" t="s">
        <v>487</v>
      </c>
      <c r="E24" s="58" t="s">
        <v>490</v>
      </c>
      <c r="F24" s="59">
        <f t="shared" si="46"/>
        <v>12</v>
      </c>
      <c r="G24" s="59">
        <f t="shared" si="47"/>
        <v>2009</v>
      </c>
      <c r="H24" s="59" t="str">
        <f t="shared" si="48"/>
        <v>Banque perso</v>
      </c>
      <c r="I24" s="60">
        <f t="shared" si="49"/>
        <v>0</v>
      </c>
      <c r="J24" s="61">
        <f t="shared" si="37"/>
        <v>0</v>
      </c>
      <c r="K24" s="62">
        <f t="shared" si="18"/>
        <v>0</v>
      </c>
      <c r="L24" s="61">
        <f t="shared" si="38"/>
        <v>0</v>
      </c>
      <c r="M24" s="62">
        <f t="shared" si="19"/>
        <v>0</v>
      </c>
      <c r="N24" s="61">
        <f t="shared" si="39"/>
        <v>0</v>
      </c>
      <c r="O24" s="62">
        <f t="shared" si="20"/>
        <v>0</v>
      </c>
      <c r="P24" s="61">
        <f t="shared" si="40"/>
        <v>0</v>
      </c>
      <c r="Q24" s="62">
        <f t="shared" si="21"/>
        <v>0</v>
      </c>
      <c r="R24" s="61">
        <f t="shared" si="41"/>
        <v>0</v>
      </c>
      <c r="S24" s="62">
        <f t="shared" si="22"/>
        <v>0</v>
      </c>
      <c r="T24" s="61">
        <f t="shared" si="42"/>
        <v>0</v>
      </c>
      <c r="U24" s="62">
        <f t="shared" si="23"/>
        <v>0</v>
      </c>
      <c r="V24" s="61">
        <f t="shared" si="43"/>
        <v>0</v>
      </c>
      <c r="W24" s="62">
        <f t="shared" si="24"/>
        <v>0</v>
      </c>
      <c r="X24" s="63" t="s">
        <v>111</v>
      </c>
      <c r="Y24" s="87" t="s">
        <v>11</v>
      </c>
      <c r="Z24" s="772" t="s">
        <v>11</v>
      </c>
      <c r="AA24" s="754"/>
      <c r="AB24" s="64" t="s">
        <v>81</v>
      </c>
      <c r="AC24" s="63"/>
      <c r="AD24" s="58"/>
      <c r="AE24" s="65"/>
      <c r="AF24" s="120">
        <v>0</v>
      </c>
      <c r="AG24" s="121"/>
      <c r="AH24" s="122">
        <f>SUM(AF24:AG24)</f>
        <v>0</v>
      </c>
      <c r="AI24" s="122"/>
      <c r="AJ24" s="122">
        <f t="shared" si="50"/>
        <v>0</v>
      </c>
      <c r="AK24" s="123"/>
      <c r="AL24" s="124">
        <f>AJ24</f>
        <v>0</v>
      </c>
      <c r="AM24" s="291"/>
    </row>
  </sheetData>
  <autoFilter ref="A6:AM24">
    <filterColumn colId="9" showButton="0"/>
    <filterColumn colId="11" showButton="0"/>
    <filterColumn colId="13" showButton="0"/>
    <filterColumn colId="15" showButton="0"/>
    <filterColumn colId="17" showButton="0"/>
    <filterColumn colId="19" showButton="0"/>
    <filterColumn colId="21" showButton="0"/>
  </autoFilter>
  <mergeCells count="27">
    <mergeCell ref="AC3:AD3"/>
    <mergeCell ref="AK5:AL5"/>
    <mergeCell ref="AF5:AG5"/>
    <mergeCell ref="AH5:AH6"/>
    <mergeCell ref="AI5:AI6"/>
    <mergeCell ref="AJ5:AJ6"/>
    <mergeCell ref="L6:M6"/>
    <mergeCell ref="N6:O6"/>
    <mergeCell ref="P6:Q6"/>
    <mergeCell ref="X5:AA5"/>
    <mergeCell ref="J6:K6"/>
    <mergeCell ref="R6:S6"/>
    <mergeCell ref="T6:U6"/>
    <mergeCell ref="V6:W6"/>
    <mergeCell ref="A2:B2"/>
    <mergeCell ref="A3:B3"/>
    <mergeCell ref="A4:B4"/>
    <mergeCell ref="B5:B6"/>
    <mergeCell ref="D5:E5"/>
    <mergeCell ref="C5:C6"/>
    <mergeCell ref="A5:A6"/>
    <mergeCell ref="AB13:AB14"/>
    <mergeCell ref="AH13:AH14"/>
    <mergeCell ref="AJ13:AJ14"/>
    <mergeCell ref="AB5:AB6"/>
    <mergeCell ref="AC5:AD5"/>
    <mergeCell ref="AE5:AE6"/>
  </mergeCells>
  <conditionalFormatting sqref="C7:C9 C11:C1048576">
    <cfRule type="expression" dxfId="20" priority="1065">
      <formula>IF($C7&lt;TODAY(),0,1)</formula>
    </cfRule>
  </conditionalFormatting>
  <conditionalFormatting sqref="AK12:AL90 AK11:AO11 AK7:AL10">
    <cfRule type="cellIs" dxfId="19" priority="1066" stopIfTrue="1" operator="lessThan">
      <formula>0</formula>
    </cfRule>
  </conditionalFormatting>
  <conditionalFormatting sqref="B7:B9 B11:B90">
    <cfRule type="expression" dxfId="18" priority="1063">
      <formula>IF(ISBLANK($C7),0,1)</formula>
    </cfRule>
    <cfRule type="cellIs" dxfId="17" priority="1064" operator="between">
      <formula>1</formula>
      <formula>TODAY()</formula>
    </cfRule>
  </conditionalFormatting>
  <conditionalFormatting sqref="C10">
    <cfRule type="expression" dxfId="16" priority="4">
      <formula>IF($C10&lt;TODAY(),0,1)</formula>
    </cfRule>
  </conditionalFormatting>
  <conditionalFormatting sqref="AM10:AN10">
    <cfRule type="cellIs" dxfId="15" priority="5" stopIfTrue="1" operator="lessThan">
      <formula>0</formula>
    </cfRule>
  </conditionalFormatting>
  <conditionalFormatting sqref="B10">
    <cfRule type="expression" dxfId="14" priority="2">
      <formula>IF(ISBLANK($C10),0,1)</formula>
    </cfRule>
    <cfRule type="cellIs" dxfId="13" priority="3" operator="between">
      <formula>1</formula>
      <formula>TODAY()</formula>
    </cfRule>
  </conditionalFormatting>
  <dataValidations count="4">
    <dataValidation type="list" allowBlank="1" showInputMessage="1" showErrorMessage="1" sqref="AD9:AD24">
      <formula1>OFFSET(Méthode_paiement,,,COUNTA(Méthode_paiement),)</formula1>
    </dataValidation>
    <dataValidation type="list" allowBlank="1" showInputMessage="1" showErrorMessage="1" sqref="AC9:AC24">
      <formula1>OFFSET(Mode_paiement,,,COUNTA(Mode_paiement),)</formula1>
    </dataValidation>
    <dataValidation type="list" allowBlank="1" showInputMessage="1" showErrorMessage="1" sqref="X9:X24">
      <formula1>OFFSET(Catégories,,,,COUNTA(Catégories))</formula1>
    </dataValidation>
    <dataValidation type="list" allowBlank="1" showInputMessage="1" showErrorMessage="1" sqref="Y9:Y24">
      <formula1>OFFSET(catégorie_x,,MATCH(X9,Catégories,0)-1,COUNTA(OFFSET(catégorie_x,,MATCH(X9,Catégories,0)-1)))</formula1>
    </dataValidation>
  </dataValidations>
  <pageMargins left="0.75" right="0.75" top="1" bottom="1" header="0.4921259845" footer="0.4921259845"/>
  <pageSetup paperSize="9" orientation="portrait" horizontalDpi="200" verticalDpi="200" r:id="rId1"/>
  <headerFooter alignWithMargins="0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theme="1" tint="0.34998626667073579"/>
    <pageSetUpPr fitToPage="1"/>
  </sheetPr>
  <dimension ref="A1:AS349"/>
  <sheetViews>
    <sheetView showZeros="0" workbookViewId="0">
      <selection activeCell="X28" sqref="X28"/>
    </sheetView>
  </sheetViews>
  <sheetFormatPr baseColWidth="10" defaultColWidth="11.44140625" defaultRowHeight="12.6" x14ac:dyDescent="0.25"/>
  <cols>
    <col min="1" max="1" width="4.109375" style="343" customWidth="1"/>
    <col min="2" max="2" width="37.6640625" style="343" customWidth="1"/>
    <col min="3" max="4" width="10" style="343" customWidth="1"/>
    <col min="5" max="5" width="36" style="343" customWidth="1"/>
    <col min="6" max="6" width="10.33203125" style="343" customWidth="1"/>
    <col min="7" max="7" width="10.5546875" style="343" customWidth="1"/>
    <col min="8" max="8" width="4.33203125" style="343" customWidth="1"/>
    <col min="9" max="9" width="40.6640625" style="343" customWidth="1"/>
    <col min="10" max="10" width="11.44140625" style="343"/>
    <col min="11" max="11" width="7.33203125" style="343" customWidth="1"/>
    <col min="12" max="12" width="11.44140625" style="343"/>
    <col min="13" max="13" width="7.109375" style="343" customWidth="1"/>
    <col min="14" max="14" width="5" style="343" customWidth="1"/>
    <col min="15" max="15" width="37" style="343" customWidth="1"/>
    <col min="16" max="16" width="12.44140625" style="343" bestFit="1" customWidth="1"/>
    <col min="17" max="21" width="11.44140625" style="343"/>
    <col min="22" max="22" width="36.44140625" style="343" customWidth="1"/>
    <col min="23" max="256" width="11.44140625" style="343"/>
    <col min="257" max="257" width="4.109375" style="343" customWidth="1"/>
    <col min="258" max="258" width="37.6640625" style="343" customWidth="1"/>
    <col min="259" max="260" width="10" style="343" customWidth="1"/>
    <col min="261" max="261" width="36" style="343" customWidth="1"/>
    <col min="262" max="262" width="10.33203125" style="343" customWidth="1"/>
    <col min="263" max="263" width="10.5546875" style="343" customWidth="1"/>
    <col min="264" max="264" width="4.33203125" style="343" customWidth="1"/>
    <col min="265" max="265" width="40.6640625" style="343" customWidth="1"/>
    <col min="266" max="266" width="11.44140625" style="343"/>
    <col min="267" max="267" width="7.33203125" style="343" customWidth="1"/>
    <col min="268" max="268" width="11.44140625" style="343"/>
    <col min="269" max="269" width="7.109375" style="343" customWidth="1"/>
    <col min="270" max="270" width="5" style="343" customWidth="1"/>
    <col min="271" max="271" width="37" style="343" customWidth="1"/>
    <col min="272" max="272" width="12.44140625" style="343" bestFit="1" customWidth="1"/>
    <col min="273" max="277" width="11.44140625" style="343"/>
    <col min="278" max="278" width="36.44140625" style="343" customWidth="1"/>
    <col min="279" max="512" width="11.44140625" style="343"/>
    <col min="513" max="513" width="4.109375" style="343" customWidth="1"/>
    <col min="514" max="514" width="37.6640625" style="343" customWidth="1"/>
    <col min="515" max="516" width="10" style="343" customWidth="1"/>
    <col min="517" max="517" width="36" style="343" customWidth="1"/>
    <col min="518" max="518" width="10.33203125" style="343" customWidth="1"/>
    <col min="519" max="519" width="10.5546875" style="343" customWidth="1"/>
    <col min="520" max="520" width="4.33203125" style="343" customWidth="1"/>
    <col min="521" max="521" width="40.6640625" style="343" customWidth="1"/>
    <col min="522" max="522" width="11.44140625" style="343"/>
    <col min="523" max="523" width="7.33203125" style="343" customWidth="1"/>
    <col min="524" max="524" width="11.44140625" style="343"/>
    <col min="525" max="525" width="7.109375" style="343" customWidth="1"/>
    <col min="526" max="526" width="5" style="343" customWidth="1"/>
    <col min="527" max="527" width="37" style="343" customWidth="1"/>
    <col min="528" max="528" width="12.44140625" style="343" bestFit="1" customWidth="1"/>
    <col min="529" max="533" width="11.44140625" style="343"/>
    <col min="534" max="534" width="36.44140625" style="343" customWidth="1"/>
    <col min="535" max="768" width="11.44140625" style="343"/>
    <col min="769" max="769" width="4.109375" style="343" customWidth="1"/>
    <col min="770" max="770" width="37.6640625" style="343" customWidth="1"/>
    <col min="771" max="772" width="10" style="343" customWidth="1"/>
    <col min="773" max="773" width="36" style="343" customWidth="1"/>
    <col min="774" max="774" width="10.33203125" style="343" customWidth="1"/>
    <col min="775" max="775" width="10.5546875" style="343" customWidth="1"/>
    <col min="776" max="776" width="4.33203125" style="343" customWidth="1"/>
    <col min="777" max="777" width="40.6640625" style="343" customWidth="1"/>
    <col min="778" max="778" width="11.44140625" style="343"/>
    <col min="779" max="779" width="7.33203125" style="343" customWidth="1"/>
    <col min="780" max="780" width="11.44140625" style="343"/>
    <col min="781" max="781" width="7.109375" style="343" customWidth="1"/>
    <col min="782" max="782" width="5" style="343" customWidth="1"/>
    <col min="783" max="783" width="37" style="343" customWidth="1"/>
    <col min="784" max="784" width="12.44140625" style="343" bestFit="1" customWidth="1"/>
    <col min="785" max="789" width="11.44140625" style="343"/>
    <col min="790" max="790" width="36.44140625" style="343" customWidth="1"/>
    <col min="791" max="1024" width="11.44140625" style="343"/>
    <col min="1025" max="1025" width="4.109375" style="343" customWidth="1"/>
    <col min="1026" max="1026" width="37.6640625" style="343" customWidth="1"/>
    <col min="1027" max="1028" width="10" style="343" customWidth="1"/>
    <col min="1029" max="1029" width="36" style="343" customWidth="1"/>
    <col min="1030" max="1030" width="10.33203125" style="343" customWidth="1"/>
    <col min="1031" max="1031" width="10.5546875" style="343" customWidth="1"/>
    <col min="1032" max="1032" width="4.33203125" style="343" customWidth="1"/>
    <col min="1033" max="1033" width="40.6640625" style="343" customWidth="1"/>
    <col min="1034" max="1034" width="11.44140625" style="343"/>
    <col min="1035" max="1035" width="7.33203125" style="343" customWidth="1"/>
    <col min="1036" max="1036" width="11.44140625" style="343"/>
    <col min="1037" max="1037" width="7.109375" style="343" customWidth="1"/>
    <col min="1038" max="1038" width="5" style="343" customWidth="1"/>
    <col min="1039" max="1039" width="37" style="343" customWidth="1"/>
    <col min="1040" max="1040" width="12.44140625" style="343" bestFit="1" customWidth="1"/>
    <col min="1041" max="1045" width="11.44140625" style="343"/>
    <col min="1046" max="1046" width="36.44140625" style="343" customWidth="1"/>
    <col min="1047" max="1280" width="11.44140625" style="343"/>
    <col min="1281" max="1281" width="4.109375" style="343" customWidth="1"/>
    <col min="1282" max="1282" width="37.6640625" style="343" customWidth="1"/>
    <col min="1283" max="1284" width="10" style="343" customWidth="1"/>
    <col min="1285" max="1285" width="36" style="343" customWidth="1"/>
    <col min="1286" max="1286" width="10.33203125" style="343" customWidth="1"/>
    <col min="1287" max="1287" width="10.5546875" style="343" customWidth="1"/>
    <col min="1288" max="1288" width="4.33203125" style="343" customWidth="1"/>
    <col min="1289" max="1289" width="40.6640625" style="343" customWidth="1"/>
    <col min="1290" max="1290" width="11.44140625" style="343"/>
    <col min="1291" max="1291" width="7.33203125" style="343" customWidth="1"/>
    <col min="1292" max="1292" width="11.44140625" style="343"/>
    <col min="1293" max="1293" width="7.109375" style="343" customWidth="1"/>
    <col min="1294" max="1294" width="5" style="343" customWidth="1"/>
    <col min="1295" max="1295" width="37" style="343" customWidth="1"/>
    <col min="1296" max="1296" width="12.44140625" style="343" bestFit="1" customWidth="1"/>
    <col min="1297" max="1301" width="11.44140625" style="343"/>
    <col min="1302" max="1302" width="36.44140625" style="343" customWidth="1"/>
    <col min="1303" max="1536" width="11.44140625" style="343"/>
    <col min="1537" max="1537" width="4.109375" style="343" customWidth="1"/>
    <col min="1538" max="1538" width="37.6640625" style="343" customWidth="1"/>
    <col min="1539" max="1540" width="10" style="343" customWidth="1"/>
    <col min="1541" max="1541" width="36" style="343" customWidth="1"/>
    <col min="1542" max="1542" width="10.33203125" style="343" customWidth="1"/>
    <col min="1543" max="1543" width="10.5546875" style="343" customWidth="1"/>
    <col min="1544" max="1544" width="4.33203125" style="343" customWidth="1"/>
    <col min="1545" max="1545" width="40.6640625" style="343" customWidth="1"/>
    <col min="1546" max="1546" width="11.44140625" style="343"/>
    <col min="1547" max="1547" width="7.33203125" style="343" customWidth="1"/>
    <col min="1548" max="1548" width="11.44140625" style="343"/>
    <col min="1549" max="1549" width="7.109375" style="343" customWidth="1"/>
    <col min="1550" max="1550" width="5" style="343" customWidth="1"/>
    <col min="1551" max="1551" width="37" style="343" customWidth="1"/>
    <col min="1552" max="1552" width="12.44140625" style="343" bestFit="1" customWidth="1"/>
    <col min="1553" max="1557" width="11.44140625" style="343"/>
    <col min="1558" max="1558" width="36.44140625" style="343" customWidth="1"/>
    <col min="1559" max="1792" width="11.44140625" style="343"/>
    <col min="1793" max="1793" width="4.109375" style="343" customWidth="1"/>
    <col min="1794" max="1794" width="37.6640625" style="343" customWidth="1"/>
    <col min="1795" max="1796" width="10" style="343" customWidth="1"/>
    <col min="1797" max="1797" width="36" style="343" customWidth="1"/>
    <col min="1798" max="1798" width="10.33203125" style="343" customWidth="1"/>
    <col min="1799" max="1799" width="10.5546875" style="343" customWidth="1"/>
    <col min="1800" max="1800" width="4.33203125" style="343" customWidth="1"/>
    <col min="1801" max="1801" width="40.6640625" style="343" customWidth="1"/>
    <col min="1802" max="1802" width="11.44140625" style="343"/>
    <col min="1803" max="1803" width="7.33203125" style="343" customWidth="1"/>
    <col min="1804" max="1804" width="11.44140625" style="343"/>
    <col min="1805" max="1805" width="7.109375" style="343" customWidth="1"/>
    <col min="1806" max="1806" width="5" style="343" customWidth="1"/>
    <col min="1807" max="1807" width="37" style="343" customWidth="1"/>
    <col min="1808" max="1808" width="12.44140625" style="343" bestFit="1" customWidth="1"/>
    <col min="1809" max="1813" width="11.44140625" style="343"/>
    <col min="1814" max="1814" width="36.44140625" style="343" customWidth="1"/>
    <col min="1815" max="2048" width="11.44140625" style="343"/>
    <col min="2049" max="2049" width="4.109375" style="343" customWidth="1"/>
    <col min="2050" max="2050" width="37.6640625" style="343" customWidth="1"/>
    <col min="2051" max="2052" width="10" style="343" customWidth="1"/>
    <col min="2053" max="2053" width="36" style="343" customWidth="1"/>
    <col min="2054" max="2054" width="10.33203125" style="343" customWidth="1"/>
    <col min="2055" max="2055" width="10.5546875" style="343" customWidth="1"/>
    <col min="2056" max="2056" width="4.33203125" style="343" customWidth="1"/>
    <col min="2057" max="2057" width="40.6640625" style="343" customWidth="1"/>
    <col min="2058" max="2058" width="11.44140625" style="343"/>
    <col min="2059" max="2059" width="7.33203125" style="343" customWidth="1"/>
    <col min="2060" max="2060" width="11.44140625" style="343"/>
    <col min="2061" max="2061" width="7.109375" style="343" customWidth="1"/>
    <col min="2062" max="2062" width="5" style="343" customWidth="1"/>
    <col min="2063" max="2063" width="37" style="343" customWidth="1"/>
    <col min="2064" max="2064" width="12.44140625" style="343" bestFit="1" customWidth="1"/>
    <col min="2065" max="2069" width="11.44140625" style="343"/>
    <col min="2070" max="2070" width="36.44140625" style="343" customWidth="1"/>
    <col min="2071" max="2304" width="11.44140625" style="343"/>
    <col min="2305" max="2305" width="4.109375" style="343" customWidth="1"/>
    <col min="2306" max="2306" width="37.6640625" style="343" customWidth="1"/>
    <col min="2307" max="2308" width="10" style="343" customWidth="1"/>
    <col min="2309" max="2309" width="36" style="343" customWidth="1"/>
    <col min="2310" max="2310" width="10.33203125" style="343" customWidth="1"/>
    <col min="2311" max="2311" width="10.5546875" style="343" customWidth="1"/>
    <col min="2312" max="2312" width="4.33203125" style="343" customWidth="1"/>
    <col min="2313" max="2313" width="40.6640625" style="343" customWidth="1"/>
    <col min="2314" max="2314" width="11.44140625" style="343"/>
    <col min="2315" max="2315" width="7.33203125" style="343" customWidth="1"/>
    <col min="2316" max="2316" width="11.44140625" style="343"/>
    <col min="2317" max="2317" width="7.109375" style="343" customWidth="1"/>
    <col min="2318" max="2318" width="5" style="343" customWidth="1"/>
    <col min="2319" max="2319" width="37" style="343" customWidth="1"/>
    <col min="2320" max="2320" width="12.44140625" style="343" bestFit="1" customWidth="1"/>
    <col min="2321" max="2325" width="11.44140625" style="343"/>
    <col min="2326" max="2326" width="36.44140625" style="343" customWidth="1"/>
    <col min="2327" max="2560" width="11.44140625" style="343"/>
    <col min="2561" max="2561" width="4.109375" style="343" customWidth="1"/>
    <col min="2562" max="2562" width="37.6640625" style="343" customWidth="1"/>
    <col min="2563" max="2564" width="10" style="343" customWidth="1"/>
    <col min="2565" max="2565" width="36" style="343" customWidth="1"/>
    <col min="2566" max="2566" width="10.33203125" style="343" customWidth="1"/>
    <col min="2567" max="2567" width="10.5546875" style="343" customWidth="1"/>
    <col min="2568" max="2568" width="4.33203125" style="343" customWidth="1"/>
    <col min="2569" max="2569" width="40.6640625" style="343" customWidth="1"/>
    <col min="2570" max="2570" width="11.44140625" style="343"/>
    <col min="2571" max="2571" width="7.33203125" style="343" customWidth="1"/>
    <col min="2572" max="2572" width="11.44140625" style="343"/>
    <col min="2573" max="2573" width="7.109375" style="343" customWidth="1"/>
    <col min="2574" max="2574" width="5" style="343" customWidth="1"/>
    <col min="2575" max="2575" width="37" style="343" customWidth="1"/>
    <col min="2576" max="2576" width="12.44140625" style="343" bestFit="1" customWidth="1"/>
    <col min="2577" max="2581" width="11.44140625" style="343"/>
    <col min="2582" max="2582" width="36.44140625" style="343" customWidth="1"/>
    <col min="2583" max="2816" width="11.44140625" style="343"/>
    <col min="2817" max="2817" width="4.109375" style="343" customWidth="1"/>
    <col min="2818" max="2818" width="37.6640625" style="343" customWidth="1"/>
    <col min="2819" max="2820" width="10" style="343" customWidth="1"/>
    <col min="2821" max="2821" width="36" style="343" customWidth="1"/>
    <col min="2822" max="2822" width="10.33203125" style="343" customWidth="1"/>
    <col min="2823" max="2823" width="10.5546875" style="343" customWidth="1"/>
    <col min="2824" max="2824" width="4.33203125" style="343" customWidth="1"/>
    <col min="2825" max="2825" width="40.6640625" style="343" customWidth="1"/>
    <col min="2826" max="2826" width="11.44140625" style="343"/>
    <col min="2827" max="2827" width="7.33203125" style="343" customWidth="1"/>
    <col min="2828" max="2828" width="11.44140625" style="343"/>
    <col min="2829" max="2829" width="7.109375" style="343" customWidth="1"/>
    <col min="2830" max="2830" width="5" style="343" customWidth="1"/>
    <col min="2831" max="2831" width="37" style="343" customWidth="1"/>
    <col min="2832" max="2832" width="12.44140625" style="343" bestFit="1" customWidth="1"/>
    <col min="2833" max="2837" width="11.44140625" style="343"/>
    <col min="2838" max="2838" width="36.44140625" style="343" customWidth="1"/>
    <col min="2839" max="3072" width="11.44140625" style="343"/>
    <col min="3073" max="3073" width="4.109375" style="343" customWidth="1"/>
    <col min="3074" max="3074" width="37.6640625" style="343" customWidth="1"/>
    <col min="3075" max="3076" width="10" style="343" customWidth="1"/>
    <col min="3077" max="3077" width="36" style="343" customWidth="1"/>
    <col min="3078" max="3078" width="10.33203125" style="343" customWidth="1"/>
    <col min="3079" max="3079" width="10.5546875" style="343" customWidth="1"/>
    <col min="3080" max="3080" width="4.33203125" style="343" customWidth="1"/>
    <col min="3081" max="3081" width="40.6640625" style="343" customWidth="1"/>
    <col min="3082" max="3082" width="11.44140625" style="343"/>
    <col min="3083" max="3083" width="7.33203125" style="343" customWidth="1"/>
    <col min="3084" max="3084" width="11.44140625" style="343"/>
    <col min="3085" max="3085" width="7.109375" style="343" customWidth="1"/>
    <col min="3086" max="3086" width="5" style="343" customWidth="1"/>
    <col min="3087" max="3087" width="37" style="343" customWidth="1"/>
    <col min="3088" max="3088" width="12.44140625" style="343" bestFit="1" customWidth="1"/>
    <col min="3089" max="3093" width="11.44140625" style="343"/>
    <col min="3094" max="3094" width="36.44140625" style="343" customWidth="1"/>
    <col min="3095" max="3328" width="11.44140625" style="343"/>
    <col min="3329" max="3329" width="4.109375" style="343" customWidth="1"/>
    <col min="3330" max="3330" width="37.6640625" style="343" customWidth="1"/>
    <col min="3331" max="3332" width="10" style="343" customWidth="1"/>
    <col min="3333" max="3333" width="36" style="343" customWidth="1"/>
    <col min="3334" max="3334" width="10.33203125" style="343" customWidth="1"/>
    <col min="3335" max="3335" width="10.5546875" style="343" customWidth="1"/>
    <col min="3336" max="3336" width="4.33203125" style="343" customWidth="1"/>
    <col min="3337" max="3337" width="40.6640625" style="343" customWidth="1"/>
    <col min="3338" max="3338" width="11.44140625" style="343"/>
    <col min="3339" max="3339" width="7.33203125" style="343" customWidth="1"/>
    <col min="3340" max="3340" width="11.44140625" style="343"/>
    <col min="3341" max="3341" width="7.109375" style="343" customWidth="1"/>
    <col min="3342" max="3342" width="5" style="343" customWidth="1"/>
    <col min="3343" max="3343" width="37" style="343" customWidth="1"/>
    <col min="3344" max="3344" width="12.44140625" style="343" bestFit="1" customWidth="1"/>
    <col min="3345" max="3349" width="11.44140625" style="343"/>
    <col min="3350" max="3350" width="36.44140625" style="343" customWidth="1"/>
    <col min="3351" max="3584" width="11.44140625" style="343"/>
    <col min="3585" max="3585" width="4.109375" style="343" customWidth="1"/>
    <col min="3586" max="3586" width="37.6640625" style="343" customWidth="1"/>
    <col min="3587" max="3588" width="10" style="343" customWidth="1"/>
    <col min="3589" max="3589" width="36" style="343" customWidth="1"/>
    <col min="3590" max="3590" width="10.33203125" style="343" customWidth="1"/>
    <col min="3591" max="3591" width="10.5546875" style="343" customWidth="1"/>
    <col min="3592" max="3592" width="4.33203125" style="343" customWidth="1"/>
    <col min="3593" max="3593" width="40.6640625" style="343" customWidth="1"/>
    <col min="3594" max="3594" width="11.44140625" style="343"/>
    <col min="3595" max="3595" width="7.33203125" style="343" customWidth="1"/>
    <col min="3596" max="3596" width="11.44140625" style="343"/>
    <col min="3597" max="3597" width="7.109375" style="343" customWidth="1"/>
    <col min="3598" max="3598" width="5" style="343" customWidth="1"/>
    <col min="3599" max="3599" width="37" style="343" customWidth="1"/>
    <col min="3600" max="3600" width="12.44140625" style="343" bestFit="1" customWidth="1"/>
    <col min="3601" max="3605" width="11.44140625" style="343"/>
    <col min="3606" max="3606" width="36.44140625" style="343" customWidth="1"/>
    <col min="3607" max="3840" width="11.44140625" style="343"/>
    <col min="3841" max="3841" width="4.109375" style="343" customWidth="1"/>
    <col min="3842" max="3842" width="37.6640625" style="343" customWidth="1"/>
    <col min="3843" max="3844" width="10" style="343" customWidth="1"/>
    <col min="3845" max="3845" width="36" style="343" customWidth="1"/>
    <col min="3846" max="3846" width="10.33203125" style="343" customWidth="1"/>
    <col min="3847" max="3847" width="10.5546875" style="343" customWidth="1"/>
    <col min="3848" max="3848" width="4.33203125" style="343" customWidth="1"/>
    <col min="3849" max="3849" width="40.6640625" style="343" customWidth="1"/>
    <col min="3850" max="3850" width="11.44140625" style="343"/>
    <col min="3851" max="3851" width="7.33203125" style="343" customWidth="1"/>
    <col min="3852" max="3852" width="11.44140625" style="343"/>
    <col min="3853" max="3853" width="7.109375" style="343" customWidth="1"/>
    <col min="3854" max="3854" width="5" style="343" customWidth="1"/>
    <col min="3855" max="3855" width="37" style="343" customWidth="1"/>
    <col min="3856" max="3856" width="12.44140625" style="343" bestFit="1" customWidth="1"/>
    <col min="3857" max="3861" width="11.44140625" style="343"/>
    <col min="3862" max="3862" width="36.44140625" style="343" customWidth="1"/>
    <col min="3863" max="4096" width="11.44140625" style="343"/>
    <col min="4097" max="4097" width="4.109375" style="343" customWidth="1"/>
    <col min="4098" max="4098" width="37.6640625" style="343" customWidth="1"/>
    <col min="4099" max="4100" width="10" style="343" customWidth="1"/>
    <col min="4101" max="4101" width="36" style="343" customWidth="1"/>
    <col min="4102" max="4102" width="10.33203125" style="343" customWidth="1"/>
    <col min="4103" max="4103" width="10.5546875" style="343" customWidth="1"/>
    <col min="4104" max="4104" width="4.33203125" style="343" customWidth="1"/>
    <col min="4105" max="4105" width="40.6640625" style="343" customWidth="1"/>
    <col min="4106" max="4106" width="11.44140625" style="343"/>
    <col min="4107" max="4107" width="7.33203125" style="343" customWidth="1"/>
    <col min="4108" max="4108" width="11.44140625" style="343"/>
    <col min="4109" max="4109" width="7.109375" style="343" customWidth="1"/>
    <col min="4110" max="4110" width="5" style="343" customWidth="1"/>
    <col min="4111" max="4111" width="37" style="343" customWidth="1"/>
    <col min="4112" max="4112" width="12.44140625" style="343" bestFit="1" customWidth="1"/>
    <col min="4113" max="4117" width="11.44140625" style="343"/>
    <col min="4118" max="4118" width="36.44140625" style="343" customWidth="1"/>
    <col min="4119" max="4352" width="11.44140625" style="343"/>
    <col min="4353" max="4353" width="4.109375" style="343" customWidth="1"/>
    <col min="4354" max="4354" width="37.6640625" style="343" customWidth="1"/>
    <col min="4355" max="4356" width="10" style="343" customWidth="1"/>
    <col min="4357" max="4357" width="36" style="343" customWidth="1"/>
    <col min="4358" max="4358" width="10.33203125" style="343" customWidth="1"/>
    <col min="4359" max="4359" width="10.5546875" style="343" customWidth="1"/>
    <col min="4360" max="4360" width="4.33203125" style="343" customWidth="1"/>
    <col min="4361" max="4361" width="40.6640625" style="343" customWidth="1"/>
    <col min="4362" max="4362" width="11.44140625" style="343"/>
    <col min="4363" max="4363" width="7.33203125" style="343" customWidth="1"/>
    <col min="4364" max="4364" width="11.44140625" style="343"/>
    <col min="4365" max="4365" width="7.109375" style="343" customWidth="1"/>
    <col min="4366" max="4366" width="5" style="343" customWidth="1"/>
    <col min="4367" max="4367" width="37" style="343" customWidth="1"/>
    <col min="4368" max="4368" width="12.44140625" style="343" bestFit="1" customWidth="1"/>
    <col min="4369" max="4373" width="11.44140625" style="343"/>
    <col min="4374" max="4374" width="36.44140625" style="343" customWidth="1"/>
    <col min="4375" max="4608" width="11.44140625" style="343"/>
    <col min="4609" max="4609" width="4.109375" style="343" customWidth="1"/>
    <col min="4610" max="4610" width="37.6640625" style="343" customWidth="1"/>
    <col min="4611" max="4612" width="10" style="343" customWidth="1"/>
    <col min="4613" max="4613" width="36" style="343" customWidth="1"/>
    <col min="4614" max="4614" width="10.33203125" style="343" customWidth="1"/>
    <col min="4615" max="4615" width="10.5546875" style="343" customWidth="1"/>
    <col min="4616" max="4616" width="4.33203125" style="343" customWidth="1"/>
    <col min="4617" max="4617" width="40.6640625" style="343" customWidth="1"/>
    <col min="4618" max="4618" width="11.44140625" style="343"/>
    <col min="4619" max="4619" width="7.33203125" style="343" customWidth="1"/>
    <col min="4620" max="4620" width="11.44140625" style="343"/>
    <col min="4621" max="4621" width="7.109375" style="343" customWidth="1"/>
    <col min="4622" max="4622" width="5" style="343" customWidth="1"/>
    <col min="4623" max="4623" width="37" style="343" customWidth="1"/>
    <col min="4624" max="4624" width="12.44140625" style="343" bestFit="1" customWidth="1"/>
    <col min="4625" max="4629" width="11.44140625" style="343"/>
    <col min="4630" max="4630" width="36.44140625" style="343" customWidth="1"/>
    <col min="4631" max="4864" width="11.44140625" style="343"/>
    <col min="4865" max="4865" width="4.109375" style="343" customWidth="1"/>
    <col min="4866" max="4866" width="37.6640625" style="343" customWidth="1"/>
    <col min="4867" max="4868" width="10" style="343" customWidth="1"/>
    <col min="4869" max="4869" width="36" style="343" customWidth="1"/>
    <col min="4870" max="4870" width="10.33203125" style="343" customWidth="1"/>
    <col min="4871" max="4871" width="10.5546875" style="343" customWidth="1"/>
    <col min="4872" max="4872" width="4.33203125" style="343" customWidth="1"/>
    <col min="4873" max="4873" width="40.6640625" style="343" customWidth="1"/>
    <col min="4874" max="4874" width="11.44140625" style="343"/>
    <col min="4875" max="4875" width="7.33203125" style="343" customWidth="1"/>
    <col min="4876" max="4876" width="11.44140625" style="343"/>
    <col min="4877" max="4877" width="7.109375" style="343" customWidth="1"/>
    <col min="4878" max="4878" width="5" style="343" customWidth="1"/>
    <col min="4879" max="4879" width="37" style="343" customWidth="1"/>
    <col min="4880" max="4880" width="12.44140625" style="343" bestFit="1" customWidth="1"/>
    <col min="4881" max="4885" width="11.44140625" style="343"/>
    <col min="4886" max="4886" width="36.44140625" style="343" customWidth="1"/>
    <col min="4887" max="5120" width="11.44140625" style="343"/>
    <col min="5121" max="5121" width="4.109375" style="343" customWidth="1"/>
    <col min="5122" max="5122" width="37.6640625" style="343" customWidth="1"/>
    <col min="5123" max="5124" width="10" style="343" customWidth="1"/>
    <col min="5125" max="5125" width="36" style="343" customWidth="1"/>
    <col min="5126" max="5126" width="10.33203125" style="343" customWidth="1"/>
    <col min="5127" max="5127" width="10.5546875" style="343" customWidth="1"/>
    <col min="5128" max="5128" width="4.33203125" style="343" customWidth="1"/>
    <col min="5129" max="5129" width="40.6640625" style="343" customWidth="1"/>
    <col min="5130" max="5130" width="11.44140625" style="343"/>
    <col min="5131" max="5131" width="7.33203125" style="343" customWidth="1"/>
    <col min="5132" max="5132" width="11.44140625" style="343"/>
    <col min="5133" max="5133" width="7.109375" style="343" customWidth="1"/>
    <col min="5134" max="5134" width="5" style="343" customWidth="1"/>
    <col min="5135" max="5135" width="37" style="343" customWidth="1"/>
    <col min="5136" max="5136" width="12.44140625" style="343" bestFit="1" customWidth="1"/>
    <col min="5137" max="5141" width="11.44140625" style="343"/>
    <col min="5142" max="5142" width="36.44140625" style="343" customWidth="1"/>
    <col min="5143" max="5376" width="11.44140625" style="343"/>
    <col min="5377" max="5377" width="4.109375" style="343" customWidth="1"/>
    <col min="5378" max="5378" width="37.6640625" style="343" customWidth="1"/>
    <col min="5379" max="5380" width="10" style="343" customWidth="1"/>
    <col min="5381" max="5381" width="36" style="343" customWidth="1"/>
    <col min="5382" max="5382" width="10.33203125" style="343" customWidth="1"/>
    <col min="5383" max="5383" width="10.5546875" style="343" customWidth="1"/>
    <col min="5384" max="5384" width="4.33203125" style="343" customWidth="1"/>
    <col min="5385" max="5385" width="40.6640625" style="343" customWidth="1"/>
    <col min="5386" max="5386" width="11.44140625" style="343"/>
    <col min="5387" max="5387" width="7.33203125" style="343" customWidth="1"/>
    <col min="5388" max="5388" width="11.44140625" style="343"/>
    <col min="5389" max="5389" width="7.109375" style="343" customWidth="1"/>
    <col min="5390" max="5390" width="5" style="343" customWidth="1"/>
    <col min="5391" max="5391" width="37" style="343" customWidth="1"/>
    <col min="5392" max="5392" width="12.44140625" style="343" bestFit="1" customWidth="1"/>
    <col min="5393" max="5397" width="11.44140625" style="343"/>
    <col min="5398" max="5398" width="36.44140625" style="343" customWidth="1"/>
    <col min="5399" max="5632" width="11.44140625" style="343"/>
    <col min="5633" max="5633" width="4.109375" style="343" customWidth="1"/>
    <col min="5634" max="5634" width="37.6640625" style="343" customWidth="1"/>
    <col min="5635" max="5636" width="10" style="343" customWidth="1"/>
    <col min="5637" max="5637" width="36" style="343" customWidth="1"/>
    <col min="5638" max="5638" width="10.33203125" style="343" customWidth="1"/>
    <col min="5639" max="5639" width="10.5546875" style="343" customWidth="1"/>
    <col min="5640" max="5640" width="4.33203125" style="343" customWidth="1"/>
    <col min="5641" max="5641" width="40.6640625" style="343" customWidth="1"/>
    <col min="5642" max="5642" width="11.44140625" style="343"/>
    <col min="5643" max="5643" width="7.33203125" style="343" customWidth="1"/>
    <col min="5644" max="5644" width="11.44140625" style="343"/>
    <col min="5645" max="5645" width="7.109375" style="343" customWidth="1"/>
    <col min="5646" max="5646" width="5" style="343" customWidth="1"/>
    <col min="5647" max="5647" width="37" style="343" customWidth="1"/>
    <col min="5648" max="5648" width="12.44140625" style="343" bestFit="1" customWidth="1"/>
    <col min="5649" max="5653" width="11.44140625" style="343"/>
    <col min="5654" max="5654" width="36.44140625" style="343" customWidth="1"/>
    <col min="5655" max="5888" width="11.44140625" style="343"/>
    <col min="5889" max="5889" width="4.109375" style="343" customWidth="1"/>
    <col min="5890" max="5890" width="37.6640625" style="343" customWidth="1"/>
    <col min="5891" max="5892" width="10" style="343" customWidth="1"/>
    <col min="5893" max="5893" width="36" style="343" customWidth="1"/>
    <col min="5894" max="5894" width="10.33203125" style="343" customWidth="1"/>
    <col min="5895" max="5895" width="10.5546875" style="343" customWidth="1"/>
    <col min="5896" max="5896" width="4.33203125" style="343" customWidth="1"/>
    <col min="5897" max="5897" width="40.6640625" style="343" customWidth="1"/>
    <col min="5898" max="5898" width="11.44140625" style="343"/>
    <col min="5899" max="5899" width="7.33203125" style="343" customWidth="1"/>
    <col min="5900" max="5900" width="11.44140625" style="343"/>
    <col min="5901" max="5901" width="7.109375" style="343" customWidth="1"/>
    <col min="5902" max="5902" width="5" style="343" customWidth="1"/>
    <col min="5903" max="5903" width="37" style="343" customWidth="1"/>
    <col min="5904" max="5904" width="12.44140625" style="343" bestFit="1" customWidth="1"/>
    <col min="5905" max="5909" width="11.44140625" style="343"/>
    <col min="5910" max="5910" width="36.44140625" style="343" customWidth="1"/>
    <col min="5911" max="6144" width="11.44140625" style="343"/>
    <col min="6145" max="6145" width="4.109375" style="343" customWidth="1"/>
    <col min="6146" max="6146" width="37.6640625" style="343" customWidth="1"/>
    <col min="6147" max="6148" width="10" style="343" customWidth="1"/>
    <col min="6149" max="6149" width="36" style="343" customWidth="1"/>
    <col min="6150" max="6150" width="10.33203125" style="343" customWidth="1"/>
    <col min="6151" max="6151" width="10.5546875" style="343" customWidth="1"/>
    <col min="6152" max="6152" width="4.33203125" style="343" customWidth="1"/>
    <col min="6153" max="6153" width="40.6640625" style="343" customWidth="1"/>
    <col min="6154" max="6154" width="11.44140625" style="343"/>
    <col min="6155" max="6155" width="7.33203125" style="343" customWidth="1"/>
    <col min="6156" max="6156" width="11.44140625" style="343"/>
    <col min="6157" max="6157" width="7.109375" style="343" customWidth="1"/>
    <col min="6158" max="6158" width="5" style="343" customWidth="1"/>
    <col min="6159" max="6159" width="37" style="343" customWidth="1"/>
    <col min="6160" max="6160" width="12.44140625" style="343" bestFit="1" customWidth="1"/>
    <col min="6161" max="6165" width="11.44140625" style="343"/>
    <col min="6166" max="6166" width="36.44140625" style="343" customWidth="1"/>
    <col min="6167" max="6400" width="11.44140625" style="343"/>
    <col min="6401" max="6401" width="4.109375" style="343" customWidth="1"/>
    <col min="6402" max="6402" width="37.6640625" style="343" customWidth="1"/>
    <col min="6403" max="6404" width="10" style="343" customWidth="1"/>
    <col min="6405" max="6405" width="36" style="343" customWidth="1"/>
    <col min="6406" max="6406" width="10.33203125" style="343" customWidth="1"/>
    <col min="6407" max="6407" width="10.5546875" style="343" customWidth="1"/>
    <col min="6408" max="6408" width="4.33203125" style="343" customWidth="1"/>
    <col min="6409" max="6409" width="40.6640625" style="343" customWidth="1"/>
    <col min="6410" max="6410" width="11.44140625" style="343"/>
    <col min="6411" max="6411" width="7.33203125" style="343" customWidth="1"/>
    <col min="6412" max="6412" width="11.44140625" style="343"/>
    <col min="6413" max="6413" width="7.109375" style="343" customWidth="1"/>
    <col min="6414" max="6414" width="5" style="343" customWidth="1"/>
    <col min="6415" max="6415" width="37" style="343" customWidth="1"/>
    <col min="6416" max="6416" width="12.44140625" style="343" bestFit="1" customWidth="1"/>
    <col min="6417" max="6421" width="11.44140625" style="343"/>
    <col min="6422" max="6422" width="36.44140625" style="343" customWidth="1"/>
    <col min="6423" max="6656" width="11.44140625" style="343"/>
    <col min="6657" max="6657" width="4.109375" style="343" customWidth="1"/>
    <col min="6658" max="6658" width="37.6640625" style="343" customWidth="1"/>
    <col min="6659" max="6660" width="10" style="343" customWidth="1"/>
    <col min="6661" max="6661" width="36" style="343" customWidth="1"/>
    <col min="6662" max="6662" width="10.33203125" style="343" customWidth="1"/>
    <col min="6663" max="6663" width="10.5546875" style="343" customWidth="1"/>
    <col min="6664" max="6664" width="4.33203125" style="343" customWidth="1"/>
    <col min="6665" max="6665" width="40.6640625" style="343" customWidth="1"/>
    <col min="6666" max="6666" width="11.44140625" style="343"/>
    <col min="6667" max="6667" width="7.33203125" style="343" customWidth="1"/>
    <col min="6668" max="6668" width="11.44140625" style="343"/>
    <col min="6669" max="6669" width="7.109375" style="343" customWidth="1"/>
    <col min="6670" max="6670" width="5" style="343" customWidth="1"/>
    <col min="6671" max="6671" width="37" style="343" customWidth="1"/>
    <col min="6672" max="6672" width="12.44140625" style="343" bestFit="1" customWidth="1"/>
    <col min="6673" max="6677" width="11.44140625" style="343"/>
    <col min="6678" max="6678" width="36.44140625" style="343" customWidth="1"/>
    <col min="6679" max="6912" width="11.44140625" style="343"/>
    <col min="6913" max="6913" width="4.109375" style="343" customWidth="1"/>
    <col min="6914" max="6914" width="37.6640625" style="343" customWidth="1"/>
    <col min="6915" max="6916" width="10" style="343" customWidth="1"/>
    <col min="6917" max="6917" width="36" style="343" customWidth="1"/>
    <col min="6918" max="6918" width="10.33203125" style="343" customWidth="1"/>
    <col min="6919" max="6919" width="10.5546875" style="343" customWidth="1"/>
    <col min="6920" max="6920" width="4.33203125" style="343" customWidth="1"/>
    <col min="6921" max="6921" width="40.6640625" style="343" customWidth="1"/>
    <col min="6922" max="6922" width="11.44140625" style="343"/>
    <col min="6923" max="6923" width="7.33203125" style="343" customWidth="1"/>
    <col min="6924" max="6924" width="11.44140625" style="343"/>
    <col min="6925" max="6925" width="7.109375" style="343" customWidth="1"/>
    <col min="6926" max="6926" width="5" style="343" customWidth="1"/>
    <col min="6927" max="6927" width="37" style="343" customWidth="1"/>
    <col min="6928" max="6928" width="12.44140625" style="343" bestFit="1" customWidth="1"/>
    <col min="6929" max="6933" width="11.44140625" style="343"/>
    <col min="6934" max="6934" width="36.44140625" style="343" customWidth="1"/>
    <col min="6935" max="7168" width="11.44140625" style="343"/>
    <col min="7169" max="7169" width="4.109375" style="343" customWidth="1"/>
    <col min="7170" max="7170" width="37.6640625" style="343" customWidth="1"/>
    <col min="7171" max="7172" width="10" style="343" customWidth="1"/>
    <col min="7173" max="7173" width="36" style="343" customWidth="1"/>
    <col min="7174" max="7174" width="10.33203125" style="343" customWidth="1"/>
    <col min="7175" max="7175" width="10.5546875" style="343" customWidth="1"/>
    <col min="7176" max="7176" width="4.33203125" style="343" customWidth="1"/>
    <col min="7177" max="7177" width="40.6640625" style="343" customWidth="1"/>
    <col min="7178" max="7178" width="11.44140625" style="343"/>
    <col min="7179" max="7179" width="7.33203125" style="343" customWidth="1"/>
    <col min="7180" max="7180" width="11.44140625" style="343"/>
    <col min="7181" max="7181" width="7.109375" style="343" customWidth="1"/>
    <col min="7182" max="7182" width="5" style="343" customWidth="1"/>
    <col min="7183" max="7183" width="37" style="343" customWidth="1"/>
    <col min="7184" max="7184" width="12.44140625" style="343" bestFit="1" customWidth="1"/>
    <col min="7185" max="7189" width="11.44140625" style="343"/>
    <col min="7190" max="7190" width="36.44140625" style="343" customWidth="1"/>
    <col min="7191" max="7424" width="11.44140625" style="343"/>
    <col min="7425" max="7425" width="4.109375" style="343" customWidth="1"/>
    <col min="7426" max="7426" width="37.6640625" style="343" customWidth="1"/>
    <col min="7427" max="7428" width="10" style="343" customWidth="1"/>
    <col min="7429" max="7429" width="36" style="343" customWidth="1"/>
    <col min="7430" max="7430" width="10.33203125" style="343" customWidth="1"/>
    <col min="7431" max="7431" width="10.5546875" style="343" customWidth="1"/>
    <col min="7432" max="7432" width="4.33203125" style="343" customWidth="1"/>
    <col min="7433" max="7433" width="40.6640625" style="343" customWidth="1"/>
    <col min="7434" max="7434" width="11.44140625" style="343"/>
    <col min="7435" max="7435" width="7.33203125" style="343" customWidth="1"/>
    <col min="7436" max="7436" width="11.44140625" style="343"/>
    <col min="7437" max="7437" width="7.109375" style="343" customWidth="1"/>
    <col min="7438" max="7438" width="5" style="343" customWidth="1"/>
    <col min="7439" max="7439" width="37" style="343" customWidth="1"/>
    <col min="7440" max="7440" width="12.44140625" style="343" bestFit="1" customWidth="1"/>
    <col min="7441" max="7445" width="11.44140625" style="343"/>
    <col min="7446" max="7446" width="36.44140625" style="343" customWidth="1"/>
    <col min="7447" max="7680" width="11.44140625" style="343"/>
    <col min="7681" max="7681" width="4.109375" style="343" customWidth="1"/>
    <col min="7682" max="7682" width="37.6640625" style="343" customWidth="1"/>
    <col min="7683" max="7684" width="10" style="343" customWidth="1"/>
    <col min="7685" max="7685" width="36" style="343" customWidth="1"/>
    <col min="7686" max="7686" width="10.33203125" style="343" customWidth="1"/>
    <col min="7687" max="7687" width="10.5546875" style="343" customWidth="1"/>
    <col min="7688" max="7688" width="4.33203125" style="343" customWidth="1"/>
    <col min="7689" max="7689" width="40.6640625" style="343" customWidth="1"/>
    <col min="7690" max="7690" width="11.44140625" style="343"/>
    <col min="7691" max="7691" width="7.33203125" style="343" customWidth="1"/>
    <col min="7692" max="7692" width="11.44140625" style="343"/>
    <col min="7693" max="7693" width="7.109375" style="343" customWidth="1"/>
    <col min="7694" max="7694" width="5" style="343" customWidth="1"/>
    <col min="7695" max="7695" width="37" style="343" customWidth="1"/>
    <col min="7696" max="7696" width="12.44140625" style="343" bestFit="1" customWidth="1"/>
    <col min="7697" max="7701" width="11.44140625" style="343"/>
    <col min="7702" max="7702" width="36.44140625" style="343" customWidth="1"/>
    <col min="7703" max="7936" width="11.44140625" style="343"/>
    <col min="7937" max="7937" width="4.109375" style="343" customWidth="1"/>
    <col min="7938" max="7938" width="37.6640625" style="343" customWidth="1"/>
    <col min="7939" max="7940" width="10" style="343" customWidth="1"/>
    <col min="7941" max="7941" width="36" style="343" customWidth="1"/>
    <col min="7942" max="7942" width="10.33203125" style="343" customWidth="1"/>
    <col min="7943" max="7943" width="10.5546875" style="343" customWidth="1"/>
    <col min="7944" max="7944" width="4.33203125" style="343" customWidth="1"/>
    <col min="7945" max="7945" width="40.6640625" style="343" customWidth="1"/>
    <col min="7946" max="7946" width="11.44140625" style="343"/>
    <col min="7947" max="7947" width="7.33203125" style="343" customWidth="1"/>
    <col min="7948" max="7948" width="11.44140625" style="343"/>
    <col min="7949" max="7949" width="7.109375" style="343" customWidth="1"/>
    <col min="7950" max="7950" width="5" style="343" customWidth="1"/>
    <col min="7951" max="7951" width="37" style="343" customWidth="1"/>
    <col min="7952" max="7952" width="12.44140625" style="343" bestFit="1" customWidth="1"/>
    <col min="7953" max="7957" width="11.44140625" style="343"/>
    <col min="7958" max="7958" width="36.44140625" style="343" customWidth="1"/>
    <col min="7959" max="8192" width="11.44140625" style="343"/>
    <col min="8193" max="8193" width="4.109375" style="343" customWidth="1"/>
    <col min="8194" max="8194" width="37.6640625" style="343" customWidth="1"/>
    <col min="8195" max="8196" width="10" style="343" customWidth="1"/>
    <col min="8197" max="8197" width="36" style="343" customWidth="1"/>
    <col min="8198" max="8198" width="10.33203125" style="343" customWidth="1"/>
    <col min="8199" max="8199" width="10.5546875" style="343" customWidth="1"/>
    <col min="8200" max="8200" width="4.33203125" style="343" customWidth="1"/>
    <col min="8201" max="8201" width="40.6640625" style="343" customWidth="1"/>
    <col min="8202" max="8202" width="11.44140625" style="343"/>
    <col min="8203" max="8203" width="7.33203125" style="343" customWidth="1"/>
    <col min="8204" max="8204" width="11.44140625" style="343"/>
    <col min="8205" max="8205" width="7.109375" style="343" customWidth="1"/>
    <col min="8206" max="8206" width="5" style="343" customWidth="1"/>
    <col min="8207" max="8207" width="37" style="343" customWidth="1"/>
    <col min="8208" max="8208" width="12.44140625" style="343" bestFit="1" customWidth="1"/>
    <col min="8209" max="8213" width="11.44140625" style="343"/>
    <col min="8214" max="8214" width="36.44140625" style="343" customWidth="1"/>
    <col min="8215" max="8448" width="11.44140625" style="343"/>
    <col min="8449" max="8449" width="4.109375" style="343" customWidth="1"/>
    <col min="8450" max="8450" width="37.6640625" style="343" customWidth="1"/>
    <col min="8451" max="8452" width="10" style="343" customWidth="1"/>
    <col min="8453" max="8453" width="36" style="343" customWidth="1"/>
    <col min="8454" max="8454" width="10.33203125" style="343" customWidth="1"/>
    <col min="8455" max="8455" width="10.5546875" style="343" customWidth="1"/>
    <col min="8456" max="8456" width="4.33203125" style="343" customWidth="1"/>
    <col min="8457" max="8457" width="40.6640625" style="343" customWidth="1"/>
    <col min="8458" max="8458" width="11.44140625" style="343"/>
    <col min="8459" max="8459" width="7.33203125" style="343" customWidth="1"/>
    <col min="8460" max="8460" width="11.44140625" style="343"/>
    <col min="8461" max="8461" width="7.109375" style="343" customWidth="1"/>
    <col min="8462" max="8462" width="5" style="343" customWidth="1"/>
    <col min="8463" max="8463" width="37" style="343" customWidth="1"/>
    <col min="8464" max="8464" width="12.44140625" style="343" bestFit="1" customWidth="1"/>
    <col min="8465" max="8469" width="11.44140625" style="343"/>
    <col min="8470" max="8470" width="36.44140625" style="343" customWidth="1"/>
    <col min="8471" max="8704" width="11.44140625" style="343"/>
    <col min="8705" max="8705" width="4.109375" style="343" customWidth="1"/>
    <col min="8706" max="8706" width="37.6640625" style="343" customWidth="1"/>
    <col min="8707" max="8708" width="10" style="343" customWidth="1"/>
    <col min="8709" max="8709" width="36" style="343" customWidth="1"/>
    <col min="8710" max="8710" width="10.33203125" style="343" customWidth="1"/>
    <col min="8711" max="8711" width="10.5546875" style="343" customWidth="1"/>
    <col min="8712" max="8712" width="4.33203125" style="343" customWidth="1"/>
    <col min="8713" max="8713" width="40.6640625" style="343" customWidth="1"/>
    <col min="8714" max="8714" width="11.44140625" style="343"/>
    <col min="8715" max="8715" width="7.33203125" style="343" customWidth="1"/>
    <col min="8716" max="8716" width="11.44140625" style="343"/>
    <col min="8717" max="8717" width="7.109375" style="343" customWidth="1"/>
    <col min="8718" max="8718" width="5" style="343" customWidth="1"/>
    <col min="8719" max="8719" width="37" style="343" customWidth="1"/>
    <col min="8720" max="8720" width="12.44140625" style="343" bestFit="1" customWidth="1"/>
    <col min="8721" max="8725" width="11.44140625" style="343"/>
    <col min="8726" max="8726" width="36.44140625" style="343" customWidth="1"/>
    <col min="8727" max="8960" width="11.44140625" style="343"/>
    <col min="8961" max="8961" width="4.109375" style="343" customWidth="1"/>
    <col min="8962" max="8962" width="37.6640625" style="343" customWidth="1"/>
    <col min="8963" max="8964" width="10" style="343" customWidth="1"/>
    <col min="8965" max="8965" width="36" style="343" customWidth="1"/>
    <col min="8966" max="8966" width="10.33203125" style="343" customWidth="1"/>
    <col min="8967" max="8967" width="10.5546875" style="343" customWidth="1"/>
    <col min="8968" max="8968" width="4.33203125" style="343" customWidth="1"/>
    <col min="8969" max="8969" width="40.6640625" style="343" customWidth="1"/>
    <col min="8970" max="8970" width="11.44140625" style="343"/>
    <col min="8971" max="8971" width="7.33203125" style="343" customWidth="1"/>
    <col min="8972" max="8972" width="11.44140625" style="343"/>
    <col min="8973" max="8973" width="7.109375" style="343" customWidth="1"/>
    <col min="8974" max="8974" width="5" style="343" customWidth="1"/>
    <col min="8975" max="8975" width="37" style="343" customWidth="1"/>
    <col min="8976" max="8976" width="12.44140625" style="343" bestFit="1" customWidth="1"/>
    <col min="8977" max="8981" width="11.44140625" style="343"/>
    <col min="8982" max="8982" width="36.44140625" style="343" customWidth="1"/>
    <col min="8983" max="9216" width="11.44140625" style="343"/>
    <col min="9217" max="9217" width="4.109375" style="343" customWidth="1"/>
    <col min="9218" max="9218" width="37.6640625" style="343" customWidth="1"/>
    <col min="9219" max="9220" width="10" style="343" customWidth="1"/>
    <col min="9221" max="9221" width="36" style="343" customWidth="1"/>
    <col min="9222" max="9222" width="10.33203125" style="343" customWidth="1"/>
    <col min="9223" max="9223" width="10.5546875" style="343" customWidth="1"/>
    <col min="9224" max="9224" width="4.33203125" style="343" customWidth="1"/>
    <col min="9225" max="9225" width="40.6640625" style="343" customWidth="1"/>
    <col min="9226" max="9226" width="11.44140625" style="343"/>
    <col min="9227" max="9227" width="7.33203125" style="343" customWidth="1"/>
    <col min="9228" max="9228" width="11.44140625" style="343"/>
    <col min="9229" max="9229" width="7.109375" style="343" customWidth="1"/>
    <col min="9230" max="9230" width="5" style="343" customWidth="1"/>
    <col min="9231" max="9231" width="37" style="343" customWidth="1"/>
    <col min="9232" max="9232" width="12.44140625" style="343" bestFit="1" customWidth="1"/>
    <col min="9233" max="9237" width="11.44140625" style="343"/>
    <col min="9238" max="9238" width="36.44140625" style="343" customWidth="1"/>
    <col min="9239" max="9472" width="11.44140625" style="343"/>
    <col min="9473" max="9473" width="4.109375" style="343" customWidth="1"/>
    <col min="9474" max="9474" width="37.6640625" style="343" customWidth="1"/>
    <col min="9475" max="9476" width="10" style="343" customWidth="1"/>
    <col min="9477" max="9477" width="36" style="343" customWidth="1"/>
    <col min="9478" max="9478" width="10.33203125" style="343" customWidth="1"/>
    <col min="9479" max="9479" width="10.5546875" style="343" customWidth="1"/>
    <col min="9480" max="9480" width="4.33203125" style="343" customWidth="1"/>
    <col min="9481" max="9481" width="40.6640625" style="343" customWidth="1"/>
    <col min="9482" max="9482" width="11.44140625" style="343"/>
    <col min="9483" max="9483" width="7.33203125" style="343" customWidth="1"/>
    <col min="9484" max="9484" width="11.44140625" style="343"/>
    <col min="9485" max="9485" width="7.109375" style="343" customWidth="1"/>
    <col min="9486" max="9486" width="5" style="343" customWidth="1"/>
    <col min="9487" max="9487" width="37" style="343" customWidth="1"/>
    <col min="9488" max="9488" width="12.44140625" style="343" bestFit="1" customWidth="1"/>
    <col min="9489" max="9493" width="11.44140625" style="343"/>
    <col min="9494" max="9494" width="36.44140625" style="343" customWidth="1"/>
    <col min="9495" max="9728" width="11.44140625" style="343"/>
    <col min="9729" max="9729" width="4.109375" style="343" customWidth="1"/>
    <col min="9730" max="9730" width="37.6640625" style="343" customWidth="1"/>
    <col min="9731" max="9732" width="10" style="343" customWidth="1"/>
    <col min="9733" max="9733" width="36" style="343" customWidth="1"/>
    <col min="9734" max="9734" width="10.33203125" style="343" customWidth="1"/>
    <col min="9735" max="9735" width="10.5546875" style="343" customWidth="1"/>
    <col min="9736" max="9736" width="4.33203125" style="343" customWidth="1"/>
    <col min="9737" max="9737" width="40.6640625" style="343" customWidth="1"/>
    <col min="9738" max="9738" width="11.44140625" style="343"/>
    <col min="9739" max="9739" width="7.33203125" style="343" customWidth="1"/>
    <col min="9740" max="9740" width="11.44140625" style="343"/>
    <col min="9741" max="9741" width="7.109375" style="343" customWidth="1"/>
    <col min="9742" max="9742" width="5" style="343" customWidth="1"/>
    <col min="9743" max="9743" width="37" style="343" customWidth="1"/>
    <col min="9744" max="9744" width="12.44140625" style="343" bestFit="1" customWidth="1"/>
    <col min="9745" max="9749" width="11.44140625" style="343"/>
    <col min="9750" max="9750" width="36.44140625" style="343" customWidth="1"/>
    <col min="9751" max="9984" width="11.44140625" style="343"/>
    <col min="9985" max="9985" width="4.109375" style="343" customWidth="1"/>
    <col min="9986" max="9986" width="37.6640625" style="343" customWidth="1"/>
    <col min="9987" max="9988" width="10" style="343" customWidth="1"/>
    <col min="9989" max="9989" width="36" style="343" customWidth="1"/>
    <col min="9990" max="9990" width="10.33203125" style="343" customWidth="1"/>
    <col min="9991" max="9991" width="10.5546875" style="343" customWidth="1"/>
    <col min="9992" max="9992" width="4.33203125" style="343" customWidth="1"/>
    <col min="9993" max="9993" width="40.6640625" style="343" customWidth="1"/>
    <col min="9994" max="9994" width="11.44140625" style="343"/>
    <col min="9995" max="9995" width="7.33203125" style="343" customWidth="1"/>
    <col min="9996" max="9996" width="11.44140625" style="343"/>
    <col min="9997" max="9997" width="7.109375" style="343" customWidth="1"/>
    <col min="9998" max="9998" width="5" style="343" customWidth="1"/>
    <col min="9999" max="9999" width="37" style="343" customWidth="1"/>
    <col min="10000" max="10000" width="12.44140625" style="343" bestFit="1" customWidth="1"/>
    <col min="10001" max="10005" width="11.44140625" style="343"/>
    <col min="10006" max="10006" width="36.44140625" style="343" customWidth="1"/>
    <col min="10007" max="10240" width="11.44140625" style="343"/>
    <col min="10241" max="10241" width="4.109375" style="343" customWidth="1"/>
    <col min="10242" max="10242" width="37.6640625" style="343" customWidth="1"/>
    <col min="10243" max="10244" width="10" style="343" customWidth="1"/>
    <col min="10245" max="10245" width="36" style="343" customWidth="1"/>
    <col min="10246" max="10246" width="10.33203125" style="343" customWidth="1"/>
    <col min="10247" max="10247" width="10.5546875" style="343" customWidth="1"/>
    <col min="10248" max="10248" width="4.33203125" style="343" customWidth="1"/>
    <col min="10249" max="10249" width="40.6640625" style="343" customWidth="1"/>
    <col min="10250" max="10250" width="11.44140625" style="343"/>
    <col min="10251" max="10251" width="7.33203125" style="343" customWidth="1"/>
    <col min="10252" max="10252" width="11.44140625" style="343"/>
    <col min="10253" max="10253" width="7.109375" style="343" customWidth="1"/>
    <col min="10254" max="10254" width="5" style="343" customWidth="1"/>
    <col min="10255" max="10255" width="37" style="343" customWidth="1"/>
    <col min="10256" max="10256" width="12.44140625" style="343" bestFit="1" customWidth="1"/>
    <col min="10257" max="10261" width="11.44140625" style="343"/>
    <col min="10262" max="10262" width="36.44140625" style="343" customWidth="1"/>
    <col min="10263" max="10496" width="11.44140625" style="343"/>
    <col min="10497" max="10497" width="4.109375" style="343" customWidth="1"/>
    <col min="10498" max="10498" width="37.6640625" style="343" customWidth="1"/>
    <col min="10499" max="10500" width="10" style="343" customWidth="1"/>
    <col min="10501" max="10501" width="36" style="343" customWidth="1"/>
    <col min="10502" max="10502" width="10.33203125" style="343" customWidth="1"/>
    <col min="10503" max="10503" width="10.5546875" style="343" customWidth="1"/>
    <col min="10504" max="10504" width="4.33203125" style="343" customWidth="1"/>
    <col min="10505" max="10505" width="40.6640625" style="343" customWidth="1"/>
    <col min="10506" max="10506" width="11.44140625" style="343"/>
    <col min="10507" max="10507" width="7.33203125" style="343" customWidth="1"/>
    <col min="10508" max="10508" width="11.44140625" style="343"/>
    <col min="10509" max="10509" width="7.109375" style="343" customWidth="1"/>
    <col min="10510" max="10510" width="5" style="343" customWidth="1"/>
    <col min="10511" max="10511" width="37" style="343" customWidth="1"/>
    <col min="10512" max="10512" width="12.44140625" style="343" bestFit="1" customWidth="1"/>
    <col min="10513" max="10517" width="11.44140625" style="343"/>
    <col min="10518" max="10518" width="36.44140625" style="343" customWidth="1"/>
    <col min="10519" max="10752" width="11.44140625" style="343"/>
    <col min="10753" max="10753" width="4.109375" style="343" customWidth="1"/>
    <col min="10754" max="10754" width="37.6640625" style="343" customWidth="1"/>
    <col min="10755" max="10756" width="10" style="343" customWidth="1"/>
    <col min="10757" max="10757" width="36" style="343" customWidth="1"/>
    <col min="10758" max="10758" width="10.33203125" style="343" customWidth="1"/>
    <col min="10759" max="10759" width="10.5546875" style="343" customWidth="1"/>
    <col min="10760" max="10760" width="4.33203125" style="343" customWidth="1"/>
    <col min="10761" max="10761" width="40.6640625" style="343" customWidth="1"/>
    <col min="10762" max="10762" width="11.44140625" style="343"/>
    <col min="10763" max="10763" width="7.33203125" style="343" customWidth="1"/>
    <col min="10764" max="10764" width="11.44140625" style="343"/>
    <col min="10765" max="10765" width="7.109375" style="343" customWidth="1"/>
    <col min="10766" max="10766" width="5" style="343" customWidth="1"/>
    <col min="10767" max="10767" width="37" style="343" customWidth="1"/>
    <col min="10768" max="10768" width="12.44140625" style="343" bestFit="1" customWidth="1"/>
    <col min="10769" max="10773" width="11.44140625" style="343"/>
    <col min="10774" max="10774" width="36.44140625" style="343" customWidth="1"/>
    <col min="10775" max="11008" width="11.44140625" style="343"/>
    <col min="11009" max="11009" width="4.109375" style="343" customWidth="1"/>
    <col min="11010" max="11010" width="37.6640625" style="343" customWidth="1"/>
    <col min="11011" max="11012" width="10" style="343" customWidth="1"/>
    <col min="11013" max="11013" width="36" style="343" customWidth="1"/>
    <col min="11014" max="11014" width="10.33203125" style="343" customWidth="1"/>
    <col min="11015" max="11015" width="10.5546875" style="343" customWidth="1"/>
    <col min="11016" max="11016" width="4.33203125" style="343" customWidth="1"/>
    <col min="11017" max="11017" width="40.6640625" style="343" customWidth="1"/>
    <col min="11018" max="11018" width="11.44140625" style="343"/>
    <col min="11019" max="11019" width="7.33203125" style="343" customWidth="1"/>
    <col min="11020" max="11020" width="11.44140625" style="343"/>
    <col min="11021" max="11021" width="7.109375" style="343" customWidth="1"/>
    <col min="11022" max="11022" width="5" style="343" customWidth="1"/>
    <col min="11023" max="11023" width="37" style="343" customWidth="1"/>
    <col min="11024" max="11024" width="12.44140625" style="343" bestFit="1" customWidth="1"/>
    <col min="11025" max="11029" width="11.44140625" style="343"/>
    <col min="11030" max="11030" width="36.44140625" style="343" customWidth="1"/>
    <col min="11031" max="11264" width="11.44140625" style="343"/>
    <col min="11265" max="11265" width="4.109375" style="343" customWidth="1"/>
    <col min="11266" max="11266" width="37.6640625" style="343" customWidth="1"/>
    <col min="11267" max="11268" width="10" style="343" customWidth="1"/>
    <col min="11269" max="11269" width="36" style="343" customWidth="1"/>
    <col min="11270" max="11270" width="10.33203125" style="343" customWidth="1"/>
    <col min="11271" max="11271" width="10.5546875" style="343" customWidth="1"/>
    <col min="11272" max="11272" width="4.33203125" style="343" customWidth="1"/>
    <col min="11273" max="11273" width="40.6640625" style="343" customWidth="1"/>
    <col min="11274" max="11274" width="11.44140625" style="343"/>
    <col min="11275" max="11275" width="7.33203125" style="343" customWidth="1"/>
    <col min="11276" max="11276" width="11.44140625" style="343"/>
    <col min="11277" max="11277" width="7.109375" style="343" customWidth="1"/>
    <col min="11278" max="11278" width="5" style="343" customWidth="1"/>
    <col min="11279" max="11279" width="37" style="343" customWidth="1"/>
    <col min="11280" max="11280" width="12.44140625" style="343" bestFit="1" customWidth="1"/>
    <col min="11281" max="11285" width="11.44140625" style="343"/>
    <col min="11286" max="11286" width="36.44140625" style="343" customWidth="1"/>
    <col min="11287" max="11520" width="11.44140625" style="343"/>
    <col min="11521" max="11521" width="4.109375" style="343" customWidth="1"/>
    <col min="11522" max="11522" width="37.6640625" style="343" customWidth="1"/>
    <col min="11523" max="11524" width="10" style="343" customWidth="1"/>
    <col min="11525" max="11525" width="36" style="343" customWidth="1"/>
    <col min="11526" max="11526" width="10.33203125" style="343" customWidth="1"/>
    <col min="11527" max="11527" width="10.5546875" style="343" customWidth="1"/>
    <col min="11528" max="11528" width="4.33203125" style="343" customWidth="1"/>
    <col min="11529" max="11529" width="40.6640625" style="343" customWidth="1"/>
    <col min="11530" max="11530" width="11.44140625" style="343"/>
    <col min="11531" max="11531" width="7.33203125" style="343" customWidth="1"/>
    <col min="11532" max="11532" width="11.44140625" style="343"/>
    <col min="11533" max="11533" width="7.109375" style="343" customWidth="1"/>
    <col min="11534" max="11534" width="5" style="343" customWidth="1"/>
    <col min="11535" max="11535" width="37" style="343" customWidth="1"/>
    <col min="11536" max="11536" width="12.44140625" style="343" bestFit="1" customWidth="1"/>
    <col min="11537" max="11541" width="11.44140625" style="343"/>
    <col min="11542" max="11542" width="36.44140625" style="343" customWidth="1"/>
    <col min="11543" max="11776" width="11.44140625" style="343"/>
    <col min="11777" max="11777" width="4.109375" style="343" customWidth="1"/>
    <col min="11778" max="11778" width="37.6640625" style="343" customWidth="1"/>
    <col min="11779" max="11780" width="10" style="343" customWidth="1"/>
    <col min="11781" max="11781" width="36" style="343" customWidth="1"/>
    <col min="11782" max="11782" width="10.33203125" style="343" customWidth="1"/>
    <col min="11783" max="11783" width="10.5546875" style="343" customWidth="1"/>
    <col min="11784" max="11784" width="4.33203125" style="343" customWidth="1"/>
    <col min="11785" max="11785" width="40.6640625" style="343" customWidth="1"/>
    <col min="11786" max="11786" width="11.44140625" style="343"/>
    <col min="11787" max="11787" width="7.33203125" style="343" customWidth="1"/>
    <col min="11788" max="11788" width="11.44140625" style="343"/>
    <col min="11789" max="11789" width="7.109375" style="343" customWidth="1"/>
    <col min="11790" max="11790" width="5" style="343" customWidth="1"/>
    <col min="11791" max="11791" width="37" style="343" customWidth="1"/>
    <col min="11792" max="11792" width="12.44140625" style="343" bestFit="1" customWidth="1"/>
    <col min="11793" max="11797" width="11.44140625" style="343"/>
    <col min="11798" max="11798" width="36.44140625" style="343" customWidth="1"/>
    <col min="11799" max="12032" width="11.44140625" style="343"/>
    <col min="12033" max="12033" width="4.109375" style="343" customWidth="1"/>
    <col min="12034" max="12034" width="37.6640625" style="343" customWidth="1"/>
    <col min="12035" max="12036" width="10" style="343" customWidth="1"/>
    <col min="12037" max="12037" width="36" style="343" customWidth="1"/>
    <col min="12038" max="12038" width="10.33203125" style="343" customWidth="1"/>
    <col min="12039" max="12039" width="10.5546875" style="343" customWidth="1"/>
    <col min="12040" max="12040" width="4.33203125" style="343" customWidth="1"/>
    <col min="12041" max="12041" width="40.6640625" style="343" customWidth="1"/>
    <col min="12042" max="12042" width="11.44140625" style="343"/>
    <col min="12043" max="12043" width="7.33203125" style="343" customWidth="1"/>
    <col min="12044" max="12044" width="11.44140625" style="343"/>
    <col min="12045" max="12045" width="7.109375" style="343" customWidth="1"/>
    <col min="12046" max="12046" width="5" style="343" customWidth="1"/>
    <col min="12047" max="12047" width="37" style="343" customWidth="1"/>
    <col min="12048" max="12048" width="12.44140625" style="343" bestFit="1" customWidth="1"/>
    <col min="12049" max="12053" width="11.44140625" style="343"/>
    <col min="12054" max="12054" width="36.44140625" style="343" customWidth="1"/>
    <col min="12055" max="12288" width="11.44140625" style="343"/>
    <col min="12289" max="12289" width="4.109375" style="343" customWidth="1"/>
    <col min="12290" max="12290" width="37.6640625" style="343" customWidth="1"/>
    <col min="12291" max="12292" width="10" style="343" customWidth="1"/>
    <col min="12293" max="12293" width="36" style="343" customWidth="1"/>
    <col min="12294" max="12294" width="10.33203125" style="343" customWidth="1"/>
    <col min="12295" max="12295" width="10.5546875" style="343" customWidth="1"/>
    <col min="12296" max="12296" width="4.33203125" style="343" customWidth="1"/>
    <col min="12297" max="12297" width="40.6640625" style="343" customWidth="1"/>
    <col min="12298" max="12298" width="11.44140625" style="343"/>
    <col min="12299" max="12299" width="7.33203125" style="343" customWidth="1"/>
    <col min="12300" max="12300" width="11.44140625" style="343"/>
    <col min="12301" max="12301" width="7.109375" style="343" customWidth="1"/>
    <col min="12302" max="12302" width="5" style="343" customWidth="1"/>
    <col min="12303" max="12303" width="37" style="343" customWidth="1"/>
    <col min="12304" max="12304" width="12.44140625" style="343" bestFit="1" customWidth="1"/>
    <col min="12305" max="12309" width="11.44140625" style="343"/>
    <col min="12310" max="12310" width="36.44140625" style="343" customWidth="1"/>
    <col min="12311" max="12544" width="11.44140625" style="343"/>
    <col min="12545" max="12545" width="4.109375" style="343" customWidth="1"/>
    <col min="12546" max="12546" width="37.6640625" style="343" customWidth="1"/>
    <col min="12547" max="12548" width="10" style="343" customWidth="1"/>
    <col min="12549" max="12549" width="36" style="343" customWidth="1"/>
    <col min="12550" max="12550" width="10.33203125" style="343" customWidth="1"/>
    <col min="12551" max="12551" width="10.5546875" style="343" customWidth="1"/>
    <col min="12552" max="12552" width="4.33203125" style="343" customWidth="1"/>
    <col min="12553" max="12553" width="40.6640625" style="343" customWidth="1"/>
    <col min="12554" max="12554" width="11.44140625" style="343"/>
    <col min="12555" max="12555" width="7.33203125" style="343" customWidth="1"/>
    <col min="12556" max="12556" width="11.44140625" style="343"/>
    <col min="12557" max="12557" width="7.109375" style="343" customWidth="1"/>
    <col min="12558" max="12558" width="5" style="343" customWidth="1"/>
    <col min="12559" max="12559" width="37" style="343" customWidth="1"/>
    <col min="12560" max="12560" width="12.44140625" style="343" bestFit="1" customWidth="1"/>
    <col min="12561" max="12565" width="11.44140625" style="343"/>
    <col min="12566" max="12566" width="36.44140625" style="343" customWidth="1"/>
    <col min="12567" max="12800" width="11.44140625" style="343"/>
    <col min="12801" max="12801" width="4.109375" style="343" customWidth="1"/>
    <col min="12802" max="12802" width="37.6640625" style="343" customWidth="1"/>
    <col min="12803" max="12804" width="10" style="343" customWidth="1"/>
    <col min="12805" max="12805" width="36" style="343" customWidth="1"/>
    <col min="12806" max="12806" width="10.33203125" style="343" customWidth="1"/>
    <col min="12807" max="12807" width="10.5546875" style="343" customWidth="1"/>
    <col min="12808" max="12808" width="4.33203125" style="343" customWidth="1"/>
    <col min="12809" max="12809" width="40.6640625" style="343" customWidth="1"/>
    <col min="12810" max="12810" width="11.44140625" style="343"/>
    <col min="12811" max="12811" width="7.33203125" style="343" customWidth="1"/>
    <col min="12812" max="12812" width="11.44140625" style="343"/>
    <col min="12813" max="12813" width="7.109375" style="343" customWidth="1"/>
    <col min="12814" max="12814" width="5" style="343" customWidth="1"/>
    <col min="12815" max="12815" width="37" style="343" customWidth="1"/>
    <col min="12816" max="12816" width="12.44140625" style="343" bestFit="1" customWidth="1"/>
    <col min="12817" max="12821" width="11.44140625" style="343"/>
    <col min="12822" max="12822" width="36.44140625" style="343" customWidth="1"/>
    <col min="12823" max="13056" width="11.44140625" style="343"/>
    <col min="13057" max="13057" width="4.109375" style="343" customWidth="1"/>
    <col min="13058" max="13058" width="37.6640625" style="343" customWidth="1"/>
    <col min="13059" max="13060" width="10" style="343" customWidth="1"/>
    <col min="13061" max="13061" width="36" style="343" customWidth="1"/>
    <col min="13062" max="13062" width="10.33203125" style="343" customWidth="1"/>
    <col min="13063" max="13063" width="10.5546875" style="343" customWidth="1"/>
    <col min="13064" max="13064" width="4.33203125" style="343" customWidth="1"/>
    <col min="13065" max="13065" width="40.6640625" style="343" customWidth="1"/>
    <col min="13066" max="13066" width="11.44140625" style="343"/>
    <col min="13067" max="13067" width="7.33203125" style="343" customWidth="1"/>
    <col min="13068" max="13068" width="11.44140625" style="343"/>
    <col min="13069" max="13069" width="7.109375" style="343" customWidth="1"/>
    <col min="13070" max="13070" width="5" style="343" customWidth="1"/>
    <col min="13071" max="13071" width="37" style="343" customWidth="1"/>
    <col min="13072" max="13072" width="12.44140625" style="343" bestFit="1" customWidth="1"/>
    <col min="13073" max="13077" width="11.44140625" style="343"/>
    <col min="13078" max="13078" width="36.44140625" style="343" customWidth="1"/>
    <col min="13079" max="13312" width="11.44140625" style="343"/>
    <col min="13313" max="13313" width="4.109375" style="343" customWidth="1"/>
    <col min="13314" max="13314" width="37.6640625" style="343" customWidth="1"/>
    <col min="13315" max="13316" width="10" style="343" customWidth="1"/>
    <col min="13317" max="13317" width="36" style="343" customWidth="1"/>
    <col min="13318" max="13318" width="10.33203125" style="343" customWidth="1"/>
    <col min="13319" max="13319" width="10.5546875" style="343" customWidth="1"/>
    <col min="13320" max="13320" width="4.33203125" style="343" customWidth="1"/>
    <col min="13321" max="13321" width="40.6640625" style="343" customWidth="1"/>
    <col min="13322" max="13322" width="11.44140625" style="343"/>
    <col min="13323" max="13323" width="7.33203125" style="343" customWidth="1"/>
    <col min="13324" max="13324" width="11.44140625" style="343"/>
    <col min="13325" max="13325" width="7.109375" style="343" customWidth="1"/>
    <col min="13326" max="13326" width="5" style="343" customWidth="1"/>
    <col min="13327" max="13327" width="37" style="343" customWidth="1"/>
    <col min="13328" max="13328" width="12.44140625" style="343" bestFit="1" customWidth="1"/>
    <col min="13329" max="13333" width="11.44140625" style="343"/>
    <col min="13334" max="13334" width="36.44140625" style="343" customWidth="1"/>
    <col min="13335" max="13568" width="11.44140625" style="343"/>
    <col min="13569" max="13569" width="4.109375" style="343" customWidth="1"/>
    <col min="13570" max="13570" width="37.6640625" style="343" customWidth="1"/>
    <col min="13571" max="13572" width="10" style="343" customWidth="1"/>
    <col min="13573" max="13573" width="36" style="343" customWidth="1"/>
    <col min="13574" max="13574" width="10.33203125" style="343" customWidth="1"/>
    <col min="13575" max="13575" width="10.5546875" style="343" customWidth="1"/>
    <col min="13576" max="13576" width="4.33203125" style="343" customWidth="1"/>
    <col min="13577" max="13577" width="40.6640625" style="343" customWidth="1"/>
    <col min="13578" max="13578" width="11.44140625" style="343"/>
    <col min="13579" max="13579" width="7.33203125" style="343" customWidth="1"/>
    <col min="13580" max="13580" width="11.44140625" style="343"/>
    <col min="13581" max="13581" width="7.109375" style="343" customWidth="1"/>
    <col min="13582" max="13582" width="5" style="343" customWidth="1"/>
    <col min="13583" max="13583" width="37" style="343" customWidth="1"/>
    <col min="13584" max="13584" width="12.44140625" style="343" bestFit="1" customWidth="1"/>
    <col min="13585" max="13589" width="11.44140625" style="343"/>
    <col min="13590" max="13590" width="36.44140625" style="343" customWidth="1"/>
    <col min="13591" max="13824" width="11.44140625" style="343"/>
    <col min="13825" max="13825" width="4.109375" style="343" customWidth="1"/>
    <col min="13826" max="13826" width="37.6640625" style="343" customWidth="1"/>
    <col min="13827" max="13828" width="10" style="343" customWidth="1"/>
    <col min="13829" max="13829" width="36" style="343" customWidth="1"/>
    <col min="13830" max="13830" width="10.33203125" style="343" customWidth="1"/>
    <col min="13831" max="13831" width="10.5546875" style="343" customWidth="1"/>
    <col min="13832" max="13832" width="4.33203125" style="343" customWidth="1"/>
    <col min="13833" max="13833" width="40.6640625" style="343" customWidth="1"/>
    <col min="13834" max="13834" width="11.44140625" style="343"/>
    <col min="13835" max="13835" width="7.33203125" style="343" customWidth="1"/>
    <col min="13836" max="13836" width="11.44140625" style="343"/>
    <col min="13837" max="13837" width="7.109375" style="343" customWidth="1"/>
    <col min="13838" max="13838" width="5" style="343" customWidth="1"/>
    <col min="13839" max="13839" width="37" style="343" customWidth="1"/>
    <col min="13840" max="13840" width="12.44140625" style="343" bestFit="1" customWidth="1"/>
    <col min="13841" max="13845" width="11.44140625" style="343"/>
    <col min="13846" max="13846" width="36.44140625" style="343" customWidth="1"/>
    <col min="13847" max="14080" width="11.44140625" style="343"/>
    <col min="14081" max="14081" width="4.109375" style="343" customWidth="1"/>
    <col min="14082" max="14082" width="37.6640625" style="343" customWidth="1"/>
    <col min="14083" max="14084" width="10" style="343" customWidth="1"/>
    <col min="14085" max="14085" width="36" style="343" customWidth="1"/>
    <col min="14086" max="14086" width="10.33203125" style="343" customWidth="1"/>
    <col min="14087" max="14087" width="10.5546875" style="343" customWidth="1"/>
    <col min="14088" max="14088" width="4.33203125" style="343" customWidth="1"/>
    <col min="14089" max="14089" width="40.6640625" style="343" customWidth="1"/>
    <col min="14090" max="14090" width="11.44140625" style="343"/>
    <col min="14091" max="14091" width="7.33203125" style="343" customWidth="1"/>
    <col min="14092" max="14092" width="11.44140625" style="343"/>
    <col min="14093" max="14093" width="7.109375" style="343" customWidth="1"/>
    <col min="14094" max="14094" width="5" style="343" customWidth="1"/>
    <col min="14095" max="14095" width="37" style="343" customWidth="1"/>
    <col min="14096" max="14096" width="12.44140625" style="343" bestFit="1" customWidth="1"/>
    <col min="14097" max="14101" width="11.44140625" style="343"/>
    <col min="14102" max="14102" width="36.44140625" style="343" customWidth="1"/>
    <col min="14103" max="14336" width="11.44140625" style="343"/>
    <col min="14337" max="14337" width="4.109375" style="343" customWidth="1"/>
    <col min="14338" max="14338" width="37.6640625" style="343" customWidth="1"/>
    <col min="14339" max="14340" width="10" style="343" customWidth="1"/>
    <col min="14341" max="14341" width="36" style="343" customWidth="1"/>
    <col min="14342" max="14342" width="10.33203125" style="343" customWidth="1"/>
    <col min="14343" max="14343" width="10.5546875" style="343" customWidth="1"/>
    <col min="14344" max="14344" width="4.33203125" style="343" customWidth="1"/>
    <col min="14345" max="14345" width="40.6640625" style="343" customWidth="1"/>
    <col min="14346" max="14346" width="11.44140625" style="343"/>
    <col min="14347" max="14347" width="7.33203125" style="343" customWidth="1"/>
    <col min="14348" max="14348" width="11.44140625" style="343"/>
    <col min="14349" max="14349" width="7.109375" style="343" customWidth="1"/>
    <col min="14350" max="14350" width="5" style="343" customWidth="1"/>
    <col min="14351" max="14351" width="37" style="343" customWidth="1"/>
    <col min="14352" max="14352" width="12.44140625" style="343" bestFit="1" customWidth="1"/>
    <col min="14353" max="14357" width="11.44140625" style="343"/>
    <col min="14358" max="14358" width="36.44140625" style="343" customWidth="1"/>
    <col min="14359" max="14592" width="11.44140625" style="343"/>
    <col min="14593" max="14593" width="4.109375" style="343" customWidth="1"/>
    <col min="14594" max="14594" width="37.6640625" style="343" customWidth="1"/>
    <col min="14595" max="14596" width="10" style="343" customWidth="1"/>
    <col min="14597" max="14597" width="36" style="343" customWidth="1"/>
    <col min="14598" max="14598" width="10.33203125" style="343" customWidth="1"/>
    <col min="14599" max="14599" width="10.5546875" style="343" customWidth="1"/>
    <col min="14600" max="14600" width="4.33203125" style="343" customWidth="1"/>
    <col min="14601" max="14601" width="40.6640625" style="343" customWidth="1"/>
    <col min="14602" max="14602" width="11.44140625" style="343"/>
    <col min="14603" max="14603" width="7.33203125" style="343" customWidth="1"/>
    <col min="14604" max="14604" width="11.44140625" style="343"/>
    <col min="14605" max="14605" width="7.109375" style="343" customWidth="1"/>
    <col min="14606" max="14606" width="5" style="343" customWidth="1"/>
    <col min="14607" max="14607" width="37" style="343" customWidth="1"/>
    <col min="14608" max="14608" width="12.44140625" style="343" bestFit="1" customWidth="1"/>
    <col min="14609" max="14613" width="11.44140625" style="343"/>
    <col min="14614" max="14614" width="36.44140625" style="343" customWidth="1"/>
    <col min="14615" max="14848" width="11.44140625" style="343"/>
    <col min="14849" max="14849" width="4.109375" style="343" customWidth="1"/>
    <col min="14850" max="14850" width="37.6640625" style="343" customWidth="1"/>
    <col min="14851" max="14852" width="10" style="343" customWidth="1"/>
    <col min="14853" max="14853" width="36" style="343" customWidth="1"/>
    <col min="14854" max="14854" width="10.33203125" style="343" customWidth="1"/>
    <col min="14855" max="14855" width="10.5546875" style="343" customWidth="1"/>
    <col min="14856" max="14856" width="4.33203125" style="343" customWidth="1"/>
    <col min="14857" max="14857" width="40.6640625" style="343" customWidth="1"/>
    <col min="14858" max="14858" width="11.44140625" style="343"/>
    <col min="14859" max="14859" width="7.33203125" style="343" customWidth="1"/>
    <col min="14860" max="14860" width="11.44140625" style="343"/>
    <col min="14861" max="14861" width="7.109375" style="343" customWidth="1"/>
    <col min="14862" max="14862" width="5" style="343" customWidth="1"/>
    <col min="14863" max="14863" width="37" style="343" customWidth="1"/>
    <col min="14864" max="14864" width="12.44140625" style="343" bestFit="1" customWidth="1"/>
    <col min="14865" max="14869" width="11.44140625" style="343"/>
    <col min="14870" max="14870" width="36.44140625" style="343" customWidth="1"/>
    <col min="14871" max="15104" width="11.44140625" style="343"/>
    <col min="15105" max="15105" width="4.109375" style="343" customWidth="1"/>
    <col min="15106" max="15106" width="37.6640625" style="343" customWidth="1"/>
    <col min="15107" max="15108" width="10" style="343" customWidth="1"/>
    <col min="15109" max="15109" width="36" style="343" customWidth="1"/>
    <col min="15110" max="15110" width="10.33203125" style="343" customWidth="1"/>
    <col min="15111" max="15111" width="10.5546875" style="343" customWidth="1"/>
    <col min="15112" max="15112" width="4.33203125" style="343" customWidth="1"/>
    <col min="15113" max="15113" width="40.6640625" style="343" customWidth="1"/>
    <col min="15114" max="15114" width="11.44140625" style="343"/>
    <col min="15115" max="15115" width="7.33203125" style="343" customWidth="1"/>
    <col min="15116" max="15116" width="11.44140625" style="343"/>
    <col min="15117" max="15117" width="7.109375" style="343" customWidth="1"/>
    <col min="15118" max="15118" width="5" style="343" customWidth="1"/>
    <col min="15119" max="15119" width="37" style="343" customWidth="1"/>
    <col min="15120" max="15120" width="12.44140625" style="343" bestFit="1" customWidth="1"/>
    <col min="15121" max="15125" width="11.44140625" style="343"/>
    <col min="15126" max="15126" width="36.44140625" style="343" customWidth="1"/>
    <col min="15127" max="15360" width="11.44140625" style="343"/>
    <col min="15361" max="15361" width="4.109375" style="343" customWidth="1"/>
    <col min="15362" max="15362" width="37.6640625" style="343" customWidth="1"/>
    <col min="15363" max="15364" width="10" style="343" customWidth="1"/>
    <col min="15365" max="15365" width="36" style="343" customWidth="1"/>
    <col min="15366" max="15366" width="10.33203125" style="343" customWidth="1"/>
    <col min="15367" max="15367" width="10.5546875" style="343" customWidth="1"/>
    <col min="15368" max="15368" width="4.33203125" style="343" customWidth="1"/>
    <col min="15369" max="15369" width="40.6640625" style="343" customWidth="1"/>
    <col min="15370" max="15370" width="11.44140625" style="343"/>
    <col min="15371" max="15371" width="7.33203125" style="343" customWidth="1"/>
    <col min="15372" max="15372" width="11.44140625" style="343"/>
    <col min="15373" max="15373" width="7.109375" style="343" customWidth="1"/>
    <col min="15374" max="15374" width="5" style="343" customWidth="1"/>
    <col min="15375" max="15375" width="37" style="343" customWidth="1"/>
    <col min="15376" max="15376" width="12.44140625" style="343" bestFit="1" customWidth="1"/>
    <col min="15377" max="15381" width="11.44140625" style="343"/>
    <col min="15382" max="15382" width="36.44140625" style="343" customWidth="1"/>
    <col min="15383" max="15616" width="11.44140625" style="343"/>
    <col min="15617" max="15617" width="4.109375" style="343" customWidth="1"/>
    <col min="15618" max="15618" width="37.6640625" style="343" customWidth="1"/>
    <col min="15619" max="15620" width="10" style="343" customWidth="1"/>
    <col min="15621" max="15621" width="36" style="343" customWidth="1"/>
    <col min="15622" max="15622" width="10.33203125" style="343" customWidth="1"/>
    <col min="15623" max="15623" width="10.5546875" style="343" customWidth="1"/>
    <col min="15624" max="15624" width="4.33203125" style="343" customWidth="1"/>
    <col min="15625" max="15625" width="40.6640625" style="343" customWidth="1"/>
    <col min="15626" max="15626" width="11.44140625" style="343"/>
    <col min="15627" max="15627" width="7.33203125" style="343" customWidth="1"/>
    <col min="15628" max="15628" width="11.44140625" style="343"/>
    <col min="15629" max="15629" width="7.109375" style="343" customWidth="1"/>
    <col min="15630" max="15630" width="5" style="343" customWidth="1"/>
    <col min="15631" max="15631" width="37" style="343" customWidth="1"/>
    <col min="15632" max="15632" width="12.44140625" style="343" bestFit="1" customWidth="1"/>
    <col min="15633" max="15637" width="11.44140625" style="343"/>
    <col min="15638" max="15638" width="36.44140625" style="343" customWidth="1"/>
    <col min="15639" max="15872" width="11.44140625" style="343"/>
    <col min="15873" max="15873" width="4.109375" style="343" customWidth="1"/>
    <col min="15874" max="15874" width="37.6640625" style="343" customWidth="1"/>
    <col min="15875" max="15876" width="10" style="343" customWidth="1"/>
    <col min="15877" max="15877" width="36" style="343" customWidth="1"/>
    <col min="15878" max="15878" width="10.33203125" style="343" customWidth="1"/>
    <col min="15879" max="15879" width="10.5546875" style="343" customWidth="1"/>
    <col min="15880" max="15880" width="4.33203125" style="343" customWidth="1"/>
    <col min="15881" max="15881" width="40.6640625" style="343" customWidth="1"/>
    <col min="15882" max="15882" width="11.44140625" style="343"/>
    <col min="15883" max="15883" width="7.33203125" style="343" customWidth="1"/>
    <col min="15884" max="15884" width="11.44140625" style="343"/>
    <col min="15885" max="15885" width="7.109375" style="343" customWidth="1"/>
    <col min="15886" max="15886" width="5" style="343" customWidth="1"/>
    <col min="15887" max="15887" width="37" style="343" customWidth="1"/>
    <col min="15888" max="15888" width="12.44140625" style="343" bestFit="1" customWidth="1"/>
    <col min="15889" max="15893" width="11.44140625" style="343"/>
    <col min="15894" max="15894" width="36.44140625" style="343" customWidth="1"/>
    <col min="15895" max="16128" width="11.44140625" style="343"/>
    <col min="16129" max="16129" width="4.109375" style="343" customWidth="1"/>
    <col min="16130" max="16130" width="37.6640625" style="343" customWidth="1"/>
    <col min="16131" max="16132" width="10" style="343" customWidth="1"/>
    <col min="16133" max="16133" width="36" style="343" customWidth="1"/>
    <col min="16134" max="16134" width="10.33203125" style="343" customWidth="1"/>
    <col min="16135" max="16135" width="10.5546875" style="343" customWidth="1"/>
    <col min="16136" max="16136" width="4.33203125" style="343" customWidth="1"/>
    <col min="16137" max="16137" width="40.6640625" style="343" customWidth="1"/>
    <col min="16138" max="16138" width="11.44140625" style="343"/>
    <col min="16139" max="16139" width="7.33203125" style="343" customWidth="1"/>
    <col min="16140" max="16140" width="11.44140625" style="343"/>
    <col min="16141" max="16141" width="7.109375" style="343" customWidth="1"/>
    <col min="16142" max="16142" width="5" style="343" customWidth="1"/>
    <col min="16143" max="16143" width="37" style="343" customWidth="1"/>
    <col min="16144" max="16144" width="12.44140625" style="343" bestFit="1" customWidth="1"/>
    <col min="16145" max="16149" width="11.44140625" style="343"/>
    <col min="16150" max="16150" width="36.44140625" style="343" customWidth="1"/>
    <col min="16151" max="16384" width="11.44140625" style="343"/>
  </cols>
  <sheetData>
    <row r="1" spans="1:45" ht="15.6" x14ac:dyDescent="0.3">
      <c r="A1" s="341"/>
      <c r="B1" s="342" t="s">
        <v>255</v>
      </c>
      <c r="C1" s="341" t="s">
        <v>256</v>
      </c>
      <c r="D1" s="341"/>
      <c r="E1" s="341"/>
      <c r="F1" s="341"/>
      <c r="G1" s="341"/>
      <c r="H1" s="341"/>
      <c r="I1" s="342" t="s">
        <v>257</v>
      </c>
      <c r="J1" s="341"/>
      <c r="K1" s="341" t="s">
        <v>256</v>
      </c>
      <c r="L1" s="341"/>
      <c r="M1" s="341"/>
      <c r="N1" s="341"/>
      <c r="O1" s="342" t="s">
        <v>210</v>
      </c>
      <c r="P1" s="341"/>
      <c r="Q1" s="341"/>
      <c r="R1" s="341"/>
      <c r="S1" s="341"/>
      <c r="T1" s="341"/>
      <c r="U1" s="341"/>
      <c r="V1" s="341"/>
      <c r="W1" s="341"/>
      <c r="X1" s="341"/>
      <c r="Y1" s="341"/>
      <c r="Z1" s="341"/>
      <c r="AA1" s="341"/>
      <c r="AB1" s="341"/>
      <c r="AC1" s="341"/>
      <c r="AD1" s="341"/>
      <c r="AE1" s="341"/>
      <c r="AF1" s="341"/>
      <c r="AG1" s="341"/>
      <c r="AH1" s="341"/>
      <c r="AI1" s="341"/>
      <c r="AJ1" s="341"/>
      <c r="AK1" s="341"/>
      <c r="AL1" s="341"/>
      <c r="AM1" s="341"/>
      <c r="AN1" s="341"/>
      <c r="AO1" s="341"/>
      <c r="AP1" s="341"/>
      <c r="AQ1" s="341"/>
      <c r="AR1" s="341"/>
      <c r="AS1" s="341"/>
    </row>
    <row r="2" spans="1:45" ht="13.2" x14ac:dyDescent="0.25">
      <c r="A2" s="341"/>
      <c r="B2" s="344"/>
      <c r="C2" s="341"/>
      <c r="D2" s="341"/>
      <c r="E2" s="341"/>
      <c r="F2" s="341"/>
      <c r="G2" s="341"/>
      <c r="H2" s="341"/>
      <c r="I2" s="341"/>
      <c r="J2" s="341"/>
      <c r="K2" s="341"/>
      <c r="L2" s="341"/>
      <c r="M2" s="341"/>
      <c r="N2" s="341"/>
      <c r="O2" s="341"/>
      <c r="P2" s="341"/>
      <c r="Q2" s="341"/>
      <c r="R2" s="341"/>
      <c r="S2" s="341"/>
      <c r="T2" s="341"/>
      <c r="U2" s="341"/>
      <c r="V2" s="341"/>
      <c r="W2" s="341"/>
      <c r="X2" s="341"/>
      <c r="Y2" s="341"/>
      <c r="Z2" s="341"/>
      <c r="AA2" s="341"/>
      <c r="AB2" s="341"/>
      <c r="AC2" s="341"/>
      <c r="AD2" s="341"/>
      <c r="AE2" s="341"/>
      <c r="AF2" s="341"/>
      <c r="AG2" s="341"/>
      <c r="AH2" s="341"/>
      <c r="AI2" s="341"/>
      <c r="AJ2" s="341"/>
      <c r="AK2" s="341"/>
      <c r="AL2" s="341"/>
      <c r="AM2" s="341"/>
      <c r="AN2" s="341"/>
      <c r="AO2" s="341"/>
      <c r="AP2" s="341"/>
      <c r="AQ2" s="341"/>
      <c r="AR2" s="341"/>
      <c r="AS2" s="341"/>
    </row>
    <row r="3" spans="1:45" ht="13.2" x14ac:dyDescent="0.25">
      <c r="A3" s="341"/>
      <c r="B3" s="345" t="s">
        <v>258</v>
      </c>
      <c r="C3" s="346" t="s">
        <v>259</v>
      </c>
      <c r="D3" s="346" t="s">
        <v>260</v>
      </c>
      <c r="E3" s="345" t="s">
        <v>261</v>
      </c>
      <c r="F3" s="346" t="s">
        <v>259</v>
      </c>
      <c r="G3" s="347" t="s">
        <v>260</v>
      </c>
      <c r="H3" s="341"/>
      <c r="I3" s="348"/>
      <c r="J3" s="349" t="s">
        <v>259</v>
      </c>
      <c r="K3" s="350"/>
      <c r="L3" s="350" t="s">
        <v>260</v>
      </c>
      <c r="M3" s="348"/>
      <c r="N3" s="341"/>
      <c r="O3" s="351" t="s">
        <v>262</v>
      </c>
      <c r="P3" s="345" t="s">
        <v>263</v>
      </c>
      <c r="Q3" s="352" t="s">
        <v>264</v>
      </c>
      <c r="R3" s="352" t="s">
        <v>265</v>
      </c>
      <c r="S3" s="352" t="s">
        <v>264</v>
      </c>
      <c r="T3" s="341"/>
      <c r="U3" s="341"/>
      <c r="V3" s="341"/>
      <c r="W3" s="341"/>
      <c r="X3" s="341"/>
      <c r="Y3" s="341"/>
      <c r="Z3" s="341"/>
      <c r="AA3" s="341"/>
      <c r="AB3" s="341"/>
      <c r="AC3" s="341"/>
      <c r="AD3" s="341"/>
      <c r="AE3" s="341"/>
      <c r="AF3" s="341"/>
      <c r="AG3" s="341"/>
      <c r="AH3" s="341"/>
      <c r="AI3" s="341"/>
      <c r="AJ3" s="341"/>
      <c r="AK3" s="341"/>
      <c r="AL3" s="341"/>
      <c r="AM3" s="341"/>
      <c r="AN3" s="341"/>
      <c r="AO3" s="341"/>
      <c r="AP3" s="341"/>
      <c r="AQ3" s="341"/>
      <c r="AR3" s="341"/>
      <c r="AS3" s="341"/>
    </row>
    <row r="4" spans="1:45" ht="13.2" x14ac:dyDescent="0.25">
      <c r="A4" s="341"/>
      <c r="B4" s="353" t="s">
        <v>266</v>
      </c>
      <c r="C4" s="354"/>
      <c r="D4" s="355"/>
      <c r="E4" s="353" t="s">
        <v>267</v>
      </c>
      <c r="F4" s="356"/>
      <c r="G4" s="357"/>
      <c r="H4" s="341"/>
      <c r="I4" s="358" t="s">
        <v>268</v>
      </c>
      <c r="J4" s="356">
        <f>+F5</f>
        <v>0</v>
      </c>
      <c r="K4" s="359"/>
      <c r="L4" s="356">
        <f>+G5</f>
        <v>0</v>
      </c>
      <c r="M4" s="359"/>
      <c r="N4" s="341"/>
      <c r="O4" s="354" t="s">
        <v>269</v>
      </c>
      <c r="P4" s="360">
        <f>F6</f>
        <v>742000</v>
      </c>
      <c r="Q4" s="361">
        <v>1</v>
      </c>
      <c r="R4" s="360">
        <f>L7</f>
        <v>698000</v>
      </c>
      <c r="S4" s="361">
        <v>1</v>
      </c>
      <c r="T4" s="341"/>
      <c r="U4" s="341"/>
      <c r="V4" s="341"/>
      <c r="W4" s="341"/>
      <c r="X4" s="341"/>
      <c r="Y4" s="341"/>
      <c r="Z4" s="341"/>
      <c r="AA4" s="341"/>
      <c r="AB4" s="341"/>
      <c r="AC4" s="341"/>
      <c r="AD4" s="341"/>
      <c r="AE4" s="341"/>
      <c r="AF4" s="341"/>
      <c r="AG4" s="341"/>
      <c r="AH4" s="341"/>
      <c r="AI4" s="341"/>
      <c r="AJ4" s="341"/>
      <c r="AK4" s="341"/>
      <c r="AL4" s="341"/>
      <c r="AM4" s="341"/>
      <c r="AN4" s="341"/>
      <c r="AO4" s="341"/>
      <c r="AP4" s="341"/>
      <c r="AQ4" s="341"/>
      <c r="AR4" s="341"/>
      <c r="AS4" s="341"/>
    </row>
    <row r="5" spans="1:45" ht="13.2" x14ac:dyDescent="0.25">
      <c r="A5" s="341"/>
      <c r="B5" s="362" t="s">
        <v>270</v>
      </c>
      <c r="C5" s="356"/>
      <c r="D5" s="357"/>
      <c r="E5" s="362" t="s">
        <v>271</v>
      </c>
      <c r="F5" s="356"/>
      <c r="G5" s="357"/>
      <c r="H5" s="341"/>
      <c r="I5" s="358" t="s">
        <v>272</v>
      </c>
      <c r="J5" s="356">
        <f>+C5:C6</f>
        <v>0</v>
      </c>
      <c r="K5" s="359"/>
      <c r="L5" s="356">
        <f>+D5:D6</f>
        <v>0</v>
      </c>
      <c r="M5" s="359"/>
      <c r="N5" s="341"/>
      <c r="O5" s="363" t="s">
        <v>273</v>
      </c>
      <c r="P5" s="364">
        <v>45800</v>
      </c>
      <c r="Q5" s="359"/>
      <c r="R5" s="364">
        <v>44200</v>
      </c>
      <c r="S5" s="359"/>
      <c r="T5" s="341"/>
      <c r="U5" s="341"/>
      <c r="V5" s="341"/>
      <c r="W5" s="341"/>
      <c r="X5" s="341"/>
      <c r="Y5" s="341"/>
      <c r="Z5" s="341"/>
      <c r="AA5" s="341"/>
      <c r="AB5" s="341"/>
      <c r="AC5" s="341"/>
      <c r="AD5" s="341"/>
      <c r="AE5" s="341"/>
      <c r="AF5" s="341"/>
      <c r="AG5" s="341"/>
      <c r="AH5" s="341"/>
      <c r="AI5" s="341"/>
      <c r="AJ5" s="341"/>
      <c r="AK5" s="341"/>
      <c r="AL5" s="341"/>
      <c r="AM5" s="341"/>
      <c r="AN5" s="341"/>
      <c r="AO5" s="341"/>
      <c r="AP5" s="341"/>
      <c r="AQ5" s="341"/>
      <c r="AR5" s="341"/>
      <c r="AS5" s="341"/>
    </row>
    <row r="6" spans="1:45" ht="13.2" x14ac:dyDescent="0.25">
      <c r="A6" s="341"/>
      <c r="B6" s="362" t="s">
        <v>274</v>
      </c>
      <c r="C6" s="356"/>
      <c r="D6" s="357"/>
      <c r="E6" s="362" t="s">
        <v>275</v>
      </c>
      <c r="F6" s="356">
        <v>742000</v>
      </c>
      <c r="G6" s="357">
        <v>698000</v>
      </c>
      <c r="H6" s="341"/>
      <c r="I6" s="365" t="s">
        <v>276</v>
      </c>
      <c r="J6" s="356">
        <f>+J4-J5</f>
        <v>0</v>
      </c>
      <c r="K6" s="359"/>
      <c r="L6" s="356">
        <f>+L4-L5</f>
        <v>0</v>
      </c>
      <c r="M6" s="359"/>
      <c r="N6" s="341"/>
      <c r="O6" s="363" t="s">
        <v>277</v>
      </c>
      <c r="P6" s="366">
        <f>P4/P5</f>
        <v>16.200873362445414</v>
      </c>
      <c r="Q6" s="359"/>
      <c r="R6" s="367">
        <f>R4/R5</f>
        <v>15.79185520361991</v>
      </c>
      <c r="S6" s="359"/>
      <c r="T6" s="341"/>
      <c r="U6" s="341"/>
      <c r="V6" s="341"/>
      <c r="W6" s="341"/>
      <c r="X6" s="341"/>
      <c r="Y6" s="341"/>
      <c r="Z6" s="341"/>
      <c r="AA6" s="341"/>
      <c r="AB6" s="341"/>
      <c r="AC6" s="341"/>
      <c r="AD6" s="341"/>
      <c r="AE6" s="341"/>
      <c r="AF6" s="341"/>
      <c r="AG6" s="341"/>
      <c r="AH6" s="341"/>
      <c r="AI6" s="341"/>
      <c r="AJ6" s="341"/>
      <c r="AK6" s="341"/>
      <c r="AL6" s="341"/>
      <c r="AM6" s="341"/>
      <c r="AN6" s="341"/>
      <c r="AO6" s="341"/>
      <c r="AP6" s="341"/>
      <c r="AQ6" s="341"/>
      <c r="AR6" s="341"/>
      <c r="AS6" s="341"/>
    </row>
    <row r="7" spans="1:45" ht="13.2" x14ac:dyDescent="0.25">
      <c r="A7" s="341"/>
      <c r="B7" s="362" t="s">
        <v>278</v>
      </c>
      <c r="C7" s="368"/>
      <c r="D7" s="357"/>
      <c r="E7" s="369" t="s">
        <v>279</v>
      </c>
      <c r="F7" s="370">
        <f>+F5+F6</f>
        <v>742000</v>
      </c>
      <c r="G7" s="370">
        <f>+G5+G6</f>
        <v>698000</v>
      </c>
      <c r="H7" s="341"/>
      <c r="I7" s="371" t="s">
        <v>280</v>
      </c>
      <c r="J7" s="370">
        <f>+F6</f>
        <v>742000</v>
      </c>
      <c r="K7" s="359"/>
      <c r="L7" s="370">
        <f>+G6</f>
        <v>698000</v>
      </c>
      <c r="M7" s="359"/>
      <c r="N7" s="341"/>
      <c r="O7" s="372" t="s">
        <v>281</v>
      </c>
      <c r="P7" s="360">
        <f>C8+C9-F10</f>
        <v>214100</v>
      </c>
      <c r="Q7" s="373">
        <f t="shared" ref="Q7:S35" si="0">P7/$P$4</f>
        <v>0.28854447439353098</v>
      </c>
      <c r="R7" s="360">
        <f>D8+D9-G10</f>
        <v>205600</v>
      </c>
      <c r="S7" s="373">
        <f t="shared" ref="S7:S35" si="1">R7/$R$4</f>
        <v>0.29455587392550142</v>
      </c>
      <c r="T7" s="341"/>
      <c r="U7" s="341"/>
      <c r="V7" s="341"/>
      <c r="W7" s="341"/>
      <c r="X7" s="341"/>
      <c r="Y7" s="341"/>
      <c r="Z7" s="341"/>
      <c r="AA7" s="341"/>
      <c r="AB7" s="341"/>
      <c r="AC7" s="341"/>
      <c r="AD7" s="341"/>
      <c r="AE7" s="341"/>
      <c r="AF7" s="341"/>
      <c r="AG7" s="341"/>
      <c r="AH7" s="341"/>
      <c r="AI7" s="341"/>
      <c r="AJ7" s="341"/>
      <c r="AK7" s="341"/>
      <c r="AL7" s="341"/>
      <c r="AM7" s="341"/>
      <c r="AN7" s="341"/>
      <c r="AO7" s="341"/>
      <c r="AP7" s="341"/>
      <c r="AQ7" s="341"/>
      <c r="AR7" s="341"/>
      <c r="AS7" s="341"/>
    </row>
    <row r="8" spans="1:45" ht="13.2" x14ac:dyDescent="0.25">
      <c r="A8" s="341"/>
      <c r="B8" s="362" t="s">
        <v>282</v>
      </c>
      <c r="C8" s="356">
        <v>237000</v>
      </c>
      <c r="D8" s="357">
        <v>224000</v>
      </c>
      <c r="E8" s="374" t="s">
        <v>283</v>
      </c>
      <c r="F8" s="356"/>
      <c r="G8" s="357"/>
      <c r="H8" s="341"/>
      <c r="I8" s="358" t="s">
        <v>284</v>
      </c>
      <c r="J8" s="356">
        <f>+F9</f>
        <v>0</v>
      </c>
      <c r="K8" s="359"/>
      <c r="L8" s="356">
        <f>+G9</f>
        <v>0</v>
      </c>
      <c r="M8" s="359"/>
      <c r="N8" s="341"/>
      <c r="O8" s="352" t="s">
        <v>285</v>
      </c>
      <c r="P8" s="375">
        <f>P4-P7</f>
        <v>527900</v>
      </c>
      <c r="Q8" s="376">
        <f t="shared" si="0"/>
        <v>0.71145552560646896</v>
      </c>
      <c r="R8" s="377">
        <f>R4-R7</f>
        <v>492400</v>
      </c>
      <c r="S8" s="378">
        <f t="shared" si="1"/>
        <v>0.70544412607449858</v>
      </c>
      <c r="T8" s="341"/>
      <c r="U8" s="341"/>
      <c r="V8" s="341"/>
      <c r="W8" s="341"/>
      <c r="X8" s="341"/>
      <c r="Y8" s="341"/>
      <c r="Z8" s="341"/>
      <c r="AA8" s="341"/>
      <c r="AB8" s="341"/>
      <c r="AC8" s="341"/>
      <c r="AD8" s="341"/>
      <c r="AE8" s="341"/>
      <c r="AF8" s="341"/>
      <c r="AG8" s="341"/>
      <c r="AH8" s="341"/>
      <c r="AI8" s="341"/>
      <c r="AJ8" s="341"/>
      <c r="AK8" s="341"/>
      <c r="AL8" s="341"/>
      <c r="AM8" s="341"/>
      <c r="AN8" s="341"/>
      <c r="AO8" s="341"/>
      <c r="AP8" s="341"/>
      <c r="AQ8" s="341"/>
      <c r="AR8" s="341"/>
      <c r="AS8" s="341"/>
    </row>
    <row r="9" spans="1:45" ht="13.2" x14ac:dyDescent="0.25">
      <c r="A9" s="341"/>
      <c r="B9" s="362" t="s">
        <v>274</v>
      </c>
      <c r="C9" s="356">
        <v>-1400</v>
      </c>
      <c r="D9" s="357">
        <v>800</v>
      </c>
      <c r="E9" s="362" t="s">
        <v>286</v>
      </c>
      <c r="F9" s="356"/>
      <c r="G9" s="357"/>
      <c r="H9" s="341"/>
      <c r="I9" s="371" t="s">
        <v>287</v>
      </c>
      <c r="J9" s="370">
        <f>+F10</f>
        <v>21500</v>
      </c>
      <c r="K9" s="359"/>
      <c r="L9" s="370">
        <f>+G10</f>
        <v>19200</v>
      </c>
      <c r="M9" s="359"/>
      <c r="N9" s="341"/>
      <c r="O9" s="379" t="s">
        <v>288</v>
      </c>
      <c r="P9" s="380">
        <f>C12+C13</f>
        <v>275000</v>
      </c>
      <c r="Q9" s="381">
        <f t="shared" si="0"/>
        <v>0.37061994609164423</v>
      </c>
      <c r="R9" s="370">
        <f>D12+D13</f>
        <v>270000</v>
      </c>
      <c r="S9" s="381">
        <f t="shared" si="1"/>
        <v>0.38681948424068768</v>
      </c>
      <c r="T9" s="341"/>
      <c r="U9" s="341"/>
      <c r="V9" s="341"/>
      <c r="W9" s="341"/>
      <c r="X9" s="341"/>
      <c r="Y9" s="341"/>
      <c r="Z9" s="341"/>
      <c r="AA9" s="341"/>
      <c r="AB9" s="341"/>
      <c r="AC9" s="341"/>
      <c r="AD9" s="341"/>
      <c r="AE9" s="341"/>
      <c r="AF9" s="341"/>
      <c r="AG9" s="341"/>
      <c r="AH9" s="341"/>
      <c r="AI9" s="341"/>
      <c r="AJ9" s="341"/>
      <c r="AK9" s="341"/>
      <c r="AL9" s="341"/>
      <c r="AM9" s="341"/>
      <c r="AN9" s="341"/>
      <c r="AO9" s="341"/>
      <c r="AP9" s="341"/>
      <c r="AQ9" s="341"/>
      <c r="AR9" s="341"/>
      <c r="AS9" s="341"/>
    </row>
    <row r="10" spans="1:45" ht="12.75" customHeight="1" x14ac:dyDescent="0.25">
      <c r="A10" s="341"/>
      <c r="B10" s="362" t="s">
        <v>289</v>
      </c>
      <c r="C10" s="356">
        <v>136000</v>
      </c>
      <c r="D10" s="357">
        <v>149000</v>
      </c>
      <c r="E10" s="362" t="s">
        <v>290</v>
      </c>
      <c r="F10" s="356">
        <v>21500</v>
      </c>
      <c r="G10" s="357">
        <v>19200</v>
      </c>
      <c r="H10" s="341"/>
      <c r="I10" s="382" t="s">
        <v>291</v>
      </c>
      <c r="J10" s="370">
        <f>SUM(J7:J9)</f>
        <v>763500</v>
      </c>
      <c r="K10" s="359"/>
      <c r="L10" s="370">
        <f>SUM(L7:L9)</f>
        <v>717200</v>
      </c>
      <c r="M10" s="359"/>
      <c r="N10" s="341"/>
      <c r="O10" s="352" t="s">
        <v>292</v>
      </c>
      <c r="P10" s="375">
        <f>P8-P9</f>
        <v>252900</v>
      </c>
      <c r="Q10" s="376">
        <f t="shared" si="0"/>
        <v>0.34083557951482479</v>
      </c>
      <c r="R10" s="377">
        <f>R8-R9</f>
        <v>222400</v>
      </c>
      <c r="S10" s="383">
        <f t="shared" si="1"/>
        <v>0.3186246418338109</v>
      </c>
      <c r="T10" s="341"/>
      <c r="U10" s="341"/>
      <c r="V10" s="341"/>
      <c r="W10" s="341"/>
      <c r="X10" s="341"/>
      <c r="Y10" s="341"/>
      <c r="Z10" s="341"/>
      <c r="AA10" s="341"/>
      <c r="AB10" s="341"/>
      <c r="AC10" s="341"/>
      <c r="AD10" s="341"/>
      <c r="AE10" s="341"/>
      <c r="AF10" s="341"/>
      <c r="AG10" s="341"/>
      <c r="AH10" s="341"/>
      <c r="AI10" s="341"/>
      <c r="AJ10" s="341"/>
      <c r="AK10" s="341"/>
      <c r="AL10" s="341"/>
      <c r="AM10" s="341"/>
      <c r="AN10" s="341"/>
      <c r="AO10" s="341"/>
      <c r="AP10" s="341"/>
      <c r="AQ10" s="341"/>
      <c r="AR10" s="341"/>
      <c r="AS10" s="341"/>
    </row>
    <row r="11" spans="1:45" ht="13.2" x14ac:dyDescent="0.25">
      <c r="A11" s="341"/>
      <c r="B11" s="362" t="s">
        <v>293</v>
      </c>
      <c r="C11" s="356">
        <v>19600</v>
      </c>
      <c r="D11" s="357">
        <v>18500</v>
      </c>
      <c r="E11" s="362" t="s">
        <v>294</v>
      </c>
      <c r="F11" s="356"/>
      <c r="G11" s="357"/>
      <c r="H11" s="341"/>
      <c r="I11" s="371" t="s">
        <v>295</v>
      </c>
      <c r="J11" s="370">
        <f>+J6+J10</f>
        <v>763500</v>
      </c>
      <c r="K11" s="384">
        <f>J11/$L$11</f>
        <v>1.0645566090351366</v>
      </c>
      <c r="L11" s="370">
        <f>+L6+L10</f>
        <v>717200</v>
      </c>
      <c r="M11" s="384">
        <f>L11/$L$11</f>
        <v>1</v>
      </c>
      <c r="N11" s="341"/>
      <c r="O11" s="379" t="s">
        <v>296</v>
      </c>
      <c r="P11" s="385">
        <v>19000</v>
      </c>
      <c r="Q11" s="386">
        <f t="shared" si="0"/>
        <v>2.5606469002695417E-2</v>
      </c>
      <c r="R11" s="356">
        <v>21000</v>
      </c>
      <c r="S11" s="386">
        <f t="shared" si="1"/>
        <v>3.0085959885386818E-2</v>
      </c>
      <c r="T11" s="341"/>
      <c r="U11" s="341"/>
      <c r="V11" s="341"/>
      <c r="W11" s="341"/>
      <c r="X11" s="341"/>
      <c r="Y11" s="341"/>
      <c r="Z11" s="341"/>
      <c r="AA11" s="341"/>
      <c r="AB11" s="341"/>
      <c r="AC11" s="341"/>
      <c r="AD11" s="341"/>
      <c r="AE11" s="341"/>
      <c r="AF11" s="341"/>
      <c r="AG11" s="341"/>
      <c r="AH11" s="341"/>
      <c r="AI11" s="341"/>
      <c r="AJ11" s="341"/>
      <c r="AK11" s="341"/>
      <c r="AL11" s="341"/>
      <c r="AM11" s="341"/>
      <c r="AN11" s="341"/>
      <c r="AO11" s="341"/>
      <c r="AP11" s="341"/>
      <c r="AQ11" s="341"/>
      <c r="AR11" s="341"/>
      <c r="AS11" s="341"/>
    </row>
    <row r="12" spans="1:45" ht="13.2" x14ac:dyDescent="0.25">
      <c r="A12" s="341"/>
      <c r="B12" s="362" t="s">
        <v>297</v>
      </c>
      <c r="C12" s="356">
        <v>212000</v>
      </c>
      <c r="D12" s="357">
        <v>209000</v>
      </c>
      <c r="E12" s="362" t="s">
        <v>298</v>
      </c>
      <c r="F12" s="356"/>
      <c r="G12" s="357"/>
      <c r="H12" s="341"/>
      <c r="I12" s="387" t="s">
        <v>299</v>
      </c>
      <c r="J12" s="370">
        <f>+C8+C9+C10</f>
        <v>371600</v>
      </c>
      <c r="K12" s="388"/>
      <c r="L12" s="370">
        <f>+D8+D9+D10</f>
        <v>373800</v>
      </c>
      <c r="M12" s="388"/>
      <c r="N12" s="341"/>
      <c r="O12" s="379" t="s">
        <v>300</v>
      </c>
      <c r="P12" s="385"/>
      <c r="Q12" s="386">
        <f t="shared" si="0"/>
        <v>0</v>
      </c>
      <c r="R12" s="356"/>
      <c r="S12" s="386">
        <f t="shared" si="1"/>
        <v>0</v>
      </c>
      <c r="T12" s="341"/>
      <c r="U12" s="341"/>
      <c r="V12" s="341"/>
      <c r="W12" s="341"/>
      <c r="X12" s="341"/>
      <c r="Y12" s="341"/>
      <c r="Z12" s="341"/>
      <c r="AA12" s="341"/>
      <c r="AB12" s="341"/>
      <c r="AC12" s="341"/>
      <c r="AD12" s="341"/>
      <c r="AE12" s="341"/>
      <c r="AF12" s="341"/>
      <c r="AG12" s="341"/>
      <c r="AH12" s="341"/>
      <c r="AI12" s="341"/>
      <c r="AJ12" s="341"/>
      <c r="AK12" s="341"/>
      <c r="AL12" s="341"/>
      <c r="AM12" s="341"/>
      <c r="AN12" s="341"/>
      <c r="AO12" s="341"/>
      <c r="AP12" s="341"/>
      <c r="AQ12" s="341"/>
      <c r="AR12" s="341"/>
      <c r="AS12" s="341"/>
    </row>
    <row r="13" spans="1:45" ht="13.2" x14ac:dyDescent="0.25">
      <c r="A13" s="341"/>
      <c r="B13" s="362" t="s">
        <v>301</v>
      </c>
      <c r="C13" s="356">
        <v>63000</v>
      </c>
      <c r="D13" s="357">
        <v>61000</v>
      </c>
      <c r="E13" s="362" t="s">
        <v>302</v>
      </c>
      <c r="F13" s="356"/>
      <c r="G13" s="357"/>
      <c r="H13" s="341"/>
      <c r="I13" s="382" t="s">
        <v>303</v>
      </c>
      <c r="J13" s="370">
        <f>+J11-J12</f>
        <v>391900</v>
      </c>
      <c r="K13" s="384">
        <f>J13/$L$11</f>
        <v>0.5464305633017289</v>
      </c>
      <c r="L13" s="370">
        <f>+L11-L12</f>
        <v>343400</v>
      </c>
      <c r="M13" s="384">
        <f>L13/$L$11</f>
        <v>0.47880646960401563</v>
      </c>
      <c r="N13" s="341"/>
      <c r="O13" s="379" t="s">
        <v>304</v>
      </c>
      <c r="P13" s="385">
        <v>10000</v>
      </c>
      <c r="Q13" s="386">
        <f t="shared" si="0"/>
        <v>1.3477088948787063E-2</v>
      </c>
      <c r="R13" s="356">
        <v>15000</v>
      </c>
      <c r="S13" s="386">
        <f t="shared" si="1"/>
        <v>2.148997134670487E-2</v>
      </c>
      <c r="T13" s="341"/>
      <c r="U13" s="341"/>
      <c r="V13" s="341"/>
      <c r="W13" s="341"/>
      <c r="X13" s="341"/>
      <c r="Y13" s="341"/>
      <c r="Z13" s="341"/>
      <c r="AA13" s="341"/>
      <c r="AB13" s="341"/>
      <c r="AC13" s="341"/>
      <c r="AD13" s="341"/>
      <c r="AE13" s="341"/>
      <c r="AF13" s="341"/>
      <c r="AG13" s="341"/>
      <c r="AH13" s="341"/>
      <c r="AI13" s="341"/>
      <c r="AJ13" s="341"/>
      <c r="AK13" s="341"/>
      <c r="AL13" s="341"/>
      <c r="AM13" s="341"/>
      <c r="AN13" s="341"/>
      <c r="AO13" s="341"/>
      <c r="AP13" s="341"/>
      <c r="AQ13" s="341"/>
      <c r="AR13" s="341"/>
      <c r="AS13" s="341"/>
    </row>
    <row r="14" spans="1:45" ht="13.2" x14ac:dyDescent="0.25">
      <c r="A14" s="341"/>
      <c r="B14" s="362" t="s">
        <v>305</v>
      </c>
      <c r="C14" s="356"/>
      <c r="D14" s="357"/>
      <c r="E14" s="362" t="s">
        <v>306</v>
      </c>
      <c r="F14" s="356"/>
      <c r="G14" s="357"/>
      <c r="H14" s="341"/>
      <c r="I14" s="358" t="s">
        <v>307</v>
      </c>
      <c r="J14" s="356">
        <f>+F11</f>
        <v>0</v>
      </c>
      <c r="K14" s="388"/>
      <c r="L14" s="356">
        <f>+G11</f>
        <v>0</v>
      </c>
      <c r="M14" s="388"/>
      <c r="N14" s="341"/>
      <c r="O14" s="379" t="s">
        <v>93</v>
      </c>
      <c r="P14" s="385">
        <v>3000</v>
      </c>
      <c r="Q14" s="386">
        <f t="shared" si="0"/>
        <v>4.0431266846361188E-3</v>
      </c>
      <c r="R14" s="356">
        <v>4200</v>
      </c>
      <c r="S14" s="386">
        <f t="shared" si="1"/>
        <v>6.0171919770773642E-3</v>
      </c>
      <c r="T14" s="341"/>
      <c r="U14" s="341"/>
      <c r="V14" s="341"/>
      <c r="W14" s="341"/>
      <c r="X14" s="341"/>
      <c r="Y14" s="341"/>
      <c r="Z14" s="341"/>
      <c r="AA14" s="341"/>
      <c r="AB14" s="341"/>
      <c r="AC14" s="341"/>
      <c r="AD14" s="341"/>
      <c r="AE14" s="341"/>
      <c r="AF14" s="341"/>
      <c r="AG14" s="341"/>
      <c r="AH14" s="341"/>
      <c r="AI14" s="341"/>
      <c r="AJ14" s="341"/>
      <c r="AK14" s="341"/>
      <c r="AL14" s="341"/>
      <c r="AM14" s="341"/>
      <c r="AN14" s="341"/>
      <c r="AO14" s="341"/>
      <c r="AP14" s="341"/>
      <c r="AQ14" s="341"/>
      <c r="AR14" s="341"/>
      <c r="AS14" s="341"/>
    </row>
    <row r="15" spans="1:45" ht="13.2" x14ac:dyDescent="0.25">
      <c r="A15" s="341"/>
      <c r="B15" s="362" t="s">
        <v>308</v>
      </c>
      <c r="C15" s="356"/>
      <c r="D15" s="357"/>
      <c r="E15" s="369" t="s">
        <v>309</v>
      </c>
      <c r="F15" s="370">
        <f>SUM(F9:F14)</f>
        <v>21500</v>
      </c>
      <c r="G15" s="370">
        <f>SUM(G9:G14)</f>
        <v>19200</v>
      </c>
      <c r="H15" s="341"/>
      <c r="I15" s="371" t="s">
        <v>310</v>
      </c>
      <c r="J15" s="370">
        <f>+C11</f>
        <v>19600</v>
      </c>
      <c r="K15" s="388"/>
      <c r="L15" s="370">
        <f>+D11</f>
        <v>18500</v>
      </c>
      <c r="M15" s="388"/>
      <c r="N15" s="341"/>
      <c r="O15" s="379" t="s">
        <v>311</v>
      </c>
      <c r="P15" s="385">
        <v>3000</v>
      </c>
      <c r="Q15" s="386">
        <f t="shared" si="0"/>
        <v>4.0431266846361188E-3</v>
      </c>
      <c r="R15" s="356">
        <v>4600</v>
      </c>
      <c r="S15" s="386">
        <f t="shared" si="1"/>
        <v>6.5902578796561608E-3</v>
      </c>
      <c r="T15" s="341"/>
      <c r="U15" s="341"/>
      <c r="V15" s="341"/>
      <c r="W15" s="341"/>
      <c r="X15" s="341"/>
      <c r="Y15" s="341"/>
      <c r="Z15" s="341"/>
      <c r="AA15" s="341"/>
      <c r="AB15" s="341"/>
      <c r="AC15" s="341"/>
      <c r="AD15" s="341"/>
      <c r="AE15" s="341"/>
      <c r="AF15" s="341"/>
      <c r="AG15" s="341"/>
      <c r="AH15" s="341"/>
      <c r="AI15" s="341"/>
      <c r="AJ15" s="341"/>
      <c r="AK15" s="341"/>
      <c r="AL15" s="341"/>
      <c r="AM15" s="341"/>
      <c r="AN15" s="341"/>
      <c r="AO15" s="341"/>
      <c r="AP15" s="341"/>
      <c r="AQ15" s="341"/>
      <c r="AR15" s="341"/>
      <c r="AS15" s="341"/>
    </row>
    <row r="16" spans="1:45" ht="13.2" x14ac:dyDescent="0.25">
      <c r="A16" s="341"/>
      <c r="B16" s="362" t="s">
        <v>312</v>
      </c>
      <c r="C16" s="356">
        <v>25250</v>
      </c>
      <c r="D16" s="357">
        <v>21400</v>
      </c>
      <c r="E16" s="389" t="s">
        <v>313</v>
      </c>
      <c r="F16" s="370">
        <f>+F15+F7</f>
        <v>763500</v>
      </c>
      <c r="G16" s="370">
        <f>+G15+G7</f>
        <v>717200</v>
      </c>
      <c r="H16" s="341"/>
      <c r="I16" s="371" t="s">
        <v>288</v>
      </c>
      <c r="J16" s="370">
        <f>C12+C13</f>
        <v>275000</v>
      </c>
      <c r="K16" s="388"/>
      <c r="L16" s="370">
        <f>D12+D13</f>
        <v>270000</v>
      </c>
      <c r="M16" s="388"/>
      <c r="N16" s="341"/>
      <c r="O16" s="379" t="s">
        <v>314</v>
      </c>
      <c r="P16" s="385">
        <v>6400</v>
      </c>
      <c r="Q16" s="386">
        <f t="shared" si="0"/>
        <v>8.6253369272237205E-3</v>
      </c>
      <c r="R16" s="356">
        <v>6200</v>
      </c>
      <c r="S16" s="386">
        <f t="shared" si="1"/>
        <v>8.8825214899713473E-3</v>
      </c>
      <c r="T16" s="341"/>
      <c r="U16" s="341"/>
      <c r="V16" s="341"/>
      <c r="W16" s="341"/>
      <c r="X16" s="341"/>
      <c r="Y16" s="341"/>
      <c r="Z16" s="341"/>
      <c r="AA16" s="341"/>
      <c r="AB16" s="341"/>
      <c r="AC16" s="341"/>
      <c r="AD16" s="341"/>
      <c r="AE16" s="341"/>
      <c r="AF16" s="341"/>
      <c r="AG16" s="341"/>
      <c r="AH16" s="341"/>
      <c r="AI16" s="341"/>
      <c r="AJ16" s="341"/>
      <c r="AK16" s="341"/>
      <c r="AL16" s="341"/>
      <c r="AM16" s="341"/>
      <c r="AN16" s="341"/>
      <c r="AO16" s="341"/>
      <c r="AP16" s="341"/>
      <c r="AQ16" s="341"/>
      <c r="AR16" s="341"/>
      <c r="AS16" s="341"/>
    </row>
    <row r="17" spans="1:45" ht="13.2" x14ac:dyDescent="0.25">
      <c r="A17" s="341"/>
      <c r="B17" s="362" t="s">
        <v>315</v>
      </c>
      <c r="C17" s="356"/>
      <c r="D17" s="357"/>
      <c r="E17" s="353" t="s">
        <v>316</v>
      </c>
      <c r="F17" s="356"/>
      <c r="G17" s="357"/>
      <c r="H17" s="341"/>
      <c r="I17" s="382" t="s">
        <v>317</v>
      </c>
      <c r="J17" s="370">
        <f>+J13+J14-J15-J16</f>
        <v>97300</v>
      </c>
      <c r="K17" s="384">
        <f>J17/$L$11</f>
        <v>0.13566648075850529</v>
      </c>
      <c r="L17" s="370">
        <f>+L13+L14-L15-L16</f>
        <v>54900</v>
      </c>
      <c r="M17" s="384">
        <f>L17/$L$11</f>
        <v>7.6547685443390967E-2</v>
      </c>
      <c r="N17" s="341"/>
      <c r="O17" s="379" t="s">
        <v>318</v>
      </c>
      <c r="P17" s="385">
        <v>2000</v>
      </c>
      <c r="Q17" s="386">
        <f t="shared" si="0"/>
        <v>2.6954177897574125E-3</v>
      </c>
      <c r="R17" s="356">
        <v>1900</v>
      </c>
      <c r="S17" s="386">
        <f t="shared" si="1"/>
        <v>2.7220630372492838E-3</v>
      </c>
      <c r="T17" s="341"/>
      <c r="U17" s="341"/>
      <c r="V17" s="341"/>
      <c r="W17" s="341"/>
      <c r="X17" s="341"/>
      <c r="Y17" s="341"/>
      <c r="Z17" s="341"/>
      <c r="AA17" s="341"/>
      <c r="AB17" s="341"/>
      <c r="AC17" s="341"/>
      <c r="AD17" s="341"/>
      <c r="AE17" s="341"/>
      <c r="AF17" s="341"/>
      <c r="AG17" s="341"/>
      <c r="AH17" s="341"/>
      <c r="AI17" s="341"/>
      <c r="AJ17" s="341"/>
      <c r="AK17" s="341"/>
      <c r="AL17" s="341"/>
      <c r="AM17" s="341"/>
      <c r="AN17" s="341"/>
      <c r="AO17" s="341"/>
      <c r="AP17" s="341"/>
      <c r="AQ17" s="341"/>
      <c r="AR17" s="341"/>
      <c r="AS17" s="341"/>
    </row>
    <row r="18" spans="1:45" ht="13.2" x14ac:dyDescent="0.25">
      <c r="A18" s="341"/>
      <c r="B18" s="362" t="s">
        <v>319</v>
      </c>
      <c r="C18" s="356"/>
      <c r="D18" s="357"/>
      <c r="E18" s="353" t="s">
        <v>320</v>
      </c>
      <c r="F18" s="356"/>
      <c r="G18" s="357"/>
      <c r="H18" s="341"/>
      <c r="I18" s="358" t="s">
        <v>321</v>
      </c>
      <c r="J18" s="356">
        <f>F12+F13</f>
        <v>0</v>
      </c>
      <c r="K18" s="388"/>
      <c r="L18" s="356">
        <f>G12+G13</f>
        <v>0</v>
      </c>
      <c r="M18" s="388"/>
      <c r="N18" s="341"/>
      <c r="O18" s="379" t="s">
        <v>322</v>
      </c>
      <c r="P18" s="385">
        <v>4000</v>
      </c>
      <c r="Q18" s="386">
        <f t="shared" si="0"/>
        <v>5.3908355795148251E-3</v>
      </c>
      <c r="R18" s="356">
        <v>3900</v>
      </c>
      <c r="S18" s="386">
        <f t="shared" si="1"/>
        <v>5.5873925501432661E-3</v>
      </c>
      <c r="T18" s="341"/>
      <c r="U18" s="341"/>
      <c r="V18" s="341"/>
      <c r="W18" s="341"/>
      <c r="X18" s="341"/>
      <c r="Y18" s="341"/>
      <c r="Z18" s="341"/>
      <c r="AA18" s="341"/>
      <c r="AB18" s="341"/>
      <c r="AC18" s="341"/>
      <c r="AD18" s="341"/>
      <c r="AE18" s="341"/>
      <c r="AF18" s="341"/>
      <c r="AG18" s="341"/>
      <c r="AH18" s="341"/>
      <c r="AI18" s="341"/>
      <c r="AJ18" s="341"/>
      <c r="AK18" s="341"/>
      <c r="AL18" s="341"/>
      <c r="AM18" s="341"/>
      <c r="AN18" s="341"/>
      <c r="AO18" s="341"/>
      <c r="AP18" s="341"/>
      <c r="AQ18" s="341"/>
      <c r="AR18" s="341"/>
      <c r="AS18" s="341"/>
    </row>
    <row r="19" spans="1:45" ht="13.2" x14ac:dyDescent="0.25">
      <c r="A19" s="341"/>
      <c r="B19" s="362" t="s">
        <v>323</v>
      </c>
      <c r="C19" s="356"/>
      <c r="D19" s="357"/>
      <c r="E19" s="353" t="s">
        <v>324</v>
      </c>
      <c r="F19" s="356"/>
      <c r="G19" s="357"/>
      <c r="H19" s="341"/>
      <c r="I19" s="358" t="s">
        <v>325</v>
      </c>
      <c r="J19" s="356">
        <f>+F14</f>
        <v>0</v>
      </c>
      <c r="K19" s="388"/>
      <c r="L19" s="356">
        <f>+G14</f>
        <v>0</v>
      </c>
      <c r="M19" s="388"/>
      <c r="N19" s="341"/>
      <c r="O19" s="379" t="s">
        <v>326</v>
      </c>
      <c r="P19" s="385">
        <v>3400</v>
      </c>
      <c r="Q19" s="386">
        <f t="shared" si="0"/>
        <v>4.5822102425876008E-3</v>
      </c>
      <c r="R19" s="356">
        <v>3400</v>
      </c>
      <c r="S19" s="386">
        <f t="shared" si="1"/>
        <v>4.8710601719197709E-3</v>
      </c>
      <c r="T19" s="341"/>
      <c r="U19" s="341"/>
      <c r="V19" s="341"/>
      <c r="W19" s="341"/>
      <c r="X19" s="341"/>
      <c r="Y19" s="341"/>
      <c r="Z19" s="341"/>
      <c r="AA19" s="341"/>
      <c r="AB19" s="341"/>
      <c r="AC19" s="341"/>
      <c r="AD19" s="341"/>
      <c r="AE19" s="341"/>
      <c r="AF19" s="341"/>
      <c r="AG19" s="341"/>
      <c r="AH19" s="341"/>
      <c r="AI19" s="341"/>
      <c r="AJ19" s="341"/>
      <c r="AK19" s="341"/>
      <c r="AL19" s="341"/>
      <c r="AM19" s="341"/>
      <c r="AN19" s="341"/>
      <c r="AO19" s="341"/>
      <c r="AP19" s="341"/>
      <c r="AQ19" s="341"/>
      <c r="AR19" s="341"/>
      <c r="AS19" s="341"/>
    </row>
    <row r="20" spans="1:45" ht="13.2" x14ac:dyDescent="0.25">
      <c r="A20" s="341"/>
      <c r="B20" s="362" t="s">
        <v>327</v>
      </c>
      <c r="C20" s="356">
        <v>3200</v>
      </c>
      <c r="D20" s="357">
        <v>2900</v>
      </c>
      <c r="E20" s="362" t="s">
        <v>328</v>
      </c>
      <c r="F20" s="356"/>
      <c r="G20" s="357"/>
      <c r="H20" s="341"/>
      <c r="I20" s="371" t="s">
        <v>329</v>
      </c>
      <c r="J20" s="370">
        <f>SUM(C16:C19)</f>
        <v>25250</v>
      </c>
      <c r="K20" s="388"/>
      <c r="L20" s="370">
        <f>SUM(D16:D19)</f>
        <v>21400</v>
      </c>
      <c r="M20" s="388"/>
      <c r="N20" s="341"/>
      <c r="O20" s="379" t="s">
        <v>132</v>
      </c>
      <c r="P20" s="385">
        <v>6400</v>
      </c>
      <c r="Q20" s="386">
        <f t="shared" si="0"/>
        <v>8.6253369272237205E-3</v>
      </c>
      <c r="R20" s="356">
        <v>8800</v>
      </c>
      <c r="S20" s="386">
        <f t="shared" si="1"/>
        <v>1.2607449856733524E-2</v>
      </c>
      <c r="T20" s="341"/>
      <c r="U20" s="341"/>
      <c r="V20" s="341"/>
      <c r="W20" s="341"/>
      <c r="X20" s="341"/>
      <c r="Y20" s="341"/>
      <c r="Z20" s="341"/>
      <c r="AA20" s="341"/>
      <c r="AB20" s="341"/>
      <c r="AC20" s="341"/>
      <c r="AD20" s="341"/>
      <c r="AE20" s="341"/>
      <c r="AF20" s="341"/>
      <c r="AG20" s="341"/>
      <c r="AH20" s="341"/>
      <c r="AI20" s="341"/>
      <c r="AJ20" s="341"/>
      <c r="AK20" s="341"/>
      <c r="AL20" s="341"/>
      <c r="AM20" s="341"/>
      <c r="AN20" s="341"/>
      <c r="AO20" s="341"/>
      <c r="AP20" s="341"/>
      <c r="AQ20" s="341"/>
      <c r="AR20" s="341"/>
      <c r="AS20" s="341"/>
    </row>
    <row r="21" spans="1:45" ht="13.2" x14ac:dyDescent="0.25">
      <c r="A21" s="341"/>
      <c r="B21" s="389" t="s">
        <v>330</v>
      </c>
      <c r="C21" s="370">
        <f>SUM(C5:C20)</f>
        <v>694650</v>
      </c>
      <c r="D21" s="370">
        <f>SUM(D5:D20)</f>
        <v>686600</v>
      </c>
      <c r="E21" s="362" t="s">
        <v>331</v>
      </c>
      <c r="F21" s="356"/>
      <c r="G21" s="357"/>
      <c r="H21" s="341"/>
      <c r="I21" s="371" t="s">
        <v>332</v>
      </c>
      <c r="J21" s="370">
        <f>+C20</f>
        <v>3200</v>
      </c>
      <c r="K21" s="388"/>
      <c r="L21" s="370">
        <f>+D20</f>
        <v>2900</v>
      </c>
      <c r="M21" s="388"/>
      <c r="N21" s="341"/>
      <c r="O21" s="379" t="s">
        <v>333</v>
      </c>
      <c r="P21" s="385">
        <v>1000</v>
      </c>
      <c r="Q21" s="386">
        <f t="shared" si="0"/>
        <v>1.3477088948787063E-3</v>
      </c>
      <c r="R21" s="356">
        <v>4200</v>
      </c>
      <c r="S21" s="386">
        <f t="shared" si="1"/>
        <v>6.0171919770773642E-3</v>
      </c>
      <c r="T21" s="341"/>
      <c r="U21" s="341"/>
      <c r="V21" s="341"/>
      <c r="W21" s="341"/>
      <c r="X21" s="341"/>
      <c r="Y21" s="341"/>
      <c r="Z21" s="341"/>
      <c r="AA21" s="341"/>
      <c r="AB21" s="341"/>
      <c r="AC21" s="341"/>
      <c r="AD21" s="341"/>
      <c r="AE21" s="341"/>
      <c r="AF21" s="341"/>
      <c r="AG21" s="341"/>
      <c r="AH21" s="341"/>
      <c r="AI21" s="341"/>
      <c r="AJ21" s="341"/>
      <c r="AK21" s="341"/>
      <c r="AL21" s="341"/>
      <c r="AM21" s="341"/>
      <c r="AN21" s="341"/>
      <c r="AO21" s="341"/>
      <c r="AP21" s="341"/>
      <c r="AQ21" s="341"/>
      <c r="AR21" s="341"/>
      <c r="AS21" s="341"/>
    </row>
    <row r="22" spans="1:45" ht="13.2" x14ac:dyDescent="0.25">
      <c r="A22" s="341"/>
      <c r="B22" s="353" t="s">
        <v>316</v>
      </c>
      <c r="C22" s="356"/>
      <c r="D22" s="357"/>
      <c r="E22" s="362" t="s">
        <v>334</v>
      </c>
      <c r="F22" s="356"/>
      <c r="G22" s="357"/>
      <c r="H22" s="341"/>
      <c r="I22" s="382" t="s">
        <v>335</v>
      </c>
      <c r="J22" s="370">
        <f>+J17+J18+J19-J20-J21</f>
        <v>68850</v>
      </c>
      <c r="K22" s="384">
        <f>J22/$L$11</f>
        <v>9.5998326826547686E-2</v>
      </c>
      <c r="L22" s="370">
        <f>+L17+L18+L19-L20-L21</f>
        <v>30600</v>
      </c>
      <c r="M22" s="384">
        <f>L22/$L$11</f>
        <v>4.266592303402119E-2</v>
      </c>
      <c r="N22" s="341"/>
      <c r="O22" s="379" t="s">
        <v>336</v>
      </c>
      <c r="P22" s="385">
        <v>2800</v>
      </c>
      <c r="Q22" s="386">
        <f t="shared" si="0"/>
        <v>3.7735849056603774E-3</v>
      </c>
      <c r="R22" s="356">
        <v>2700</v>
      </c>
      <c r="S22" s="386">
        <f t="shared" si="1"/>
        <v>3.8681948424068766E-3</v>
      </c>
      <c r="T22" s="341"/>
      <c r="U22" s="341"/>
      <c r="V22" s="341"/>
      <c r="W22" s="341"/>
      <c r="X22" s="341"/>
      <c r="Y22" s="341"/>
      <c r="Z22" s="341"/>
      <c r="AA22" s="341"/>
      <c r="AB22" s="341"/>
      <c r="AC22" s="341"/>
      <c r="AD22" s="341"/>
      <c r="AE22" s="341"/>
      <c r="AF22" s="341"/>
      <c r="AG22" s="341"/>
      <c r="AH22" s="341"/>
      <c r="AI22" s="341"/>
      <c r="AJ22" s="341"/>
      <c r="AK22" s="341"/>
      <c r="AL22" s="341"/>
      <c r="AM22" s="341"/>
      <c r="AN22" s="341"/>
      <c r="AO22" s="341"/>
      <c r="AP22" s="341"/>
      <c r="AQ22" s="341"/>
      <c r="AR22" s="341"/>
      <c r="AS22" s="341"/>
    </row>
    <row r="23" spans="1:45" ht="13.2" x14ac:dyDescent="0.25">
      <c r="A23" s="341"/>
      <c r="B23" s="353" t="s">
        <v>320</v>
      </c>
      <c r="C23" s="356"/>
      <c r="D23" s="357"/>
      <c r="E23" s="362" t="s">
        <v>337</v>
      </c>
      <c r="F23" s="356"/>
      <c r="G23" s="357"/>
      <c r="H23" s="341"/>
      <c r="I23" s="362" t="s">
        <v>338</v>
      </c>
      <c r="J23" s="356">
        <f>+F18</f>
        <v>0</v>
      </c>
      <c r="K23" s="388"/>
      <c r="L23" s="356">
        <f>+G18</f>
        <v>0</v>
      </c>
      <c r="M23" s="388"/>
      <c r="N23" s="341"/>
      <c r="O23" s="379" t="s">
        <v>339</v>
      </c>
      <c r="P23" s="385"/>
      <c r="Q23" s="386">
        <f t="shared" si="0"/>
        <v>0</v>
      </c>
      <c r="R23" s="356"/>
      <c r="S23" s="386">
        <f t="shared" si="1"/>
        <v>0</v>
      </c>
      <c r="T23" s="341"/>
      <c r="U23" s="341"/>
      <c r="V23" s="341"/>
      <c r="W23" s="341"/>
      <c r="X23" s="341"/>
      <c r="Y23" s="341"/>
      <c r="Z23" s="341"/>
      <c r="AA23" s="341"/>
      <c r="AB23" s="341"/>
      <c r="AC23" s="341"/>
      <c r="AD23" s="341"/>
      <c r="AE23" s="341"/>
      <c r="AF23" s="341"/>
      <c r="AG23" s="341"/>
      <c r="AH23" s="341"/>
      <c r="AI23" s="341"/>
      <c r="AJ23" s="341"/>
      <c r="AK23" s="341"/>
      <c r="AL23" s="341"/>
      <c r="AM23" s="341"/>
      <c r="AN23" s="341"/>
      <c r="AO23" s="341"/>
      <c r="AP23" s="341"/>
      <c r="AQ23" s="341"/>
      <c r="AR23" s="341"/>
      <c r="AS23" s="341"/>
    </row>
    <row r="24" spans="1:45" ht="13.2" x14ac:dyDescent="0.25">
      <c r="A24" s="341"/>
      <c r="B24" s="353" t="s">
        <v>143</v>
      </c>
      <c r="C24" s="356"/>
      <c r="D24" s="357"/>
      <c r="E24" s="362" t="s">
        <v>340</v>
      </c>
      <c r="F24" s="356"/>
      <c r="G24" s="357"/>
      <c r="H24" s="341"/>
      <c r="I24" s="358" t="s">
        <v>324</v>
      </c>
      <c r="J24" s="356">
        <f>+F27</f>
        <v>0</v>
      </c>
      <c r="K24" s="388"/>
      <c r="L24" s="356">
        <f>+G27</f>
        <v>0</v>
      </c>
      <c r="M24" s="388"/>
      <c r="N24" s="341"/>
      <c r="O24" s="379" t="s">
        <v>341</v>
      </c>
      <c r="P24" s="385">
        <v>4200</v>
      </c>
      <c r="Q24" s="386">
        <f t="shared" si="0"/>
        <v>5.6603773584905656E-3</v>
      </c>
      <c r="R24" s="356">
        <v>4800</v>
      </c>
      <c r="S24" s="386">
        <f t="shared" si="1"/>
        <v>6.8767908309455587E-3</v>
      </c>
      <c r="T24" s="341"/>
      <c r="U24" s="341"/>
      <c r="V24" s="341"/>
      <c r="W24" s="341"/>
      <c r="X24" s="341"/>
      <c r="Y24" s="341"/>
      <c r="Z24" s="341"/>
      <c r="AA24" s="341"/>
      <c r="AB24" s="341"/>
      <c r="AC24" s="341"/>
      <c r="AD24" s="341"/>
      <c r="AE24" s="341"/>
      <c r="AF24" s="341"/>
      <c r="AG24" s="341"/>
      <c r="AH24" s="341"/>
      <c r="AI24" s="341"/>
      <c r="AJ24" s="341"/>
      <c r="AK24" s="341"/>
      <c r="AL24" s="341"/>
      <c r="AM24" s="341"/>
      <c r="AN24" s="341"/>
      <c r="AO24" s="341"/>
      <c r="AP24" s="341"/>
      <c r="AQ24" s="341"/>
      <c r="AR24" s="341"/>
      <c r="AS24" s="341"/>
    </row>
    <row r="25" spans="1:45" ht="13.2" x14ac:dyDescent="0.25">
      <c r="A25" s="341"/>
      <c r="B25" s="362" t="s">
        <v>342</v>
      </c>
      <c r="C25" s="356"/>
      <c r="D25" s="357"/>
      <c r="E25" s="362" t="s">
        <v>343</v>
      </c>
      <c r="F25" s="356"/>
      <c r="G25" s="357"/>
      <c r="H25" s="341"/>
      <c r="I25" s="371" t="s">
        <v>143</v>
      </c>
      <c r="J25" s="370">
        <f>+C29</f>
        <v>10700</v>
      </c>
      <c r="K25" s="388"/>
      <c r="L25" s="370">
        <f>+D29</f>
        <v>11800</v>
      </c>
      <c r="M25" s="388"/>
      <c r="N25" s="341"/>
      <c r="O25" s="379" t="s">
        <v>344</v>
      </c>
      <c r="P25" s="385">
        <v>3200</v>
      </c>
      <c r="Q25" s="386">
        <f t="shared" si="0"/>
        <v>4.3126684636118602E-3</v>
      </c>
      <c r="R25" s="356">
        <v>3000</v>
      </c>
      <c r="S25" s="386">
        <f t="shared" si="1"/>
        <v>4.2979942693409743E-3</v>
      </c>
      <c r="T25" s="341"/>
      <c r="U25" s="341"/>
      <c r="V25" s="341"/>
      <c r="W25" s="341"/>
      <c r="X25" s="341"/>
      <c r="Y25" s="341"/>
      <c r="Z25" s="341"/>
      <c r="AA25" s="341"/>
      <c r="AB25" s="341"/>
      <c r="AC25" s="341"/>
      <c r="AD25" s="341"/>
      <c r="AE25" s="341"/>
      <c r="AF25" s="341"/>
      <c r="AG25" s="341"/>
      <c r="AH25" s="341"/>
      <c r="AI25" s="341"/>
      <c r="AJ25" s="341"/>
      <c r="AK25" s="341"/>
      <c r="AL25" s="341"/>
      <c r="AM25" s="341"/>
      <c r="AN25" s="341"/>
      <c r="AO25" s="341"/>
      <c r="AP25" s="341"/>
      <c r="AQ25" s="341"/>
      <c r="AR25" s="341"/>
      <c r="AS25" s="341"/>
    </row>
    <row r="26" spans="1:45" ht="13.2" x14ac:dyDescent="0.25">
      <c r="A26" s="341"/>
      <c r="B26" s="362" t="s">
        <v>345</v>
      </c>
      <c r="C26" s="356">
        <v>10700</v>
      </c>
      <c r="D26" s="357">
        <v>11800</v>
      </c>
      <c r="E26" s="362" t="s">
        <v>346</v>
      </c>
      <c r="F26" s="356"/>
      <c r="G26" s="357"/>
      <c r="H26" s="341"/>
      <c r="I26" s="382" t="s">
        <v>347</v>
      </c>
      <c r="J26" s="370">
        <f>+J22+J23+J24-J25</f>
        <v>58150</v>
      </c>
      <c r="K26" s="384">
        <f>J26/$L$11</f>
        <v>8.1079196876742893E-2</v>
      </c>
      <c r="L26" s="370">
        <f>+L22+L23+L24-L25</f>
        <v>18800</v>
      </c>
      <c r="M26" s="384">
        <f>L26/$L$11</f>
        <v>2.6213050752928055E-2</v>
      </c>
      <c r="N26" s="341"/>
      <c r="O26" s="379" t="s">
        <v>118</v>
      </c>
      <c r="P26" s="385">
        <v>19600</v>
      </c>
      <c r="Q26" s="386">
        <f t="shared" si="0"/>
        <v>2.6415094339622643E-2</v>
      </c>
      <c r="R26" s="370">
        <f>D11</f>
        <v>18500</v>
      </c>
      <c r="S26" s="386">
        <f t="shared" si="1"/>
        <v>2.650429799426934E-2</v>
      </c>
      <c r="T26" s="341"/>
      <c r="U26" s="341"/>
      <c r="V26" s="341"/>
      <c r="W26" s="341"/>
      <c r="X26" s="341"/>
      <c r="Y26" s="341"/>
      <c r="Z26" s="341"/>
      <c r="AA26" s="341"/>
      <c r="AB26" s="341"/>
      <c r="AC26" s="341"/>
      <c r="AD26" s="341"/>
      <c r="AE26" s="341"/>
      <c r="AF26" s="341"/>
      <c r="AG26" s="341"/>
      <c r="AH26" s="341"/>
      <c r="AI26" s="341"/>
      <c r="AJ26" s="341"/>
      <c r="AK26" s="341"/>
      <c r="AL26" s="341"/>
      <c r="AM26" s="341"/>
      <c r="AN26" s="341"/>
      <c r="AO26" s="341"/>
      <c r="AP26" s="341"/>
      <c r="AQ26" s="341"/>
      <c r="AR26" s="341"/>
      <c r="AS26" s="341"/>
    </row>
    <row r="27" spans="1:45" ht="13.2" x14ac:dyDescent="0.25">
      <c r="A27" s="341"/>
      <c r="B27" s="362" t="s">
        <v>348</v>
      </c>
      <c r="C27" s="356"/>
      <c r="D27" s="357"/>
      <c r="E27" s="390" t="s">
        <v>349</v>
      </c>
      <c r="F27" s="356">
        <f>SUM(F20:F26)</f>
        <v>0</v>
      </c>
      <c r="G27" s="356">
        <f>SUM(G20:G26)</f>
        <v>0</v>
      </c>
      <c r="H27" s="341"/>
      <c r="I27" s="371" t="s">
        <v>350</v>
      </c>
      <c r="J27" s="370">
        <f>+F32</f>
        <v>1000</v>
      </c>
      <c r="K27" s="388"/>
      <c r="L27" s="370">
        <f>+G32</f>
        <v>200</v>
      </c>
      <c r="M27" s="388"/>
      <c r="N27" s="341"/>
      <c r="O27" s="379" t="s">
        <v>351</v>
      </c>
      <c r="P27" s="385"/>
      <c r="Q27" s="386">
        <f t="shared" si="0"/>
        <v>0</v>
      </c>
      <c r="R27" s="356"/>
      <c r="S27" s="386">
        <f t="shared" si="1"/>
        <v>0</v>
      </c>
      <c r="T27" s="341"/>
      <c r="U27" s="341"/>
      <c r="V27" s="341"/>
      <c r="W27" s="341"/>
      <c r="X27" s="341"/>
      <c r="Y27" s="341"/>
      <c r="Z27" s="341"/>
      <c r="AA27" s="341"/>
      <c r="AB27" s="341"/>
      <c r="AC27" s="341"/>
      <c r="AD27" s="341"/>
      <c r="AE27" s="341"/>
      <c r="AF27" s="341"/>
      <c r="AG27" s="341"/>
      <c r="AH27" s="341"/>
      <c r="AI27" s="341"/>
      <c r="AJ27" s="341"/>
      <c r="AK27" s="341"/>
      <c r="AL27" s="341"/>
      <c r="AM27" s="341"/>
      <c r="AN27" s="341"/>
      <c r="AO27" s="341"/>
      <c r="AP27" s="341"/>
      <c r="AQ27" s="341"/>
      <c r="AR27" s="341"/>
      <c r="AS27" s="341"/>
    </row>
    <row r="28" spans="1:45" ht="13.2" x14ac:dyDescent="0.25">
      <c r="A28" s="341"/>
      <c r="B28" s="362" t="s">
        <v>352</v>
      </c>
      <c r="C28" s="356"/>
      <c r="D28" s="357"/>
      <c r="E28" s="353" t="s">
        <v>350</v>
      </c>
      <c r="F28" s="356"/>
      <c r="G28" s="357"/>
      <c r="H28" s="341"/>
      <c r="I28" s="371" t="s">
        <v>144</v>
      </c>
      <c r="J28" s="370">
        <f>+C34</f>
        <v>1150</v>
      </c>
      <c r="K28" s="388"/>
      <c r="L28" s="370">
        <f>+D34</f>
        <v>500</v>
      </c>
      <c r="M28" s="388"/>
      <c r="N28" s="341"/>
      <c r="O28" s="391" t="s">
        <v>353</v>
      </c>
      <c r="P28" s="392">
        <f>SUM(P11:P27)</f>
        <v>88000</v>
      </c>
      <c r="Q28" s="393">
        <f t="shared" si="0"/>
        <v>0.11859838274932614</v>
      </c>
      <c r="R28" s="394">
        <f>SUM(R11:R27)</f>
        <v>102200</v>
      </c>
      <c r="S28" s="393">
        <f t="shared" si="1"/>
        <v>0.14641833810888252</v>
      </c>
      <c r="T28" s="341"/>
      <c r="U28" s="341"/>
      <c r="V28" s="341"/>
      <c r="W28" s="341"/>
      <c r="X28" s="341"/>
      <c r="Y28" s="341"/>
      <c r="Z28" s="341"/>
      <c r="AA28" s="341"/>
      <c r="AB28" s="341"/>
      <c r="AC28" s="341"/>
      <c r="AD28" s="341"/>
      <c r="AE28" s="341"/>
      <c r="AF28" s="341"/>
      <c r="AG28" s="341"/>
      <c r="AH28" s="341"/>
      <c r="AI28" s="341"/>
      <c r="AJ28" s="341"/>
      <c r="AK28" s="341"/>
      <c r="AL28" s="341"/>
      <c r="AM28" s="341"/>
      <c r="AN28" s="341"/>
      <c r="AO28" s="341"/>
      <c r="AP28" s="341"/>
      <c r="AQ28" s="341"/>
      <c r="AR28" s="341"/>
      <c r="AS28" s="341"/>
    </row>
    <row r="29" spans="1:45" ht="13.2" x14ac:dyDescent="0.25">
      <c r="A29" s="341"/>
      <c r="B29" s="389" t="s">
        <v>349</v>
      </c>
      <c r="C29" s="370">
        <f>SUM(C25:C28)</f>
        <v>10700</v>
      </c>
      <c r="D29" s="370">
        <f>SUM(D25:D28)</f>
        <v>11800</v>
      </c>
      <c r="E29" s="362" t="s">
        <v>354</v>
      </c>
      <c r="F29" s="356">
        <v>100</v>
      </c>
      <c r="G29" s="357">
        <v>200</v>
      </c>
      <c r="H29" s="341"/>
      <c r="I29" s="382" t="s">
        <v>355</v>
      </c>
      <c r="J29" s="370">
        <f>+J27-J28</f>
        <v>-150</v>
      </c>
      <c r="K29" s="388"/>
      <c r="L29" s="370">
        <f>+L27-L28</f>
        <v>-300</v>
      </c>
      <c r="M29" s="388"/>
      <c r="N29" s="341"/>
      <c r="O29" s="352" t="s">
        <v>356</v>
      </c>
      <c r="P29" s="375">
        <f>P10-P28</f>
        <v>164900</v>
      </c>
      <c r="Q29" s="376">
        <f t="shared" si="0"/>
        <v>0.22223719676549866</v>
      </c>
      <c r="R29" s="377">
        <f>R10-R28</f>
        <v>120200</v>
      </c>
      <c r="S29" s="376">
        <f t="shared" si="1"/>
        <v>0.17220630372492837</v>
      </c>
      <c r="T29" s="341"/>
      <c r="U29" s="341"/>
      <c r="V29" s="341"/>
      <c r="W29" s="341"/>
      <c r="X29" s="341"/>
      <c r="Y29" s="341"/>
      <c r="Z29" s="341"/>
      <c r="AA29" s="341"/>
      <c r="AB29" s="341"/>
      <c r="AC29" s="341"/>
      <c r="AD29" s="341"/>
      <c r="AE29" s="341"/>
      <c r="AF29" s="341"/>
      <c r="AG29" s="341"/>
      <c r="AH29" s="341"/>
      <c r="AI29" s="341"/>
      <c r="AJ29" s="341"/>
      <c r="AK29" s="341"/>
      <c r="AL29" s="341"/>
      <c r="AM29" s="341"/>
      <c r="AN29" s="341"/>
      <c r="AO29" s="341"/>
      <c r="AP29" s="341"/>
      <c r="AQ29" s="341"/>
      <c r="AR29" s="341"/>
      <c r="AS29" s="341"/>
    </row>
    <row r="30" spans="1:45" ht="13.2" x14ac:dyDescent="0.25">
      <c r="A30" s="341"/>
      <c r="B30" s="353" t="s">
        <v>144</v>
      </c>
      <c r="C30" s="356"/>
      <c r="D30" s="357"/>
      <c r="E30" s="362" t="s">
        <v>357</v>
      </c>
      <c r="F30" s="356">
        <v>900</v>
      </c>
      <c r="G30" s="357"/>
      <c r="H30" s="341"/>
      <c r="I30" s="358" t="s">
        <v>358</v>
      </c>
      <c r="J30" s="356"/>
      <c r="K30" s="388"/>
      <c r="L30" s="356"/>
      <c r="M30" s="388"/>
      <c r="N30" s="341"/>
      <c r="O30" s="379" t="s">
        <v>359</v>
      </c>
      <c r="P30" s="380">
        <f>C16</f>
        <v>25250</v>
      </c>
      <c r="Q30" s="386">
        <f t="shared" si="0"/>
        <v>3.4029649595687335E-2</v>
      </c>
      <c r="R30" s="370">
        <f>D16</f>
        <v>21400</v>
      </c>
      <c r="S30" s="386">
        <f t="shared" si="1"/>
        <v>3.0659025787965616E-2</v>
      </c>
      <c r="T30" s="341"/>
      <c r="U30" s="341"/>
      <c r="V30" s="341"/>
      <c r="W30" s="341"/>
      <c r="X30" s="341"/>
      <c r="Y30" s="341"/>
      <c r="Z30" s="341"/>
      <c r="AA30" s="341"/>
      <c r="AB30" s="341"/>
      <c r="AC30" s="341"/>
      <c r="AD30" s="341"/>
      <c r="AE30" s="341"/>
      <c r="AF30" s="341"/>
      <c r="AG30" s="341"/>
      <c r="AH30" s="341"/>
      <c r="AI30" s="341"/>
      <c r="AJ30" s="341"/>
      <c r="AK30" s="341"/>
      <c r="AL30" s="341"/>
      <c r="AM30" s="341"/>
      <c r="AN30" s="341"/>
      <c r="AO30" s="341"/>
      <c r="AP30" s="341"/>
      <c r="AQ30" s="341"/>
      <c r="AR30" s="341"/>
      <c r="AS30" s="341"/>
    </row>
    <row r="31" spans="1:45" ht="13.2" x14ac:dyDescent="0.25">
      <c r="A31" s="341"/>
      <c r="B31" s="362" t="s">
        <v>354</v>
      </c>
      <c r="C31" s="356">
        <v>650</v>
      </c>
      <c r="D31" s="357">
        <v>500</v>
      </c>
      <c r="E31" s="362" t="s">
        <v>340</v>
      </c>
      <c r="F31" s="356"/>
      <c r="G31" s="357"/>
      <c r="H31" s="341"/>
      <c r="I31" s="371" t="s">
        <v>360</v>
      </c>
      <c r="J31" s="370">
        <f>+C36</f>
        <v>23000</v>
      </c>
      <c r="K31" s="388"/>
      <c r="L31" s="370">
        <f>+D36</f>
        <v>7400</v>
      </c>
      <c r="M31" s="388"/>
      <c r="N31" s="341"/>
      <c r="O31" s="379" t="s">
        <v>142</v>
      </c>
      <c r="P31" s="385">
        <v>75000</v>
      </c>
      <c r="Q31" s="386">
        <f t="shared" si="0"/>
        <v>0.10107816711590296</v>
      </c>
      <c r="R31" s="356">
        <v>73000</v>
      </c>
      <c r="S31" s="386">
        <f t="shared" si="1"/>
        <v>0.10458452722063037</v>
      </c>
      <c r="T31" s="341"/>
      <c r="U31" s="341"/>
      <c r="V31" s="341"/>
      <c r="W31" s="341"/>
      <c r="X31" s="341"/>
      <c r="Y31" s="341"/>
      <c r="Z31" s="341"/>
      <c r="AA31" s="341"/>
      <c r="AB31" s="341"/>
      <c r="AC31" s="341"/>
      <c r="AD31" s="341"/>
      <c r="AE31" s="341"/>
      <c r="AF31" s="341"/>
      <c r="AG31" s="341"/>
      <c r="AH31" s="341"/>
      <c r="AI31" s="341"/>
      <c r="AJ31" s="341"/>
      <c r="AK31" s="341"/>
      <c r="AL31" s="341"/>
      <c r="AM31" s="341"/>
      <c r="AN31" s="341"/>
      <c r="AO31" s="341"/>
      <c r="AP31" s="341"/>
      <c r="AQ31" s="341"/>
      <c r="AR31" s="341"/>
      <c r="AS31" s="341"/>
    </row>
    <row r="32" spans="1:45" ht="13.2" x14ac:dyDescent="0.25">
      <c r="A32" s="341"/>
      <c r="B32" s="362" t="s">
        <v>357</v>
      </c>
      <c r="C32" s="356">
        <v>500</v>
      </c>
      <c r="D32" s="357"/>
      <c r="E32" s="389" t="s">
        <v>361</v>
      </c>
      <c r="F32" s="370">
        <f>SUM(F29:F31)</f>
        <v>1000</v>
      </c>
      <c r="G32" s="370">
        <f>SUM(G29:G31)</f>
        <v>200</v>
      </c>
      <c r="H32" s="341"/>
      <c r="I32" s="395" t="s">
        <v>362</v>
      </c>
      <c r="J32" s="396">
        <f>+J26+J29-J30-J31</f>
        <v>35000</v>
      </c>
      <c r="K32" s="384">
        <f>J32/$L$11</f>
        <v>4.8800892359174571E-2</v>
      </c>
      <c r="L32" s="396">
        <f>+L26+L29-L30-L31</f>
        <v>11100</v>
      </c>
      <c r="M32" s="384">
        <f>L32/$L$11</f>
        <v>1.5476854433909649E-2</v>
      </c>
      <c r="N32" s="341"/>
      <c r="O32" s="379" t="s">
        <v>363</v>
      </c>
      <c r="P32" s="385"/>
      <c r="Q32" s="386">
        <f t="shared" si="0"/>
        <v>0</v>
      </c>
      <c r="R32" s="356"/>
      <c r="S32" s="386">
        <f t="shared" si="1"/>
        <v>0</v>
      </c>
      <c r="T32" s="341"/>
      <c r="U32" s="341"/>
      <c r="V32" s="341"/>
      <c r="W32" s="341"/>
      <c r="X32" s="341"/>
      <c r="Y32" s="341"/>
      <c r="Z32" s="341"/>
      <c r="AA32" s="341"/>
      <c r="AB32" s="341"/>
      <c r="AC32" s="341"/>
      <c r="AD32" s="341"/>
      <c r="AE32" s="341"/>
      <c r="AF32" s="341"/>
      <c r="AG32" s="341"/>
      <c r="AH32" s="341"/>
      <c r="AI32" s="341"/>
      <c r="AJ32" s="341"/>
      <c r="AK32" s="341"/>
      <c r="AL32" s="341"/>
      <c r="AM32" s="341"/>
      <c r="AN32" s="341"/>
      <c r="AO32" s="341"/>
      <c r="AP32" s="341"/>
      <c r="AQ32" s="341"/>
      <c r="AR32" s="341"/>
      <c r="AS32" s="341"/>
    </row>
    <row r="33" spans="1:45" ht="13.2" x14ac:dyDescent="0.25">
      <c r="A33" s="341"/>
      <c r="B33" s="362" t="s">
        <v>364</v>
      </c>
      <c r="C33" s="356"/>
      <c r="D33" s="357"/>
      <c r="E33" s="397" t="s">
        <v>365</v>
      </c>
      <c r="F33" s="370">
        <f>+F32+F27+F18+F16</f>
        <v>764500</v>
      </c>
      <c r="G33" s="370">
        <f>+G32+G27+G18+G16</f>
        <v>717400</v>
      </c>
      <c r="H33" s="341"/>
      <c r="I33" s="358" t="s">
        <v>366</v>
      </c>
      <c r="J33" s="356">
        <v>900</v>
      </c>
      <c r="K33" s="398"/>
      <c r="L33" s="356"/>
      <c r="M33" s="398"/>
      <c r="N33" s="341"/>
      <c r="O33" s="379" t="s">
        <v>367</v>
      </c>
      <c r="P33" s="380">
        <f>C42</f>
        <v>6500</v>
      </c>
      <c r="Q33" s="386">
        <f t="shared" si="0"/>
        <v>8.7601078167115903E-3</v>
      </c>
      <c r="R33" s="370">
        <f>D42</f>
        <v>7000</v>
      </c>
      <c r="S33" s="386">
        <f t="shared" si="1"/>
        <v>1.0028653295128941E-2</v>
      </c>
      <c r="T33" s="341"/>
      <c r="U33" s="341"/>
      <c r="V33" s="341"/>
      <c r="W33" s="341"/>
      <c r="X33" s="341"/>
      <c r="Y33" s="341"/>
      <c r="Z33" s="341"/>
      <c r="AA33" s="341"/>
      <c r="AB33" s="341"/>
      <c r="AC33" s="341"/>
      <c r="AD33" s="341"/>
      <c r="AE33" s="341"/>
      <c r="AF33" s="341"/>
      <c r="AG33" s="341"/>
      <c r="AH33" s="341"/>
      <c r="AI33" s="341"/>
      <c r="AJ33" s="341"/>
      <c r="AK33" s="341"/>
      <c r="AL33" s="341"/>
      <c r="AM33" s="341"/>
      <c r="AN33" s="341"/>
      <c r="AO33" s="341"/>
      <c r="AP33" s="341"/>
      <c r="AQ33" s="341"/>
      <c r="AR33" s="341"/>
      <c r="AS33" s="341"/>
    </row>
    <row r="34" spans="1:45" ht="13.2" x14ac:dyDescent="0.25">
      <c r="A34" s="341"/>
      <c r="B34" s="389" t="s">
        <v>361</v>
      </c>
      <c r="C34" s="370">
        <f>SUM(C31:C33)</f>
        <v>1150</v>
      </c>
      <c r="D34" s="370">
        <f>SUM(D31:D33)</f>
        <v>500</v>
      </c>
      <c r="E34" s="399" t="s">
        <v>368</v>
      </c>
      <c r="F34" s="356" t="str">
        <f>IF(C37&gt;F33,C37-F33," ")</f>
        <v xml:space="preserve"> </v>
      </c>
      <c r="G34" s="357"/>
      <c r="H34" s="341"/>
      <c r="I34" s="362" t="s">
        <v>369</v>
      </c>
      <c r="J34" s="356">
        <v>500</v>
      </c>
      <c r="K34" s="359"/>
      <c r="L34" s="356"/>
      <c r="M34" s="359"/>
      <c r="N34" s="341"/>
      <c r="O34" s="391" t="s">
        <v>370</v>
      </c>
      <c r="P34" s="392">
        <f>SUM(P30:P33)</f>
        <v>106750</v>
      </c>
      <c r="Q34" s="393">
        <f t="shared" si="0"/>
        <v>0.14386792452830188</v>
      </c>
      <c r="R34" s="392">
        <f>SUM(R30:R33)</f>
        <v>101400</v>
      </c>
      <c r="S34" s="393">
        <f t="shared" si="0"/>
        <v>0.1366576819407008</v>
      </c>
      <c r="T34" s="341"/>
      <c r="U34" s="341"/>
      <c r="V34" s="341"/>
      <c r="W34" s="341"/>
      <c r="X34" s="341"/>
      <c r="Y34" s="341"/>
      <c r="Z34" s="341"/>
      <c r="AA34" s="341"/>
      <c r="AB34" s="341"/>
      <c r="AC34" s="341"/>
      <c r="AD34" s="341"/>
      <c r="AE34" s="341"/>
      <c r="AF34" s="341"/>
      <c r="AG34" s="341"/>
      <c r="AH34" s="341"/>
      <c r="AI34" s="341"/>
      <c r="AJ34" s="341"/>
      <c r="AK34" s="341"/>
      <c r="AL34" s="341"/>
      <c r="AM34" s="341"/>
      <c r="AN34" s="341"/>
      <c r="AO34" s="341"/>
      <c r="AP34" s="341"/>
      <c r="AQ34" s="341"/>
      <c r="AR34" s="341"/>
      <c r="AS34" s="341"/>
    </row>
    <row r="35" spans="1:45" ht="13.2" x14ac:dyDescent="0.25">
      <c r="A35" s="341"/>
      <c r="B35" s="353" t="s">
        <v>371</v>
      </c>
      <c r="C35" s="356"/>
      <c r="D35" s="357"/>
      <c r="E35" s="400" t="s">
        <v>372</v>
      </c>
      <c r="F35" s="401">
        <f>IF(F34=" ",F33,F33+F34)</f>
        <v>764500</v>
      </c>
      <c r="G35" s="401">
        <f>IF(G34=" ",G33,G33+G34)</f>
        <v>717400</v>
      </c>
      <c r="H35" s="341"/>
      <c r="I35" s="402" t="s">
        <v>373</v>
      </c>
      <c r="J35" s="396">
        <f>J33-J34</f>
        <v>400</v>
      </c>
      <c r="K35" s="403"/>
      <c r="L35" s="404"/>
      <c r="M35" s="403"/>
      <c r="N35" s="341"/>
      <c r="O35" s="352" t="s">
        <v>374</v>
      </c>
      <c r="P35" s="375">
        <f>P29-P34</f>
        <v>58150</v>
      </c>
      <c r="Q35" s="376">
        <f t="shared" si="0"/>
        <v>7.8369272237196766E-2</v>
      </c>
      <c r="R35" s="375">
        <f>R29-R34</f>
        <v>18800</v>
      </c>
      <c r="S35" s="376">
        <f t="shared" si="1"/>
        <v>2.6934097421203437E-2</v>
      </c>
      <c r="T35" s="341"/>
      <c r="U35" s="341"/>
      <c r="V35" s="341"/>
      <c r="W35" s="341"/>
      <c r="X35" s="341"/>
      <c r="Y35" s="341"/>
      <c r="Z35" s="341"/>
      <c r="AA35" s="341"/>
      <c r="AB35" s="341"/>
      <c r="AC35" s="341"/>
      <c r="AD35" s="341"/>
      <c r="AE35" s="341"/>
      <c r="AF35" s="341"/>
      <c r="AG35" s="341"/>
      <c r="AH35" s="341"/>
      <c r="AI35" s="341"/>
      <c r="AJ35" s="341"/>
      <c r="AK35" s="341"/>
      <c r="AL35" s="341"/>
      <c r="AM35" s="341"/>
      <c r="AN35" s="341"/>
      <c r="AO35" s="341"/>
      <c r="AP35" s="341"/>
      <c r="AQ35" s="341"/>
      <c r="AR35" s="341"/>
      <c r="AS35" s="341"/>
    </row>
    <row r="36" spans="1:45" ht="13.2" x14ac:dyDescent="0.25">
      <c r="A36" s="341"/>
      <c r="B36" s="353" t="s">
        <v>375</v>
      </c>
      <c r="C36" s="356">
        <v>23000</v>
      </c>
      <c r="D36" s="357">
        <v>7400</v>
      </c>
      <c r="E36" s="341"/>
      <c r="F36" s="341"/>
      <c r="G36" s="341"/>
      <c r="H36" s="341"/>
      <c r="I36" s="341"/>
      <c r="J36" s="341"/>
      <c r="K36" s="341"/>
      <c r="L36" s="341"/>
      <c r="M36" s="341"/>
      <c r="N36" s="341"/>
      <c r="O36" s="405" t="s">
        <v>376</v>
      </c>
      <c r="P36" s="380">
        <f>J25-C26</f>
        <v>0</v>
      </c>
      <c r="Q36" s="406"/>
      <c r="R36" s="356"/>
      <c r="S36" s="406"/>
      <c r="T36" s="341"/>
      <c r="U36" s="341"/>
      <c r="V36" s="341"/>
      <c r="W36" s="341"/>
      <c r="X36" s="341"/>
      <c r="Y36" s="341"/>
      <c r="Z36" s="341"/>
      <c r="AA36" s="341"/>
      <c r="AB36" s="341"/>
      <c r="AC36" s="341"/>
      <c r="AD36" s="341"/>
      <c r="AE36" s="341"/>
      <c r="AF36" s="341"/>
      <c r="AG36" s="341"/>
      <c r="AH36" s="341"/>
      <c r="AI36" s="341"/>
      <c r="AJ36" s="341"/>
      <c r="AK36" s="341"/>
      <c r="AL36" s="341"/>
      <c r="AM36" s="341"/>
      <c r="AN36" s="341"/>
      <c r="AO36" s="341"/>
      <c r="AP36" s="341"/>
      <c r="AQ36" s="341"/>
      <c r="AR36" s="341"/>
      <c r="AS36" s="341"/>
    </row>
    <row r="37" spans="1:45" ht="13.2" x14ac:dyDescent="0.25">
      <c r="A37" s="341"/>
      <c r="B37" s="397" t="s">
        <v>377</v>
      </c>
      <c r="C37" s="370">
        <f>+C34+C29+C23+C21+C35+C36</f>
        <v>729500</v>
      </c>
      <c r="D37" s="370">
        <f>+D34+D29+D23+D21+D35+D36</f>
        <v>706300</v>
      </c>
      <c r="E37" s="341"/>
      <c r="F37" s="341"/>
      <c r="G37" s="341"/>
      <c r="H37" s="341"/>
      <c r="I37" s="341"/>
      <c r="J37" s="341"/>
      <c r="K37" s="341"/>
      <c r="L37" s="341"/>
      <c r="M37" s="341"/>
      <c r="N37" s="341"/>
      <c r="O37" s="405" t="s">
        <v>378</v>
      </c>
      <c r="P37" s="380">
        <f>J29</f>
        <v>-150</v>
      </c>
      <c r="Q37" s="406"/>
      <c r="R37" s="370">
        <f>L29</f>
        <v>-300</v>
      </c>
      <c r="S37" s="406"/>
      <c r="T37" s="341"/>
      <c r="U37" s="341"/>
      <c r="V37" s="341"/>
      <c r="W37" s="341"/>
      <c r="X37" s="341"/>
      <c r="Y37" s="341"/>
      <c r="Z37" s="341"/>
      <c r="AA37" s="341"/>
      <c r="AB37" s="341"/>
      <c r="AC37" s="341"/>
      <c r="AD37" s="341"/>
      <c r="AE37" s="341"/>
      <c r="AF37" s="341"/>
      <c r="AG37" s="341"/>
      <c r="AH37" s="341"/>
      <c r="AI37" s="341"/>
      <c r="AJ37" s="341"/>
      <c r="AK37" s="341"/>
      <c r="AL37" s="341"/>
      <c r="AM37" s="341"/>
      <c r="AN37" s="341"/>
      <c r="AO37" s="341"/>
      <c r="AP37" s="341"/>
      <c r="AQ37" s="341"/>
      <c r="AR37" s="341"/>
      <c r="AS37" s="341"/>
    </row>
    <row r="38" spans="1:45" ht="13.2" x14ac:dyDescent="0.25">
      <c r="A38" s="341"/>
      <c r="B38" s="399" t="s">
        <v>379</v>
      </c>
      <c r="C38" s="356">
        <v>35000</v>
      </c>
      <c r="D38" s="357">
        <v>11100</v>
      </c>
      <c r="E38" s="341"/>
      <c r="F38" s="341"/>
      <c r="G38" s="341"/>
      <c r="H38" s="341"/>
      <c r="I38" s="341"/>
      <c r="J38" s="341"/>
      <c r="K38" s="341"/>
      <c r="L38" s="341"/>
      <c r="M38" s="341"/>
      <c r="N38" s="341"/>
      <c r="O38" s="405" t="s">
        <v>380</v>
      </c>
      <c r="P38" s="385"/>
      <c r="Q38" s="406"/>
      <c r="R38" s="356"/>
      <c r="S38" s="406"/>
      <c r="T38" s="341"/>
      <c r="U38" s="341"/>
      <c r="V38" s="341"/>
      <c r="W38" s="341"/>
      <c r="X38" s="341"/>
      <c r="Y38" s="341"/>
      <c r="Z38" s="341"/>
      <c r="AA38" s="341"/>
      <c r="AB38" s="341"/>
      <c r="AC38" s="341"/>
      <c r="AD38" s="341"/>
      <c r="AE38" s="341"/>
      <c r="AF38" s="341"/>
      <c r="AG38" s="341"/>
      <c r="AH38" s="341"/>
      <c r="AI38" s="341"/>
      <c r="AJ38" s="341"/>
      <c r="AK38" s="341"/>
      <c r="AL38" s="341"/>
      <c r="AM38" s="341"/>
      <c r="AN38" s="341"/>
      <c r="AO38" s="341"/>
      <c r="AP38" s="341"/>
      <c r="AQ38" s="341"/>
      <c r="AR38" s="341"/>
      <c r="AS38" s="341"/>
    </row>
    <row r="39" spans="1:45" ht="13.2" x14ac:dyDescent="0.25">
      <c r="A39" s="341"/>
      <c r="B39" s="400" t="s">
        <v>372</v>
      </c>
      <c r="C39" s="401">
        <f>+C37+C38</f>
        <v>764500</v>
      </c>
      <c r="D39" s="401">
        <f>+D37+D38</f>
        <v>717400</v>
      </c>
      <c r="E39" s="341"/>
      <c r="F39" s="341"/>
      <c r="G39" s="341"/>
      <c r="H39" s="341"/>
      <c r="I39" s="341"/>
      <c r="J39" s="341"/>
      <c r="K39" s="341"/>
      <c r="L39" s="341"/>
      <c r="M39" s="341"/>
      <c r="N39" s="341"/>
      <c r="O39" s="405" t="s">
        <v>381</v>
      </c>
      <c r="P39" s="380">
        <f>-J31</f>
        <v>-23000</v>
      </c>
      <c r="Q39" s="406"/>
      <c r="R39" s="370">
        <f>-L31</f>
        <v>-7400</v>
      </c>
      <c r="S39" s="406"/>
      <c r="T39" s="341"/>
      <c r="U39" s="341"/>
      <c r="V39" s="341"/>
      <c r="W39" s="341"/>
      <c r="X39" s="341"/>
      <c r="Y39" s="341"/>
      <c r="Z39" s="341"/>
      <c r="AA39" s="341"/>
      <c r="AB39" s="341"/>
      <c r="AC39" s="341"/>
      <c r="AD39" s="341"/>
      <c r="AE39" s="341"/>
      <c r="AF39" s="341"/>
      <c r="AG39" s="341"/>
      <c r="AH39" s="341"/>
      <c r="AI39" s="341"/>
      <c r="AJ39" s="341"/>
      <c r="AK39" s="341"/>
      <c r="AL39" s="341"/>
      <c r="AM39" s="341"/>
      <c r="AN39" s="341"/>
      <c r="AO39" s="341"/>
      <c r="AP39" s="341"/>
      <c r="AQ39" s="341"/>
      <c r="AR39" s="341"/>
      <c r="AS39" s="341"/>
    </row>
    <row r="40" spans="1:45" ht="13.2" x14ac:dyDescent="0.25">
      <c r="A40" s="341"/>
      <c r="B40" s="407" t="s">
        <v>382</v>
      </c>
      <c r="C40" s="364">
        <v>75000</v>
      </c>
      <c r="D40" s="364">
        <v>73000</v>
      </c>
      <c r="E40" s="341"/>
      <c r="F40" s="341"/>
      <c r="G40" s="341"/>
      <c r="H40" s="341"/>
      <c r="I40" s="341"/>
      <c r="J40" s="341"/>
      <c r="K40" s="341"/>
      <c r="L40" s="341"/>
      <c r="M40" s="341"/>
      <c r="N40" s="341"/>
      <c r="O40" s="352" t="s">
        <v>383</v>
      </c>
      <c r="P40" s="375">
        <f>SUM(P35:P39)</f>
        <v>35000</v>
      </c>
      <c r="Q40" s="376">
        <f>P40/$P$4</f>
        <v>4.716981132075472E-2</v>
      </c>
      <c r="R40" s="377">
        <f>SUM(R35:R39)</f>
        <v>11100</v>
      </c>
      <c r="S40" s="376">
        <f>R40/$R$4</f>
        <v>1.5902578796561605E-2</v>
      </c>
      <c r="T40" s="341"/>
      <c r="U40" s="341"/>
      <c r="V40" s="341"/>
      <c r="W40" s="341"/>
      <c r="X40" s="341"/>
      <c r="Y40" s="341"/>
      <c r="Z40" s="341"/>
      <c r="AA40" s="341"/>
      <c r="AB40" s="341"/>
      <c r="AC40" s="341"/>
      <c r="AD40" s="341"/>
      <c r="AE40" s="341"/>
      <c r="AF40" s="341"/>
      <c r="AG40" s="341"/>
      <c r="AH40" s="341"/>
      <c r="AI40" s="341"/>
      <c r="AJ40" s="341"/>
      <c r="AK40" s="341"/>
      <c r="AL40" s="341"/>
      <c r="AM40" s="341"/>
      <c r="AN40" s="341"/>
      <c r="AO40" s="341"/>
      <c r="AP40" s="341"/>
      <c r="AQ40" s="341"/>
      <c r="AR40" s="341"/>
      <c r="AS40" s="341"/>
    </row>
    <row r="41" spans="1:45" ht="13.2" x14ac:dyDescent="0.25">
      <c r="A41" s="341"/>
      <c r="B41" s="407" t="s">
        <v>384</v>
      </c>
      <c r="C41" s="341"/>
      <c r="D41" s="341"/>
      <c r="E41" s="341"/>
      <c r="F41" s="341"/>
      <c r="G41" s="341"/>
      <c r="H41" s="341"/>
      <c r="I41" s="341"/>
      <c r="J41" s="341"/>
      <c r="K41" s="341"/>
      <c r="L41" s="341"/>
      <c r="M41" s="341"/>
      <c r="N41" s="341"/>
      <c r="O41" s="341"/>
      <c r="P41" s="341"/>
      <c r="Q41" s="341"/>
      <c r="R41" s="341"/>
      <c r="S41" s="341"/>
      <c r="T41" s="341"/>
      <c r="U41" s="341"/>
      <c r="V41" s="341"/>
      <c r="W41" s="341"/>
      <c r="X41" s="341"/>
      <c r="Y41" s="341"/>
      <c r="Z41" s="341"/>
      <c r="AA41" s="341"/>
      <c r="AB41" s="341"/>
      <c r="AC41" s="341"/>
      <c r="AD41" s="341"/>
      <c r="AE41" s="341"/>
      <c r="AF41" s="341"/>
      <c r="AG41" s="341"/>
      <c r="AH41" s="341"/>
      <c r="AI41" s="341"/>
      <c r="AJ41" s="341"/>
      <c r="AK41" s="341"/>
      <c r="AL41" s="341"/>
      <c r="AM41" s="341"/>
      <c r="AN41" s="341"/>
      <c r="AO41" s="341"/>
      <c r="AP41" s="341"/>
      <c r="AQ41" s="341"/>
      <c r="AR41" s="341"/>
      <c r="AS41" s="341"/>
    </row>
    <row r="42" spans="1:45" ht="13.2" x14ac:dyDescent="0.25">
      <c r="A42" s="341"/>
      <c r="B42" s="408" t="s">
        <v>385</v>
      </c>
      <c r="C42" s="364">
        <v>6500</v>
      </c>
      <c r="D42" s="364">
        <v>7000</v>
      </c>
      <c r="E42" s="341"/>
      <c r="F42" s="341"/>
      <c r="G42" s="341"/>
      <c r="H42" s="341"/>
      <c r="I42" s="341"/>
      <c r="J42" s="341"/>
      <c r="K42" s="341"/>
      <c r="L42" s="341"/>
      <c r="M42" s="341"/>
      <c r="N42" s="341"/>
      <c r="O42" s="341"/>
      <c r="P42" s="341"/>
      <c r="Q42" s="341"/>
      <c r="R42" s="341"/>
      <c r="S42" s="341"/>
      <c r="T42" s="341"/>
      <c r="U42" s="341"/>
      <c r="V42" s="341"/>
      <c r="W42" s="341"/>
      <c r="X42" s="341"/>
      <c r="Y42" s="341"/>
      <c r="Z42" s="341"/>
      <c r="AA42" s="341"/>
      <c r="AB42" s="341"/>
      <c r="AC42" s="341"/>
      <c r="AD42" s="341"/>
      <c r="AE42" s="341"/>
      <c r="AF42" s="341"/>
      <c r="AG42" s="341"/>
      <c r="AH42" s="341"/>
      <c r="AI42" s="341"/>
      <c r="AJ42" s="341"/>
      <c r="AK42" s="341"/>
      <c r="AL42" s="341"/>
      <c r="AM42" s="341"/>
      <c r="AN42" s="341"/>
      <c r="AO42" s="341"/>
      <c r="AP42" s="341"/>
      <c r="AQ42" s="341"/>
      <c r="AR42" s="341"/>
      <c r="AS42" s="341"/>
    </row>
    <row r="43" spans="1:45" ht="15.6" x14ac:dyDescent="0.3">
      <c r="A43" s="341"/>
      <c r="B43" s="408" t="s">
        <v>386</v>
      </c>
      <c r="C43" s="364">
        <v>4200</v>
      </c>
      <c r="D43" s="364">
        <v>4800</v>
      </c>
      <c r="E43" s="341"/>
      <c r="F43" s="341"/>
      <c r="G43" s="341"/>
      <c r="H43" s="341"/>
      <c r="I43" s="341"/>
      <c r="J43" s="341"/>
      <c r="K43" s="341"/>
      <c r="L43" s="341"/>
      <c r="M43" s="341"/>
      <c r="N43" s="341"/>
      <c r="O43" s="341"/>
      <c r="P43" s="341"/>
      <c r="Q43" s="341"/>
      <c r="R43" s="341"/>
      <c r="S43" s="341"/>
      <c r="T43" s="341"/>
      <c r="U43" s="341"/>
      <c r="V43" s="342" t="s">
        <v>387</v>
      </c>
      <c r="W43" s="341"/>
      <c r="X43" s="341"/>
      <c r="Y43" s="341"/>
      <c r="Z43" s="341"/>
      <c r="AA43" s="341"/>
      <c r="AB43" s="341"/>
      <c r="AC43" s="341"/>
      <c r="AD43" s="341"/>
      <c r="AE43" s="341"/>
      <c r="AF43" s="341"/>
      <c r="AG43" s="341"/>
      <c r="AH43" s="341"/>
      <c r="AI43" s="341"/>
      <c r="AJ43" s="341"/>
      <c r="AK43" s="341"/>
      <c r="AL43" s="341"/>
      <c r="AM43" s="341"/>
      <c r="AN43" s="341"/>
      <c r="AO43" s="341"/>
      <c r="AP43" s="341"/>
      <c r="AQ43" s="341"/>
      <c r="AR43" s="341"/>
      <c r="AS43" s="341"/>
    </row>
    <row r="44" spans="1:45" ht="13.2" x14ac:dyDescent="0.25">
      <c r="A44" s="341"/>
      <c r="B44" s="341"/>
      <c r="C44" s="341"/>
      <c r="D44" s="341"/>
      <c r="E44" s="341"/>
      <c r="F44" s="341"/>
      <c r="G44" s="341"/>
      <c r="H44" s="341"/>
      <c r="I44" s="341"/>
      <c r="J44" s="341"/>
      <c r="K44" s="341"/>
      <c r="L44" s="341"/>
      <c r="M44" s="341"/>
      <c r="N44" s="341"/>
      <c r="O44" s="341"/>
      <c r="P44" s="352" t="s">
        <v>263</v>
      </c>
      <c r="Q44" s="352" t="s">
        <v>265</v>
      </c>
      <c r="R44" s="341"/>
      <c r="S44" s="341"/>
      <c r="T44" s="409" t="s">
        <v>388</v>
      </c>
      <c r="U44" s="341"/>
      <c r="V44" s="341"/>
      <c r="W44" s="352" t="s">
        <v>263</v>
      </c>
      <c r="X44" s="352" t="s">
        <v>265</v>
      </c>
      <c r="Y44" s="341"/>
      <c r="Z44" s="341"/>
      <c r="AA44" s="341"/>
      <c r="AB44" s="341"/>
      <c r="AC44" s="341"/>
      <c r="AD44" s="341"/>
      <c r="AE44" s="341"/>
      <c r="AF44" s="341"/>
      <c r="AG44" s="341"/>
      <c r="AH44" s="341"/>
      <c r="AI44" s="341"/>
      <c r="AJ44" s="341"/>
      <c r="AK44" s="341"/>
      <c r="AL44" s="341"/>
      <c r="AM44" s="341"/>
      <c r="AN44" s="341"/>
      <c r="AO44" s="341"/>
      <c r="AP44" s="341"/>
      <c r="AQ44" s="341"/>
      <c r="AR44" s="341"/>
      <c r="AS44" s="341"/>
    </row>
    <row r="45" spans="1:45" ht="13.2" x14ac:dyDescent="0.25">
      <c r="A45" s="341"/>
      <c r="B45" s="341"/>
      <c r="C45" s="341"/>
      <c r="D45" s="341"/>
      <c r="E45" s="341"/>
      <c r="F45" s="341"/>
      <c r="G45" s="341"/>
      <c r="H45" s="341"/>
      <c r="I45" s="341"/>
      <c r="J45" s="341"/>
      <c r="K45" s="341"/>
      <c r="L45" s="341"/>
      <c r="M45" s="341"/>
      <c r="N45" s="341"/>
      <c r="O45" s="410" t="str">
        <f>B7</f>
        <v xml:space="preserve">  Achats de matières premières et</v>
      </c>
      <c r="P45" s="354"/>
      <c r="Q45" s="354"/>
      <c r="R45" s="341"/>
      <c r="S45" s="411" t="s">
        <v>389</v>
      </c>
      <c r="T45" s="341"/>
      <c r="U45" s="341"/>
      <c r="V45" s="410" t="str">
        <f>I7</f>
        <v>Production vendue</v>
      </c>
      <c r="W45" s="354"/>
      <c r="X45" s="354"/>
      <c r="Y45" s="341"/>
      <c r="Z45" s="341"/>
      <c r="AA45" s="341"/>
      <c r="AB45" s="341"/>
      <c r="AC45" s="341"/>
      <c r="AD45" s="341"/>
      <c r="AE45" s="341"/>
      <c r="AF45" s="341"/>
      <c r="AG45" s="341"/>
      <c r="AH45" s="341"/>
      <c r="AI45" s="341"/>
      <c r="AJ45" s="341"/>
      <c r="AK45" s="341"/>
      <c r="AL45" s="341"/>
      <c r="AM45" s="341"/>
      <c r="AN45" s="341"/>
      <c r="AO45" s="341"/>
      <c r="AP45" s="341"/>
      <c r="AQ45" s="341"/>
      <c r="AR45" s="341"/>
      <c r="AS45" s="341"/>
    </row>
    <row r="46" spans="1:45" ht="13.2" x14ac:dyDescent="0.25">
      <c r="A46" s="341"/>
      <c r="B46" s="341"/>
      <c r="C46" s="341"/>
      <c r="D46" s="341"/>
      <c r="E46" s="341"/>
      <c r="F46" s="341"/>
      <c r="G46" s="341"/>
      <c r="H46" s="341"/>
      <c r="I46" s="341"/>
      <c r="J46" s="341"/>
      <c r="K46" s="341"/>
      <c r="L46" s="341"/>
      <c r="M46" s="341"/>
      <c r="N46" s="341"/>
      <c r="O46" s="358" t="s">
        <v>282</v>
      </c>
      <c r="P46" s="370">
        <f>C8</f>
        <v>237000</v>
      </c>
      <c r="Q46" s="356"/>
      <c r="R46" s="341"/>
      <c r="S46" s="341"/>
      <c r="T46" s="341"/>
      <c r="U46" s="341"/>
      <c r="V46" s="358" t="s">
        <v>282</v>
      </c>
      <c r="W46" s="370">
        <f>P46</f>
        <v>237000</v>
      </c>
      <c r="X46" s="370">
        <f>D8</f>
        <v>224000</v>
      </c>
      <c r="Y46" s="341"/>
      <c r="Z46" s="341"/>
      <c r="AA46" s="341"/>
      <c r="AB46" s="341"/>
      <c r="AC46" s="341"/>
      <c r="AD46" s="341"/>
      <c r="AE46" s="341"/>
      <c r="AF46" s="341"/>
      <c r="AG46" s="341"/>
      <c r="AH46" s="341"/>
      <c r="AI46" s="341"/>
      <c r="AJ46" s="341"/>
      <c r="AK46" s="341"/>
      <c r="AL46" s="341"/>
      <c r="AM46" s="341"/>
      <c r="AN46" s="341"/>
      <c r="AO46" s="341"/>
      <c r="AP46" s="341"/>
      <c r="AQ46" s="341"/>
      <c r="AR46" s="341"/>
      <c r="AS46" s="341"/>
    </row>
    <row r="47" spans="1:45" ht="13.2" x14ac:dyDescent="0.25">
      <c r="A47" s="341"/>
      <c r="B47" s="341"/>
      <c r="C47" s="341"/>
      <c r="D47" s="341"/>
      <c r="E47" s="341"/>
      <c r="F47" s="341"/>
      <c r="G47" s="341"/>
      <c r="H47" s="341"/>
      <c r="I47" s="341"/>
      <c r="J47" s="341"/>
      <c r="K47" s="341"/>
      <c r="L47" s="341"/>
      <c r="M47" s="341"/>
      <c r="N47" s="341"/>
      <c r="O47" s="412" t="s">
        <v>390</v>
      </c>
      <c r="P47" s="370">
        <f>C9</f>
        <v>-1400</v>
      </c>
      <c r="Q47" s="356"/>
      <c r="R47" s="341"/>
      <c r="S47" s="341"/>
      <c r="T47" s="341"/>
      <c r="U47" s="341"/>
      <c r="V47" s="412" t="s">
        <v>390</v>
      </c>
      <c r="W47" s="370">
        <f>P47</f>
        <v>-1400</v>
      </c>
      <c r="X47" s="370">
        <f>D9</f>
        <v>800</v>
      </c>
      <c r="Y47" s="341"/>
      <c r="Z47" s="341"/>
      <c r="AA47" s="341"/>
      <c r="AB47" s="341"/>
      <c r="AC47" s="341"/>
      <c r="AD47" s="341"/>
      <c r="AE47" s="341"/>
      <c r="AF47" s="341"/>
      <c r="AG47" s="341"/>
      <c r="AH47" s="341"/>
      <c r="AI47" s="341"/>
      <c r="AJ47" s="341"/>
      <c r="AK47" s="341"/>
      <c r="AL47" s="341"/>
      <c r="AM47" s="341"/>
      <c r="AN47" s="341"/>
      <c r="AO47" s="341"/>
      <c r="AP47" s="341"/>
      <c r="AQ47" s="341"/>
      <c r="AR47" s="341"/>
      <c r="AS47" s="341"/>
    </row>
    <row r="48" spans="1:45" ht="13.2" x14ac:dyDescent="0.25">
      <c r="A48" s="341"/>
      <c r="B48" s="341"/>
      <c r="C48" s="341"/>
      <c r="D48" s="341"/>
      <c r="E48" s="341"/>
      <c r="F48" s="341"/>
      <c r="G48" s="341"/>
      <c r="H48" s="341"/>
      <c r="I48" s="341"/>
      <c r="J48" s="341"/>
      <c r="K48" s="341"/>
      <c r="L48" s="341"/>
      <c r="M48" s="341"/>
      <c r="N48" s="341"/>
      <c r="O48" s="412" t="s">
        <v>391</v>
      </c>
      <c r="P48" s="370">
        <f>F10</f>
        <v>21500</v>
      </c>
      <c r="Q48" s="356"/>
      <c r="R48" s="341"/>
      <c r="S48" s="341"/>
      <c r="T48" s="341"/>
      <c r="U48" s="341"/>
      <c r="V48" s="412" t="s">
        <v>391</v>
      </c>
      <c r="W48" s="370">
        <f>P48</f>
        <v>21500</v>
      </c>
      <c r="X48" s="370">
        <f>G10</f>
        <v>19200</v>
      </c>
      <c r="Y48" s="341"/>
      <c r="Z48" s="341"/>
      <c r="AA48" s="341"/>
      <c r="AB48" s="341"/>
      <c r="AC48" s="341"/>
      <c r="AD48" s="341"/>
      <c r="AE48" s="341"/>
      <c r="AF48" s="341"/>
      <c r="AG48" s="341"/>
      <c r="AH48" s="341"/>
      <c r="AI48" s="341"/>
      <c r="AJ48" s="341"/>
      <c r="AK48" s="341"/>
      <c r="AL48" s="341"/>
      <c r="AM48" s="341"/>
      <c r="AN48" s="341"/>
      <c r="AO48" s="341"/>
      <c r="AP48" s="341"/>
      <c r="AQ48" s="341"/>
      <c r="AR48" s="341"/>
      <c r="AS48" s="341"/>
    </row>
    <row r="49" spans="1:45" ht="13.2" x14ac:dyDescent="0.25">
      <c r="A49" s="341"/>
      <c r="B49" s="341"/>
      <c r="C49" s="341"/>
      <c r="D49" s="341"/>
      <c r="E49" s="341"/>
      <c r="F49" s="341"/>
      <c r="G49" s="341"/>
      <c r="H49" s="341"/>
      <c r="I49" s="341"/>
      <c r="J49" s="341"/>
      <c r="K49" s="341"/>
      <c r="L49" s="341"/>
      <c r="M49" s="341"/>
      <c r="N49" s="341"/>
      <c r="O49" s="345" t="s">
        <v>281</v>
      </c>
      <c r="P49" s="401">
        <f>P46+P47-P48</f>
        <v>214100</v>
      </c>
      <c r="Q49" s="413"/>
      <c r="R49" s="341"/>
      <c r="S49" s="341"/>
      <c r="T49" s="341"/>
      <c r="U49" s="341"/>
      <c r="V49" s="345" t="s">
        <v>281</v>
      </c>
      <c r="W49" s="401">
        <f>P49</f>
        <v>214100</v>
      </c>
      <c r="X49" s="401">
        <f>X46+X47-X48</f>
        <v>205600</v>
      </c>
      <c r="Y49" s="341"/>
      <c r="Z49" s="341"/>
      <c r="AA49" s="341"/>
      <c r="AB49" s="341"/>
      <c r="AC49" s="341"/>
      <c r="AD49" s="341"/>
      <c r="AE49" s="341"/>
      <c r="AF49" s="341"/>
      <c r="AG49" s="341"/>
      <c r="AH49" s="341"/>
      <c r="AI49" s="341"/>
      <c r="AJ49" s="341"/>
      <c r="AK49" s="341"/>
      <c r="AL49" s="341"/>
      <c r="AM49" s="341"/>
      <c r="AN49" s="341"/>
      <c r="AO49" s="341"/>
      <c r="AP49" s="341"/>
      <c r="AQ49" s="341"/>
      <c r="AR49" s="341"/>
      <c r="AS49" s="341"/>
    </row>
    <row r="50" spans="1:45" ht="13.2" x14ac:dyDescent="0.25">
      <c r="A50" s="341"/>
      <c r="B50" s="341"/>
      <c r="C50" s="341"/>
      <c r="D50" s="341"/>
      <c r="E50" s="341"/>
      <c r="F50" s="341"/>
      <c r="G50" s="341"/>
      <c r="H50" s="341"/>
      <c r="I50" s="341"/>
      <c r="J50" s="341"/>
      <c r="K50" s="341"/>
      <c r="L50" s="341"/>
      <c r="M50" s="341"/>
      <c r="N50" s="341"/>
      <c r="O50" s="341"/>
      <c r="P50" s="341"/>
      <c r="Q50" s="341"/>
      <c r="R50" s="341"/>
      <c r="S50" s="341"/>
      <c r="T50" s="341"/>
      <c r="U50" s="341"/>
      <c r="V50" s="341"/>
      <c r="W50" s="341"/>
      <c r="X50" s="341"/>
      <c r="Y50" s="341"/>
      <c r="Z50" s="341"/>
      <c r="AA50" s="341"/>
      <c r="AB50" s="341"/>
      <c r="AC50" s="341"/>
      <c r="AD50" s="341"/>
      <c r="AE50" s="341"/>
      <c r="AF50" s="341"/>
      <c r="AG50" s="341"/>
      <c r="AH50" s="341"/>
      <c r="AI50" s="341"/>
      <c r="AJ50" s="341"/>
      <c r="AK50" s="341"/>
      <c r="AL50" s="341"/>
      <c r="AM50" s="341"/>
      <c r="AN50" s="341"/>
      <c r="AO50" s="341"/>
      <c r="AP50" s="341"/>
      <c r="AQ50" s="341"/>
      <c r="AR50" s="341"/>
      <c r="AS50" s="341"/>
    </row>
    <row r="51" spans="1:45" ht="13.2" x14ac:dyDescent="0.25">
      <c r="A51" s="341"/>
      <c r="B51" s="341"/>
      <c r="C51" s="341"/>
      <c r="D51" s="341"/>
      <c r="E51" s="341"/>
      <c r="F51" s="341"/>
      <c r="G51" s="341"/>
      <c r="H51" s="341"/>
      <c r="I51" s="341"/>
      <c r="J51" s="341"/>
      <c r="K51" s="341"/>
      <c r="L51" s="341"/>
      <c r="M51" s="341"/>
      <c r="N51" s="341"/>
      <c r="O51" s="341"/>
      <c r="P51" s="414" t="s">
        <v>263</v>
      </c>
      <c r="Q51" s="414" t="s">
        <v>265</v>
      </c>
      <c r="R51" s="341"/>
      <c r="S51" s="341"/>
      <c r="T51" s="341"/>
      <c r="U51" s="341"/>
      <c r="V51" s="341"/>
      <c r="W51" s="414" t="s">
        <v>263</v>
      </c>
      <c r="X51" s="414" t="s">
        <v>265</v>
      </c>
      <c r="Y51" s="341"/>
      <c r="Z51" s="341"/>
      <c r="AA51" s="341"/>
      <c r="AB51" s="341"/>
      <c r="AC51" s="341"/>
      <c r="AD51" s="341"/>
      <c r="AE51" s="341"/>
      <c r="AF51" s="341"/>
      <c r="AG51" s="341"/>
      <c r="AH51" s="341"/>
      <c r="AI51" s="341"/>
      <c r="AJ51" s="341"/>
      <c r="AK51" s="341"/>
      <c r="AL51" s="341"/>
      <c r="AM51" s="341"/>
      <c r="AN51" s="341"/>
      <c r="AO51" s="341"/>
      <c r="AP51" s="341"/>
      <c r="AQ51" s="341"/>
      <c r="AR51" s="341"/>
      <c r="AS51" s="341"/>
    </row>
    <row r="52" spans="1:45" ht="13.2" x14ac:dyDescent="0.25">
      <c r="A52" s="341"/>
      <c r="B52" s="341"/>
      <c r="C52" s="341"/>
      <c r="D52" s="341"/>
      <c r="E52" s="341"/>
      <c r="F52" s="341"/>
      <c r="G52" s="341"/>
      <c r="H52" s="341"/>
      <c r="I52" s="341"/>
      <c r="J52" s="341"/>
      <c r="K52" s="341"/>
      <c r="L52" s="341"/>
      <c r="M52" s="341"/>
      <c r="N52" s="341"/>
      <c r="O52" s="410" t="s">
        <v>297</v>
      </c>
      <c r="P52" s="415">
        <f>C12</f>
        <v>212000</v>
      </c>
      <c r="Q52" s="416"/>
      <c r="R52" s="341"/>
      <c r="S52" s="341"/>
      <c r="T52" s="341"/>
      <c r="U52" s="341"/>
      <c r="V52" s="410" t="s">
        <v>297</v>
      </c>
      <c r="W52" s="415">
        <f>P52</f>
        <v>212000</v>
      </c>
      <c r="X52" s="417">
        <f>D12</f>
        <v>209000</v>
      </c>
      <c r="Y52" s="341"/>
      <c r="Z52" s="341"/>
      <c r="AA52" s="341"/>
      <c r="AB52" s="341"/>
      <c r="AC52" s="341"/>
      <c r="AD52" s="341"/>
      <c r="AE52" s="341"/>
      <c r="AF52" s="341"/>
      <c r="AG52" s="341"/>
      <c r="AH52" s="341"/>
      <c r="AI52" s="341"/>
      <c r="AJ52" s="341"/>
      <c r="AK52" s="341"/>
      <c r="AL52" s="341"/>
      <c r="AM52" s="341"/>
      <c r="AN52" s="341"/>
      <c r="AO52" s="341"/>
      <c r="AP52" s="341"/>
      <c r="AQ52" s="341"/>
      <c r="AR52" s="341"/>
      <c r="AS52" s="341"/>
    </row>
    <row r="53" spans="1:45" ht="13.2" x14ac:dyDescent="0.25">
      <c r="A53" s="341"/>
      <c r="B53" s="341"/>
      <c r="C53" s="341"/>
      <c r="D53" s="341"/>
      <c r="E53" s="341"/>
      <c r="F53" s="341"/>
      <c r="G53" s="341"/>
      <c r="H53" s="341"/>
      <c r="I53" s="341"/>
      <c r="J53" s="341"/>
      <c r="K53" s="341"/>
      <c r="L53" s="341"/>
      <c r="M53" s="341"/>
      <c r="N53" s="341"/>
      <c r="O53" s="412" t="s">
        <v>392</v>
      </c>
      <c r="P53" s="370">
        <f>C13</f>
        <v>63000</v>
      </c>
      <c r="Q53" s="355"/>
      <c r="R53" s="341"/>
      <c r="S53" s="341"/>
      <c r="T53" s="341"/>
      <c r="U53" s="341"/>
      <c r="V53" s="412" t="s">
        <v>392</v>
      </c>
      <c r="W53" s="370">
        <f>P53</f>
        <v>63000</v>
      </c>
      <c r="X53" s="418">
        <f>D13</f>
        <v>61000</v>
      </c>
      <c r="Y53" s="341"/>
      <c r="Z53" s="341"/>
      <c r="AA53" s="341"/>
      <c r="AB53" s="341"/>
      <c r="AC53" s="341"/>
      <c r="AD53" s="341"/>
      <c r="AE53" s="341"/>
      <c r="AF53" s="341"/>
      <c r="AG53" s="341"/>
      <c r="AH53" s="341"/>
      <c r="AI53" s="341"/>
      <c r="AJ53" s="341"/>
      <c r="AK53" s="341"/>
      <c r="AL53" s="341"/>
      <c r="AM53" s="341"/>
      <c r="AN53" s="341"/>
      <c r="AO53" s="341"/>
      <c r="AP53" s="341"/>
      <c r="AQ53" s="341"/>
      <c r="AR53" s="341"/>
      <c r="AS53" s="341"/>
    </row>
    <row r="54" spans="1:45" ht="13.2" x14ac:dyDescent="0.25">
      <c r="A54" s="341"/>
      <c r="B54" s="341"/>
      <c r="C54" s="341"/>
      <c r="D54" s="341"/>
      <c r="E54" s="341"/>
      <c r="F54" s="341"/>
      <c r="G54" s="341"/>
      <c r="H54" s="341"/>
      <c r="I54" s="341"/>
      <c r="J54" s="341"/>
      <c r="K54" s="341"/>
      <c r="L54" s="341"/>
      <c r="M54" s="341"/>
      <c r="N54" s="341"/>
      <c r="O54" s="345" t="s">
        <v>288</v>
      </c>
      <c r="P54" s="401">
        <f>SUM(P52:P53)</f>
        <v>275000</v>
      </c>
      <c r="Q54" s="419"/>
      <c r="R54" s="341"/>
      <c r="S54" s="341"/>
      <c r="T54" s="341"/>
      <c r="U54" s="341"/>
      <c r="V54" s="345" t="s">
        <v>288</v>
      </c>
      <c r="W54" s="401">
        <f>W52+W53</f>
        <v>275000</v>
      </c>
      <c r="X54" s="401">
        <f>X52+X53</f>
        <v>270000</v>
      </c>
      <c r="Y54" s="341"/>
      <c r="Z54" s="341"/>
      <c r="AA54" s="341"/>
      <c r="AB54" s="341"/>
      <c r="AC54" s="341"/>
      <c r="AD54" s="341"/>
      <c r="AE54" s="341"/>
      <c r="AF54" s="341"/>
      <c r="AG54" s="341"/>
      <c r="AH54" s="341"/>
      <c r="AI54" s="341"/>
      <c r="AJ54" s="341"/>
      <c r="AK54" s="341"/>
      <c r="AL54" s="341"/>
      <c r="AM54" s="341"/>
      <c r="AN54" s="341"/>
      <c r="AO54" s="341"/>
      <c r="AP54" s="341"/>
      <c r="AQ54" s="341"/>
      <c r="AR54" s="341"/>
      <c r="AS54" s="341"/>
    </row>
    <row r="55" spans="1:45" ht="13.2" x14ac:dyDescent="0.25">
      <c r="A55" s="341"/>
      <c r="B55" s="341"/>
      <c r="C55" s="341"/>
      <c r="D55" s="341"/>
      <c r="E55" s="341"/>
      <c r="F55" s="341"/>
      <c r="G55" s="341"/>
      <c r="H55" s="341"/>
      <c r="I55" s="341"/>
      <c r="J55" s="341"/>
      <c r="K55" s="341"/>
      <c r="L55" s="341"/>
      <c r="M55" s="341"/>
      <c r="N55" s="341"/>
      <c r="O55" s="341"/>
      <c r="P55" s="341"/>
      <c r="Q55" s="341"/>
      <c r="R55" s="341"/>
      <c r="S55" s="341"/>
      <c r="T55" s="341"/>
      <c r="U55" s="341"/>
      <c r="V55" s="341"/>
      <c r="W55" s="341"/>
      <c r="X55" s="341"/>
      <c r="Y55" s="341"/>
      <c r="Z55" s="341"/>
      <c r="AA55" s="341"/>
      <c r="AB55" s="341"/>
      <c r="AC55" s="341"/>
      <c r="AD55" s="341"/>
      <c r="AE55" s="341"/>
      <c r="AF55" s="341"/>
      <c r="AG55" s="341"/>
      <c r="AH55" s="341"/>
      <c r="AI55" s="341"/>
      <c r="AJ55" s="341"/>
      <c r="AK55" s="341"/>
      <c r="AL55" s="341"/>
      <c r="AM55" s="341"/>
      <c r="AN55" s="341"/>
      <c r="AO55" s="341"/>
      <c r="AP55" s="341"/>
      <c r="AQ55" s="341"/>
      <c r="AR55" s="341"/>
      <c r="AS55" s="341"/>
    </row>
    <row r="56" spans="1:45" ht="13.2" x14ac:dyDescent="0.25">
      <c r="A56" s="341"/>
      <c r="B56" s="341"/>
      <c r="C56" s="341"/>
      <c r="D56" s="341"/>
      <c r="E56" s="341"/>
      <c r="F56" s="341"/>
      <c r="G56" s="341"/>
      <c r="H56" s="341"/>
      <c r="I56" s="341"/>
      <c r="J56" s="341"/>
      <c r="K56" s="341"/>
      <c r="L56" s="341"/>
      <c r="M56" s="341"/>
      <c r="N56" s="341"/>
      <c r="O56" s="341"/>
      <c r="P56" s="341"/>
      <c r="Q56" s="341"/>
      <c r="R56" s="341"/>
      <c r="S56" s="341"/>
      <c r="T56" s="341"/>
      <c r="U56" s="341"/>
      <c r="V56" s="341"/>
      <c r="W56" s="341"/>
      <c r="X56" s="341"/>
      <c r="Y56" s="341"/>
      <c r="Z56" s="341"/>
      <c r="AA56" s="341"/>
      <c r="AB56" s="341"/>
      <c r="AC56" s="341"/>
      <c r="AD56" s="341"/>
      <c r="AE56" s="341"/>
      <c r="AF56" s="341"/>
      <c r="AG56" s="341"/>
      <c r="AH56" s="341"/>
      <c r="AI56" s="341"/>
      <c r="AJ56" s="341"/>
      <c r="AK56" s="341"/>
      <c r="AL56" s="341"/>
      <c r="AM56" s="341"/>
      <c r="AN56" s="341"/>
      <c r="AO56" s="341"/>
      <c r="AP56" s="341"/>
      <c r="AQ56" s="341"/>
      <c r="AR56" s="341"/>
      <c r="AS56" s="341"/>
    </row>
    <row r="57" spans="1:45" ht="13.2" x14ac:dyDescent="0.25">
      <c r="A57" s="341"/>
      <c r="B57" s="341"/>
      <c r="C57" s="341"/>
      <c r="D57" s="341"/>
      <c r="E57" s="341"/>
      <c r="F57" s="341"/>
      <c r="G57" s="341"/>
      <c r="H57" s="341"/>
      <c r="I57" s="341"/>
      <c r="J57" s="341"/>
      <c r="K57" s="341"/>
      <c r="L57" s="341"/>
      <c r="M57" s="341"/>
      <c r="N57" s="341"/>
      <c r="O57" s="341"/>
      <c r="P57" s="414" t="s">
        <v>263</v>
      </c>
      <c r="Q57" s="352" t="s">
        <v>265</v>
      </c>
      <c r="R57" s="341"/>
      <c r="S57" s="341"/>
      <c r="T57" s="341"/>
      <c r="U57" s="341"/>
      <c r="V57" s="341"/>
      <c r="W57" s="414" t="s">
        <v>263</v>
      </c>
      <c r="X57" s="352" t="s">
        <v>265</v>
      </c>
      <c r="Y57" s="341"/>
      <c r="Z57" s="341"/>
      <c r="AA57" s="341"/>
      <c r="AB57" s="341"/>
      <c r="AC57" s="341"/>
      <c r="AD57" s="341"/>
      <c r="AE57" s="341"/>
      <c r="AF57" s="341"/>
      <c r="AG57" s="341"/>
      <c r="AH57" s="341"/>
      <c r="AI57" s="341"/>
      <c r="AJ57" s="341"/>
      <c r="AK57" s="341"/>
      <c r="AL57" s="341"/>
      <c r="AM57" s="341"/>
      <c r="AN57" s="341"/>
      <c r="AO57" s="341"/>
      <c r="AP57" s="341"/>
      <c r="AQ57" s="341"/>
      <c r="AR57" s="341"/>
      <c r="AS57" s="341"/>
    </row>
    <row r="58" spans="1:45" ht="13.2" x14ac:dyDescent="0.25">
      <c r="A58" s="341"/>
      <c r="B58" s="341"/>
      <c r="C58" s="341"/>
      <c r="D58" s="341"/>
      <c r="E58" s="341"/>
      <c r="F58" s="341"/>
      <c r="G58" s="341"/>
      <c r="H58" s="341"/>
      <c r="I58" s="341"/>
      <c r="J58" s="341"/>
      <c r="K58" s="341"/>
      <c r="L58" s="341"/>
      <c r="M58" s="341"/>
      <c r="N58" s="341"/>
      <c r="O58" s="410" t="s">
        <v>393</v>
      </c>
      <c r="P58" s="415">
        <f>C10</f>
        <v>136000</v>
      </c>
      <c r="Q58" s="416"/>
      <c r="R58" s="341"/>
      <c r="S58" s="341"/>
      <c r="T58" s="341"/>
      <c r="U58" s="341"/>
      <c r="V58" s="410" t="s">
        <v>393</v>
      </c>
      <c r="W58" s="415">
        <f>P58</f>
        <v>136000</v>
      </c>
      <c r="X58" s="417">
        <f>D10</f>
        <v>149000</v>
      </c>
      <c r="Y58" s="341"/>
      <c r="Z58" s="341"/>
      <c r="AA58" s="341"/>
      <c r="AB58" s="341"/>
      <c r="AC58" s="341"/>
      <c r="AD58" s="341"/>
      <c r="AE58" s="341"/>
      <c r="AF58" s="341"/>
      <c r="AG58" s="341"/>
      <c r="AH58" s="341"/>
      <c r="AI58" s="341"/>
      <c r="AJ58" s="341"/>
      <c r="AK58" s="341"/>
      <c r="AL58" s="341"/>
      <c r="AM58" s="341"/>
      <c r="AN58" s="341"/>
      <c r="AO58" s="341"/>
      <c r="AP58" s="341"/>
      <c r="AQ58" s="341"/>
      <c r="AR58" s="341"/>
      <c r="AS58" s="341"/>
    </row>
    <row r="59" spans="1:45" ht="13.2" x14ac:dyDescent="0.25">
      <c r="A59" s="341"/>
      <c r="B59" s="341"/>
      <c r="C59" s="341"/>
      <c r="D59" s="341"/>
      <c r="E59" s="341"/>
      <c r="F59" s="341"/>
      <c r="G59" s="341"/>
      <c r="H59" s="341"/>
      <c r="I59" s="341"/>
      <c r="J59" s="341"/>
      <c r="K59" s="341"/>
      <c r="L59" s="341"/>
      <c r="M59" s="341"/>
      <c r="N59" s="341"/>
      <c r="O59" s="412" t="s">
        <v>394</v>
      </c>
      <c r="P59" s="370">
        <f>C11</f>
        <v>19600</v>
      </c>
      <c r="Q59" s="355"/>
      <c r="R59" s="341"/>
      <c r="S59" s="341"/>
      <c r="T59" s="341"/>
      <c r="U59" s="341"/>
      <c r="V59" s="412" t="s">
        <v>394</v>
      </c>
      <c r="W59" s="370">
        <f t="shared" ref="W59:W64" si="2">P59</f>
        <v>19600</v>
      </c>
      <c r="X59" s="418">
        <f>D11</f>
        <v>18500</v>
      </c>
      <c r="Y59" s="341"/>
      <c r="Z59" s="341"/>
      <c r="AA59" s="341"/>
      <c r="AB59" s="341"/>
      <c r="AC59" s="341"/>
      <c r="AD59" s="341"/>
      <c r="AE59" s="341"/>
      <c r="AF59" s="341"/>
      <c r="AG59" s="341"/>
      <c r="AH59" s="341"/>
      <c r="AI59" s="341"/>
      <c r="AJ59" s="341"/>
      <c r="AK59" s="341"/>
      <c r="AL59" s="341"/>
      <c r="AM59" s="341"/>
      <c r="AN59" s="341"/>
      <c r="AO59" s="341"/>
      <c r="AP59" s="341"/>
      <c r="AQ59" s="341"/>
      <c r="AR59" s="341"/>
      <c r="AS59" s="341"/>
    </row>
    <row r="60" spans="1:45" ht="13.2" x14ac:dyDescent="0.25">
      <c r="A60" s="341"/>
      <c r="B60" s="341"/>
      <c r="C60" s="341"/>
      <c r="D60" s="341"/>
      <c r="E60" s="341"/>
      <c r="F60" s="341"/>
      <c r="G60" s="341"/>
      <c r="H60" s="341"/>
      <c r="I60" s="341"/>
      <c r="J60" s="341"/>
      <c r="K60" s="341"/>
      <c r="L60" s="341"/>
      <c r="M60" s="341"/>
      <c r="N60" s="341"/>
      <c r="O60" s="412" t="s">
        <v>395</v>
      </c>
      <c r="P60" s="370">
        <f>C20</f>
        <v>3200</v>
      </c>
      <c r="Q60" s="355"/>
      <c r="R60" s="341"/>
      <c r="S60" s="341"/>
      <c r="T60" s="341"/>
      <c r="U60" s="341"/>
      <c r="V60" s="412" t="s">
        <v>395</v>
      </c>
      <c r="W60" s="370">
        <f t="shared" si="2"/>
        <v>3200</v>
      </c>
      <c r="X60" s="418">
        <f>D20</f>
        <v>2900</v>
      </c>
      <c r="Y60" s="341"/>
      <c r="Z60" s="341"/>
      <c r="AA60" s="341"/>
      <c r="AB60" s="341"/>
      <c r="AC60" s="341"/>
      <c r="AD60" s="341"/>
      <c r="AE60" s="341"/>
      <c r="AF60" s="341"/>
      <c r="AG60" s="341"/>
      <c r="AH60" s="341"/>
      <c r="AI60" s="341"/>
      <c r="AJ60" s="341"/>
      <c r="AK60" s="341"/>
      <c r="AL60" s="341"/>
      <c r="AM60" s="341"/>
      <c r="AN60" s="341"/>
      <c r="AO60" s="341"/>
      <c r="AP60" s="341"/>
      <c r="AQ60" s="341"/>
      <c r="AR60" s="341"/>
      <c r="AS60" s="341"/>
    </row>
    <row r="61" spans="1:45" ht="13.2" x14ac:dyDescent="0.25">
      <c r="A61" s="341"/>
      <c r="B61" s="341"/>
      <c r="C61" s="341"/>
      <c r="D61" s="341"/>
      <c r="E61" s="341"/>
      <c r="F61" s="341"/>
      <c r="G61" s="341"/>
      <c r="H61" s="341"/>
      <c r="I61" s="341"/>
      <c r="J61" s="341"/>
      <c r="K61" s="341"/>
      <c r="L61" s="341"/>
      <c r="M61" s="341"/>
      <c r="N61" s="341"/>
      <c r="O61" s="412" t="s">
        <v>396</v>
      </c>
      <c r="P61" s="370">
        <f>C43</f>
        <v>4200</v>
      </c>
      <c r="Q61" s="355"/>
      <c r="R61" s="341"/>
      <c r="S61" s="341"/>
      <c r="T61" s="341"/>
      <c r="U61" s="341"/>
      <c r="V61" s="412" t="s">
        <v>396</v>
      </c>
      <c r="W61" s="370">
        <f t="shared" si="2"/>
        <v>4200</v>
      </c>
      <c r="X61" s="418">
        <f>D43</f>
        <v>4800</v>
      </c>
      <c r="Y61" s="341"/>
      <c r="Z61" s="341"/>
      <c r="AA61" s="341"/>
      <c r="AB61" s="341"/>
      <c r="AC61" s="341"/>
      <c r="AD61" s="341"/>
      <c r="AE61" s="341"/>
      <c r="AF61" s="341"/>
      <c r="AG61" s="341"/>
      <c r="AH61" s="341"/>
      <c r="AI61" s="341"/>
      <c r="AJ61" s="341"/>
      <c r="AK61" s="341"/>
      <c r="AL61" s="341"/>
      <c r="AM61" s="341"/>
      <c r="AN61" s="341"/>
      <c r="AO61" s="341"/>
      <c r="AP61" s="341"/>
      <c r="AQ61" s="341"/>
      <c r="AR61" s="341"/>
      <c r="AS61" s="341"/>
    </row>
    <row r="62" spans="1:45" ht="13.2" x14ac:dyDescent="0.25">
      <c r="A62" s="341"/>
      <c r="B62" s="341"/>
      <c r="C62" s="341"/>
      <c r="D62" s="341"/>
      <c r="E62" s="341"/>
      <c r="F62" s="341"/>
      <c r="G62" s="341"/>
      <c r="H62" s="341"/>
      <c r="I62" s="341"/>
      <c r="J62" s="341"/>
      <c r="K62" s="341"/>
      <c r="L62" s="341"/>
      <c r="M62" s="341"/>
      <c r="N62" s="341"/>
      <c r="O62" s="412" t="s">
        <v>397</v>
      </c>
      <c r="P62" s="370">
        <f>-C40</f>
        <v>-75000</v>
      </c>
      <c r="Q62" s="355"/>
      <c r="R62" s="341"/>
      <c r="S62" s="341"/>
      <c r="T62" s="341"/>
      <c r="U62" s="341"/>
      <c r="V62" s="412" t="s">
        <v>397</v>
      </c>
      <c r="W62" s="370">
        <f t="shared" si="2"/>
        <v>-75000</v>
      </c>
      <c r="X62" s="418">
        <f>-D40</f>
        <v>-73000</v>
      </c>
      <c r="Y62" s="341"/>
      <c r="Z62" s="341"/>
      <c r="AA62" s="341"/>
      <c r="AB62" s="341"/>
      <c r="AC62" s="341"/>
      <c r="AD62" s="341"/>
      <c r="AE62" s="341"/>
      <c r="AF62" s="341"/>
      <c r="AG62" s="341"/>
      <c r="AH62" s="341"/>
      <c r="AI62" s="341"/>
      <c r="AJ62" s="341"/>
      <c r="AK62" s="341"/>
      <c r="AL62" s="341"/>
      <c r="AM62" s="341"/>
      <c r="AN62" s="341"/>
      <c r="AO62" s="341"/>
      <c r="AP62" s="341"/>
      <c r="AQ62" s="341"/>
      <c r="AR62" s="341"/>
      <c r="AS62" s="341"/>
    </row>
    <row r="63" spans="1:45" ht="13.2" x14ac:dyDescent="0.25">
      <c r="A63" s="341"/>
      <c r="B63" s="341"/>
      <c r="C63" s="341"/>
      <c r="D63" s="341"/>
      <c r="E63" s="341"/>
      <c r="F63" s="341"/>
      <c r="G63" s="341"/>
      <c r="H63" s="341"/>
      <c r="I63" s="341"/>
      <c r="J63" s="341"/>
      <c r="K63" s="341"/>
      <c r="L63" s="341"/>
      <c r="M63" s="341"/>
      <c r="N63" s="341"/>
      <c r="O63" s="412" t="s">
        <v>398</v>
      </c>
      <c r="P63" s="356"/>
      <c r="Q63" s="355"/>
      <c r="R63" s="341"/>
      <c r="S63" s="341"/>
      <c r="T63" s="341"/>
      <c r="U63" s="341"/>
      <c r="V63" s="412" t="s">
        <v>398</v>
      </c>
      <c r="W63" s="396">
        <f t="shared" si="2"/>
        <v>0</v>
      </c>
      <c r="X63" s="355"/>
      <c r="Y63" s="341"/>
      <c r="Z63" s="341"/>
      <c r="AA63" s="341"/>
      <c r="AB63" s="341"/>
      <c r="AC63" s="341"/>
      <c r="AD63" s="341"/>
      <c r="AE63" s="341"/>
      <c r="AF63" s="341"/>
      <c r="AG63" s="341"/>
      <c r="AH63" s="341"/>
      <c r="AI63" s="341"/>
      <c r="AJ63" s="341"/>
      <c r="AK63" s="341"/>
      <c r="AL63" s="341"/>
      <c r="AM63" s="341"/>
      <c r="AN63" s="341"/>
      <c r="AO63" s="341"/>
      <c r="AP63" s="341"/>
      <c r="AQ63" s="341"/>
      <c r="AR63" s="341"/>
      <c r="AS63" s="341"/>
    </row>
    <row r="64" spans="1:45" ht="13.2" x14ac:dyDescent="0.25">
      <c r="A64" s="341"/>
      <c r="B64" s="341"/>
      <c r="C64" s="341"/>
      <c r="D64" s="341"/>
      <c r="E64" s="341"/>
      <c r="F64" s="341"/>
      <c r="G64" s="341"/>
      <c r="H64" s="341"/>
      <c r="I64" s="341"/>
      <c r="J64" s="341"/>
      <c r="K64" s="341"/>
      <c r="L64" s="341"/>
      <c r="M64" s="341"/>
      <c r="N64" s="341"/>
      <c r="O64" s="345" t="s">
        <v>91</v>
      </c>
      <c r="P64" s="401">
        <f>SUM(P58:P63)</f>
        <v>88000</v>
      </c>
      <c r="Q64" s="419"/>
      <c r="R64" s="341"/>
      <c r="S64" s="341"/>
      <c r="T64" s="341"/>
      <c r="U64" s="341"/>
      <c r="V64" s="345" t="s">
        <v>91</v>
      </c>
      <c r="W64" s="401">
        <f t="shared" si="2"/>
        <v>88000</v>
      </c>
      <c r="X64" s="420">
        <f>SUM(X58:X63)</f>
        <v>102200</v>
      </c>
      <c r="Y64" s="341"/>
      <c r="Z64" s="341"/>
      <c r="AA64" s="341"/>
      <c r="AB64" s="341"/>
      <c r="AC64" s="341"/>
      <c r="AD64" s="341"/>
      <c r="AE64" s="341"/>
      <c r="AF64" s="341"/>
      <c r="AG64" s="341"/>
      <c r="AH64" s="341"/>
      <c r="AI64" s="341"/>
      <c r="AJ64" s="341"/>
      <c r="AK64" s="341"/>
      <c r="AL64" s="341"/>
      <c r="AM64" s="341"/>
      <c r="AN64" s="341"/>
      <c r="AO64" s="341"/>
      <c r="AP64" s="341"/>
      <c r="AQ64" s="341"/>
      <c r="AR64" s="341"/>
      <c r="AS64" s="341"/>
    </row>
    <row r="65" spans="1:45" ht="13.2" x14ac:dyDescent="0.25">
      <c r="A65" s="341"/>
      <c r="B65" s="341"/>
      <c r="C65" s="341"/>
      <c r="D65" s="341"/>
      <c r="E65" s="341"/>
      <c r="F65" s="341"/>
      <c r="G65" s="341"/>
      <c r="H65" s="341"/>
      <c r="I65" s="341"/>
      <c r="J65" s="341"/>
      <c r="K65" s="341"/>
      <c r="L65" s="341"/>
      <c r="M65" s="341"/>
      <c r="N65" s="341"/>
      <c r="O65" s="341"/>
      <c r="P65" s="341"/>
      <c r="Q65" s="341"/>
      <c r="R65" s="341"/>
      <c r="S65" s="341"/>
      <c r="T65" s="341"/>
      <c r="U65" s="341"/>
      <c r="V65" s="341"/>
      <c r="W65" s="341"/>
      <c r="X65" s="341"/>
      <c r="Y65" s="341"/>
      <c r="Z65" s="341"/>
      <c r="AA65" s="341"/>
      <c r="AB65" s="341"/>
      <c r="AC65" s="341"/>
      <c r="AD65" s="341"/>
      <c r="AE65" s="341"/>
      <c r="AF65" s="341"/>
      <c r="AG65" s="341"/>
      <c r="AH65" s="341"/>
      <c r="AI65" s="341"/>
      <c r="AJ65" s="341"/>
      <c r="AK65" s="341"/>
      <c r="AL65" s="341"/>
      <c r="AM65" s="341"/>
      <c r="AN65" s="341"/>
      <c r="AO65" s="341"/>
      <c r="AP65" s="341"/>
      <c r="AQ65" s="341"/>
      <c r="AR65" s="341"/>
      <c r="AS65" s="341"/>
    </row>
    <row r="66" spans="1:45" ht="13.2" x14ac:dyDescent="0.25">
      <c r="A66" s="341"/>
      <c r="B66" s="341"/>
      <c r="C66" s="341"/>
      <c r="D66" s="341"/>
      <c r="E66" s="341"/>
      <c r="F66" s="341"/>
      <c r="G66" s="341"/>
      <c r="H66" s="341"/>
      <c r="I66" s="341"/>
      <c r="J66" s="341"/>
      <c r="K66" s="341"/>
      <c r="L66" s="341"/>
      <c r="M66" s="341"/>
      <c r="N66" s="341"/>
      <c r="O66" s="341" t="s">
        <v>199</v>
      </c>
      <c r="P66" s="414" t="s">
        <v>263</v>
      </c>
      <c r="Q66" s="352" t="s">
        <v>265</v>
      </c>
      <c r="R66" s="341"/>
      <c r="S66" s="341"/>
      <c r="T66" s="341"/>
      <c r="U66" s="341"/>
      <c r="V66" s="341" t="s">
        <v>199</v>
      </c>
      <c r="W66" s="414" t="s">
        <v>263</v>
      </c>
      <c r="X66" s="352" t="s">
        <v>265</v>
      </c>
      <c r="Y66" s="341"/>
      <c r="Z66" s="341"/>
      <c r="AA66" s="341"/>
      <c r="AB66" s="341"/>
      <c r="AC66" s="341"/>
      <c r="AD66" s="341"/>
      <c r="AE66" s="341"/>
      <c r="AF66" s="341"/>
      <c r="AG66" s="341"/>
      <c r="AH66" s="341"/>
      <c r="AI66" s="341"/>
      <c r="AJ66" s="341"/>
      <c r="AK66" s="341"/>
      <c r="AL66" s="341"/>
      <c r="AM66" s="341"/>
      <c r="AN66" s="341"/>
      <c r="AO66" s="341"/>
      <c r="AP66" s="341"/>
      <c r="AQ66" s="341"/>
      <c r="AR66" s="341"/>
      <c r="AS66" s="341"/>
    </row>
    <row r="67" spans="1:45" ht="13.2" x14ac:dyDescent="0.25">
      <c r="A67" s="341"/>
      <c r="B67" s="341"/>
      <c r="C67" s="341"/>
      <c r="D67" s="341"/>
      <c r="E67" s="341"/>
      <c r="F67" s="341"/>
      <c r="G67" s="341"/>
      <c r="H67" s="341"/>
      <c r="I67" s="341"/>
      <c r="J67" s="341"/>
      <c r="K67" s="341"/>
      <c r="L67" s="341"/>
      <c r="M67" s="341"/>
      <c r="N67" s="341"/>
      <c r="O67" s="410" t="s">
        <v>359</v>
      </c>
      <c r="P67" s="415">
        <f>C16</f>
        <v>25250</v>
      </c>
      <c r="Q67" s="416"/>
      <c r="R67" s="341"/>
      <c r="S67" s="341"/>
      <c r="T67" s="341"/>
      <c r="U67" s="341"/>
      <c r="V67" s="410" t="s">
        <v>359</v>
      </c>
      <c r="W67" s="415">
        <f>P67</f>
        <v>25250</v>
      </c>
      <c r="X67" s="417">
        <f>D16</f>
        <v>21400</v>
      </c>
      <c r="Y67" s="341"/>
      <c r="Z67" s="341"/>
      <c r="AA67" s="341"/>
      <c r="AB67" s="341"/>
      <c r="AC67" s="341"/>
      <c r="AD67" s="341"/>
      <c r="AE67" s="341"/>
      <c r="AF67" s="341"/>
      <c r="AG67" s="341"/>
      <c r="AH67" s="341"/>
      <c r="AI67" s="341"/>
      <c r="AJ67" s="341"/>
      <c r="AK67" s="341"/>
      <c r="AL67" s="341"/>
      <c r="AM67" s="341"/>
      <c r="AN67" s="341"/>
      <c r="AO67" s="341"/>
      <c r="AP67" s="341"/>
      <c r="AQ67" s="341"/>
      <c r="AR67" s="341"/>
      <c r="AS67" s="341"/>
    </row>
    <row r="68" spans="1:45" ht="13.2" x14ac:dyDescent="0.25">
      <c r="A68" s="341"/>
      <c r="B68" s="341"/>
      <c r="C68" s="341"/>
      <c r="D68" s="341"/>
      <c r="E68" s="341"/>
      <c r="F68" s="341"/>
      <c r="G68" s="341"/>
      <c r="H68" s="341"/>
      <c r="I68" s="341"/>
      <c r="J68" s="341"/>
      <c r="K68" s="341"/>
      <c r="L68" s="341"/>
      <c r="M68" s="341"/>
      <c r="N68" s="341"/>
      <c r="O68" s="412" t="s">
        <v>399</v>
      </c>
      <c r="P68" s="370">
        <f>C40</f>
        <v>75000</v>
      </c>
      <c r="Q68" s="355"/>
      <c r="R68" s="341"/>
      <c r="S68" s="341"/>
      <c r="T68" s="341"/>
      <c r="U68" s="341"/>
      <c r="V68" s="412" t="s">
        <v>399</v>
      </c>
      <c r="W68" s="370">
        <f>P68</f>
        <v>75000</v>
      </c>
      <c r="X68" s="418">
        <f>R31</f>
        <v>73000</v>
      </c>
      <c r="Y68" s="341"/>
      <c r="Z68" s="341"/>
      <c r="AA68" s="341"/>
      <c r="AB68" s="341"/>
      <c r="AC68" s="341"/>
      <c r="AD68" s="341"/>
      <c r="AE68" s="341"/>
      <c r="AF68" s="341"/>
      <c r="AG68" s="341"/>
      <c r="AH68" s="341"/>
      <c r="AI68" s="341"/>
      <c r="AJ68" s="341"/>
      <c r="AK68" s="341"/>
      <c r="AL68" s="341"/>
      <c r="AM68" s="341"/>
      <c r="AN68" s="341"/>
      <c r="AO68" s="341"/>
      <c r="AP68" s="341"/>
      <c r="AQ68" s="341"/>
      <c r="AR68" s="341"/>
      <c r="AS68" s="341"/>
    </row>
    <row r="69" spans="1:45" ht="13.2" x14ac:dyDescent="0.25">
      <c r="A69" s="341"/>
      <c r="B69" s="341"/>
      <c r="C69" s="341"/>
      <c r="D69" s="341"/>
      <c r="E69" s="341"/>
      <c r="F69" s="341"/>
      <c r="G69" s="341"/>
      <c r="H69" s="341"/>
      <c r="I69" s="341"/>
      <c r="J69" s="341"/>
      <c r="K69" s="341"/>
      <c r="L69" s="341"/>
      <c r="M69" s="341"/>
      <c r="N69" s="341"/>
      <c r="O69" s="412" t="s">
        <v>400</v>
      </c>
      <c r="P69" s="356"/>
      <c r="Q69" s="355"/>
      <c r="R69" s="341"/>
      <c r="S69" s="341"/>
      <c r="T69" s="341"/>
      <c r="U69" s="341"/>
      <c r="V69" s="412" t="s">
        <v>400</v>
      </c>
      <c r="W69" s="356">
        <f>P69</f>
        <v>0</v>
      </c>
      <c r="X69" s="355"/>
      <c r="Y69" s="341"/>
      <c r="Z69" s="341"/>
      <c r="AA69" s="341"/>
      <c r="AB69" s="341"/>
      <c r="AC69" s="341"/>
      <c r="AD69" s="341"/>
      <c r="AE69" s="341"/>
      <c r="AF69" s="341"/>
      <c r="AG69" s="341"/>
      <c r="AH69" s="341"/>
      <c r="AI69" s="341"/>
      <c r="AJ69" s="341"/>
      <c r="AK69" s="341"/>
      <c r="AL69" s="341"/>
      <c r="AM69" s="341"/>
      <c r="AN69" s="341"/>
      <c r="AO69" s="341"/>
      <c r="AP69" s="341"/>
      <c r="AQ69" s="341"/>
      <c r="AR69" s="341"/>
      <c r="AS69" s="341"/>
    </row>
    <row r="70" spans="1:45" ht="13.2" x14ac:dyDescent="0.25">
      <c r="A70" s="341"/>
      <c r="B70" s="341"/>
      <c r="C70" s="341"/>
      <c r="D70" s="341"/>
      <c r="E70" s="341"/>
      <c r="F70" s="341"/>
      <c r="G70" s="341"/>
      <c r="H70" s="341"/>
      <c r="I70" s="341"/>
      <c r="J70" s="341"/>
      <c r="K70" s="341"/>
      <c r="L70" s="341"/>
      <c r="M70" s="341"/>
      <c r="N70" s="341"/>
      <c r="O70" s="412" t="s">
        <v>401</v>
      </c>
      <c r="P70" s="370">
        <f>C42</f>
        <v>6500</v>
      </c>
      <c r="Q70" s="355"/>
      <c r="R70" s="341"/>
      <c r="S70" s="341"/>
      <c r="T70" s="341"/>
      <c r="U70" s="341"/>
      <c r="V70" s="412" t="s">
        <v>401</v>
      </c>
      <c r="W70" s="396">
        <f>P70</f>
        <v>6500</v>
      </c>
      <c r="X70" s="396">
        <f>D42</f>
        <v>7000</v>
      </c>
      <c r="Y70" s="341"/>
      <c r="Z70" s="341"/>
      <c r="AA70" s="341"/>
      <c r="AB70" s="341"/>
      <c r="AC70" s="341"/>
      <c r="AD70" s="341"/>
      <c r="AE70" s="341"/>
      <c r="AF70" s="341"/>
      <c r="AG70" s="341"/>
      <c r="AH70" s="341"/>
      <c r="AI70" s="341"/>
      <c r="AJ70" s="341"/>
      <c r="AK70" s="341"/>
      <c r="AL70" s="341"/>
      <c r="AM70" s="341"/>
      <c r="AN70" s="341"/>
      <c r="AO70" s="341"/>
      <c r="AP70" s="341"/>
      <c r="AQ70" s="341"/>
      <c r="AR70" s="341"/>
      <c r="AS70" s="341"/>
    </row>
    <row r="71" spans="1:45" ht="13.2" x14ac:dyDescent="0.25">
      <c r="A71" s="341"/>
      <c r="B71" s="341"/>
      <c r="C71" s="341"/>
      <c r="D71" s="341"/>
      <c r="E71" s="341"/>
      <c r="F71" s="341"/>
      <c r="G71" s="341"/>
      <c r="H71" s="341"/>
      <c r="I71" s="341"/>
      <c r="J71" s="341"/>
      <c r="K71" s="341"/>
      <c r="L71" s="341"/>
      <c r="M71" s="341"/>
      <c r="N71" s="341"/>
      <c r="O71" s="421" t="s">
        <v>370</v>
      </c>
      <c r="P71" s="401">
        <f>SUM(P67:P70)</f>
        <v>106750</v>
      </c>
      <c r="Q71" s="419"/>
      <c r="R71" s="341"/>
      <c r="S71" s="341"/>
      <c r="T71" s="341"/>
      <c r="U71" s="341"/>
      <c r="V71" s="421" t="s">
        <v>370</v>
      </c>
      <c r="W71" s="401">
        <f>P71</f>
        <v>106750</v>
      </c>
      <c r="X71" s="420">
        <f>SUM(X67:X70)</f>
        <v>101400</v>
      </c>
      <c r="Y71" s="341"/>
      <c r="Z71" s="341"/>
      <c r="AA71" s="341"/>
      <c r="AB71" s="341"/>
      <c r="AC71" s="341"/>
      <c r="AD71" s="341"/>
      <c r="AE71" s="341"/>
      <c r="AF71" s="341"/>
      <c r="AG71" s="341"/>
      <c r="AH71" s="341"/>
      <c r="AI71" s="341"/>
      <c r="AJ71" s="341"/>
      <c r="AK71" s="341"/>
      <c r="AL71" s="341"/>
      <c r="AM71" s="341"/>
      <c r="AN71" s="341"/>
      <c r="AO71" s="341"/>
      <c r="AP71" s="341"/>
      <c r="AQ71" s="341"/>
      <c r="AR71" s="341"/>
      <c r="AS71" s="341"/>
    </row>
    <row r="72" spans="1:45" ht="13.2" x14ac:dyDescent="0.25">
      <c r="A72" s="341"/>
      <c r="B72" s="341"/>
      <c r="C72" s="341"/>
      <c r="D72" s="341"/>
      <c r="E72" s="341"/>
      <c r="F72" s="341"/>
      <c r="G72" s="341"/>
      <c r="H72" s="341"/>
      <c r="I72" s="341"/>
      <c r="J72" s="341"/>
      <c r="K72" s="341"/>
      <c r="L72" s="341"/>
      <c r="M72" s="341"/>
      <c r="N72" s="341"/>
      <c r="O72" s="341"/>
      <c r="P72" s="341"/>
      <c r="Q72" s="341"/>
      <c r="R72" s="341"/>
      <c r="S72" s="341"/>
      <c r="T72" s="341"/>
      <c r="U72" s="341"/>
      <c r="V72" s="341"/>
      <c r="W72" s="341"/>
      <c r="X72" s="341"/>
      <c r="Y72" s="341"/>
      <c r="Z72" s="341"/>
      <c r="AA72" s="341"/>
      <c r="AB72" s="341"/>
      <c r="AC72" s="341"/>
      <c r="AD72" s="341"/>
      <c r="AE72" s="341"/>
      <c r="AF72" s="341"/>
      <c r="AG72" s="341"/>
      <c r="AH72" s="341"/>
      <c r="AI72" s="341"/>
      <c r="AJ72" s="341"/>
      <c r="AK72" s="341"/>
      <c r="AL72" s="341"/>
      <c r="AM72" s="341"/>
      <c r="AN72" s="341"/>
      <c r="AO72" s="341"/>
      <c r="AP72" s="341"/>
      <c r="AQ72" s="341"/>
      <c r="AR72" s="341"/>
      <c r="AS72" s="341"/>
    </row>
    <row r="73" spans="1:45" ht="13.2" x14ac:dyDescent="0.25">
      <c r="A73" s="341"/>
      <c r="B73" s="341"/>
      <c r="C73" s="341"/>
      <c r="D73" s="341"/>
      <c r="E73" s="341"/>
      <c r="F73" s="341"/>
      <c r="G73" s="341"/>
      <c r="H73" s="341"/>
      <c r="I73" s="341"/>
      <c r="J73" s="341"/>
      <c r="K73" s="341"/>
      <c r="L73" s="341"/>
      <c r="M73" s="341"/>
      <c r="N73" s="341"/>
      <c r="O73" s="341"/>
      <c r="P73" s="341"/>
      <c r="Q73" s="341"/>
      <c r="R73" s="341"/>
      <c r="S73" s="341"/>
      <c r="T73" s="341"/>
      <c r="U73" s="341"/>
      <c r="V73" s="341"/>
      <c r="W73" s="341"/>
      <c r="X73" s="341"/>
      <c r="Y73" s="341"/>
      <c r="Z73" s="341"/>
      <c r="AA73" s="341"/>
      <c r="AB73" s="341"/>
      <c r="AC73" s="341"/>
      <c r="AD73" s="341"/>
      <c r="AE73" s="341"/>
      <c r="AF73" s="341"/>
      <c r="AG73" s="341"/>
      <c r="AH73" s="341"/>
      <c r="AI73" s="341"/>
      <c r="AJ73" s="341"/>
      <c r="AK73" s="341"/>
      <c r="AL73" s="341"/>
      <c r="AM73" s="341"/>
      <c r="AN73" s="341"/>
      <c r="AO73" s="341"/>
      <c r="AP73" s="341"/>
      <c r="AQ73" s="341"/>
      <c r="AR73" s="341"/>
      <c r="AS73" s="341"/>
    </row>
    <row r="74" spans="1:45" ht="13.2" x14ac:dyDescent="0.25">
      <c r="A74" s="341"/>
      <c r="B74" s="341"/>
      <c r="C74" s="341"/>
      <c r="D74" s="341"/>
      <c r="E74" s="341"/>
      <c r="F74" s="341"/>
      <c r="G74" s="341"/>
      <c r="H74" s="341"/>
      <c r="I74" s="341"/>
      <c r="J74" s="341"/>
      <c r="K74" s="341"/>
      <c r="L74" s="341"/>
      <c r="M74" s="341"/>
      <c r="N74" s="341"/>
      <c r="O74" s="341"/>
      <c r="P74" s="341"/>
      <c r="Q74" s="341"/>
      <c r="R74" s="341"/>
      <c r="S74" s="341"/>
      <c r="T74" s="341"/>
      <c r="U74" s="341"/>
      <c r="V74" s="341"/>
      <c r="W74" s="341"/>
      <c r="X74" s="341"/>
      <c r="Y74" s="341"/>
      <c r="Z74" s="341"/>
      <c r="AA74" s="341"/>
      <c r="AB74" s="341"/>
      <c r="AC74" s="341"/>
      <c r="AD74" s="341"/>
      <c r="AE74" s="341"/>
      <c r="AF74" s="341"/>
      <c r="AG74" s="341"/>
      <c r="AH74" s="341"/>
      <c r="AI74" s="341"/>
      <c r="AJ74" s="341"/>
      <c r="AK74" s="341"/>
      <c r="AL74" s="341"/>
      <c r="AM74" s="341"/>
      <c r="AN74" s="341"/>
      <c r="AO74" s="341"/>
      <c r="AP74" s="341"/>
      <c r="AQ74" s="341"/>
      <c r="AR74" s="341"/>
      <c r="AS74" s="341"/>
    </row>
    <row r="75" spans="1:45" ht="13.2" x14ac:dyDescent="0.25">
      <c r="A75" s="341"/>
      <c r="B75" s="341"/>
      <c r="C75" s="341"/>
      <c r="D75" s="341"/>
      <c r="E75" s="341"/>
      <c r="F75" s="341"/>
      <c r="G75" s="341"/>
      <c r="H75" s="341"/>
      <c r="I75" s="341"/>
      <c r="J75" s="341"/>
      <c r="K75" s="341"/>
      <c r="L75" s="341"/>
      <c r="M75" s="341"/>
      <c r="N75" s="341"/>
      <c r="O75" s="341"/>
      <c r="P75" s="341"/>
      <c r="Q75" s="341"/>
      <c r="R75" s="341"/>
      <c r="S75" s="341"/>
      <c r="T75" s="341"/>
      <c r="U75" s="341"/>
      <c r="V75" s="341"/>
      <c r="W75" s="341"/>
      <c r="X75" s="341"/>
      <c r="Y75" s="341"/>
      <c r="Z75" s="341"/>
      <c r="AA75" s="341"/>
      <c r="AB75" s="341"/>
      <c r="AC75" s="341"/>
      <c r="AD75" s="341"/>
      <c r="AE75" s="341"/>
      <c r="AF75" s="341"/>
      <c r="AG75" s="341"/>
      <c r="AH75" s="341"/>
      <c r="AI75" s="341"/>
      <c r="AJ75" s="341"/>
      <c r="AK75" s="341"/>
      <c r="AL75" s="341"/>
      <c r="AM75" s="341"/>
      <c r="AN75" s="341"/>
      <c r="AO75" s="341"/>
      <c r="AP75" s="341"/>
      <c r="AQ75" s="341"/>
      <c r="AR75" s="341"/>
      <c r="AS75" s="341"/>
    </row>
    <row r="76" spans="1:45" ht="13.2" x14ac:dyDescent="0.25">
      <c r="A76" s="341"/>
      <c r="B76" s="341"/>
      <c r="C76" s="341"/>
      <c r="D76" s="341"/>
      <c r="E76" s="341"/>
      <c r="F76" s="341"/>
      <c r="G76" s="341"/>
      <c r="H76" s="341"/>
      <c r="I76" s="341"/>
      <c r="J76" s="341"/>
      <c r="K76" s="341"/>
      <c r="L76" s="341"/>
      <c r="M76" s="341"/>
      <c r="N76" s="341"/>
      <c r="O76" s="341"/>
      <c r="P76" s="341"/>
      <c r="Q76" s="341"/>
      <c r="R76" s="341"/>
      <c r="S76" s="341"/>
      <c r="T76" s="341"/>
      <c r="U76" s="341"/>
      <c r="V76" s="341"/>
      <c r="W76" s="341"/>
      <c r="X76" s="341"/>
      <c r="Y76" s="341"/>
      <c r="Z76" s="341"/>
      <c r="AA76" s="341"/>
      <c r="AB76" s="341"/>
      <c r="AC76" s="341"/>
      <c r="AD76" s="341"/>
      <c r="AE76" s="341"/>
      <c r="AF76" s="341"/>
      <c r="AG76" s="341"/>
      <c r="AH76" s="341"/>
      <c r="AI76" s="341"/>
      <c r="AJ76" s="341"/>
      <c r="AK76" s="341"/>
      <c r="AL76" s="341"/>
      <c r="AM76" s="341"/>
      <c r="AN76" s="341"/>
      <c r="AO76" s="341"/>
      <c r="AP76" s="341"/>
      <c r="AQ76" s="341"/>
      <c r="AR76" s="341"/>
      <c r="AS76" s="341"/>
    </row>
    <row r="77" spans="1:45" ht="13.2" x14ac:dyDescent="0.25">
      <c r="A77" s="341"/>
      <c r="B77" s="341"/>
      <c r="C77" s="341"/>
      <c r="D77" s="341"/>
      <c r="E77" s="341"/>
      <c r="F77" s="341"/>
      <c r="G77" s="341"/>
      <c r="H77" s="341"/>
      <c r="I77" s="341"/>
      <c r="J77" s="341"/>
      <c r="K77" s="341"/>
      <c r="L77" s="341"/>
      <c r="M77" s="341"/>
      <c r="N77" s="341"/>
      <c r="O77" s="341"/>
      <c r="P77" s="341"/>
      <c r="Q77" s="341"/>
      <c r="R77" s="341"/>
      <c r="S77" s="341"/>
      <c r="T77" s="341"/>
      <c r="U77" s="341"/>
      <c r="V77" s="341"/>
      <c r="W77" s="341"/>
      <c r="X77" s="341"/>
      <c r="Y77" s="341"/>
      <c r="Z77" s="341"/>
      <c r="AA77" s="341"/>
      <c r="AB77" s="341"/>
      <c r="AC77" s="341"/>
      <c r="AD77" s="341"/>
      <c r="AE77" s="341"/>
      <c r="AF77" s="341"/>
      <c r="AG77" s="341"/>
      <c r="AH77" s="341"/>
      <c r="AI77" s="341"/>
      <c r="AJ77" s="341"/>
      <c r="AK77" s="341"/>
      <c r="AL77" s="341"/>
      <c r="AM77" s="341"/>
      <c r="AN77" s="341"/>
      <c r="AO77" s="341"/>
      <c r="AP77" s="341"/>
      <c r="AQ77" s="341"/>
      <c r="AR77" s="341"/>
      <c r="AS77" s="341"/>
    </row>
    <row r="78" spans="1:45" ht="13.2" x14ac:dyDescent="0.25">
      <c r="A78" s="341"/>
      <c r="B78" s="341"/>
      <c r="C78" s="341"/>
      <c r="D78" s="341"/>
      <c r="E78" s="341"/>
      <c r="F78" s="341"/>
      <c r="G78" s="341"/>
      <c r="H78" s="341"/>
      <c r="I78" s="341"/>
      <c r="J78" s="341"/>
      <c r="K78" s="341"/>
      <c r="L78" s="341"/>
      <c r="M78" s="341"/>
      <c r="N78" s="341"/>
      <c r="O78" s="341"/>
      <c r="P78" s="341"/>
      <c r="Q78" s="341"/>
      <c r="R78" s="341"/>
      <c r="S78" s="341"/>
      <c r="T78" s="341"/>
      <c r="U78" s="341"/>
      <c r="V78" s="341"/>
      <c r="W78" s="341"/>
      <c r="X78" s="341"/>
      <c r="Y78" s="341"/>
      <c r="Z78" s="341"/>
      <c r="AA78" s="341"/>
      <c r="AB78" s="341"/>
      <c r="AC78" s="341"/>
      <c r="AD78" s="341"/>
      <c r="AE78" s="341"/>
      <c r="AF78" s="341"/>
      <c r="AG78" s="341"/>
      <c r="AH78" s="341"/>
      <c r="AI78" s="341"/>
      <c r="AJ78" s="341"/>
      <c r="AK78" s="341"/>
      <c r="AL78" s="341"/>
      <c r="AM78" s="341"/>
      <c r="AN78" s="341"/>
      <c r="AO78" s="341"/>
      <c r="AP78" s="341"/>
      <c r="AQ78" s="341"/>
      <c r="AR78" s="341"/>
      <c r="AS78" s="341"/>
    </row>
    <row r="79" spans="1:45" ht="13.2" x14ac:dyDescent="0.25">
      <c r="A79" s="341"/>
      <c r="B79" s="341"/>
      <c r="C79" s="341"/>
      <c r="D79" s="341"/>
      <c r="E79" s="341"/>
      <c r="F79" s="341"/>
      <c r="G79" s="341"/>
      <c r="H79" s="341"/>
      <c r="I79" s="341"/>
      <c r="J79" s="341"/>
      <c r="K79" s="341"/>
      <c r="L79" s="341"/>
      <c r="M79" s="341"/>
      <c r="N79" s="341"/>
      <c r="O79" s="341"/>
      <c r="P79" s="341"/>
      <c r="Q79" s="341"/>
      <c r="R79" s="341"/>
      <c r="S79" s="341"/>
      <c r="T79" s="341"/>
      <c r="U79" s="341"/>
      <c r="V79" s="341"/>
      <c r="W79" s="341"/>
      <c r="X79" s="341"/>
      <c r="Y79" s="341"/>
      <c r="Z79" s="341"/>
      <c r="AA79" s="341"/>
      <c r="AB79" s="341"/>
      <c r="AC79" s="341"/>
      <c r="AD79" s="341"/>
      <c r="AE79" s="341"/>
      <c r="AF79" s="341"/>
      <c r="AG79" s="341"/>
      <c r="AH79" s="341"/>
      <c r="AI79" s="341"/>
      <c r="AJ79" s="341"/>
      <c r="AK79" s="341"/>
      <c r="AL79" s="341"/>
      <c r="AM79" s="341"/>
      <c r="AN79" s="341"/>
      <c r="AO79" s="341"/>
      <c r="AP79" s="341"/>
      <c r="AQ79" s="341"/>
      <c r="AR79" s="341"/>
      <c r="AS79" s="341"/>
    </row>
    <row r="80" spans="1:45" ht="13.2" x14ac:dyDescent="0.25">
      <c r="A80" s="341"/>
      <c r="B80" s="341"/>
      <c r="C80" s="341"/>
      <c r="D80" s="341"/>
      <c r="E80" s="341"/>
      <c r="F80" s="341"/>
      <c r="G80" s="341"/>
      <c r="H80" s="341"/>
      <c r="I80" s="341"/>
      <c r="J80" s="341"/>
      <c r="K80" s="341"/>
      <c r="L80" s="341"/>
      <c r="M80" s="341"/>
      <c r="N80" s="341"/>
      <c r="O80" s="341"/>
      <c r="P80" s="341"/>
      <c r="Q80" s="341"/>
      <c r="R80" s="341"/>
      <c r="S80" s="341"/>
      <c r="T80" s="341"/>
      <c r="U80" s="341"/>
      <c r="V80" s="341"/>
      <c r="W80" s="341"/>
      <c r="X80" s="341"/>
      <c r="Y80" s="341"/>
      <c r="Z80" s="341"/>
      <c r="AA80" s="341"/>
      <c r="AB80" s="341"/>
      <c r="AC80" s="341"/>
      <c r="AD80" s="341"/>
      <c r="AE80" s="341"/>
      <c r="AF80" s="341"/>
      <c r="AG80" s="341"/>
      <c r="AH80" s="341"/>
      <c r="AI80" s="341"/>
      <c r="AJ80" s="341"/>
      <c r="AK80" s="341"/>
      <c r="AL80" s="341"/>
      <c r="AM80" s="341"/>
      <c r="AN80" s="341"/>
      <c r="AO80" s="341"/>
      <c r="AP80" s="341"/>
      <c r="AQ80" s="341"/>
      <c r="AR80" s="341"/>
      <c r="AS80" s="341"/>
    </row>
    <row r="81" spans="1:45" ht="13.2" x14ac:dyDescent="0.25">
      <c r="A81" s="341"/>
      <c r="B81" s="341"/>
      <c r="C81" s="341"/>
      <c r="D81" s="341"/>
      <c r="E81" s="341"/>
      <c r="F81" s="341"/>
      <c r="G81" s="341"/>
      <c r="H81" s="341"/>
      <c r="I81" s="341"/>
      <c r="J81" s="341"/>
      <c r="K81" s="341"/>
      <c r="L81" s="341"/>
      <c r="M81" s="341"/>
      <c r="N81" s="341"/>
      <c r="O81" s="341"/>
      <c r="P81" s="341"/>
      <c r="Q81" s="341"/>
      <c r="R81" s="341"/>
      <c r="S81" s="341"/>
      <c r="T81" s="341"/>
      <c r="U81" s="341"/>
      <c r="V81" s="341"/>
      <c r="W81" s="341"/>
      <c r="X81" s="341"/>
      <c r="Y81" s="341"/>
      <c r="Z81" s="341"/>
      <c r="AA81" s="341"/>
      <c r="AB81" s="341"/>
      <c r="AC81" s="341"/>
      <c r="AD81" s="341"/>
      <c r="AE81" s="341"/>
      <c r="AF81" s="341"/>
      <c r="AG81" s="341"/>
      <c r="AH81" s="341"/>
      <c r="AI81" s="341"/>
      <c r="AJ81" s="341"/>
      <c r="AK81" s="341"/>
      <c r="AL81" s="341"/>
      <c r="AM81" s="341"/>
      <c r="AN81" s="341"/>
      <c r="AO81" s="341"/>
      <c r="AP81" s="341"/>
      <c r="AQ81" s="341"/>
      <c r="AR81" s="341"/>
      <c r="AS81" s="341"/>
    </row>
    <row r="82" spans="1:45" ht="13.2" x14ac:dyDescent="0.25">
      <c r="A82" s="341"/>
      <c r="B82" s="341"/>
      <c r="C82" s="341"/>
      <c r="D82" s="341"/>
      <c r="E82" s="341"/>
      <c r="F82" s="341"/>
      <c r="G82" s="341"/>
      <c r="H82" s="341"/>
      <c r="I82" s="341"/>
      <c r="J82" s="341"/>
      <c r="K82" s="341"/>
      <c r="L82" s="341"/>
      <c r="M82" s="341"/>
      <c r="N82" s="341"/>
      <c r="O82" s="341"/>
      <c r="P82" s="341"/>
      <c r="Q82" s="341"/>
      <c r="R82" s="341"/>
      <c r="S82" s="341"/>
      <c r="T82" s="341"/>
      <c r="U82" s="341"/>
      <c r="V82" s="341"/>
      <c r="W82" s="341"/>
      <c r="X82" s="341"/>
      <c r="Y82" s="341"/>
      <c r="Z82" s="341"/>
      <c r="AA82" s="341"/>
      <c r="AB82" s="341"/>
      <c r="AC82" s="341"/>
      <c r="AD82" s="341"/>
      <c r="AE82" s="341"/>
      <c r="AF82" s="341"/>
      <c r="AG82" s="341"/>
      <c r="AH82" s="341"/>
      <c r="AI82" s="341"/>
      <c r="AJ82" s="341"/>
      <c r="AK82" s="341"/>
      <c r="AL82" s="341"/>
      <c r="AM82" s="341"/>
      <c r="AN82" s="341"/>
      <c r="AO82" s="341"/>
      <c r="AP82" s="341"/>
      <c r="AQ82" s="341"/>
      <c r="AR82" s="341"/>
      <c r="AS82" s="341"/>
    </row>
    <row r="83" spans="1:45" ht="13.2" x14ac:dyDescent="0.25">
      <c r="A83" s="341"/>
      <c r="B83" s="341"/>
      <c r="C83" s="341"/>
      <c r="D83" s="341"/>
      <c r="E83" s="341"/>
      <c r="F83" s="341"/>
      <c r="G83" s="341"/>
      <c r="H83" s="341"/>
      <c r="I83" s="341"/>
      <c r="J83" s="341"/>
      <c r="K83" s="341"/>
      <c r="L83" s="341"/>
      <c r="M83" s="341"/>
      <c r="N83" s="341"/>
      <c r="O83" s="341"/>
      <c r="P83" s="341"/>
      <c r="Q83" s="341"/>
      <c r="R83" s="341"/>
      <c r="S83" s="341"/>
      <c r="T83" s="341"/>
      <c r="U83" s="341"/>
      <c r="V83" s="341"/>
      <c r="W83" s="341"/>
      <c r="X83" s="341"/>
      <c r="Y83" s="341"/>
      <c r="Z83" s="341"/>
      <c r="AA83" s="341"/>
      <c r="AB83" s="341"/>
      <c r="AC83" s="341"/>
      <c r="AD83" s="341"/>
      <c r="AE83" s="341"/>
      <c r="AF83" s="341"/>
      <c r="AG83" s="341"/>
      <c r="AH83" s="341"/>
      <c r="AI83" s="341"/>
      <c r="AJ83" s="341"/>
      <c r="AK83" s="341"/>
      <c r="AL83" s="341"/>
      <c r="AM83" s="341"/>
      <c r="AN83" s="341"/>
      <c r="AO83" s="341"/>
      <c r="AP83" s="341"/>
      <c r="AQ83" s="341"/>
      <c r="AR83" s="341"/>
      <c r="AS83" s="341"/>
    </row>
    <row r="84" spans="1:45" ht="13.2" x14ac:dyDescent="0.25">
      <c r="A84" s="341"/>
      <c r="B84" s="341"/>
      <c r="C84" s="341"/>
      <c r="D84" s="341"/>
      <c r="E84" s="341"/>
      <c r="F84" s="341"/>
      <c r="G84" s="341"/>
      <c r="H84" s="341"/>
      <c r="I84" s="341"/>
      <c r="J84" s="341"/>
      <c r="K84" s="341"/>
      <c r="L84" s="341"/>
      <c r="M84" s="341"/>
      <c r="N84" s="341"/>
      <c r="O84" s="341"/>
      <c r="P84" s="341"/>
      <c r="Q84" s="341"/>
      <c r="R84" s="341"/>
      <c r="S84" s="341"/>
      <c r="T84" s="341"/>
      <c r="U84" s="341"/>
      <c r="V84" s="341"/>
      <c r="W84" s="341"/>
      <c r="X84" s="341"/>
      <c r="Y84" s="341"/>
      <c r="Z84" s="341"/>
      <c r="AA84" s="341"/>
      <c r="AB84" s="341"/>
      <c r="AC84" s="341"/>
      <c r="AD84" s="341"/>
      <c r="AE84" s="341"/>
      <c r="AF84" s="341"/>
      <c r="AG84" s="341"/>
      <c r="AH84" s="341"/>
      <c r="AI84" s="341"/>
      <c r="AJ84" s="341"/>
      <c r="AK84" s="341"/>
      <c r="AL84" s="341"/>
      <c r="AM84" s="341"/>
      <c r="AN84" s="341"/>
      <c r="AO84" s="341"/>
      <c r="AP84" s="341"/>
      <c r="AQ84" s="341"/>
      <c r="AR84" s="341"/>
      <c r="AS84" s="341"/>
    </row>
    <row r="85" spans="1:45" ht="13.2" x14ac:dyDescent="0.25">
      <c r="A85" s="341"/>
      <c r="B85" s="341"/>
      <c r="C85" s="341"/>
      <c r="D85" s="341"/>
      <c r="E85" s="341"/>
      <c r="F85" s="341"/>
      <c r="G85" s="341"/>
      <c r="H85" s="341"/>
      <c r="I85" s="341"/>
      <c r="J85" s="341"/>
      <c r="K85" s="341"/>
      <c r="L85" s="341"/>
      <c r="M85" s="341"/>
      <c r="N85" s="341"/>
      <c r="O85" s="341"/>
      <c r="P85" s="341"/>
      <c r="Q85" s="341"/>
      <c r="R85" s="341"/>
      <c r="S85" s="341"/>
      <c r="T85" s="341"/>
      <c r="U85" s="341"/>
      <c r="V85" s="341"/>
      <c r="W85" s="341"/>
      <c r="X85" s="341"/>
      <c r="Y85" s="341"/>
      <c r="Z85" s="341"/>
      <c r="AA85" s="341"/>
      <c r="AB85" s="341"/>
      <c r="AC85" s="341"/>
      <c r="AD85" s="341"/>
      <c r="AE85" s="341"/>
      <c r="AF85" s="341"/>
      <c r="AG85" s="341"/>
      <c r="AH85" s="341"/>
      <c r="AI85" s="341"/>
      <c r="AJ85" s="341"/>
      <c r="AK85" s="341"/>
      <c r="AL85" s="341"/>
      <c r="AM85" s="341"/>
      <c r="AN85" s="341"/>
      <c r="AO85" s="341"/>
      <c r="AP85" s="341"/>
      <c r="AQ85" s="341"/>
      <c r="AR85" s="341"/>
      <c r="AS85" s="341"/>
    </row>
    <row r="86" spans="1:45" ht="13.2" x14ac:dyDescent="0.25">
      <c r="A86" s="341"/>
      <c r="B86" s="341"/>
      <c r="C86" s="341"/>
      <c r="D86" s="341"/>
      <c r="E86" s="341"/>
      <c r="F86" s="341"/>
      <c r="G86" s="341"/>
      <c r="H86" s="341"/>
      <c r="I86" s="341"/>
      <c r="J86" s="341"/>
      <c r="K86" s="341"/>
      <c r="L86" s="341"/>
      <c r="M86" s="341"/>
      <c r="N86" s="341"/>
      <c r="O86" s="341"/>
      <c r="P86" s="341"/>
      <c r="Q86" s="341"/>
      <c r="R86" s="341"/>
      <c r="S86" s="341"/>
      <c r="T86" s="341"/>
      <c r="U86" s="341"/>
      <c r="V86" s="341"/>
      <c r="W86" s="341"/>
      <c r="X86" s="341"/>
      <c r="Y86" s="341"/>
      <c r="Z86" s="341"/>
      <c r="AA86" s="341"/>
      <c r="AB86" s="341"/>
      <c r="AC86" s="341"/>
      <c r="AD86" s="341"/>
      <c r="AE86" s="341"/>
      <c r="AF86" s="341"/>
      <c r="AG86" s="341"/>
      <c r="AH86" s="341"/>
      <c r="AI86" s="341"/>
      <c r="AJ86" s="341"/>
      <c r="AK86" s="341"/>
      <c r="AL86" s="341"/>
      <c r="AM86" s="341"/>
      <c r="AN86" s="341"/>
      <c r="AO86" s="341"/>
      <c r="AP86" s="341"/>
      <c r="AQ86" s="341"/>
      <c r="AR86" s="341"/>
      <c r="AS86" s="341"/>
    </row>
    <row r="87" spans="1:45" ht="13.2" x14ac:dyDescent="0.25">
      <c r="A87" s="341"/>
      <c r="B87" s="341"/>
      <c r="C87" s="341"/>
      <c r="D87" s="341"/>
      <c r="E87" s="341"/>
      <c r="F87" s="341"/>
      <c r="G87" s="341"/>
      <c r="H87" s="341"/>
      <c r="I87" s="341"/>
      <c r="J87" s="341"/>
      <c r="K87" s="341"/>
      <c r="L87" s="341"/>
      <c r="M87" s="341"/>
      <c r="N87" s="341"/>
      <c r="O87" s="341"/>
      <c r="P87" s="341"/>
      <c r="Q87" s="341"/>
      <c r="R87" s="341"/>
      <c r="S87" s="341"/>
      <c r="T87" s="341"/>
      <c r="U87" s="341"/>
      <c r="V87" s="341"/>
      <c r="W87" s="341"/>
      <c r="X87" s="341"/>
      <c r="Y87" s="341"/>
      <c r="Z87" s="341"/>
      <c r="AA87" s="341"/>
      <c r="AB87" s="341"/>
      <c r="AC87" s="341"/>
      <c r="AD87" s="341"/>
      <c r="AE87" s="341"/>
      <c r="AF87" s="341"/>
      <c r="AG87" s="341"/>
      <c r="AH87" s="341"/>
      <c r="AI87" s="341"/>
      <c r="AJ87" s="341"/>
      <c r="AK87" s="341"/>
      <c r="AL87" s="341"/>
      <c r="AM87" s="341"/>
      <c r="AN87" s="341"/>
      <c r="AO87" s="341"/>
      <c r="AP87" s="341"/>
      <c r="AQ87" s="341"/>
      <c r="AR87" s="341"/>
      <c r="AS87" s="341"/>
    </row>
    <row r="88" spans="1:45" ht="13.2" x14ac:dyDescent="0.25">
      <c r="A88" s="341"/>
      <c r="B88" s="341"/>
      <c r="C88" s="341"/>
      <c r="D88" s="341"/>
      <c r="E88" s="341"/>
      <c r="F88" s="341"/>
      <c r="G88" s="341"/>
      <c r="H88" s="341"/>
      <c r="I88" s="341"/>
      <c r="J88" s="341"/>
      <c r="K88" s="341"/>
      <c r="L88" s="341"/>
      <c r="M88" s="341"/>
      <c r="N88" s="341"/>
      <c r="O88" s="341"/>
      <c r="P88" s="341"/>
      <c r="Q88" s="341"/>
      <c r="R88" s="341"/>
      <c r="S88" s="341"/>
      <c r="T88" s="341"/>
      <c r="U88" s="341"/>
      <c r="V88" s="341"/>
      <c r="W88" s="341"/>
      <c r="X88" s="341"/>
      <c r="Y88" s="341"/>
      <c r="Z88" s="341"/>
      <c r="AA88" s="341"/>
      <c r="AB88" s="341"/>
      <c r="AC88" s="341"/>
      <c r="AD88" s="341"/>
      <c r="AE88" s="341"/>
      <c r="AF88" s="341"/>
      <c r="AG88" s="341"/>
      <c r="AH88" s="341"/>
      <c r="AI88" s="341"/>
      <c r="AJ88" s="341"/>
      <c r="AK88" s="341"/>
      <c r="AL88" s="341"/>
      <c r="AM88" s="341"/>
      <c r="AN88" s="341"/>
      <c r="AO88" s="341"/>
      <c r="AP88" s="341"/>
      <c r="AQ88" s="341"/>
      <c r="AR88" s="341"/>
      <c r="AS88" s="341"/>
    </row>
    <row r="89" spans="1:45" ht="13.2" x14ac:dyDescent="0.25">
      <c r="A89" s="341"/>
      <c r="B89" s="341"/>
      <c r="C89" s="341"/>
      <c r="D89" s="341"/>
      <c r="E89" s="341"/>
      <c r="F89" s="341"/>
      <c r="G89" s="341"/>
      <c r="H89" s="341"/>
      <c r="I89" s="341"/>
      <c r="J89" s="341"/>
      <c r="K89" s="341"/>
      <c r="L89" s="341"/>
      <c r="M89" s="341"/>
      <c r="N89" s="341"/>
      <c r="O89" s="341"/>
      <c r="P89" s="341"/>
      <c r="Q89" s="341"/>
      <c r="R89" s="341"/>
      <c r="S89" s="341"/>
      <c r="T89" s="341"/>
      <c r="U89" s="341"/>
      <c r="V89" s="341"/>
      <c r="W89" s="341"/>
      <c r="X89" s="341"/>
      <c r="Y89" s="341"/>
      <c r="Z89" s="341"/>
      <c r="AA89" s="341"/>
      <c r="AB89" s="341"/>
      <c r="AC89" s="341"/>
      <c r="AD89" s="341"/>
      <c r="AE89" s="341"/>
      <c r="AF89" s="341"/>
      <c r="AG89" s="341"/>
      <c r="AH89" s="341"/>
      <c r="AI89" s="341"/>
      <c r="AJ89" s="341"/>
      <c r="AK89" s="341"/>
      <c r="AL89" s="341"/>
      <c r="AM89" s="341"/>
      <c r="AN89" s="341"/>
      <c r="AO89" s="341"/>
      <c r="AP89" s="341"/>
      <c r="AQ89" s="341"/>
      <c r="AR89" s="341"/>
      <c r="AS89" s="341"/>
    </row>
    <row r="90" spans="1:45" ht="13.2" x14ac:dyDescent="0.25">
      <c r="A90" s="341"/>
      <c r="B90" s="341"/>
      <c r="C90" s="341"/>
      <c r="D90" s="341"/>
      <c r="E90" s="341"/>
      <c r="F90" s="341"/>
      <c r="G90" s="341"/>
      <c r="H90" s="341"/>
      <c r="I90" s="341"/>
      <c r="J90" s="341"/>
      <c r="K90" s="341"/>
      <c r="L90" s="341"/>
      <c r="M90" s="341"/>
      <c r="N90" s="341"/>
      <c r="O90" s="341"/>
      <c r="P90" s="341"/>
      <c r="Q90" s="341"/>
      <c r="R90" s="341"/>
      <c r="S90" s="341"/>
      <c r="T90" s="341"/>
      <c r="U90" s="341"/>
      <c r="V90" s="341"/>
      <c r="W90" s="341"/>
      <c r="X90" s="341"/>
      <c r="Y90" s="341"/>
      <c r="Z90" s="341"/>
      <c r="AA90" s="341"/>
      <c r="AB90" s="341"/>
      <c r="AC90" s="341"/>
      <c r="AD90" s="341"/>
      <c r="AE90" s="341"/>
      <c r="AF90" s="341"/>
      <c r="AG90" s="341"/>
      <c r="AH90" s="341"/>
      <c r="AI90" s="341"/>
      <c r="AJ90" s="341"/>
      <c r="AK90" s="341"/>
      <c r="AL90" s="341"/>
      <c r="AM90" s="341"/>
      <c r="AN90" s="341"/>
      <c r="AO90" s="341"/>
      <c r="AP90" s="341"/>
      <c r="AQ90" s="341"/>
      <c r="AR90" s="341"/>
      <c r="AS90" s="341"/>
    </row>
    <row r="91" spans="1:45" ht="13.2" x14ac:dyDescent="0.25">
      <c r="A91" s="341"/>
      <c r="B91" s="341"/>
      <c r="C91" s="341"/>
      <c r="D91" s="341"/>
      <c r="E91" s="341"/>
      <c r="F91" s="341"/>
      <c r="G91" s="341"/>
      <c r="H91" s="341"/>
      <c r="I91" s="341"/>
      <c r="J91" s="341"/>
      <c r="K91" s="341"/>
      <c r="L91" s="341"/>
      <c r="M91" s="341"/>
      <c r="N91" s="341"/>
      <c r="O91" s="341"/>
      <c r="P91" s="341"/>
      <c r="Q91" s="341"/>
      <c r="R91" s="341"/>
      <c r="S91" s="341"/>
      <c r="T91" s="341"/>
      <c r="U91" s="341"/>
      <c r="V91" s="341"/>
      <c r="W91" s="341"/>
      <c r="X91" s="341"/>
      <c r="Y91" s="341"/>
      <c r="Z91" s="341"/>
      <c r="AA91" s="341"/>
      <c r="AB91" s="341"/>
      <c r="AC91" s="341"/>
      <c r="AD91" s="341"/>
      <c r="AE91" s="341"/>
      <c r="AF91" s="341"/>
      <c r="AG91" s="341"/>
      <c r="AH91" s="341"/>
      <c r="AI91" s="341"/>
      <c r="AJ91" s="341"/>
      <c r="AK91" s="341"/>
      <c r="AL91" s="341"/>
      <c r="AM91" s="341"/>
      <c r="AN91" s="341"/>
      <c r="AO91" s="341"/>
      <c r="AP91" s="341"/>
      <c r="AQ91" s="341"/>
      <c r="AR91" s="341"/>
      <c r="AS91" s="341"/>
    </row>
    <row r="92" spans="1:45" ht="13.2" x14ac:dyDescent="0.25">
      <c r="A92" s="341"/>
      <c r="B92" s="341"/>
      <c r="C92" s="341"/>
      <c r="D92" s="341"/>
      <c r="E92" s="341"/>
      <c r="F92" s="341"/>
      <c r="G92" s="341"/>
      <c r="H92" s="341"/>
      <c r="I92" s="341"/>
      <c r="J92" s="341"/>
      <c r="K92" s="341"/>
      <c r="L92" s="341"/>
      <c r="M92" s="341"/>
      <c r="N92" s="341"/>
      <c r="O92" s="341"/>
      <c r="P92" s="341"/>
      <c r="Q92" s="341"/>
      <c r="R92" s="341"/>
      <c r="S92" s="341"/>
      <c r="T92" s="341"/>
      <c r="U92" s="341"/>
      <c r="V92" s="341"/>
      <c r="W92" s="341"/>
      <c r="X92" s="341"/>
      <c r="Y92" s="341"/>
      <c r="Z92" s="341"/>
      <c r="AA92" s="341"/>
      <c r="AB92" s="341"/>
      <c r="AC92" s="341"/>
      <c r="AD92" s="341"/>
      <c r="AE92" s="341"/>
      <c r="AF92" s="341"/>
      <c r="AG92" s="341"/>
      <c r="AH92" s="341"/>
      <c r="AI92" s="341"/>
      <c r="AJ92" s="341"/>
      <c r="AK92" s="341"/>
      <c r="AL92" s="341"/>
      <c r="AM92" s="341"/>
      <c r="AN92" s="341"/>
      <c r="AO92" s="341"/>
      <c r="AP92" s="341"/>
      <c r="AQ92" s="341"/>
      <c r="AR92" s="341"/>
      <c r="AS92" s="341"/>
    </row>
    <row r="93" spans="1:45" ht="13.2" x14ac:dyDescent="0.25">
      <c r="A93" s="341"/>
      <c r="B93" s="341"/>
      <c r="C93" s="341"/>
      <c r="D93" s="341"/>
      <c r="E93" s="341"/>
      <c r="F93" s="341"/>
      <c r="G93" s="341"/>
      <c r="H93" s="341"/>
      <c r="I93" s="341"/>
      <c r="J93" s="341"/>
      <c r="K93" s="341"/>
      <c r="L93" s="341"/>
      <c r="M93" s="341"/>
      <c r="N93" s="341"/>
      <c r="O93" s="341"/>
      <c r="P93" s="341"/>
      <c r="Q93" s="341"/>
      <c r="R93" s="341"/>
      <c r="S93" s="341"/>
      <c r="T93" s="341"/>
      <c r="U93" s="341"/>
      <c r="V93" s="341"/>
      <c r="W93" s="341"/>
      <c r="X93" s="341"/>
      <c r="Y93" s="341"/>
      <c r="Z93" s="341"/>
      <c r="AA93" s="341"/>
      <c r="AB93" s="341"/>
      <c r="AC93" s="341"/>
      <c r="AD93" s="341"/>
      <c r="AE93" s="341"/>
      <c r="AF93" s="341"/>
      <c r="AG93" s="341"/>
      <c r="AH93" s="341"/>
      <c r="AI93" s="341"/>
      <c r="AJ93" s="341"/>
      <c r="AK93" s="341"/>
      <c r="AL93" s="341"/>
      <c r="AM93" s="341"/>
      <c r="AN93" s="341"/>
      <c r="AO93" s="341"/>
      <c r="AP93" s="341"/>
      <c r="AQ93" s="341"/>
      <c r="AR93" s="341"/>
      <c r="AS93" s="341"/>
    </row>
    <row r="94" spans="1:45" ht="13.2" x14ac:dyDescent="0.25">
      <c r="A94" s="341"/>
      <c r="B94" s="341"/>
      <c r="C94" s="341"/>
      <c r="D94" s="341"/>
      <c r="E94" s="341"/>
      <c r="F94" s="341"/>
      <c r="G94" s="341"/>
      <c r="H94" s="341"/>
      <c r="I94" s="341"/>
      <c r="J94" s="341"/>
      <c r="K94" s="341"/>
      <c r="L94" s="341"/>
      <c r="M94" s="341"/>
      <c r="N94" s="341"/>
      <c r="O94" s="341"/>
      <c r="P94" s="341"/>
      <c r="Q94" s="341"/>
      <c r="R94" s="341"/>
      <c r="S94" s="341"/>
      <c r="T94" s="341"/>
      <c r="U94" s="341"/>
      <c r="V94" s="341"/>
      <c r="W94" s="341"/>
      <c r="X94" s="341"/>
      <c r="Y94" s="341"/>
      <c r="Z94" s="341"/>
      <c r="AA94" s="341"/>
      <c r="AB94" s="341"/>
      <c r="AC94" s="341"/>
      <c r="AD94" s="341"/>
      <c r="AE94" s="341"/>
      <c r="AF94" s="341"/>
      <c r="AG94" s="341"/>
      <c r="AH94" s="341"/>
      <c r="AI94" s="341"/>
      <c r="AJ94" s="341"/>
      <c r="AK94" s="341"/>
      <c r="AL94" s="341"/>
      <c r="AM94" s="341"/>
      <c r="AN94" s="341"/>
      <c r="AO94" s="341"/>
      <c r="AP94" s="341"/>
      <c r="AQ94" s="341"/>
      <c r="AR94" s="341"/>
      <c r="AS94" s="341"/>
    </row>
    <row r="95" spans="1:45" ht="13.2" x14ac:dyDescent="0.25">
      <c r="A95" s="341"/>
      <c r="B95" s="341"/>
      <c r="C95" s="341"/>
      <c r="D95" s="341"/>
      <c r="E95" s="341"/>
      <c r="F95" s="341"/>
      <c r="G95" s="341"/>
      <c r="H95" s="341"/>
      <c r="I95" s="341"/>
      <c r="J95" s="341"/>
      <c r="K95" s="341"/>
      <c r="L95" s="341"/>
      <c r="M95" s="341"/>
      <c r="N95" s="341"/>
      <c r="O95" s="341"/>
      <c r="P95" s="341"/>
      <c r="Q95" s="341"/>
      <c r="R95" s="341"/>
      <c r="S95" s="341"/>
      <c r="T95" s="341"/>
      <c r="U95" s="341"/>
      <c r="V95" s="341"/>
      <c r="W95" s="341"/>
      <c r="X95" s="341"/>
      <c r="Y95" s="341"/>
      <c r="Z95" s="341"/>
      <c r="AA95" s="341"/>
      <c r="AB95" s="341"/>
      <c r="AC95" s="341"/>
      <c r="AD95" s="341"/>
      <c r="AE95" s="341"/>
      <c r="AF95" s="341"/>
      <c r="AG95" s="341"/>
      <c r="AH95" s="341"/>
      <c r="AI95" s="341"/>
      <c r="AJ95" s="341"/>
      <c r="AK95" s="341"/>
      <c r="AL95" s="341"/>
      <c r="AM95" s="341"/>
      <c r="AN95" s="341"/>
      <c r="AO95" s="341"/>
      <c r="AP95" s="341"/>
      <c r="AQ95" s="341"/>
      <c r="AR95" s="341"/>
      <c r="AS95" s="341"/>
    </row>
    <row r="96" spans="1:45" ht="13.2" x14ac:dyDescent="0.25">
      <c r="A96" s="341"/>
      <c r="B96" s="341"/>
      <c r="C96" s="341"/>
      <c r="D96" s="341"/>
      <c r="E96" s="341"/>
      <c r="F96" s="341"/>
      <c r="G96" s="341"/>
      <c r="H96" s="341"/>
      <c r="I96" s="341"/>
      <c r="J96" s="341"/>
      <c r="K96" s="341"/>
      <c r="L96" s="341"/>
      <c r="M96" s="341"/>
      <c r="N96" s="341"/>
      <c r="O96" s="341"/>
      <c r="P96" s="341"/>
      <c r="Q96" s="341"/>
      <c r="R96" s="341"/>
      <c r="S96" s="341"/>
      <c r="T96" s="341"/>
      <c r="U96" s="341"/>
      <c r="V96" s="341"/>
      <c r="W96" s="341"/>
      <c r="X96" s="341"/>
      <c r="Y96" s="341"/>
      <c r="Z96" s="341"/>
      <c r="AA96" s="341"/>
      <c r="AB96" s="341"/>
      <c r="AC96" s="341"/>
      <c r="AD96" s="341"/>
      <c r="AE96" s="341"/>
      <c r="AF96" s="341"/>
      <c r="AG96" s="341"/>
      <c r="AH96" s="341"/>
      <c r="AI96" s="341"/>
      <c r="AJ96" s="341"/>
      <c r="AK96" s="341"/>
      <c r="AL96" s="341"/>
      <c r="AM96" s="341"/>
      <c r="AN96" s="341"/>
      <c r="AO96" s="341"/>
      <c r="AP96" s="341"/>
      <c r="AQ96" s="341"/>
      <c r="AR96" s="341"/>
      <c r="AS96" s="341"/>
    </row>
    <row r="97" spans="1:45" ht="13.2" x14ac:dyDescent="0.25">
      <c r="A97" s="341"/>
      <c r="B97" s="341"/>
      <c r="C97" s="341"/>
      <c r="D97" s="341"/>
      <c r="E97" s="341"/>
      <c r="F97" s="341"/>
      <c r="G97" s="341"/>
      <c r="H97" s="341"/>
      <c r="I97" s="341"/>
      <c r="J97" s="341"/>
      <c r="K97" s="341"/>
      <c r="L97" s="341"/>
      <c r="M97" s="341"/>
      <c r="N97" s="341"/>
      <c r="O97" s="341"/>
      <c r="P97" s="341"/>
      <c r="Q97" s="341"/>
      <c r="R97" s="341"/>
      <c r="S97" s="341"/>
      <c r="T97" s="341"/>
      <c r="U97" s="341"/>
      <c r="V97" s="341"/>
      <c r="W97" s="341"/>
      <c r="X97" s="341"/>
      <c r="Y97" s="341"/>
      <c r="Z97" s="341"/>
      <c r="AA97" s="341"/>
      <c r="AB97" s="341"/>
      <c r="AC97" s="341"/>
      <c r="AD97" s="341"/>
      <c r="AE97" s="341"/>
      <c r="AF97" s="341"/>
      <c r="AG97" s="341"/>
      <c r="AH97" s="341"/>
      <c r="AI97" s="341"/>
      <c r="AJ97" s="341"/>
      <c r="AK97" s="341"/>
      <c r="AL97" s="341"/>
      <c r="AM97" s="341"/>
      <c r="AN97" s="341"/>
      <c r="AO97" s="341"/>
      <c r="AP97" s="341"/>
      <c r="AQ97" s="341"/>
      <c r="AR97" s="341"/>
      <c r="AS97" s="341"/>
    </row>
    <row r="98" spans="1:45" ht="13.2" x14ac:dyDescent="0.25">
      <c r="A98" s="341"/>
      <c r="B98" s="341"/>
      <c r="C98" s="341"/>
      <c r="D98" s="341"/>
      <c r="E98" s="341"/>
      <c r="F98" s="341"/>
      <c r="G98" s="341"/>
      <c r="H98" s="341"/>
      <c r="I98" s="341"/>
      <c r="J98" s="341"/>
      <c r="K98" s="341"/>
      <c r="L98" s="341"/>
      <c r="M98" s="341"/>
      <c r="N98" s="341"/>
      <c r="O98" s="341"/>
      <c r="P98" s="341"/>
      <c r="Q98" s="341"/>
      <c r="R98" s="341"/>
      <c r="S98" s="341"/>
      <c r="T98" s="341"/>
      <c r="U98" s="341"/>
      <c r="V98" s="341"/>
      <c r="W98" s="341"/>
      <c r="X98" s="341"/>
      <c r="Y98" s="341"/>
      <c r="Z98" s="341"/>
      <c r="AA98" s="341"/>
      <c r="AB98" s="341"/>
      <c r="AC98" s="341"/>
      <c r="AD98" s="341"/>
      <c r="AE98" s="341"/>
      <c r="AF98" s="341"/>
      <c r="AG98" s="341"/>
      <c r="AH98" s="341"/>
      <c r="AI98" s="341"/>
      <c r="AJ98" s="341"/>
      <c r="AK98" s="341"/>
      <c r="AL98" s="341"/>
      <c r="AM98" s="341"/>
      <c r="AN98" s="341"/>
      <c r="AO98" s="341"/>
      <c r="AP98" s="341"/>
      <c r="AQ98" s="341"/>
      <c r="AR98" s="341"/>
      <c r="AS98" s="341"/>
    </row>
    <row r="99" spans="1:45" ht="13.2" x14ac:dyDescent="0.25">
      <c r="A99" s="341"/>
      <c r="B99" s="341"/>
      <c r="C99" s="341"/>
      <c r="D99" s="341"/>
      <c r="E99" s="341"/>
      <c r="F99" s="341"/>
      <c r="G99" s="341"/>
      <c r="H99" s="341"/>
      <c r="I99" s="341"/>
      <c r="J99" s="341"/>
      <c r="K99" s="341"/>
      <c r="L99" s="341"/>
      <c r="M99" s="341"/>
      <c r="N99" s="341"/>
      <c r="O99" s="341"/>
      <c r="P99" s="341"/>
      <c r="Q99" s="341"/>
      <c r="R99" s="341"/>
      <c r="S99" s="341"/>
      <c r="T99" s="341"/>
      <c r="U99" s="341"/>
      <c r="V99" s="341"/>
      <c r="W99" s="341"/>
      <c r="X99" s="341"/>
      <c r="Y99" s="341"/>
      <c r="Z99" s="341"/>
      <c r="AA99" s="341"/>
      <c r="AB99" s="341"/>
      <c r="AC99" s="341"/>
      <c r="AD99" s="341"/>
      <c r="AE99" s="341"/>
      <c r="AF99" s="341"/>
      <c r="AG99" s="341"/>
      <c r="AH99" s="341"/>
      <c r="AI99" s="341"/>
      <c r="AJ99" s="341"/>
      <c r="AK99" s="341"/>
      <c r="AL99" s="341"/>
      <c r="AM99" s="341"/>
      <c r="AN99" s="341"/>
      <c r="AO99" s="341"/>
      <c r="AP99" s="341"/>
      <c r="AQ99" s="341"/>
      <c r="AR99" s="341"/>
      <c r="AS99" s="341"/>
    </row>
    <row r="100" spans="1:45" ht="13.2" x14ac:dyDescent="0.25">
      <c r="A100" s="341"/>
      <c r="B100" s="341"/>
      <c r="C100" s="341"/>
      <c r="D100" s="341"/>
      <c r="E100" s="341"/>
      <c r="F100" s="341"/>
      <c r="G100" s="341"/>
      <c r="H100" s="341"/>
      <c r="I100" s="341"/>
      <c r="J100" s="341"/>
      <c r="K100" s="341"/>
      <c r="L100" s="341"/>
      <c r="M100" s="341"/>
      <c r="N100" s="341"/>
      <c r="O100" s="341"/>
      <c r="P100" s="341"/>
      <c r="Q100" s="341"/>
      <c r="R100" s="341"/>
      <c r="S100" s="341"/>
      <c r="T100" s="341"/>
      <c r="U100" s="341"/>
      <c r="V100" s="341"/>
      <c r="W100" s="341"/>
      <c r="X100" s="341"/>
      <c r="Y100" s="341"/>
      <c r="Z100" s="341"/>
      <c r="AA100" s="341"/>
      <c r="AB100" s="341"/>
      <c r="AC100" s="341"/>
      <c r="AD100" s="341"/>
      <c r="AE100" s="341"/>
      <c r="AF100" s="341"/>
      <c r="AG100" s="341"/>
      <c r="AH100" s="341"/>
      <c r="AI100" s="341"/>
      <c r="AJ100" s="341"/>
      <c r="AK100" s="341"/>
      <c r="AL100" s="341"/>
      <c r="AM100" s="341"/>
      <c r="AN100" s="341"/>
      <c r="AO100" s="341"/>
      <c r="AP100" s="341"/>
      <c r="AQ100" s="341"/>
      <c r="AR100" s="341"/>
      <c r="AS100" s="341"/>
    </row>
    <row r="101" spans="1:45" ht="13.2" x14ac:dyDescent="0.25">
      <c r="A101" s="341"/>
      <c r="B101" s="341"/>
      <c r="C101" s="341"/>
      <c r="D101" s="341"/>
      <c r="E101" s="341"/>
      <c r="F101" s="341"/>
      <c r="G101" s="341"/>
      <c r="H101" s="341"/>
      <c r="I101" s="341"/>
      <c r="J101" s="341"/>
      <c r="K101" s="341"/>
      <c r="L101" s="341"/>
      <c r="M101" s="341"/>
      <c r="N101" s="341"/>
      <c r="O101" s="341"/>
      <c r="P101" s="341"/>
      <c r="Q101" s="341"/>
      <c r="R101" s="341"/>
      <c r="S101" s="341"/>
      <c r="T101" s="341"/>
      <c r="U101" s="341"/>
      <c r="V101" s="341"/>
      <c r="W101" s="341"/>
      <c r="X101" s="341"/>
      <c r="Y101" s="341"/>
      <c r="Z101" s="341"/>
      <c r="AA101" s="341"/>
      <c r="AB101" s="341"/>
      <c r="AC101" s="341"/>
      <c r="AD101" s="341"/>
      <c r="AE101" s="341"/>
      <c r="AF101" s="341"/>
      <c r="AG101" s="341"/>
      <c r="AH101" s="341"/>
      <c r="AI101" s="341"/>
      <c r="AJ101" s="341"/>
      <c r="AK101" s="341"/>
      <c r="AL101" s="341"/>
      <c r="AM101" s="341"/>
      <c r="AN101" s="341"/>
      <c r="AO101" s="341"/>
      <c r="AP101" s="341"/>
      <c r="AQ101" s="341"/>
      <c r="AR101" s="341"/>
      <c r="AS101" s="341"/>
    </row>
    <row r="102" spans="1:45" ht="13.2" x14ac:dyDescent="0.25">
      <c r="A102" s="341"/>
      <c r="B102" s="341"/>
      <c r="C102" s="341"/>
      <c r="D102" s="341"/>
      <c r="E102" s="341"/>
      <c r="F102" s="341"/>
      <c r="G102" s="341"/>
      <c r="H102" s="341"/>
      <c r="I102" s="341"/>
      <c r="J102" s="341"/>
      <c r="K102" s="341"/>
      <c r="L102" s="341"/>
      <c r="M102" s="341"/>
      <c r="N102" s="341"/>
      <c r="O102" s="341"/>
      <c r="P102" s="341"/>
      <c r="Q102" s="341"/>
      <c r="R102" s="341"/>
      <c r="S102" s="341"/>
      <c r="T102" s="341"/>
      <c r="U102" s="341"/>
      <c r="V102" s="341"/>
      <c r="W102" s="341"/>
      <c r="X102" s="341"/>
      <c r="Y102" s="341"/>
      <c r="Z102" s="341"/>
      <c r="AA102" s="341"/>
      <c r="AB102" s="341"/>
      <c r="AC102" s="341"/>
      <c r="AD102" s="341"/>
      <c r="AE102" s="341"/>
      <c r="AF102" s="341"/>
      <c r="AG102" s="341"/>
      <c r="AH102" s="341"/>
      <c r="AI102" s="341"/>
      <c r="AJ102" s="341"/>
      <c r="AK102" s="341"/>
      <c r="AL102" s="341"/>
      <c r="AM102" s="341"/>
      <c r="AN102" s="341"/>
      <c r="AO102" s="341"/>
      <c r="AP102" s="341"/>
      <c r="AQ102" s="341"/>
      <c r="AR102" s="341"/>
      <c r="AS102" s="341"/>
    </row>
    <row r="103" spans="1:45" ht="13.2" x14ac:dyDescent="0.25">
      <c r="A103" s="341"/>
      <c r="B103" s="341"/>
      <c r="C103" s="341"/>
      <c r="D103" s="341"/>
      <c r="E103" s="341"/>
      <c r="F103" s="341"/>
      <c r="G103" s="341"/>
      <c r="H103" s="341"/>
      <c r="I103" s="341"/>
      <c r="J103" s="341"/>
      <c r="K103" s="341"/>
      <c r="L103" s="341"/>
      <c r="M103" s="341"/>
      <c r="N103" s="341"/>
      <c r="O103" s="341"/>
      <c r="P103" s="341"/>
      <c r="Q103" s="341"/>
      <c r="R103" s="341"/>
      <c r="S103" s="341"/>
      <c r="T103" s="341"/>
      <c r="U103" s="341"/>
      <c r="V103" s="341"/>
      <c r="W103" s="341"/>
      <c r="X103" s="341"/>
      <c r="Y103" s="341"/>
      <c r="Z103" s="341"/>
      <c r="AA103" s="341"/>
      <c r="AB103" s="341"/>
      <c r="AC103" s="341"/>
      <c r="AD103" s="341"/>
      <c r="AE103" s="341"/>
      <c r="AF103" s="341"/>
      <c r="AG103" s="341"/>
      <c r="AH103" s="341"/>
      <c r="AI103" s="341"/>
      <c r="AJ103" s="341"/>
      <c r="AK103" s="341"/>
      <c r="AL103" s="341"/>
      <c r="AM103" s="341"/>
      <c r="AN103" s="341"/>
      <c r="AO103" s="341"/>
      <c r="AP103" s="341"/>
      <c r="AQ103" s="341"/>
      <c r="AR103" s="341"/>
      <c r="AS103" s="341"/>
    </row>
    <row r="104" spans="1:45" ht="13.2" x14ac:dyDescent="0.25">
      <c r="A104" s="341"/>
      <c r="B104" s="341"/>
      <c r="C104" s="341"/>
      <c r="D104" s="341"/>
      <c r="E104" s="341"/>
      <c r="F104" s="341"/>
      <c r="G104" s="341"/>
      <c r="H104" s="341"/>
      <c r="I104" s="341"/>
      <c r="J104" s="341"/>
      <c r="K104" s="341"/>
      <c r="L104" s="341"/>
      <c r="M104" s="341"/>
      <c r="N104" s="341"/>
      <c r="O104" s="341"/>
      <c r="P104" s="341"/>
      <c r="Q104" s="341"/>
      <c r="R104" s="341"/>
      <c r="S104" s="341"/>
      <c r="T104" s="341"/>
      <c r="U104" s="341"/>
      <c r="V104" s="341"/>
      <c r="W104" s="341"/>
      <c r="X104" s="341"/>
      <c r="Y104" s="341"/>
      <c r="Z104" s="341"/>
      <c r="AA104" s="341"/>
      <c r="AB104" s="341"/>
      <c r="AC104" s="341"/>
      <c r="AD104" s="341"/>
      <c r="AE104" s="341"/>
      <c r="AF104" s="341"/>
      <c r="AG104" s="341"/>
      <c r="AH104" s="341"/>
      <c r="AI104" s="341"/>
      <c r="AJ104" s="341"/>
      <c r="AK104" s="341"/>
      <c r="AL104" s="341"/>
      <c r="AM104" s="341"/>
      <c r="AN104" s="341"/>
      <c r="AO104" s="341"/>
      <c r="AP104" s="341"/>
      <c r="AQ104" s="341"/>
      <c r="AR104" s="341"/>
      <c r="AS104" s="341"/>
    </row>
    <row r="105" spans="1:45" ht="13.2" x14ac:dyDescent="0.25">
      <c r="A105" s="341"/>
      <c r="B105" s="341"/>
      <c r="C105" s="341"/>
      <c r="D105" s="341"/>
      <c r="E105" s="341"/>
      <c r="F105" s="341"/>
      <c r="G105" s="341"/>
      <c r="H105" s="341"/>
      <c r="I105" s="341"/>
      <c r="J105" s="341"/>
      <c r="K105" s="341"/>
      <c r="L105" s="341"/>
      <c r="M105" s="341"/>
      <c r="N105" s="341"/>
      <c r="O105" s="341"/>
      <c r="P105" s="341"/>
      <c r="Q105" s="341"/>
      <c r="R105" s="341"/>
      <c r="S105" s="341"/>
      <c r="T105" s="341"/>
      <c r="U105" s="341"/>
      <c r="V105" s="341"/>
      <c r="W105" s="341"/>
      <c r="X105" s="341"/>
      <c r="Y105" s="341"/>
      <c r="Z105" s="341"/>
      <c r="AA105" s="341"/>
      <c r="AB105" s="341"/>
      <c r="AC105" s="341"/>
      <c r="AD105" s="341"/>
      <c r="AE105" s="341"/>
      <c r="AF105" s="341"/>
      <c r="AG105" s="341"/>
      <c r="AH105" s="341"/>
      <c r="AI105" s="341"/>
      <c r="AJ105" s="341"/>
      <c r="AK105" s="341"/>
      <c r="AL105" s="341"/>
      <c r="AM105" s="341"/>
      <c r="AN105" s="341"/>
      <c r="AO105" s="341"/>
      <c r="AP105" s="341"/>
      <c r="AQ105" s="341"/>
      <c r="AR105" s="341"/>
      <c r="AS105" s="341"/>
    </row>
    <row r="106" spans="1:45" ht="13.2" x14ac:dyDescent="0.25">
      <c r="A106" s="341"/>
      <c r="B106" s="341"/>
      <c r="C106" s="341"/>
      <c r="D106" s="341"/>
      <c r="E106" s="341"/>
      <c r="F106" s="341"/>
      <c r="G106" s="341"/>
      <c r="H106" s="341"/>
      <c r="I106" s="341"/>
      <c r="J106" s="341"/>
      <c r="K106" s="341"/>
      <c r="L106" s="341"/>
      <c r="M106" s="341"/>
      <c r="N106" s="341"/>
      <c r="O106" s="341"/>
      <c r="P106" s="341"/>
      <c r="Q106" s="341"/>
      <c r="R106" s="341"/>
      <c r="S106" s="341"/>
      <c r="T106" s="341"/>
      <c r="U106" s="341"/>
      <c r="V106" s="341"/>
      <c r="W106" s="341"/>
      <c r="X106" s="341"/>
      <c r="Y106" s="341"/>
      <c r="Z106" s="341"/>
      <c r="AA106" s="341"/>
      <c r="AB106" s="341"/>
      <c r="AC106" s="341"/>
      <c r="AD106" s="341"/>
      <c r="AE106" s="341"/>
      <c r="AF106" s="341"/>
      <c r="AG106" s="341"/>
      <c r="AH106" s="341"/>
      <c r="AI106" s="341"/>
      <c r="AJ106" s="341"/>
      <c r="AK106" s="341"/>
      <c r="AL106" s="341"/>
      <c r="AM106" s="341"/>
      <c r="AN106" s="341"/>
      <c r="AO106" s="341"/>
      <c r="AP106" s="341"/>
      <c r="AQ106" s="341"/>
      <c r="AR106" s="341"/>
      <c r="AS106" s="341"/>
    </row>
    <row r="107" spans="1:45" ht="13.2" x14ac:dyDescent="0.25">
      <c r="A107" s="341"/>
      <c r="B107" s="341"/>
      <c r="C107" s="341"/>
      <c r="D107" s="341"/>
      <c r="E107" s="341"/>
      <c r="F107" s="341"/>
      <c r="G107" s="341"/>
      <c r="H107" s="341"/>
      <c r="I107" s="341"/>
      <c r="J107" s="341"/>
      <c r="K107" s="341"/>
      <c r="L107" s="341"/>
      <c r="M107" s="341"/>
      <c r="N107" s="341"/>
      <c r="O107" s="341"/>
      <c r="P107" s="341"/>
      <c r="Q107" s="341"/>
      <c r="R107" s="341"/>
      <c r="S107" s="341"/>
      <c r="T107" s="341"/>
      <c r="U107" s="341"/>
      <c r="V107" s="341"/>
      <c r="W107" s="341"/>
      <c r="X107" s="341"/>
      <c r="Y107" s="341"/>
      <c r="Z107" s="341"/>
      <c r="AA107" s="341"/>
      <c r="AB107" s="341"/>
      <c r="AC107" s="341"/>
      <c r="AD107" s="341"/>
      <c r="AE107" s="341"/>
      <c r="AF107" s="341"/>
      <c r="AG107" s="341"/>
      <c r="AH107" s="341"/>
      <c r="AI107" s="341"/>
      <c r="AJ107" s="341"/>
      <c r="AK107" s="341"/>
      <c r="AL107" s="341"/>
      <c r="AM107" s="341"/>
      <c r="AN107" s="341"/>
      <c r="AO107" s="341"/>
      <c r="AP107" s="341"/>
      <c r="AQ107" s="341"/>
      <c r="AR107" s="341"/>
      <c r="AS107" s="341"/>
    </row>
    <row r="108" spans="1:45" ht="13.2" x14ac:dyDescent="0.25">
      <c r="A108" s="341"/>
      <c r="B108" s="341"/>
      <c r="C108" s="341"/>
      <c r="D108" s="341"/>
      <c r="E108" s="341"/>
      <c r="F108" s="341"/>
      <c r="G108" s="341"/>
      <c r="H108" s="341"/>
      <c r="I108" s="341"/>
      <c r="J108" s="341"/>
      <c r="K108" s="341"/>
      <c r="L108" s="341"/>
      <c r="M108" s="341"/>
      <c r="N108" s="341"/>
      <c r="O108" s="341"/>
      <c r="P108" s="341"/>
      <c r="Q108" s="341"/>
      <c r="R108" s="341"/>
      <c r="S108" s="341"/>
      <c r="T108" s="341"/>
      <c r="U108" s="341"/>
      <c r="V108" s="341"/>
      <c r="W108" s="341"/>
      <c r="X108" s="341"/>
      <c r="Y108" s="341"/>
      <c r="Z108" s="341"/>
      <c r="AA108" s="341"/>
      <c r="AB108" s="341"/>
      <c r="AC108" s="341"/>
      <c r="AD108" s="341"/>
      <c r="AE108" s="341"/>
      <c r="AF108" s="341"/>
      <c r="AG108" s="341"/>
      <c r="AH108" s="341"/>
      <c r="AI108" s="341"/>
      <c r="AJ108" s="341"/>
      <c r="AK108" s="341"/>
      <c r="AL108" s="341"/>
      <c r="AM108" s="341"/>
      <c r="AN108" s="341"/>
      <c r="AO108" s="341"/>
      <c r="AP108" s="341"/>
      <c r="AQ108" s="341"/>
      <c r="AR108" s="341"/>
      <c r="AS108" s="341"/>
    </row>
    <row r="109" spans="1:45" ht="13.2" x14ac:dyDescent="0.25">
      <c r="A109" s="341"/>
      <c r="B109" s="341"/>
      <c r="C109" s="341"/>
      <c r="D109" s="341"/>
      <c r="E109" s="341"/>
      <c r="F109" s="341"/>
      <c r="G109" s="341"/>
      <c r="H109" s="341"/>
      <c r="I109" s="341"/>
      <c r="J109" s="341"/>
      <c r="K109" s="341"/>
      <c r="L109" s="341"/>
      <c r="M109" s="341"/>
      <c r="N109" s="341"/>
      <c r="O109" s="341"/>
      <c r="P109" s="341"/>
      <c r="Q109" s="341"/>
      <c r="R109" s="341"/>
      <c r="S109" s="341"/>
      <c r="T109" s="341"/>
      <c r="U109" s="341"/>
      <c r="V109" s="341"/>
      <c r="W109" s="341"/>
      <c r="X109" s="341"/>
      <c r="Y109" s="341"/>
      <c r="Z109" s="341"/>
      <c r="AA109" s="341"/>
      <c r="AB109" s="341"/>
      <c r="AC109" s="341"/>
      <c r="AD109" s="341"/>
      <c r="AE109" s="341"/>
      <c r="AF109" s="341"/>
      <c r="AG109" s="341"/>
      <c r="AH109" s="341"/>
      <c r="AI109" s="341"/>
      <c r="AJ109" s="341"/>
      <c r="AK109" s="341"/>
      <c r="AL109" s="341"/>
      <c r="AM109" s="341"/>
      <c r="AN109" s="341"/>
      <c r="AO109" s="341"/>
      <c r="AP109" s="341"/>
      <c r="AQ109" s="341"/>
      <c r="AR109" s="341"/>
      <c r="AS109" s="341"/>
    </row>
    <row r="110" spans="1:45" ht="13.2" x14ac:dyDescent="0.25">
      <c r="A110" s="341"/>
      <c r="B110" s="341"/>
      <c r="C110" s="341"/>
      <c r="D110" s="341"/>
      <c r="E110" s="341"/>
      <c r="F110" s="341"/>
      <c r="G110" s="341"/>
      <c r="H110" s="341"/>
      <c r="I110" s="341"/>
      <c r="J110" s="341"/>
      <c r="K110" s="341"/>
      <c r="L110" s="341"/>
      <c r="M110" s="341"/>
      <c r="N110" s="341"/>
      <c r="O110" s="341"/>
      <c r="P110" s="341"/>
      <c r="Q110" s="341"/>
      <c r="R110" s="341"/>
      <c r="S110" s="341"/>
      <c r="T110" s="341"/>
      <c r="U110" s="341"/>
      <c r="V110" s="341"/>
      <c r="W110" s="341"/>
      <c r="X110" s="341"/>
      <c r="Y110" s="341"/>
      <c r="Z110" s="341"/>
      <c r="AA110" s="341"/>
      <c r="AB110" s="341"/>
      <c r="AC110" s="341"/>
      <c r="AD110" s="341"/>
      <c r="AE110" s="341"/>
      <c r="AF110" s="341"/>
      <c r="AG110" s="341"/>
      <c r="AH110" s="341"/>
      <c r="AI110" s="341"/>
      <c r="AJ110" s="341"/>
      <c r="AK110" s="341"/>
      <c r="AL110" s="341"/>
      <c r="AM110" s="341"/>
      <c r="AN110" s="341"/>
      <c r="AO110" s="341"/>
      <c r="AP110" s="341"/>
      <c r="AQ110" s="341"/>
      <c r="AR110" s="341"/>
      <c r="AS110" s="341"/>
    </row>
    <row r="111" spans="1:45" ht="13.2" x14ac:dyDescent="0.25">
      <c r="A111" s="341"/>
      <c r="B111" s="341"/>
      <c r="C111" s="341"/>
      <c r="D111" s="341"/>
      <c r="E111" s="341"/>
      <c r="F111" s="341"/>
      <c r="G111" s="341"/>
      <c r="H111" s="341"/>
      <c r="I111" s="341"/>
      <c r="J111" s="341"/>
      <c r="K111" s="341"/>
      <c r="L111" s="341"/>
      <c r="M111" s="341"/>
      <c r="N111" s="341"/>
      <c r="O111" s="341"/>
      <c r="P111" s="341"/>
      <c r="Q111" s="341"/>
      <c r="R111" s="341"/>
      <c r="S111" s="341"/>
      <c r="T111" s="341"/>
      <c r="U111" s="341"/>
      <c r="V111" s="341"/>
      <c r="W111" s="341"/>
      <c r="X111" s="341"/>
      <c r="Y111" s="341"/>
      <c r="Z111" s="341"/>
      <c r="AA111" s="341"/>
      <c r="AB111" s="341"/>
      <c r="AC111" s="341"/>
      <c r="AD111" s="341"/>
      <c r="AE111" s="341"/>
      <c r="AF111" s="341"/>
      <c r="AG111" s="341"/>
      <c r="AH111" s="341"/>
      <c r="AI111" s="341"/>
      <c r="AJ111" s="341"/>
      <c r="AK111" s="341"/>
      <c r="AL111" s="341"/>
      <c r="AM111" s="341"/>
      <c r="AN111" s="341"/>
      <c r="AO111" s="341"/>
      <c r="AP111" s="341"/>
      <c r="AQ111" s="341"/>
      <c r="AR111" s="341"/>
      <c r="AS111" s="341"/>
    </row>
    <row r="112" spans="1:45" ht="13.2" x14ac:dyDescent="0.25">
      <c r="A112" s="341"/>
      <c r="B112" s="341"/>
      <c r="C112" s="341"/>
      <c r="D112" s="341"/>
      <c r="E112" s="341"/>
      <c r="F112" s="341"/>
      <c r="G112" s="341"/>
      <c r="H112" s="341"/>
      <c r="I112" s="341"/>
      <c r="J112" s="341"/>
      <c r="K112" s="341"/>
      <c r="L112" s="341"/>
      <c r="M112" s="341"/>
      <c r="N112" s="341"/>
      <c r="O112" s="341"/>
      <c r="P112" s="341"/>
      <c r="Q112" s="341"/>
      <c r="R112" s="341"/>
      <c r="S112" s="341"/>
      <c r="T112" s="341"/>
      <c r="U112" s="341"/>
      <c r="V112" s="341"/>
      <c r="W112" s="341"/>
      <c r="X112" s="341"/>
      <c r="Y112" s="341"/>
      <c r="Z112" s="341"/>
      <c r="AA112" s="341"/>
      <c r="AB112" s="341"/>
      <c r="AC112" s="341"/>
      <c r="AD112" s="341"/>
      <c r="AE112" s="341"/>
      <c r="AF112" s="341"/>
      <c r="AG112" s="341"/>
      <c r="AH112" s="341"/>
      <c r="AI112" s="341"/>
      <c r="AJ112" s="341"/>
      <c r="AK112" s="341"/>
      <c r="AL112" s="341"/>
      <c r="AM112" s="341"/>
      <c r="AN112" s="341"/>
      <c r="AO112" s="341"/>
      <c r="AP112" s="341"/>
      <c r="AQ112" s="341"/>
      <c r="AR112" s="341"/>
      <c r="AS112" s="341"/>
    </row>
    <row r="113" spans="1:45" ht="13.2" x14ac:dyDescent="0.25">
      <c r="A113" s="341"/>
      <c r="B113" s="341"/>
      <c r="C113" s="341"/>
      <c r="D113" s="341"/>
      <c r="E113" s="341"/>
      <c r="F113" s="341"/>
      <c r="G113" s="341"/>
      <c r="H113" s="341"/>
      <c r="I113" s="341"/>
      <c r="J113" s="341"/>
      <c r="K113" s="341"/>
      <c r="L113" s="341"/>
      <c r="M113" s="341"/>
      <c r="N113" s="341"/>
      <c r="O113" s="341"/>
      <c r="P113" s="341"/>
      <c r="Q113" s="341"/>
      <c r="R113" s="341"/>
      <c r="S113" s="341"/>
      <c r="T113" s="341"/>
      <c r="U113" s="341"/>
      <c r="V113" s="341"/>
      <c r="W113" s="341"/>
      <c r="X113" s="341"/>
      <c r="Y113" s="341"/>
      <c r="Z113" s="341"/>
      <c r="AA113" s="341"/>
      <c r="AB113" s="341"/>
      <c r="AC113" s="341"/>
      <c r="AD113" s="341"/>
      <c r="AE113" s="341"/>
      <c r="AF113" s="341"/>
      <c r="AG113" s="341"/>
      <c r="AH113" s="341"/>
      <c r="AI113" s="341"/>
      <c r="AJ113" s="341"/>
      <c r="AK113" s="341"/>
      <c r="AL113" s="341"/>
      <c r="AM113" s="341"/>
      <c r="AN113" s="341"/>
      <c r="AO113" s="341"/>
      <c r="AP113" s="341"/>
      <c r="AQ113" s="341"/>
      <c r="AR113" s="341"/>
      <c r="AS113" s="341"/>
    </row>
    <row r="114" spans="1:45" ht="13.2" x14ac:dyDescent="0.25">
      <c r="A114" s="341"/>
      <c r="B114" s="341"/>
      <c r="C114" s="341"/>
      <c r="D114" s="341"/>
      <c r="E114" s="341"/>
      <c r="F114" s="341"/>
      <c r="G114" s="341"/>
      <c r="H114" s="341"/>
      <c r="I114" s="341"/>
      <c r="J114" s="341"/>
      <c r="K114" s="341"/>
      <c r="L114" s="341"/>
      <c r="M114" s="341"/>
      <c r="N114" s="341"/>
      <c r="O114" s="341"/>
      <c r="P114" s="341"/>
      <c r="Q114" s="341"/>
      <c r="R114" s="341"/>
      <c r="S114" s="341"/>
      <c r="T114" s="341"/>
      <c r="U114" s="341"/>
      <c r="V114" s="341"/>
      <c r="W114" s="341"/>
      <c r="X114" s="341"/>
      <c r="Y114" s="341"/>
      <c r="Z114" s="341"/>
      <c r="AA114" s="341"/>
      <c r="AB114" s="341"/>
      <c r="AC114" s="341"/>
      <c r="AD114" s="341"/>
      <c r="AE114" s="341"/>
      <c r="AF114" s="341"/>
      <c r="AG114" s="341"/>
      <c r="AH114" s="341"/>
      <c r="AI114" s="341"/>
      <c r="AJ114" s="341"/>
      <c r="AK114" s="341"/>
      <c r="AL114" s="341"/>
      <c r="AM114" s="341"/>
      <c r="AN114" s="341"/>
      <c r="AO114" s="341"/>
      <c r="AP114" s="341"/>
      <c r="AQ114" s="341"/>
      <c r="AR114" s="341"/>
      <c r="AS114" s="341"/>
    </row>
    <row r="115" spans="1:45" ht="13.2" x14ac:dyDescent="0.25">
      <c r="A115" s="341"/>
      <c r="B115" s="341"/>
      <c r="C115" s="341"/>
      <c r="D115" s="341"/>
      <c r="E115" s="341"/>
      <c r="F115" s="341"/>
      <c r="G115" s="341"/>
      <c r="H115" s="341"/>
      <c r="I115" s="341"/>
      <c r="J115" s="341"/>
      <c r="K115" s="341"/>
      <c r="L115" s="341"/>
      <c r="M115" s="341"/>
      <c r="N115" s="341"/>
      <c r="O115" s="341"/>
      <c r="P115" s="341"/>
      <c r="Q115" s="341"/>
      <c r="R115" s="341"/>
      <c r="S115" s="341"/>
      <c r="T115" s="341"/>
      <c r="U115" s="341"/>
      <c r="V115" s="341"/>
      <c r="W115" s="341"/>
      <c r="X115" s="341"/>
      <c r="Y115" s="341"/>
      <c r="Z115" s="341"/>
      <c r="AA115" s="341"/>
      <c r="AB115" s="341"/>
      <c r="AC115" s="341"/>
      <c r="AD115" s="341"/>
      <c r="AE115" s="341"/>
      <c r="AF115" s="341"/>
      <c r="AG115" s="341"/>
      <c r="AH115" s="341"/>
      <c r="AI115" s="341"/>
      <c r="AJ115" s="341"/>
      <c r="AK115" s="341"/>
      <c r="AL115" s="341"/>
      <c r="AM115" s="341"/>
      <c r="AN115" s="341"/>
      <c r="AO115" s="341"/>
      <c r="AP115" s="341"/>
      <c r="AQ115" s="341"/>
      <c r="AR115" s="341"/>
      <c r="AS115" s="341"/>
    </row>
    <row r="116" spans="1:45" ht="13.2" x14ac:dyDescent="0.25">
      <c r="A116" s="341"/>
      <c r="B116" s="341"/>
      <c r="C116" s="341"/>
      <c r="D116" s="341"/>
      <c r="E116" s="341"/>
      <c r="F116" s="341"/>
      <c r="G116" s="341"/>
      <c r="H116" s="341"/>
      <c r="I116" s="341"/>
      <c r="J116" s="341"/>
      <c r="K116" s="341"/>
      <c r="L116" s="341"/>
      <c r="M116" s="341"/>
      <c r="N116" s="341"/>
      <c r="O116" s="341"/>
      <c r="P116" s="341"/>
      <c r="Q116" s="341"/>
      <c r="R116" s="341"/>
      <c r="S116" s="341"/>
      <c r="T116" s="341"/>
      <c r="U116" s="341"/>
      <c r="V116" s="341"/>
      <c r="W116" s="341"/>
      <c r="X116" s="341"/>
      <c r="Y116" s="341"/>
      <c r="Z116" s="341"/>
      <c r="AA116" s="341"/>
      <c r="AB116" s="341"/>
      <c r="AC116" s="341"/>
      <c r="AD116" s="341"/>
      <c r="AE116" s="341"/>
      <c r="AF116" s="341"/>
      <c r="AG116" s="341"/>
      <c r="AH116" s="341"/>
      <c r="AI116" s="341"/>
      <c r="AJ116" s="341"/>
      <c r="AK116" s="341"/>
      <c r="AL116" s="341"/>
      <c r="AM116" s="341"/>
      <c r="AN116" s="341"/>
      <c r="AO116" s="341"/>
      <c r="AP116" s="341"/>
      <c r="AQ116" s="341"/>
      <c r="AR116" s="341"/>
      <c r="AS116" s="341"/>
    </row>
    <row r="117" spans="1:45" ht="13.2" x14ac:dyDescent="0.25">
      <c r="A117" s="341"/>
      <c r="B117" s="341"/>
      <c r="C117" s="341"/>
      <c r="D117" s="341"/>
      <c r="E117" s="341"/>
      <c r="F117" s="341"/>
      <c r="G117" s="341"/>
      <c r="H117" s="341"/>
      <c r="I117" s="341"/>
      <c r="J117" s="341"/>
      <c r="K117" s="341"/>
      <c r="L117" s="341"/>
      <c r="M117" s="341"/>
      <c r="N117" s="341"/>
      <c r="O117" s="341"/>
      <c r="P117" s="341"/>
      <c r="Q117" s="341"/>
      <c r="R117" s="341"/>
      <c r="S117" s="341"/>
      <c r="T117" s="341"/>
      <c r="U117" s="341"/>
      <c r="V117" s="341"/>
      <c r="W117" s="341"/>
      <c r="X117" s="341"/>
      <c r="Y117" s="341"/>
      <c r="Z117" s="341"/>
      <c r="AA117" s="341"/>
      <c r="AB117" s="341"/>
      <c r="AC117" s="341"/>
      <c r="AD117" s="341"/>
      <c r="AE117" s="341"/>
      <c r="AF117" s="341"/>
      <c r="AG117" s="341"/>
      <c r="AH117" s="341"/>
      <c r="AI117" s="341"/>
      <c r="AJ117" s="341"/>
      <c r="AK117" s="341"/>
      <c r="AL117" s="341"/>
      <c r="AM117" s="341"/>
      <c r="AN117" s="341"/>
      <c r="AO117" s="341"/>
      <c r="AP117" s="341"/>
      <c r="AQ117" s="341"/>
      <c r="AR117" s="341"/>
      <c r="AS117" s="341"/>
    </row>
    <row r="118" spans="1:45" ht="13.2" x14ac:dyDescent="0.25">
      <c r="A118" s="341"/>
      <c r="B118" s="341"/>
      <c r="C118" s="341"/>
      <c r="D118" s="341"/>
      <c r="E118" s="341"/>
      <c r="F118" s="341"/>
      <c r="G118" s="341"/>
      <c r="H118" s="341"/>
      <c r="I118" s="341"/>
      <c r="J118" s="341"/>
      <c r="K118" s="341"/>
      <c r="L118" s="341"/>
      <c r="M118" s="341"/>
      <c r="N118" s="341"/>
      <c r="O118" s="341"/>
      <c r="P118" s="341"/>
      <c r="Q118" s="341"/>
      <c r="R118" s="341"/>
      <c r="S118" s="341"/>
      <c r="T118" s="341"/>
      <c r="U118" s="341"/>
      <c r="V118" s="341"/>
      <c r="W118" s="341"/>
      <c r="X118" s="341"/>
      <c r="Y118" s="341"/>
      <c r="Z118" s="341"/>
      <c r="AA118" s="341"/>
      <c r="AB118" s="341"/>
      <c r="AC118" s="341"/>
      <c r="AD118" s="341"/>
      <c r="AE118" s="341"/>
      <c r="AF118" s="341"/>
      <c r="AG118" s="341"/>
      <c r="AH118" s="341"/>
      <c r="AI118" s="341"/>
      <c r="AJ118" s="341"/>
      <c r="AK118" s="341"/>
      <c r="AL118" s="341"/>
      <c r="AM118" s="341"/>
      <c r="AN118" s="341"/>
      <c r="AO118" s="341"/>
      <c r="AP118" s="341"/>
      <c r="AQ118" s="341"/>
      <c r="AR118" s="341"/>
      <c r="AS118" s="341"/>
    </row>
    <row r="119" spans="1:45" ht="13.2" x14ac:dyDescent="0.25">
      <c r="A119" s="341"/>
      <c r="B119" s="341"/>
      <c r="C119" s="341"/>
      <c r="D119" s="341"/>
      <c r="E119" s="341"/>
      <c r="F119" s="341"/>
      <c r="G119" s="341"/>
      <c r="H119" s="341"/>
      <c r="I119" s="341"/>
      <c r="J119" s="341"/>
      <c r="K119" s="341"/>
      <c r="L119" s="341"/>
      <c r="M119" s="341"/>
      <c r="N119" s="341"/>
      <c r="O119" s="341"/>
      <c r="P119" s="341"/>
      <c r="Q119" s="341"/>
      <c r="R119" s="341"/>
      <c r="S119" s="341"/>
      <c r="T119" s="341"/>
      <c r="U119" s="341"/>
      <c r="V119" s="341"/>
      <c r="W119" s="341"/>
      <c r="X119" s="341"/>
      <c r="Y119" s="341"/>
      <c r="Z119" s="341"/>
      <c r="AA119" s="341"/>
      <c r="AB119" s="341"/>
      <c r="AC119" s="341"/>
      <c r="AD119" s="341"/>
      <c r="AE119" s="341"/>
      <c r="AF119" s="341"/>
      <c r="AG119" s="341"/>
      <c r="AH119" s="341"/>
      <c r="AI119" s="341"/>
      <c r="AJ119" s="341"/>
      <c r="AK119" s="341"/>
      <c r="AL119" s="341"/>
      <c r="AM119" s="341"/>
      <c r="AN119" s="341"/>
      <c r="AO119" s="341"/>
      <c r="AP119" s="341"/>
      <c r="AQ119" s="341"/>
      <c r="AR119" s="341"/>
      <c r="AS119" s="341"/>
    </row>
    <row r="120" spans="1:45" ht="13.2" x14ac:dyDescent="0.25">
      <c r="A120" s="341"/>
      <c r="B120" s="341"/>
      <c r="C120" s="341"/>
      <c r="D120" s="341"/>
      <c r="E120" s="341"/>
      <c r="F120" s="341"/>
      <c r="G120" s="341"/>
      <c r="H120" s="341"/>
      <c r="I120" s="341"/>
      <c r="J120" s="341"/>
      <c r="K120" s="341"/>
      <c r="L120" s="341"/>
      <c r="M120" s="341"/>
      <c r="N120" s="341"/>
      <c r="O120" s="341"/>
      <c r="P120" s="341"/>
      <c r="Q120" s="341"/>
      <c r="R120" s="341"/>
      <c r="S120" s="341"/>
      <c r="T120" s="341"/>
      <c r="U120" s="341"/>
      <c r="V120" s="341"/>
      <c r="W120" s="341"/>
      <c r="X120" s="341"/>
      <c r="Y120" s="341"/>
      <c r="Z120" s="341"/>
      <c r="AA120" s="341"/>
      <c r="AB120" s="341"/>
      <c r="AC120" s="341"/>
      <c r="AD120" s="341"/>
      <c r="AE120" s="341"/>
      <c r="AF120" s="341"/>
      <c r="AG120" s="341"/>
      <c r="AH120" s="341"/>
      <c r="AI120" s="341"/>
      <c r="AJ120" s="341"/>
      <c r="AK120" s="341"/>
      <c r="AL120" s="341"/>
      <c r="AM120" s="341"/>
      <c r="AN120" s="341"/>
      <c r="AO120" s="341"/>
      <c r="AP120" s="341"/>
      <c r="AQ120" s="341"/>
      <c r="AR120" s="341"/>
      <c r="AS120" s="341"/>
    </row>
    <row r="121" spans="1:45" ht="13.2" x14ac:dyDescent="0.25">
      <c r="A121" s="341"/>
      <c r="B121" s="341"/>
      <c r="C121" s="341"/>
      <c r="D121" s="341"/>
      <c r="E121" s="341"/>
      <c r="F121" s="341"/>
      <c r="G121" s="341"/>
      <c r="H121" s="341"/>
      <c r="I121" s="341"/>
      <c r="J121" s="341"/>
      <c r="K121" s="341"/>
      <c r="L121" s="341"/>
      <c r="M121" s="341"/>
      <c r="N121" s="341"/>
      <c r="O121" s="341"/>
      <c r="P121" s="341"/>
      <c r="Q121" s="341"/>
      <c r="R121" s="341"/>
      <c r="S121" s="341"/>
      <c r="T121" s="341"/>
      <c r="U121" s="341"/>
      <c r="V121" s="341"/>
      <c r="W121" s="341"/>
      <c r="X121" s="341"/>
      <c r="Y121" s="341"/>
      <c r="Z121" s="341"/>
      <c r="AA121" s="341"/>
      <c r="AB121" s="341"/>
      <c r="AC121" s="341"/>
      <c r="AD121" s="341"/>
      <c r="AE121" s="341"/>
      <c r="AF121" s="341"/>
      <c r="AG121" s="341"/>
      <c r="AH121" s="341"/>
      <c r="AI121" s="341"/>
      <c r="AJ121" s="341"/>
      <c r="AK121" s="341"/>
      <c r="AL121" s="341"/>
      <c r="AM121" s="341"/>
      <c r="AN121" s="341"/>
      <c r="AO121" s="341"/>
      <c r="AP121" s="341"/>
      <c r="AQ121" s="341"/>
      <c r="AR121" s="341"/>
      <c r="AS121" s="341"/>
    </row>
    <row r="122" spans="1:45" ht="13.2" x14ac:dyDescent="0.25">
      <c r="A122" s="341"/>
      <c r="B122" s="341"/>
      <c r="C122" s="341"/>
      <c r="D122" s="341"/>
      <c r="E122" s="341"/>
      <c r="F122" s="341"/>
      <c r="G122" s="341"/>
      <c r="H122" s="341"/>
      <c r="I122" s="341"/>
      <c r="J122" s="341"/>
      <c r="K122" s="341"/>
      <c r="L122" s="341"/>
      <c r="M122" s="341"/>
      <c r="N122" s="341"/>
      <c r="O122" s="341"/>
      <c r="P122" s="341"/>
      <c r="Q122" s="341"/>
      <c r="R122" s="341"/>
      <c r="S122" s="341"/>
      <c r="T122" s="341"/>
      <c r="U122" s="341"/>
      <c r="V122" s="341"/>
      <c r="W122" s="341"/>
      <c r="X122" s="341"/>
      <c r="Y122" s="341"/>
      <c r="Z122" s="341"/>
      <c r="AA122" s="341"/>
      <c r="AB122" s="341"/>
      <c r="AC122" s="341"/>
      <c r="AD122" s="341"/>
      <c r="AE122" s="341"/>
      <c r="AF122" s="341"/>
      <c r="AG122" s="341"/>
      <c r="AH122" s="341"/>
      <c r="AI122" s="341"/>
      <c r="AJ122" s="341"/>
      <c r="AK122" s="341"/>
      <c r="AL122" s="341"/>
      <c r="AM122" s="341"/>
      <c r="AN122" s="341"/>
      <c r="AO122" s="341"/>
      <c r="AP122" s="341"/>
      <c r="AQ122" s="341"/>
      <c r="AR122" s="341"/>
      <c r="AS122" s="341"/>
    </row>
    <row r="123" spans="1:45" ht="13.2" x14ac:dyDescent="0.25">
      <c r="A123" s="341"/>
      <c r="B123" s="341"/>
      <c r="C123" s="341"/>
      <c r="D123" s="341"/>
      <c r="E123" s="341"/>
      <c r="F123" s="341"/>
      <c r="G123" s="341"/>
      <c r="H123" s="341"/>
      <c r="I123" s="341"/>
      <c r="J123" s="341"/>
      <c r="K123" s="341"/>
      <c r="L123" s="341"/>
      <c r="M123" s="341"/>
      <c r="N123" s="341"/>
      <c r="O123" s="341"/>
      <c r="P123" s="341"/>
      <c r="Q123" s="341"/>
      <c r="R123" s="341"/>
      <c r="S123" s="341"/>
      <c r="T123" s="341"/>
      <c r="U123" s="341"/>
      <c r="V123" s="341"/>
      <c r="W123" s="341"/>
      <c r="X123" s="341"/>
      <c r="Y123" s="341"/>
      <c r="Z123" s="341"/>
      <c r="AA123" s="341"/>
      <c r="AB123" s="341"/>
      <c r="AC123" s="341"/>
      <c r="AD123" s="341"/>
      <c r="AE123" s="341"/>
      <c r="AF123" s="341"/>
      <c r="AG123" s="341"/>
      <c r="AH123" s="341"/>
      <c r="AI123" s="341"/>
      <c r="AJ123" s="341"/>
      <c r="AK123" s="341"/>
      <c r="AL123" s="341"/>
      <c r="AM123" s="341"/>
      <c r="AN123" s="341"/>
      <c r="AO123" s="341"/>
      <c r="AP123" s="341"/>
      <c r="AQ123" s="341"/>
      <c r="AR123" s="341"/>
      <c r="AS123" s="341"/>
    </row>
    <row r="124" spans="1:45" ht="13.2" x14ac:dyDescent="0.25">
      <c r="A124" s="341"/>
      <c r="B124" s="341"/>
      <c r="C124" s="341"/>
      <c r="D124" s="341"/>
      <c r="E124" s="341"/>
      <c r="F124" s="341"/>
      <c r="G124" s="341"/>
      <c r="H124" s="341"/>
      <c r="I124" s="341"/>
      <c r="J124" s="341"/>
      <c r="K124" s="341"/>
      <c r="L124" s="341"/>
      <c r="M124" s="341"/>
      <c r="N124" s="341"/>
      <c r="O124" s="341"/>
      <c r="P124" s="341"/>
      <c r="Q124" s="341"/>
      <c r="R124" s="341"/>
      <c r="S124" s="341"/>
      <c r="T124" s="341"/>
      <c r="U124" s="341"/>
      <c r="V124" s="341"/>
      <c r="W124" s="341"/>
      <c r="X124" s="341"/>
      <c r="Y124" s="341"/>
      <c r="Z124" s="341"/>
      <c r="AA124" s="341"/>
      <c r="AB124" s="341"/>
      <c r="AC124" s="341"/>
      <c r="AD124" s="341"/>
      <c r="AE124" s="341"/>
      <c r="AF124" s="341"/>
      <c r="AG124" s="341"/>
      <c r="AH124" s="341"/>
      <c r="AI124" s="341"/>
      <c r="AJ124" s="341"/>
      <c r="AK124" s="341"/>
      <c r="AL124" s="341"/>
      <c r="AM124" s="341"/>
      <c r="AN124" s="341"/>
      <c r="AO124" s="341"/>
      <c r="AP124" s="341"/>
      <c r="AQ124" s="341"/>
      <c r="AR124" s="341"/>
      <c r="AS124" s="341"/>
    </row>
    <row r="125" spans="1:45" ht="13.2" x14ac:dyDescent="0.25">
      <c r="A125" s="341"/>
      <c r="B125" s="341"/>
      <c r="C125" s="341"/>
      <c r="D125" s="341"/>
      <c r="E125" s="341"/>
      <c r="F125" s="341"/>
      <c r="G125" s="341"/>
      <c r="H125" s="341"/>
      <c r="I125" s="341"/>
      <c r="J125" s="341"/>
      <c r="K125" s="341"/>
      <c r="L125" s="341"/>
      <c r="M125" s="341"/>
      <c r="N125" s="341"/>
      <c r="O125" s="341"/>
      <c r="P125" s="341"/>
      <c r="Q125" s="341"/>
      <c r="R125" s="341"/>
      <c r="S125" s="341"/>
      <c r="T125" s="341"/>
      <c r="U125" s="341"/>
      <c r="V125" s="341"/>
      <c r="W125" s="341"/>
      <c r="X125" s="341"/>
      <c r="Y125" s="341"/>
      <c r="Z125" s="341"/>
      <c r="AA125" s="341"/>
      <c r="AB125" s="341"/>
      <c r="AC125" s="341"/>
      <c r="AD125" s="341"/>
      <c r="AE125" s="341"/>
      <c r="AF125" s="341"/>
      <c r="AG125" s="341"/>
      <c r="AH125" s="341"/>
      <c r="AI125" s="341"/>
      <c r="AJ125" s="341"/>
      <c r="AK125" s="341"/>
      <c r="AL125" s="341"/>
      <c r="AM125" s="341"/>
      <c r="AN125" s="341"/>
      <c r="AO125" s="341"/>
      <c r="AP125" s="341"/>
      <c r="AQ125" s="341"/>
      <c r="AR125" s="341"/>
      <c r="AS125" s="341"/>
    </row>
    <row r="126" spans="1:45" ht="13.2" x14ac:dyDescent="0.25">
      <c r="A126" s="341"/>
      <c r="B126" s="341"/>
      <c r="C126" s="341"/>
      <c r="D126" s="341"/>
      <c r="E126" s="341"/>
      <c r="F126" s="341"/>
      <c r="G126" s="341"/>
      <c r="H126" s="341"/>
      <c r="I126" s="341"/>
      <c r="J126" s="341"/>
      <c r="K126" s="341"/>
      <c r="L126" s="341"/>
      <c r="M126" s="341"/>
      <c r="N126" s="341"/>
      <c r="O126" s="341"/>
      <c r="P126" s="341"/>
      <c r="Q126" s="341"/>
      <c r="R126" s="341"/>
      <c r="S126" s="341"/>
      <c r="T126" s="341"/>
      <c r="U126" s="341"/>
      <c r="V126" s="341"/>
      <c r="W126" s="341"/>
      <c r="X126" s="341"/>
      <c r="Y126" s="341"/>
      <c r="Z126" s="341"/>
      <c r="AA126" s="341"/>
      <c r="AB126" s="341"/>
      <c r="AC126" s="341"/>
      <c r="AD126" s="341"/>
      <c r="AE126" s="341"/>
      <c r="AF126" s="341"/>
      <c r="AG126" s="341"/>
      <c r="AH126" s="341"/>
      <c r="AI126" s="341"/>
      <c r="AJ126" s="341"/>
      <c r="AK126" s="341"/>
      <c r="AL126" s="341"/>
      <c r="AM126" s="341"/>
      <c r="AN126" s="341"/>
      <c r="AO126" s="341"/>
      <c r="AP126" s="341"/>
      <c r="AQ126" s="341"/>
      <c r="AR126" s="341"/>
      <c r="AS126" s="341"/>
    </row>
    <row r="127" spans="1:45" ht="13.2" x14ac:dyDescent="0.25">
      <c r="A127" s="341"/>
      <c r="B127" s="341"/>
      <c r="C127" s="341"/>
      <c r="D127" s="341"/>
      <c r="E127" s="341"/>
      <c r="F127" s="341"/>
      <c r="G127" s="341"/>
      <c r="H127" s="341"/>
      <c r="I127" s="341"/>
      <c r="J127" s="341"/>
      <c r="K127" s="341"/>
      <c r="L127" s="341"/>
      <c r="M127" s="341"/>
      <c r="N127" s="341"/>
      <c r="O127" s="341"/>
      <c r="P127" s="341"/>
      <c r="Q127" s="341"/>
      <c r="R127" s="341"/>
      <c r="S127" s="341"/>
      <c r="T127" s="341"/>
      <c r="U127" s="341"/>
      <c r="V127" s="341"/>
      <c r="W127" s="341"/>
      <c r="X127" s="341"/>
      <c r="Y127" s="341"/>
      <c r="Z127" s="341"/>
      <c r="AA127" s="341"/>
      <c r="AB127" s="341"/>
      <c r="AC127" s="341"/>
      <c r="AD127" s="341"/>
      <c r="AE127" s="341"/>
      <c r="AF127" s="341"/>
      <c r="AG127" s="341"/>
      <c r="AH127" s="341"/>
      <c r="AI127" s="341"/>
      <c r="AJ127" s="341"/>
      <c r="AK127" s="341"/>
      <c r="AL127" s="341"/>
      <c r="AM127" s="341"/>
      <c r="AN127" s="341"/>
      <c r="AO127" s="341"/>
      <c r="AP127" s="341"/>
      <c r="AQ127" s="341"/>
      <c r="AR127" s="341"/>
      <c r="AS127" s="341"/>
    </row>
    <row r="128" spans="1:45" ht="13.2" x14ac:dyDescent="0.25">
      <c r="A128" s="341"/>
      <c r="B128" s="341"/>
      <c r="C128" s="341"/>
      <c r="D128" s="341"/>
      <c r="E128" s="341"/>
      <c r="F128" s="341"/>
      <c r="G128" s="341"/>
      <c r="H128" s="341"/>
      <c r="I128" s="341"/>
      <c r="J128" s="341"/>
      <c r="K128" s="341"/>
      <c r="L128" s="341"/>
      <c r="M128" s="341"/>
      <c r="N128" s="341"/>
      <c r="O128" s="341"/>
      <c r="P128" s="341"/>
      <c r="Q128" s="341"/>
      <c r="R128" s="341"/>
      <c r="S128" s="341"/>
      <c r="T128" s="341"/>
      <c r="U128" s="341"/>
      <c r="V128" s="341"/>
      <c r="W128" s="341"/>
      <c r="X128" s="341"/>
      <c r="Y128" s="341"/>
      <c r="Z128" s="341"/>
      <c r="AA128" s="341"/>
      <c r="AB128" s="341"/>
      <c r="AC128" s="341"/>
      <c r="AD128" s="341"/>
      <c r="AE128" s="341"/>
      <c r="AF128" s="341"/>
      <c r="AG128" s="341"/>
      <c r="AH128" s="341"/>
      <c r="AI128" s="341"/>
      <c r="AJ128" s="341"/>
      <c r="AK128" s="341"/>
      <c r="AL128" s="341"/>
      <c r="AM128" s="341"/>
      <c r="AN128" s="341"/>
      <c r="AO128" s="341"/>
      <c r="AP128" s="341"/>
      <c r="AQ128" s="341"/>
      <c r="AR128" s="341"/>
      <c r="AS128" s="341"/>
    </row>
    <row r="129" spans="1:45" ht="13.2" x14ac:dyDescent="0.25">
      <c r="A129" s="341"/>
      <c r="B129" s="341"/>
      <c r="C129" s="341"/>
      <c r="D129" s="341"/>
      <c r="E129" s="341"/>
      <c r="F129" s="341"/>
      <c r="G129" s="341"/>
      <c r="H129" s="341"/>
      <c r="I129" s="341"/>
      <c r="J129" s="341"/>
      <c r="K129" s="341"/>
      <c r="L129" s="341"/>
      <c r="M129" s="341"/>
      <c r="N129" s="341"/>
      <c r="O129" s="341"/>
      <c r="P129" s="341"/>
      <c r="Q129" s="341"/>
      <c r="R129" s="341"/>
      <c r="S129" s="341"/>
      <c r="T129" s="341"/>
      <c r="U129" s="341"/>
      <c r="V129" s="341"/>
      <c r="W129" s="341"/>
      <c r="X129" s="341"/>
      <c r="Y129" s="341"/>
      <c r="Z129" s="341"/>
      <c r="AA129" s="341"/>
      <c r="AB129" s="341"/>
      <c r="AC129" s="341"/>
      <c r="AD129" s="341"/>
      <c r="AE129" s="341"/>
      <c r="AF129" s="341"/>
      <c r="AG129" s="341"/>
      <c r="AH129" s="341"/>
      <c r="AI129" s="341"/>
      <c r="AJ129" s="341"/>
      <c r="AK129" s="341"/>
      <c r="AL129" s="341"/>
      <c r="AM129" s="341"/>
      <c r="AN129" s="341"/>
      <c r="AO129" s="341"/>
      <c r="AP129" s="341"/>
      <c r="AQ129" s="341"/>
      <c r="AR129" s="341"/>
      <c r="AS129" s="341"/>
    </row>
    <row r="130" spans="1:45" ht="13.2" x14ac:dyDescent="0.25">
      <c r="A130" s="341"/>
      <c r="B130" s="341"/>
      <c r="C130" s="341"/>
      <c r="D130" s="341"/>
      <c r="E130" s="341"/>
      <c r="F130" s="341"/>
      <c r="G130" s="341"/>
      <c r="H130" s="341"/>
      <c r="I130" s="341"/>
      <c r="J130" s="341"/>
      <c r="K130" s="341"/>
      <c r="L130" s="341"/>
      <c r="M130" s="341"/>
      <c r="N130" s="341"/>
      <c r="O130" s="341"/>
      <c r="P130" s="341"/>
      <c r="Q130" s="341"/>
      <c r="R130" s="341"/>
      <c r="S130" s="341"/>
      <c r="T130" s="341"/>
      <c r="U130" s="341"/>
      <c r="V130" s="341"/>
      <c r="W130" s="341"/>
      <c r="X130" s="341"/>
      <c r="Y130" s="341"/>
      <c r="Z130" s="341"/>
      <c r="AA130" s="341"/>
      <c r="AB130" s="341"/>
      <c r="AC130" s="341"/>
      <c r="AD130" s="341"/>
      <c r="AE130" s="341"/>
      <c r="AF130" s="341"/>
      <c r="AG130" s="341"/>
      <c r="AH130" s="341"/>
      <c r="AI130" s="341"/>
      <c r="AJ130" s="341"/>
      <c r="AK130" s="341"/>
      <c r="AL130" s="341"/>
      <c r="AM130" s="341"/>
      <c r="AN130" s="341"/>
      <c r="AO130" s="341"/>
      <c r="AP130" s="341"/>
      <c r="AQ130" s="341"/>
      <c r="AR130" s="341"/>
      <c r="AS130" s="341"/>
    </row>
    <row r="131" spans="1:45" ht="13.2" x14ac:dyDescent="0.25">
      <c r="A131" s="341"/>
      <c r="B131" s="341"/>
      <c r="C131" s="341"/>
      <c r="D131" s="341"/>
      <c r="E131" s="341"/>
      <c r="F131" s="341"/>
      <c r="G131" s="341"/>
      <c r="H131" s="341"/>
      <c r="I131" s="341"/>
      <c r="J131" s="341"/>
      <c r="K131" s="341"/>
      <c r="L131" s="341"/>
      <c r="M131" s="341"/>
      <c r="N131" s="341"/>
      <c r="O131" s="341"/>
      <c r="P131" s="341"/>
      <c r="Q131" s="341"/>
      <c r="R131" s="341"/>
      <c r="S131" s="341"/>
      <c r="T131" s="341"/>
      <c r="U131" s="341"/>
      <c r="V131" s="341"/>
      <c r="W131" s="341"/>
      <c r="X131" s="341"/>
      <c r="Y131" s="341"/>
      <c r="Z131" s="341"/>
      <c r="AA131" s="341"/>
      <c r="AB131" s="341"/>
      <c r="AC131" s="341"/>
      <c r="AD131" s="341"/>
      <c r="AE131" s="341"/>
      <c r="AF131" s="341"/>
      <c r="AG131" s="341"/>
      <c r="AH131" s="341"/>
      <c r="AI131" s="341"/>
      <c r="AJ131" s="341"/>
      <c r="AK131" s="341"/>
      <c r="AL131" s="341"/>
      <c r="AM131" s="341"/>
      <c r="AN131" s="341"/>
      <c r="AO131" s="341"/>
      <c r="AP131" s="341"/>
      <c r="AQ131" s="341"/>
      <c r="AR131" s="341"/>
      <c r="AS131" s="341"/>
    </row>
    <row r="132" spans="1:45" ht="13.2" x14ac:dyDescent="0.25">
      <c r="A132" s="341"/>
      <c r="B132" s="341"/>
      <c r="C132" s="341"/>
      <c r="D132" s="341"/>
      <c r="E132" s="341"/>
      <c r="F132" s="341"/>
      <c r="G132" s="341"/>
      <c r="H132" s="341"/>
      <c r="I132" s="341"/>
      <c r="J132" s="341"/>
      <c r="K132" s="341"/>
      <c r="L132" s="341"/>
      <c r="M132" s="341"/>
      <c r="N132" s="341"/>
      <c r="O132" s="341"/>
      <c r="P132" s="341"/>
      <c r="Q132" s="341"/>
      <c r="R132" s="341"/>
      <c r="S132" s="341"/>
      <c r="T132" s="341"/>
      <c r="U132" s="341"/>
      <c r="V132" s="341"/>
      <c r="W132" s="341"/>
      <c r="X132" s="341"/>
      <c r="Y132" s="341"/>
      <c r="Z132" s="341"/>
      <c r="AA132" s="341"/>
      <c r="AB132" s="341"/>
      <c r="AC132" s="341"/>
      <c r="AD132" s="341"/>
      <c r="AE132" s="341"/>
      <c r="AF132" s="341"/>
      <c r="AG132" s="341"/>
      <c r="AH132" s="341"/>
      <c r="AI132" s="341"/>
      <c r="AJ132" s="341"/>
      <c r="AK132" s="341"/>
      <c r="AL132" s="341"/>
      <c r="AM132" s="341"/>
      <c r="AN132" s="341"/>
      <c r="AO132" s="341"/>
      <c r="AP132" s="341"/>
      <c r="AQ132" s="341"/>
      <c r="AR132" s="341"/>
      <c r="AS132" s="341"/>
    </row>
    <row r="133" spans="1:45" ht="13.2" x14ac:dyDescent="0.25">
      <c r="A133" s="341"/>
      <c r="B133" s="341"/>
      <c r="C133" s="341"/>
      <c r="D133" s="341"/>
      <c r="E133" s="341"/>
      <c r="F133" s="341"/>
      <c r="G133" s="341"/>
      <c r="H133" s="341"/>
      <c r="I133" s="341"/>
      <c r="J133" s="341"/>
      <c r="K133" s="341"/>
      <c r="L133" s="341"/>
      <c r="M133" s="341"/>
      <c r="N133" s="341"/>
      <c r="O133" s="341"/>
      <c r="P133" s="341"/>
      <c r="Q133" s="341"/>
      <c r="R133" s="341"/>
      <c r="S133" s="341"/>
      <c r="T133" s="341"/>
      <c r="U133" s="341"/>
      <c r="V133" s="341"/>
      <c r="W133" s="341"/>
      <c r="X133" s="341"/>
      <c r="Y133" s="341"/>
      <c r="Z133" s="341"/>
      <c r="AA133" s="341"/>
      <c r="AB133" s="341"/>
      <c r="AC133" s="341"/>
      <c r="AD133" s="341"/>
      <c r="AE133" s="341"/>
      <c r="AF133" s="341"/>
      <c r="AG133" s="341"/>
      <c r="AH133" s="341"/>
      <c r="AI133" s="341"/>
      <c r="AJ133" s="341"/>
      <c r="AK133" s="341"/>
      <c r="AL133" s="341"/>
      <c r="AM133" s="341"/>
      <c r="AN133" s="341"/>
      <c r="AO133" s="341"/>
      <c r="AP133" s="341"/>
      <c r="AQ133" s="341"/>
      <c r="AR133" s="341"/>
      <c r="AS133" s="341"/>
    </row>
    <row r="134" spans="1:45" ht="13.2" x14ac:dyDescent="0.25">
      <c r="A134" s="341"/>
      <c r="B134" s="341"/>
      <c r="C134" s="341"/>
      <c r="D134" s="341"/>
      <c r="E134" s="341"/>
      <c r="F134" s="341"/>
      <c r="G134" s="341"/>
      <c r="H134" s="341"/>
      <c r="I134" s="341"/>
      <c r="J134" s="341"/>
      <c r="K134" s="341"/>
      <c r="L134" s="341"/>
      <c r="M134" s="341"/>
      <c r="N134" s="341"/>
      <c r="O134" s="341"/>
      <c r="P134" s="341"/>
      <c r="Q134" s="341"/>
      <c r="R134" s="341"/>
      <c r="S134" s="341"/>
      <c r="T134" s="341"/>
      <c r="U134" s="341"/>
      <c r="V134" s="341"/>
      <c r="W134" s="341"/>
      <c r="X134" s="341"/>
      <c r="Y134" s="341"/>
      <c r="Z134" s="341"/>
      <c r="AA134" s="341"/>
      <c r="AB134" s="341"/>
      <c r="AC134" s="341"/>
      <c r="AD134" s="341"/>
      <c r="AE134" s="341"/>
      <c r="AF134" s="341"/>
      <c r="AG134" s="341"/>
      <c r="AH134" s="341"/>
      <c r="AI134" s="341"/>
      <c r="AJ134" s="341"/>
      <c r="AK134" s="341"/>
      <c r="AL134" s="341"/>
      <c r="AM134" s="341"/>
      <c r="AN134" s="341"/>
      <c r="AO134" s="341"/>
      <c r="AP134" s="341"/>
      <c r="AQ134" s="341"/>
      <c r="AR134" s="341"/>
      <c r="AS134" s="341"/>
    </row>
    <row r="135" spans="1:45" ht="13.2" x14ac:dyDescent="0.25">
      <c r="A135" s="341"/>
      <c r="B135" s="341"/>
      <c r="C135" s="341"/>
      <c r="D135" s="341"/>
      <c r="E135" s="341"/>
      <c r="F135" s="341"/>
      <c r="G135" s="341"/>
      <c r="H135" s="341"/>
      <c r="I135" s="341"/>
      <c r="J135" s="341"/>
      <c r="K135" s="341"/>
      <c r="L135" s="341"/>
      <c r="M135" s="341"/>
      <c r="N135" s="341"/>
      <c r="O135" s="341"/>
      <c r="P135" s="341"/>
      <c r="Q135" s="341"/>
      <c r="R135" s="341"/>
      <c r="S135" s="341"/>
      <c r="T135" s="341"/>
      <c r="U135" s="341"/>
      <c r="V135" s="341"/>
      <c r="W135" s="341"/>
      <c r="X135" s="341"/>
      <c r="Y135" s="341"/>
      <c r="Z135" s="341"/>
      <c r="AA135" s="341"/>
      <c r="AB135" s="341"/>
      <c r="AC135" s="341"/>
      <c r="AD135" s="341"/>
      <c r="AE135" s="341"/>
      <c r="AF135" s="341"/>
      <c r="AG135" s="341"/>
      <c r="AH135" s="341"/>
      <c r="AI135" s="341"/>
      <c r="AJ135" s="341"/>
      <c r="AK135" s="341"/>
      <c r="AL135" s="341"/>
      <c r="AM135" s="341"/>
      <c r="AN135" s="341"/>
      <c r="AO135" s="341"/>
      <c r="AP135" s="341"/>
      <c r="AQ135" s="341"/>
      <c r="AR135" s="341"/>
      <c r="AS135" s="341"/>
    </row>
    <row r="136" spans="1:45" ht="13.2" x14ac:dyDescent="0.25">
      <c r="A136" s="341"/>
      <c r="B136" s="341"/>
      <c r="C136" s="341"/>
      <c r="D136" s="341"/>
      <c r="E136" s="341"/>
      <c r="F136" s="341"/>
      <c r="G136" s="341"/>
      <c r="H136" s="341"/>
      <c r="I136" s="341"/>
      <c r="J136" s="341"/>
      <c r="K136" s="341"/>
      <c r="L136" s="341"/>
      <c r="M136" s="341"/>
      <c r="N136" s="341"/>
      <c r="O136" s="341"/>
      <c r="P136" s="341"/>
      <c r="Q136" s="341"/>
      <c r="R136" s="341"/>
      <c r="S136" s="341"/>
      <c r="T136" s="341"/>
      <c r="U136" s="341"/>
      <c r="V136" s="341"/>
      <c r="W136" s="341"/>
      <c r="X136" s="341"/>
      <c r="Y136" s="341"/>
      <c r="Z136" s="341"/>
      <c r="AA136" s="341"/>
      <c r="AB136" s="341"/>
      <c r="AC136" s="341"/>
      <c r="AD136" s="341"/>
      <c r="AE136" s="341"/>
      <c r="AF136" s="341"/>
      <c r="AG136" s="341"/>
      <c r="AH136" s="341"/>
      <c r="AI136" s="341"/>
      <c r="AJ136" s="341"/>
      <c r="AK136" s="341"/>
      <c r="AL136" s="341"/>
      <c r="AM136" s="341"/>
      <c r="AN136" s="341"/>
      <c r="AO136" s="341"/>
      <c r="AP136" s="341"/>
      <c r="AQ136" s="341"/>
      <c r="AR136" s="341"/>
      <c r="AS136" s="341"/>
    </row>
    <row r="137" spans="1:45" ht="13.2" x14ac:dyDescent="0.25">
      <c r="A137" s="341"/>
      <c r="B137" s="341"/>
      <c r="C137" s="341"/>
      <c r="D137" s="341"/>
      <c r="E137" s="341"/>
      <c r="F137" s="341"/>
      <c r="G137" s="341"/>
      <c r="H137" s="341"/>
      <c r="I137" s="341"/>
      <c r="J137" s="341"/>
      <c r="K137" s="341"/>
      <c r="L137" s="341"/>
      <c r="M137" s="341"/>
      <c r="N137" s="341"/>
      <c r="O137" s="341"/>
      <c r="P137" s="341"/>
      <c r="Q137" s="341"/>
      <c r="R137" s="341"/>
      <c r="S137" s="341"/>
      <c r="T137" s="341"/>
      <c r="U137" s="341"/>
      <c r="V137" s="341"/>
      <c r="W137" s="341"/>
      <c r="X137" s="341"/>
      <c r="Y137" s="341"/>
      <c r="Z137" s="341"/>
      <c r="AA137" s="341"/>
      <c r="AB137" s="341"/>
      <c r="AC137" s="341"/>
      <c r="AD137" s="341"/>
      <c r="AE137" s="341"/>
      <c r="AF137" s="341"/>
      <c r="AG137" s="341"/>
      <c r="AH137" s="341"/>
      <c r="AI137" s="341"/>
      <c r="AJ137" s="341"/>
      <c r="AK137" s="341"/>
      <c r="AL137" s="341"/>
      <c r="AM137" s="341"/>
      <c r="AN137" s="341"/>
      <c r="AO137" s="341"/>
      <c r="AP137" s="341"/>
      <c r="AQ137" s="341"/>
      <c r="AR137" s="341"/>
      <c r="AS137" s="341"/>
    </row>
    <row r="138" spans="1:45" ht="13.2" x14ac:dyDescent="0.25">
      <c r="A138" s="341"/>
      <c r="B138" s="341"/>
      <c r="C138" s="341"/>
      <c r="D138" s="341"/>
      <c r="E138" s="341"/>
      <c r="F138" s="341"/>
      <c r="G138" s="341"/>
      <c r="H138" s="341"/>
      <c r="I138" s="341"/>
      <c r="J138" s="341"/>
      <c r="K138" s="341"/>
      <c r="L138" s="341"/>
      <c r="M138" s="341"/>
      <c r="N138" s="341"/>
      <c r="O138" s="341"/>
      <c r="P138" s="341"/>
      <c r="Q138" s="341"/>
      <c r="R138" s="341"/>
      <c r="S138" s="341"/>
      <c r="T138" s="341"/>
      <c r="U138" s="341"/>
      <c r="V138" s="341"/>
      <c r="W138" s="341"/>
      <c r="X138" s="341"/>
      <c r="Y138" s="341"/>
      <c r="Z138" s="341"/>
      <c r="AA138" s="341"/>
      <c r="AB138" s="341"/>
      <c r="AC138" s="341"/>
      <c r="AD138" s="341"/>
      <c r="AE138" s="341"/>
      <c r="AF138" s="341"/>
      <c r="AG138" s="341"/>
      <c r="AH138" s="341"/>
      <c r="AI138" s="341"/>
      <c r="AJ138" s="341"/>
      <c r="AK138" s="341"/>
      <c r="AL138" s="341"/>
      <c r="AM138" s="341"/>
      <c r="AN138" s="341"/>
      <c r="AO138" s="341"/>
      <c r="AP138" s="341"/>
      <c r="AQ138" s="341"/>
      <c r="AR138" s="341"/>
      <c r="AS138" s="341"/>
    </row>
    <row r="139" spans="1:45" ht="13.2" x14ac:dyDescent="0.25">
      <c r="A139" s="341"/>
      <c r="B139" s="341"/>
      <c r="C139" s="341"/>
      <c r="D139" s="341"/>
      <c r="E139" s="341"/>
      <c r="F139" s="341"/>
      <c r="G139" s="341"/>
      <c r="H139" s="341"/>
      <c r="I139" s="341"/>
      <c r="J139" s="341"/>
      <c r="K139" s="341"/>
      <c r="L139" s="341"/>
      <c r="M139" s="341"/>
      <c r="N139" s="341"/>
      <c r="O139" s="341"/>
      <c r="P139" s="341"/>
      <c r="Q139" s="341"/>
      <c r="R139" s="341"/>
      <c r="S139" s="341"/>
      <c r="T139" s="341"/>
      <c r="U139" s="341"/>
      <c r="V139" s="341"/>
      <c r="W139" s="341"/>
      <c r="X139" s="341"/>
      <c r="Y139" s="341"/>
      <c r="Z139" s="341"/>
      <c r="AA139" s="341"/>
      <c r="AB139" s="341"/>
      <c r="AC139" s="341"/>
      <c r="AD139" s="341"/>
      <c r="AE139" s="341"/>
      <c r="AF139" s="341"/>
      <c r="AG139" s="341"/>
      <c r="AH139" s="341"/>
      <c r="AI139" s="341"/>
      <c r="AJ139" s="341"/>
      <c r="AK139" s="341"/>
      <c r="AL139" s="341"/>
      <c r="AM139" s="341"/>
      <c r="AN139" s="341"/>
      <c r="AO139" s="341"/>
      <c r="AP139" s="341"/>
      <c r="AQ139" s="341"/>
      <c r="AR139" s="341"/>
      <c r="AS139" s="341"/>
    </row>
    <row r="140" spans="1:45" ht="13.2" x14ac:dyDescent="0.25">
      <c r="A140" s="341"/>
      <c r="B140" s="341"/>
      <c r="C140" s="341"/>
      <c r="D140" s="341"/>
      <c r="E140" s="341"/>
      <c r="F140" s="341"/>
      <c r="G140" s="341"/>
      <c r="H140" s="341"/>
      <c r="I140" s="341"/>
      <c r="J140" s="341"/>
      <c r="K140" s="341"/>
      <c r="L140" s="341"/>
      <c r="M140" s="341"/>
      <c r="N140" s="341"/>
      <c r="O140" s="341"/>
      <c r="P140" s="341"/>
      <c r="Q140" s="341"/>
      <c r="R140" s="341"/>
      <c r="S140" s="341"/>
      <c r="T140" s="341"/>
      <c r="U140" s="341"/>
      <c r="V140" s="341"/>
      <c r="W140" s="341"/>
      <c r="X140" s="341"/>
      <c r="Y140" s="341"/>
      <c r="Z140" s="341"/>
      <c r="AA140" s="341"/>
      <c r="AB140" s="341"/>
      <c r="AC140" s="341"/>
      <c r="AD140" s="341"/>
      <c r="AE140" s="341"/>
      <c r="AF140" s="341"/>
      <c r="AG140" s="341"/>
      <c r="AH140" s="341"/>
      <c r="AI140" s="341"/>
      <c r="AJ140" s="341"/>
      <c r="AK140" s="341"/>
      <c r="AL140" s="341"/>
      <c r="AM140" s="341"/>
      <c r="AN140" s="341"/>
      <c r="AO140" s="341"/>
      <c r="AP140" s="341"/>
      <c r="AQ140" s="341"/>
      <c r="AR140" s="341"/>
      <c r="AS140" s="341"/>
    </row>
    <row r="141" spans="1:45" ht="13.2" x14ac:dyDescent="0.25">
      <c r="A141" s="341"/>
      <c r="B141" s="341"/>
      <c r="C141" s="341"/>
      <c r="D141" s="341"/>
      <c r="E141" s="341"/>
      <c r="F141" s="341"/>
      <c r="G141" s="341"/>
      <c r="H141" s="341"/>
      <c r="I141" s="341"/>
      <c r="J141" s="341"/>
      <c r="K141" s="341"/>
      <c r="L141" s="341"/>
      <c r="M141" s="341"/>
      <c r="N141" s="341"/>
      <c r="O141" s="341"/>
      <c r="P141" s="341"/>
      <c r="Q141" s="341"/>
      <c r="R141" s="341"/>
      <c r="S141" s="341"/>
      <c r="T141" s="341"/>
      <c r="U141" s="341"/>
      <c r="V141" s="341"/>
      <c r="W141" s="341"/>
      <c r="X141" s="341"/>
      <c r="Y141" s="341"/>
      <c r="Z141" s="341"/>
      <c r="AA141" s="341"/>
      <c r="AB141" s="341"/>
      <c r="AC141" s="341"/>
      <c r="AD141" s="341"/>
      <c r="AE141" s="341"/>
      <c r="AF141" s="341"/>
      <c r="AG141" s="341"/>
      <c r="AH141" s="341"/>
      <c r="AI141" s="341"/>
      <c r="AJ141" s="341"/>
      <c r="AK141" s="341"/>
      <c r="AL141" s="341"/>
      <c r="AM141" s="341"/>
      <c r="AN141" s="341"/>
      <c r="AO141" s="341"/>
      <c r="AP141" s="341"/>
      <c r="AQ141" s="341"/>
      <c r="AR141" s="341"/>
      <c r="AS141" s="341"/>
    </row>
    <row r="142" spans="1:45" ht="13.2" x14ac:dyDescent="0.25">
      <c r="A142" s="341"/>
      <c r="B142" s="341"/>
      <c r="C142" s="341"/>
      <c r="D142" s="341"/>
      <c r="E142" s="341"/>
      <c r="F142" s="341"/>
      <c r="G142" s="341"/>
      <c r="H142" s="341"/>
      <c r="I142" s="341"/>
      <c r="J142" s="341"/>
      <c r="K142" s="341"/>
      <c r="L142" s="341"/>
      <c r="M142" s="341"/>
      <c r="N142" s="341"/>
      <c r="O142" s="341"/>
      <c r="P142" s="341"/>
      <c r="Q142" s="341"/>
      <c r="R142" s="341"/>
      <c r="S142" s="341"/>
      <c r="T142" s="341"/>
      <c r="U142" s="341"/>
      <c r="V142" s="341"/>
      <c r="W142" s="341"/>
      <c r="X142" s="341"/>
      <c r="Y142" s="341"/>
      <c r="Z142" s="341"/>
      <c r="AA142" s="341"/>
      <c r="AB142" s="341"/>
      <c r="AC142" s="341"/>
      <c r="AD142" s="341"/>
      <c r="AE142" s="341"/>
      <c r="AF142" s="341"/>
      <c r="AG142" s="341"/>
      <c r="AH142" s="341"/>
      <c r="AI142" s="341"/>
      <c r="AJ142" s="341"/>
      <c r="AK142" s="341"/>
      <c r="AL142" s="341"/>
      <c r="AM142" s="341"/>
      <c r="AN142" s="341"/>
      <c r="AO142" s="341"/>
      <c r="AP142" s="341"/>
      <c r="AQ142" s="341"/>
      <c r="AR142" s="341"/>
      <c r="AS142" s="341"/>
    </row>
    <row r="143" spans="1:45" ht="13.2" x14ac:dyDescent="0.25">
      <c r="A143" s="341"/>
      <c r="B143" s="341"/>
      <c r="C143" s="341"/>
      <c r="D143" s="341"/>
      <c r="E143" s="341"/>
      <c r="F143" s="341"/>
      <c r="G143" s="341"/>
      <c r="H143" s="341"/>
      <c r="I143" s="341"/>
      <c r="J143" s="341"/>
      <c r="K143" s="341"/>
      <c r="L143" s="341"/>
      <c r="M143" s="341"/>
      <c r="N143" s="341"/>
      <c r="O143" s="341"/>
      <c r="P143" s="341"/>
      <c r="Q143" s="341"/>
      <c r="R143" s="341"/>
      <c r="S143" s="341"/>
      <c r="T143" s="341"/>
      <c r="U143" s="341"/>
      <c r="V143" s="341"/>
      <c r="W143" s="341"/>
      <c r="X143" s="341"/>
      <c r="Y143" s="341"/>
      <c r="Z143" s="341"/>
      <c r="AA143" s="341"/>
      <c r="AB143" s="341"/>
      <c r="AC143" s="341"/>
      <c r="AD143" s="341"/>
      <c r="AE143" s="341"/>
      <c r="AF143" s="341"/>
      <c r="AG143" s="341"/>
      <c r="AH143" s="341"/>
      <c r="AI143" s="341"/>
      <c r="AJ143" s="341"/>
      <c r="AK143" s="341"/>
      <c r="AL143" s="341"/>
      <c r="AM143" s="341"/>
      <c r="AN143" s="341"/>
      <c r="AO143" s="341"/>
      <c r="AP143" s="341"/>
      <c r="AQ143" s="341"/>
      <c r="AR143" s="341"/>
      <c r="AS143" s="341"/>
    </row>
    <row r="144" spans="1:45" ht="13.2" x14ac:dyDescent="0.25">
      <c r="A144" s="341"/>
      <c r="B144" s="341"/>
      <c r="C144" s="341"/>
      <c r="D144" s="341"/>
      <c r="E144" s="341"/>
      <c r="F144" s="341"/>
      <c r="G144" s="341"/>
      <c r="H144" s="341"/>
      <c r="I144" s="341"/>
      <c r="J144" s="341"/>
      <c r="K144" s="341"/>
      <c r="L144" s="341"/>
      <c r="M144" s="341"/>
      <c r="N144" s="341"/>
      <c r="O144" s="341"/>
      <c r="P144" s="341"/>
      <c r="Q144" s="341"/>
      <c r="R144" s="341"/>
      <c r="S144" s="341"/>
      <c r="T144" s="341"/>
      <c r="U144" s="341"/>
      <c r="V144" s="341"/>
      <c r="W144" s="341"/>
      <c r="X144" s="341"/>
      <c r="Y144" s="341"/>
      <c r="Z144" s="341"/>
      <c r="AA144" s="341"/>
      <c r="AB144" s="341"/>
      <c r="AC144" s="341"/>
      <c r="AD144" s="341"/>
      <c r="AE144" s="341"/>
      <c r="AF144" s="341"/>
      <c r="AG144" s="341"/>
      <c r="AH144" s="341"/>
      <c r="AI144" s="341"/>
      <c r="AJ144" s="341"/>
      <c r="AK144" s="341"/>
      <c r="AL144" s="341"/>
      <c r="AM144" s="341"/>
      <c r="AN144" s="341"/>
      <c r="AO144" s="341"/>
      <c r="AP144" s="341"/>
      <c r="AQ144" s="341"/>
      <c r="AR144" s="341"/>
      <c r="AS144" s="341"/>
    </row>
    <row r="145" spans="1:45" ht="13.2" x14ac:dyDescent="0.25">
      <c r="A145" s="341"/>
      <c r="B145" s="341"/>
      <c r="C145" s="341"/>
      <c r="D145" s="341"/>
      <c r="E145" s="341"/>
      <c r="F145" s="341"/>
      <c r="G145" s="341"/>
      <c r="H145" s="341"/>
      <c r="I145" s="341"/>
      <c r="J145" s="341"/>
      <c r="K145" s="341"/>
      <c r="L145" s="341"/>
      <c r="M145" s="341"/>
      <c r="N145" s="341"/>
      <c r="O145" s="341"/>
      <c r="P145" s="341"/>
      <c r="Q145" s="341"/>
      <c r="R145" s="341"/>
      <c r="S145" s="341"/>
      <c r="T145" s="341"/>
      <c r="U145" s="341"/>
      <c r="V145" s="341"/>
      <c r="W145" s="341"/>
      <c r="X145" s="341"/>
      <c r="Y145" s="341"/>
      <c r="Z145" s="341"/>
      <c r="AA145" s="341"/>
      <c r="AB145" s="341"/>
      <c r="AC145" s="341"/>
      <c r="AD145" s="341"/>
      <c r="AE145" s="341"/>
      <c r="AF145" s="341"/>
      <c r="AG145" s="341"/>
      <c r="AH145" s="341"/>
      <c r="AI145" s="341"/>
      <c r="AJ145" s="341"/>
      <c r="AK145" s="341"/>
      <c r="AL145" s="341"/>
      <c r="AM145" s="341"/>
      <c r="AN145" s="341"/>
      <c r="AO145" s="341"/>
      <c r="AP145" s="341"/>
      <c r="AQ145" s="341"/>
      <c r="AR145" s="341"/>
      <c r="AS145" s="341"/>
    </row>
    <row r="146" spans="1:45" ht="13.2" x14ac:dyDescent="0.25">
      <c r="A146" s="341"/>
      <c r="B146" s="341"/>
      <c r="C146" s="341"/>
      <c r="D146" s="341"/>
      <c r="E146" s="341"/>
      <c r="F146" s="341"/>
      <c r="G146" s="341"/>
      <c r="H146" s="341"/>
      <c r="I146" s="341"/>
      <c r="J146" s="341"/>
      <c r="K146" s="341"/>
      <c r="L146" s="341"/>
      <c r="M146" s="341"/>
      <c r="N146" s="341"/>
      <c r="O146" s="341"/>
      <c r="P146" s="341"/>
      <c r="Q146" s="341"/>
      <c r="R146" s="341"/>
      <c r="S146" s="341"/>
      <c r="T146" s="341"/>
      <c r="U146" s="341"/>
      <c r="V146" s="341"/>
      <c r="W146" s="341"/>
      <c r="X146" s="341"/>
      <c r="Y146" s="341"/>
      <c r="Z146" s="341"/>
      <c r="AA146" s="341"/>
      <c r="AB146" s="341"/>
      <c r="AC146" s="341"/>
      <c r="AD146" s="341"/>
      <c r="AE146" s="341"/>
      <c r="AF146" s="341"/>
      <c r="AG146" s="341"/>
      <c r="AH146" s="341"/>
      <c r="AI146" s="341"/>
      <c r="AJ146" s="341"/>
      <c r="AK146" s="341"/>
      <c r="AL146" s="341"/>
      <c r="AM146" s="341"/>
      <c r="AN146" s="341"/>
      <c r="AO146" s="341"/>
      <c r="AP146" s="341"/>
      <c r="AQ146" s="341"/>
      <c r="AR146" s="341"/>
      <c r="AS146" s="341"/>
    </row>
    <row r="147" spans="1:45" ht="13.2" x14ac:dyDescent="0.25">
      <c r="A147" s="341"/>
      <c r="B147" s="341"/>
      <c r="C147" s="341"/>
      <c r="D147" s="341"/>
      <c r="E147" s="341"/>
      <c r="F147" s="341"/>
      <c r="G147" s="341"/>
      <c r="H147" s="341"/>
      <c r="I147" s="341"/>
      <c r="J147" s="341"/>
      <c r="K147" s="341"/>
      <c r="L147" s="341"/>
      <c r="M147" s="341"/>
      <c r="N147" s="341"/>
      <c r="O147" s="341"/>
      <c r="P147" s="341"/>
      <c r="Q147" s="341"/>
      <c r="R147" s="341"/>
      <c r="S147" s="341"/>
      <c r="T147" s="341"/>
      <c r="U147" s="341"/>
      <c r="V147" s="341"/>
      <c r="W147" s="341"/>
      <c r="X147" s="341"/>
      <c r="Y147" s="341"/>
      <c r="Z147" s="341"/>
      <c r="AA147" s="341"/>
      <c r="AB147" s="341"/>
      <c r="AC147" s="341"/>
      <c r="AD147" s="341"/>
      <c r="AE147" s="341"/>
      <c r="AF147" s="341"/>
      <c r="AG147" s="341"/>
      <c r="AH147" s="341"/>
      <c r="AI147" s="341"/>
      <c r="AJ147" s="341"/>
      <c r="AK147" s="341"/>
      <c r="AL147" s="341"/>
      <c r="AM147" s="341"/>
      <c r="AN147" s="341"/>
      <c r="AO147" s="341"/>
      <c r="AP147" s="341"/>
      <c r="AQ147" s="341"/>
      <c r="AR147" s="341"/>
      <c r="AS147" s="341"/>
    </row>
    <row r="148" spans="1:45" ht="13.2" x14ac:dyDescent="0.25">
      <c r="A148" s="341"/>
      <c r="B148" s="341"/>
      <c r="C148" s="341"/>
      <c r="D148" s="341"/>
      <c r="E148" s="341"/>
      <c r="F148" s="341"/>
      <c r="G148" s="341"/>
      <c r="H148" s="341"/>
      <c r="I148" s="341"/>
      <c r="J148" s="341"/>
      <c r="K148" s="341"/>
      <c r="L148" s="341"/>
      <c r="M148" s="341"/>
      <c r="N148" s="341"/>
      <c r="O148" s="341"/>
      <c r="P148" s="341"/>
      <c r="Q148" s="341"/>
      <c r="R148" s="341"/>
      <c r="S148" s="341"/>
      <c r="T148" s="341"/>
      <c r="U148" s="341"/>
      <c r="V148" s="341"/>
      <c r="W148" s="341"/>
      <c r="X148" s="341"/>
      <c r="Y148" s="341"/>
      <c r="Z148" s="341"/>
      <c r="AA148" s="341"/>
      <c r="AB148" s="341"/>
      <c r="AC148" s="341"/>
      <c r="AD148" s="341"/>
      <c r="AE148" s="341"/>
      <c r="AF148" s="341"/>
      <c r="AG148" s="341"/>
      <c r="AH148" s="341"/>
      <c r="AI148" s="341"/>
      <c r="AJ148" s="341"/>
      <c r="AK148" s="341"/>
      <c r="AL148" s="341"/>
      <c r="AM148" s="341"/>
      <c r="AN148" s="341"/>
      <c r="AO148" s="341"/>
      <c r="AP148" s="341"/>
      <c r="AQ148" s="341"/>
      <c r="AR148" s="341"/>
      <c r="AS148" s="341"/>
    </row>
    <row r="149" spans="1:45" ht="13.2" x14ac:dyDescent="0.25">
      <c r="A149" s="341"/>
      <c r="B149" s="341"/>
      <c r="C149" s="341"/>
      <c r="D149" s="341"/>
      <c r="E149" s="341"/>
      <c r="F149" s="341"/>
      <c r="G149" s="341"/>
      <c r="H149" s="341"/>
      <c r="I149" s="341"/>
      <c r="J149" s="341"/>
      <c r="K149" s="341"/>
      <c r="L149" s="341"/>
      <c r="M149" s="341"/>
      <c r="N149" s="341"/>
      <c r="O149" s="341"/>
      <c r="P149" s="341"/>
      <c r="Q149" s="341"/>
      <c r="R149" s="341"/>
      <c r="S149" s="341"/>
      <c r="T149" s="341"/>
      <c r="U149" s="341"/>
      <c r="V149" s="341"/>
      <c r="W149" s="341"/>
      <c r="X149" s="341"/>
      <c r="Y149" s="341"/>
      <c r="Z149" s="341"/>
      <c r="AA149" s="341"/>
      <c r="AB149" s="341"/>
      <c r="AC149" s="341"/>
      <c r="AD149" s="341"/>
      <c r="AE149" s="341"/>
      <c r="AF149" s="341"/>
      <c r="AG149" s="341"/>
      <c r="AH149" s="341"/>
      <c r="AI149" s="341"/>
      <c r="AJ149" s="341"/>
      <c r="AK149" s="341"/>
      <c r="AL149" s="341"/>
      <c r="AM149" s="341"/>
      <c r="AN149" s="341"/>
      <c r="AO149" s="341"/>
      <c r="AP149" s="341"/>
      <c r="AQ149" s="341"/>
      <c r="AR149" s="341"/>
      <c r="AS149" s="341"/>
    </row>
    <row r="150" spans="1:45" ht="13.2" x14ac:dyDescent="0.25">
      <c r="A150" s="341"/>
      <c r="B150" s="341"/>
      <c r="C150" s="341"/>
      <c r="D150" s="341"/>
      <c r="E150" s="341"/>
      <c r="F150" s="341"/>
      <c r="G150" s="341"/>
      <c r="H150" s="341"/>
      <c r="I150" s="341"/>
      <c r="J150" s="341"/>
      <c r="K150" s="341"/>
      <c r="L150" s="341"/>
      <c r="M150" s="341"/>
      <c r="N150" s="341"/>
      <c r="O150" s="341"/>
      <c r="P150" s="341"/>
      <c r="Q150" s="341"/>
      <c r="R150" s="341"/>
      <c r="S150" s="341"/>
      <c r="T150" s="341"/>
      <c r="U150" s="341"/>
      <c r="V150" s="341"/>
      <c r="W150" s="341"/>
      <c r="X150" s="341"/>
      <c r="Y150" s="341"/>
      <c r="Z150" s="341"/>
      <c r="AA150" s="341"/>
      <c r="AB150" s="341"/>
      <c r="AC150" s="341"/>
      <c r="AD150" s="341"/>
      <c r="AE150" s="341"/>
      <c r="AF150" s="341"/>
      <c r="AG150" s="341"/>
      <c r="AH150" s="341"/>
      <c r="AI150" s="341"/>
      <c r="AJ150" s="341"/>
      <c r="AK150" s="341"/>
      <c r="AL150" s="341"/>
      <c r="AM150" s="341"/>
      <c r="AN150" s="341"/>
      <c r="AO150" s="341"/>
      <c r="AP150" s="341"/>
      <c r="AQ150" s="341"/>
      <c r="AR150" s="341"/>
      <c r="AS150" s="341"/>
    </row>
    <row r="151" spans="1:45" ht="13.2" x14ac:dyDescent="0.25">
      <c r="A151" s="341"/>
      <c r="B151" s="341"/>
      <c r="C151" s="341"/>
      <c r="D151" s="341"/>
      <c r="E151" s="341"/>
      <c r="F151" s="341"/>
      <c r="G151" s="341"/>
      <c r="H151" s="341"/>
      <c r="I151" s="341"/>
      <c r="J151" s="341"/>
      <c r="K151" s="341"/>
      <c r="L151" s="341"/>
      <c r="M151" s="341"/>
      <c r="N151" s="341"/>
      <c r="O151" s="341"/>
      <c r="P151" s="341"/>
      <c r="Q151" s="341"/>
      <c r="R151" s="341"/>
      <c r="S151" s="341"/>
      <c r="T151" s="341"/>
      <c r="U151" s="341"/>
      <c r="V151" s="341"/>
      <c r="W151" s="341"/>
      <c r="X151" s="341"/>
      <c r="Y151" s="341"/>
      <c r="Z151" s="341"/>
      <c r="AA151" s="341"/>
      <c r="AB151" s="341"/>
      <c r="AC151" s="341"/>
      <c r="AD151" s="341"/>
      <c r="AE151" s="341"/>
      <c r="AF151" s="341"/>
      <c r="AG151" s="341"/>
      <c r="AH151" s="341"/>
      <c r="AI151" s="341"/>
      <c r="AJ151" s="341"/>
      <c r="AK151" s="341"/>
      <c r="AL151" s="341"/>
      <c r="AM151" s="341"/>
      <c r="AN151" s="341"/>
      <c r="AO151" s="341"/>
      <c r="AP151" s="341"/>
      <c r="AQ151" s="341"/>
      <c r="AR151" s="341"/>
      <c r="AS151" s="341"/>
    </row>
    <row r="152" spans="1:45" ht="13.2" x14ac:dyDescent="0.25">
      <c r="A152" s="341"/>
      <c r="B152" s="341"/>
      <c r="C152" s="341"/>
      <c r="D152" s="341"/>
      <c r="E152" s="341"/>
      <c r="F152" s="341"/>
      <c r="G152" s="341"/>
      <c r="H152" s="341"/>
      <c r="I152" s="341"/>
      <c r="J152" s="341"/>
      <c r="K152" s="341"/>
      <c r="L152" s="341"/>
      <c r="M152" s="341"/>
      <c r="N152" s="341"/>
      <c r="O152" s="341"/>
      <c r="P152" s="341"/>
      <c r="Q152" s="341"/>
      <c r="R152" s="341"/>
      <c r="S152" s="341"/>
      <c r="T152" s="341"/>
      <c r="U152" s="341"/>
      <c r="V152" s="341"/>
      <c r="W152" s="341"/>
      <c r="X152" s="341"/>
      <c r="Y152" s="341"/>
      <c r="Z152" s="341"/>
      <c r="AA152" s="341"/>
      <c r="AB152" s="341"/>
      <c r="AC152" s="341"/>
      <c r="AD152" s="341"/>
      <c r="AE152" s="341"/>
      <c r="AF152" s="341"/>
      <c r="AG152" s="341"/>
      <c r="AH152" s="341"/>
      <c r="AI152" s="341"/>
      <c r="AJ152" s="341"/>
      <c r="AK152" s="341"/>
      <c r="AL152" s="341"/>
      <c r="AM152" s="341"/>
      <c r="AN152" s="341"/>
      <c r="AO152" s="341"/>
      <c r="AP152" s="341"/>
      <c r="AQ152" s="341"/>
      <c r="AR152" s="341"/>
      <c r="AS152" s="341"/>
    </row>
    <row r="153" spans="1:45" ht="13.2" x14ac:dyDescent="0.25">
      <c r="A153" s="341"/>
      <c r="B153" s="341"/>
      <c r="C153" s="341"/>
      <c r="D153" s="341"/>
      <c r="E153" s="341"/>
      <c r="F153" s="341"/>
      <c r="G153" s="341"/>
      <c r="H153" s="341"/>
      <c r="I153" s="341"/>
      <c r="J153" s="341"/>
      <c r="K153" s="341"/>
      <c r="L153" s="341"/>
      <c r="M153" s="341"/>
      <c r="N153" s="341"/>
      <c r="O153" s="341"/>
      <c r="P153" s="341"/>
      <c r="Q153" s="341"/>
      <c r="R153" s="341"/>
      <c r="S153" s="341"/>
      <c r="T153" s="341"/>
      <c r="U153" s="341"/>
      <c r="V153" s="341"/>
      <c r="W153" s="341"/>
      <c r="X153" s="341"/>
      <c r="Y153" s="341"/>
      <c r="Z153" s="341"/>
      <c r="AA153" s="341"/>
      <c r="AB153" s="341"/>
      <c r="AC153" s="341"/>
      <c r="AD153" s="341"/>
      <c r="AE153" s="341"/>
      <c r="AF153" s="341"/>
      <c r="AG153" s="341"/>
      <c r="AH153" s="341"/>
      <c r="AI153" s="341"/>
      <c r="AJ153" s="341"/>
      <c r="AK153" s="341"/>
      <c r="AL153" s="341"/>
      <c r="AM153" s="341"/>
      <c r="AN153" s="341"/>
      <c r="AO153" s="341"/>
      <c r="AP153" s="341"/>
      <c r="AQ153" s="341"/>
      <c r="AR153" s="341"/>
      <c r="AS153" s="341"/>
    </row>
    <row r="154" spans="1:45" ht="13.2" x14ac:dyDescent="0.25">
      <c r="A154" s="341"/>
      <c r="B154" s="341"/>
      <c r="C154" s="341"/>
      <c r="D154" s="341"/>
      <c r="E154" s="341"/>
      <c r="F154" s="341"/>
      <c r="G154" s="341"/>
      <c r="H154" s="341"/>
      <c r="I154" s="341"/>
      <c r="J154" s="341"/>
      <c r="K154" s="341"/>
      <c r="L154" s="341"/>
      <c r="M154" s="341"/>
      <c r="N154" s="341"/>
      <c r="O154" s="341"/>
      <c r="P154" s="341"/>
      <c r="Q154" s="341"/>
      <c r="R154" s="341"/>
      <c r="S154" s="341"/>
      <c r="T154" s="341"/>
      <c r="U154" s="341"/>
      <c r="V154" s="341"/>
      <c r="W154" s="341"/>
      <c r="X154" s="341"/>
      <c r="Y154" s="341"/>
      <c r="Z154" s="341"/>
      <c r="AA154" s="341"/>
      <c r="AB154" s="341"/>
      <c r="AC154" s="341"/>
      <c r="AD154" s="341"/>
      <c r="AE154" s="341"/>
      <c r="AF154" s="341"/>
      <c r="AG154" s="341"/>
      <c r="AH154" s="341"/>
      <c r="AI154" s="341"/>
      <c r="AJ154" s="341"/>
      <c r="AK154" s="341"/>
      <c r="AL154" s="341"/>
      <c r="AM154" s="341"/>
      <c r="AN154" s="341"/>
      <c r="AO154" s="341"/>
      <c r="AP154" s="341"/>
      <c r="AQ154" s="341"/>
      <c r="AR154" s="341"/>
      <c r="AS154" s="341"/>
    </row>
    <row r="155" spans="1:45" ht="13.2" x14ac:dyDescent="0.25">
      <c r="A155" s="341"/>
      <c r="B155" s="341"/>
      <c r="C155" s="341"/>
      <c r="D155" s="341"/>
      <c r="E155" s="341"/>
      <c r="F155" s="341"/>
      <c r="G155" s="341"/>
      <c r="H155" s="341"/>
      <c r="I155" s="341"/>
      <c r="J155" s="341"/>
      <c r="K155" s="341"/>
      <c r="L155" s="341"/>
      <c r="M155" s="341"/>
      <c r="N155" s="341"/>
      <c r="O155" s="341"/>
      <c r="P155" s="341"/>
      <c r="Q155" s="341"/>
      <c r="R155" s="341"/>
      <c r="S155" s="341"/>
      <c r="T155" s="341"/>
      <c r="U155" s="341"/>
      <c r="V155" s="341"/>
      <c r="W155" s="341"/>
      <c r="X155" s="341"/>
      <c r="Y155" s="341"/>
      <c r="Z155" s="341"/>
      <c r="AA155" s="341"/>
      <c r="AB155" s="341"/>
      <c r="AC155" s="341"/>
      <c r="AD155" s="341"/>
      <c r="AE155" s="341"/>
      <c r="AF155" s="341"/>
      <c r="AG155" s="341"/>
      <c r="AH155" s="341"/>
      <c r="AI155" s="341"/>
      <c r="AJ155" s="341"/>
      <c r="AK155" s="341"/>
      <c r="AL155" s="341"/>
      <c r="AM155" s="341"/>
      <c r="AN155" s="341"/>
      <c r="AO155" s="341"/>
      <c r="AP155" s="341"/>
      <c r="AQ155" s="341"/>
      <c r="AR155" s="341"/>
      <c r="AS155" s="341"/>
    </row>
    <row r="156" spans="1:45" ht="13.2" x14ac:dyDescent="0.25">
      <c r="A156" s="341"/>
      <c r="B156" s="341"/>
      <c r="C156" s="341"/>
      <c r="D156" s="341"/>
      <c r="E156" s="341"/>
      <c r="F156" s="341"/>
      <c r="G156" s="341"/>
      <c r="H156" s="341"/>
      <c r="I156" s="341"/>
      <c r="J156" s="341"/>
      <c r="K156" s="341"/>
      <c r="L156" s="341"/>
      <c r="M156" s="341"/>
      <c r="N156" s="341"/>
      <c r="O156" s="341"/>
      <c r="P156" s="341"/>
      <c r="Q156" s="341"/>
      <c r="R156" s="341"/>
      <c r="S156" s="341"/>
      <c r="T156" s="341"/>
      <c r="U156" s="341"/>
      <c r="V156" s="341"/>
      <c r="W156" s="341"/>
      <c r="X156" s="341"/>
      <c r="Y156" s="341"/>
      <c r="Z156" s="341"/>
      <c r="AA156" s="341"/>
      <c r="AB156" s="341"/>
      <c r="AC156" s="341"/>
      <c r="AD156" s="341"/>
      <c r="AE156" s="341"/>
      <c r="AF156" s="341"/>
      <c r="AG156" s="341"/>
      <c r="AH156" s="341"/>
      <c r="AI156" s="341"/>
      <c r="AJ156" s="341"/>
      <c r="AK156" s="341"/>
      <c r="AL156" s="341"/>
      <c r="AM156" s="341"/>
      <c r="AN156" s="341"/>
      <c r="AO156" s="341"/>
      <c r="AP156" s="341"/>
      <c r="AQ156" s="341"/>
      <c r="AR156" s="341"/>
      <c r="AS156" s="341"/>
    </row>
    <row r="157" spans="1:45" ht="13.2" x14ac:dyDescent="0.25">
      <c r="A157" s="341"/>
      <c r="B157" s="341"/>
      <c r="C157" s="341"/>
      <c r="D157" s="341"/>
      <c r="E157" s="341"/>
      <c r="F157" s="341"/>
      <c r="G157" s="341"/>
      <c r="H157" s="341"/>
      <c r="I157" s="341"/>
      <c r="J157" s="341"/>
      <c r="K157" s="341"/>
      <c r="L157" s="341"/>
      <c r="M157" s="341"/>
      <c r="N157" s="341"/>
      <c r="O157" s="341"/>
      <c r="P157" s="341"/>
      <c r="Q157" s="341"/>
      <c r="R157" s="341"/>
      <c r="S157" s="341"/>
      <c r="T157" s="341"/>
      <c r="U157" s="341"/>
      <c r="V157" s="341"/>
      <c r="W157" s="341"/>
      <c r="X157" s="341"/>
      <c r="Y157" s="341"/>
      <c r="Z157" s="341"/>
      <c r="AA157" s="341"/>
      <c r="AB157" s="341"/>
      <c r="AC157" s="341"/>
      <c r="AD157" s="341"/>
      <c r="AE157" s="341"/>
      <c r="AF157" s="341"/>
      <c r="AG157" s="341"/>
      <c r="AH157" s="341"/>
      <c r="AI157" s="341"/>
      <c r="AJ157" s="341"/>
      <c r="AK157" s="341"/>
      <c r="AL157" s="341"/>
      <c r="AM157" s="341"/>
      <c r="AN157" s="341"/>
      <c r="AO157" s="341"/>
      <c r="AP157" s="341"/>
      <c r="AQ157" s="341"/>
      <c r="AR157" s="341"/>
      <c r="AS157" s="341"/>
    </row>
    <row r="158" spans="1:45" ht="13.2" x14ac:dyDescent="0.25">
      <c r="A158" s="341"/>
      <c r="B158" s="341"/>
      <c r="C158" s="341"/>
      <c r="D158" s="341"/>
      <c r="E158" s="341"/>
      <c r="F158" s="341"/>
      <c r="G158" s="341"/>
      <c r="H158" s="341"/>
      <c r="I158" s="341"/>
      <c r="J158" s="341"/>
      <c r="K158" s="341"/>
      <c r="L158" s="341"/>
      <c r="M158" s="341"/>
      <c r="N158" s="341"/>
      <c r="O158" s="341"/>
      <c r="P158" s="341"/>
      <c r="Q158" s="341"/>
      <c r="R158" s="341"/>
      <c r="S158" s="341"/>
      <c r="T158" s="341"/>
      <c r="U158" s="341"/>
      <c r="V158" s="341"/>
      <c r="W158" s="341"/>
      <c r="X158" s="341"/>
      <c r="Y158" s="341"/>
      <c r="Z158" s="341"/>
      <c r="AA158" s="341"/>
      <c r="AB158" s="341"/>
      <c r="AC158" s="341"/>
      <c r="AD158" s="341"/>
      <c r="AE158" s="341"/>
      <c r="AF158" s="341"/>
      <c r="AG158" s="341"/>
      <c r="AH158" s="341"/>
      <c r="AI158" s="341"/>
      <c r="AJ158" s="341"/>
      <c r="AK158" s="341"/>
      <c r="AL158" s="341"/>
      <c r="AM158" s="341"/>
      <c r="AN158" s="341"/>
      <c r="AO158" s="341"/>
      <c r="AP158" s="341"/>
      <c r="AQ158" s="341"/>
      <c r="AR158" s="341"/>
      <c r="AS158" s="341"/>
    </row>
    <row r="159" spans="1:45" ht="13.2" x14ac:dyDescent="0.25">
      <c r="A159" s="341"/>
      <c r="B159" s="341"/>
      <c r="C159" s="341"/>
      <c r="D159" s="341"/>
      <c r="E159" s="341"/>
      <c r="F159" s="341"/>
      <c r="G159" s="341"/>
      <c r="H159" s="341"/>
      <c r="I159" s="341"/>
      <c r="J159" s="341"/>
      <c r="K159" s="341"/>
      <c r="L159" s="341"/>
      <c r="M159" s="341"/>
      <c r="N159" s="341"/>
      <c r="O159" s="341"/>
      <c r="P159" s="341"/>
      <c r="Q159" s="341"/>
      <c r="R159" s="341"/>
      <c r="S159" s="341"/>
      <c r="T159" s="341"/>
      <c r="U159" s="341"/>
      <c r="V159" s="341"/>
      <c r="W159" s="341"/>
      <c r="X159" s="341"/>
      <c r="Y159" s="341"/>
      <c r="Z159" s="341"/>
      <c r="AA159" s="341"/>
      <c r="AB159" s="341"/>
      <c r="AC159" s="341"/>
      <c r="AD159" s="341"/>
      <c r="AE159" s="341"/>
      <c r="AF159" s="341"/>
      <c r="AG159" s="341"/>
      <c r="AH159" s="341"/>
      <c r="AI159" s="341"/>
      <c r="AJ159" s="341"/>
      <c r="AK159" s="341"/>
      <c r="AL159" s="341"/>
      <c r="AM159" s="341"/>
      <c r="AN159" s="341"/>
      <c r="AO159" s="341"/>
      <c r="AP159" s="341"/>
      <c r="AQ159" s="341"/>
      <c r="AR159" s="341"/>
      <c r="AS159" s="341"/>
    </row>
    <row r="160" spans="1:45" ht="13.2" x14ac:dyDescent="0.25">
      <c r="A160" s="341"/>
      <c r="B160" s="341"/>
      <c r="C160" s="341"/>
      <c r="D160" s="341"/>
      <c r="E160" s="341"/>
      <c r="F160" s="341"/>
      <c r="G160" s="341"/>
      <c r="H160" s="341"/>
      <c r="I160" s="341"/>
      <c r="J160" s="341"/>
      <c r="K160" s="341"/>
      <c r="L160" s="341"/>
      <c r="M160" s="341"/>
      <c r="N160" s="341"/>
      <c r="O160" s="341"/>
      <c r="P160" s="341"/>
      <c r="Q160" s="341"/>
      <c r="R160" s="341"/>
      <c r="S160" s="341"/>
      <c r="T160" s="341"/>
      <c r="U160" s="341"/>
      <c r="V160" s="341"/>
      <c r="W160" s="341"/>
      <c r="X160" s="341"/>
      <c r="Y160" s="341"/>
      <c r="Z160" s="341"/>
      <c r="AA160" s="341"/>
      <c r="AB160" s="341"/>
      <c r="AC160" s="341"/>
      <c r="AD160" s="341"/>
      <c r="AE160" s="341"/>
      <c r="AF160" s="341"/>
      <c r="AG160" s="341"/>
      <c r="AH160" s="341"/>
      <c r="AI160" s="341"/>
      <c r="AJ160" s="341"/>
      <c r="AK160" s="341"/>
      <c r="AL160" s="341"/>
      <c r="AM160" s="341"/>
      <c r="AN160" s="341"/>
      <c r="AO160" s="341"/>
      <c r="AP160" s="341"/>
      <c r="AQ160" s="341"/>
      <c r="AR160" s="341"/>
      <c r="AS160" s="341"/>
    </row>
    <row r="161" spans="1:45" ht="13.2" x14ac:dyDescent="0.25">
      <c r="A161" s="341"/>
      <c r="B161" s="341"/>
      <c r="C161" s="341"/>
      <c r="D161" s="341"/>
      <c r="E161" s="341"/>
      <c r="F161" s="341"/>
      <c r="G161" s="341"/>
      <c r="H161" s="341"/>
      <c r="I161" s="341"/>
      <c r="J161" s="341"/>
      <c r="K161" s="341"/>
      <c r="L161" s="341"/>
      <c r="M161" s="341"/>
      <c r="N161" s="341"/>
      <c r="O161" s="341"/>
      <c r="P161" s="341"/>
      <c r="Q161" s="341"/>
      <c r="R161" s="341"/>
      <c r="S161" s="341"/>
      <c r="T161" s="341"/>
      <c r="U161" s="341"/>
      <c r="V161" s="341"/>
      <c r="W161" s="341"/>
      <c r="X161" s="341"/>
      <c r="Y161" s="341"/>
      <c r="Z161" s="341"/>
      <c r="AA161" s="341"/>
      <c r="AB161" s="341"/>
      <c r="AC161" s="341"/>
      <c r="AD161" s="341"/>
      <c r="AE161" s="341"/>
      <c r="AF161" s="341"/>
      <c r="AG161" s="341"/>
      <c r="AH161" s="341"/>
      <c r="AI161" s="341"/>
      <c r="AJ161" s="341"/>
      <c r="AK161" s="341"/>
      <c r="AL161" s="341"/>
      <c r="AM161" s="341"/>
      <c r="AN161" s="341"/>
      <c r="AO161" s="341"/>
      <c r="AP161" s="341"/>
      <c r="AQ161" s="341"/>
      <c r="AR161" s="341"/>
      <c r="AS161" s="341"/>
    </row>
    <row r="162" spans="1:45" ht="13.2" x14ac:dyDescent="0.25">
      <c r="A162" s="341"/>
      <c r="B162" s="341"/>
      <c r="C162" s="341"/>
      <c r="D162" s="341"/>
      <c r="E162" s="341"/>
      <c r="F162" s="341"/>
      <c r="G162" s="341"/>
      <c r="H162" s="341"/>
      <c r="I162" s="341"/>
      <c r="J162" s="341"/>
      <c r="K162" s="341"/>
      <c r="L162" s="341"/>
      <c r="M162" s="341"/>
      <c r="N162" s="341"/>
      <c r="O162" s="341"/>
      <c r="P162" s="341"/>
      <c r="Q162" s="341"/>
      <c r="R162" s="341"/>
      <c r="S162" s="341"/>
      <c r="T162" s="341"/>
      <c r="U162" s="341"/>
      <c r="V162" s="341"/>
      <c r="W162" s="341"/>
      <c r="X162" s="341"/>
      <c r="Y162" s="341"/>
      <c r="Z162" s="341"/>
      <c r="AA162" s="341"/>
      <c r="AB162" s="341"/>
      <c r="AC162" s="341"/>
      <c r="AD162" s="341"/>
      <c r="AE162" s="341"/>
      <c r="AF162" s="341"/>
      <c r="AG162" s="341"/>
      <c r="AH162" s="341"/>
      <c r="AI162" s="341"/>
      <c r="AJ162" s="341"/>
      <c r="AK162" s="341"/>
      <c r="AL162" s="341"/>
      <c r="AM162" s="341"/>
      <c r="AN162" s="341"/>
      <c r="AO162" s="341"/>
      <c r="AP162" s="341"/>
      <c r="AQ162" s="341"/>
      <c r="AR162" s="341"/>
      <c r="AS162" s="341"/>
    </row>
    <row r="163" spans="1:45" ht="13.2" x14ac:dyDescent="0.25">
      <c r="A163" s="341"/>
      <c r="B163" s="341"/>
      <c r="C163" s="341"/>
      <c r="D163" s="341"/>
      <c r="E163" s="341"/>
      <c r="F163" s="341"/>
      <c r="G163" s="341"/>
      <c r="H163" s="341"/>
      <c r="I163" s="341"/>
      <c r="J163" s="341"/>
      <c r="K163" s="341"/>
      <c r="L163" s="341"/>
      <c r="M163" s="341"/>
      <c r="N163" s="341"/>
      <c r="O163" s="341"/>
      <c r="P163" s="341"/>
      <c r="Q163" s="341"/>
      <c r="R163" s="341"/>
      <c r="S163" s="341"/>
      <c r="T163" s="341"/>
      <c r="U163" s="341"/>
      <c r="V163" s="341"/>
      <c r="W163" s="341"/>
      <c r="X163" s="341"/>
      <c r="Y163" s="341"/>
      <c r="Z163" s="341"/>
      <c r="AA163" s="341"/>
      <c r="AB163" s="341"/>
      <c r="AC163" s="341"/>
      <c r="AD163" s="341"/>
      <c r="AE163" s="341"/>
      <c r="AF163" s="341"/>
      <c r="AG163" s="341"/>
      <c r="AH163" s="341"/>
      <c r="AI163" s="341"/>
      <c r="AJ163" s="341"/>
      <c r="AK163" s="341"/>
      <c r="AL163" s="341"/>
      <c r="AM163" s="341"/>
      <c r="AN163" s="341"/>
      <c r="AO163" s="341"/>
      <c r="AP163" s="341"/>
      <c r="AQ163" s="341"/>
      <c r="AR163" s="341"/>
      <c r="AS163" s="341"/>
    </row>
    <row r="164" spans="1:45" ht="13.2" x14ac:dyDescent="0.25">
      <c r="A164" s="341"/>
      <c r="B164" s="341"/>
      <c r="C164" s="341"/>
      <c r="D164" s="341"/>
      <c r="E164" s="341"/>
      <c r="F164" s="341"/>
      <c r="G164" s="341"/>
      <c r="H164" s="341"/>
      <c r="I164" s="341"/>
      <c r="J164" s="341"/>
      <c r="K164" s="341"/>
      <c r="L164" s="341"/>
      <c r="M164" s="341"/>
      <c r="N164" s="341"/>
      <c r="O164" s="341"/>
      <c r="P164" s="341"/>
      <c r="Q164" s="341"/>
      <c r="R164" s="341"/>
      <c r="S164" s="341"/>
      <c r="T164" s="341"/>
      <c r="U164" s="341"/>
      <c r="V164" s="341"/>
      <c r="W164" s="341"/>
      <c r="X164" s="341"/>
      <c r="Y164" s="341"/>
      <c r="Z164" s="341"/>
      <c r="AA164" s="341"/>
      <c r="AB164" s="341"/>
      <c r="AC164" s="341"/>
      <c r="AD164" s="341"/>
      <c r="AE164" s="341"/>
      <c r="AF164" s="341"/>
      <c r="AG164" s="341"/>
      <c r="AH164" s="341"/>
      <c r="AI164" s="341"/>
      <c r="AJ164" s="341"/>
      <c r="AK164" s="341"/>
      <c r="AL164" s="341"/>
      <c r="AM164" s="341"/>
      <c r="AN164" s="341"/>
      <c r="AO164" s="341"/>
      <c r="AP164" s="341"/>
      <c r="AQ164" s="341"/>
      <c r="AR164" s="341"/>
      <c r="AS164" s="341"/>
    </row>
    <row r="165" spans="1:45" ht="13.2" x14ac:dyDescent="0.25">
      <c r="A165" s="341"/>
      <c r="B165" s="341"/>
      <c r="C165" s="341"/>
      <c r="D165" s="341"/>
      <c r="E165" s="341"/>
      <c r="F165" s="341"/>
      <c r="G165" s="341"/>
      <c r="H165" s="341"/>
      <c r="I165" s="341"/>
      <c r="J165" s="341"/>
      <c r="K165" s="341"/>
      <c r="L165" s="341"/>
      <c r="M165" s="341"/>
      <c r="N165" s="341"/>
      <c r="O165" s="341"/>
      <c r="P165" s="341"/>
      <c r="Q165" s="341"/>
      <c r="R165" s="341"/>
      <c r="S165" s="341"/>
      <c r="T165" s="341"/>
      <c r="U165" s="341"/>
      <c r="V165" s="341"/>
      <c r="W165" s="341"/>
      <c r="X165" s="341"/>
      <c r="Y165" s="341"/>
      <c r="Z165" s="341"/>
      <c r="AA165" s="341"/>
      <c r="AB165" s="341"/>
      <c r="AC165" s="341"/>
      <c r="AD165" s="341"/>
      <c r="AE165" s="341"/>
      <c r="AF165" s="341"/>
      <c r="AG165" s="341"/>
      <c r="AH165" s="341"/>
      <c r="AI165" s="341"/>
      <c r="AJ165" s="341"/>
      <c r="AK165" s="341"/>
      <c r="AL165" s="341"/>
      <c r="AM165" s="341"/>
      <c r="AN165" s="341"/>
      <c r="AO165" s="341"/>
      <c r="AP165" s="341"/>
      <c r="AQ165" s="341"/>
      <c r="AR165" s="341"/>
      <c r="AS165" s="341"/>
    </row>
    <row r="166" spans="1:45" ht="13.2" x14ac:dyDescent="0.25">
      <c r="A166" s="341"/>
      <c r="B166" s="341"/>
      <c r="C166" s="341"/>
      <c r="D166" s="341"/>
      <c r="E166" s="341"/>
      <c r="F166" s="341"/>
      <c r="G166" s="341"/>
      <c r="H166" s="341"/>
      <c r="I166" s="341"/>
      <c r="J166" s="341"/>
      <c r="K166" s="341"/>
      <c r="L166" s="341"/>
      <c r="M166" s="341"/>
      <c r="N166" s="341"/>
      <c r="O166" s="341"/>
      <c r="P166" s="341"/>
      <c r="Q166" s="341"/>
      <c r="R166" s="341"/>
      <c r="S166" s="341"/>
      <c r="T166" s="341"/>
      <c r="U166" s="341"/>
      <c r="V166" s="341"/>
      <c r="W166" s="341"/>
      <c r="X166" s="341"/>
      <c r="Y166" s="341"/>
      <c r="Z166" s="341"/>
      <c r="AA166" s="341"/>
      <c r="AB166" s="341"/>
      <c r="AC166" s="341"/>
      <c r="AD166" s="341"/>
      <c r="AE166" s="341"/>
      <c r="AF166" s="341"/>
      <c r="AG166" s="341"/>
      <c r="AH166" s="341"/>
      <c r="AI166" s="341"/>
      <c r="AJ166" s="341"/>
      <c r="AK166" s="341"/>
      <c r="AL166" s="341"/>
      <c r="AM166" s="341"/>
      <c r="AN166" s="341"/>
      <c r="AO166" s="341"/>
      <c r="AP166" s="341"/>
      <c r="AQ166" s="341"/>
      <c r="AR166" s="341"/>
      <c r="AS166" s="341"/>
    </row>
    <row r="167" spans="1:45" ht="13.2" x14ac:dyDescent="0.25">
      <c r="A167" s="341"/>
      <c r="B167" s="341"/>
      <c r="C167" s="341"/>
      <c r="D167" s="341"/>
      <c r="E167" s="341"/>
      <c r="F167" s="341"/>
      <c r="G167" s="341"/>
      <c r="H167" s="341"/>
      <c r="I167" s="341"/>
      <c r="J167" s="341"/>
      <c r="K167" s="341"/>
      <c r="L167" s="341"/>
      <c r="M167" s="341"/>
      <c r="N167" s="341"/>
      <c r="O167" s="341"/>
      <c r="P167" s="341"/>
      <c r="Q167" s="341"/>
      <c r="R167" s="341"/>
      <c r="S167" s="341"/>
      <c r="T167" s="341"/>
      <c r="U167" s="341"/>
      <c r="V167" s="341"/>
      <c r="W167" s="341"/>
      <c r="X167" s="341"/>
      <c r="Y167" s="341"/>
      <c r="Z167" s="341"/>
      <c r="AA167" s="341"/>
      <c r="AB167" s="341"/>
      <c r="AC167" s="341"/>
      <c r="AD167" s="341"/>
      <c r="AE167" s="341"/>
      <c r="AF167" s="341"/>
      <c r="AG167" s="341"/>
      <c r="AH167" s="341"/>
      <c r="AI167" s="341"/>
      <c r="AJ167" s="341"/>
      <c r="AK167" s="341"/>
      <c r="AL167" s="341"/>
      <c r="AM167" s="341"/>
      <c r="AN167" s="341"/>
      <c r="AO167" s="341"/>
      <c r="AP167" s="341"/>
      <c r="AQ167" s="341"/>
      <c r="AR167" s="341"/>
      <c r="AS167" s="341"/>
    </row>
    <row r="168" spans="1:45" ht="13.2" x14ac:dyDescent="0.25">
      <c r="A168" s="341"/>
      <c r="B168" s="341"/>
      <c r="C168" s="341"/>
      <c r="D168" s="341"/>
      <c r="E168" s="341"/>
      <c r="F168" s="341"/>
      <c r="G168" s="341"/>
      <c r="H168" s="341"/>
      <c r="I168" s="341"/>
      <c r="J168" s="341"/>
      <c r="K168" s="341"/>
      <c r="L168" s="341"/>
      <c r="M168" s="341"/>
      <c r="N168" s="341"/>
      <c r="O168" s="341"/>
      <c r="P168" s="341"/>
      <c r="Q168" s="341"/>
      <c r="R168" s="341"/>
      <c r="S168" s="341"/>
      <c r="T168" s="341"/>
      <c r="U168" s="341"/>
      <c r="V168" s="341"/>
      <c r="W168" s="341"/>
      <c r="X168" s="341"/>
      <c r="Y168" s="341"/>
      <c r="Z168" s="341"/>
      <c r="AA168" s="341"/>
      <c r="AB168" s="341"/>
      <c r="AC168" s="341"/>
      <c r="AD168" s="341"/>
      <c r="AE168" s="341"/>
      <c r="AF168" s="341"/>
      <c r="AG168" s="341"/>
      <c r="AH168" s="341"/>
      <c r="AI168" s="341"/>
      <c r="AJ168" s="341"/>
      <c r="AK168" s="341"/>
      <c r="AL168" s="341"/>
      <c r="AM168" s="341"/>
      <c r="AN168" s="341"/>
      <c r="AO168" s="341"/>
      <c r="AP168" s="341"/>
      <c r="AQ168" s="341"/>
      <c r="AR168" s="341"/>
      <c r="AS168" s="341"/>
    </row>
    <row r="169" spans="1:45" ht="13.2" x14ac:dyDescent="0.25">
      <c r="A169" s="341"/>
      <c r="B169" s="341"/>
      <c r="C169" s="341"/>
      <c r="D169" s="341"/>
      <c r="E169" s="341"/>
      <c r="F169" s="341"/>
      <c r="G169" s="341"/>
      <c r="H169" s="341"/>
      <c r="I169" s="341"/>
      <c r="J169" s="341"/>
      <c r="K169" s="341"/>
      <c r="L169" s="341"/>
      <c r="M169" s="341"/>
      <c r="N169" s="341"/>
      <c r="O169" s="341"/>
      <c r="P169" s="341"/>
      <c r="Q169" s="341"/>
      <c r="R169" s="341"/>
      <c r="S169" s="341"/>
      <c r="T169" s="341"/>
      <c r="U169" s="341"/>
      <c r="V169" s="341"/>
      <c r="W169" s="341"/>
      <c r="X169" s="341"/>
      <c r="Y169" s="341"/>
      <c r="Z169" s="341"/>
      <c r="AA169" s="341"/>
      <c r="AB169" s="341"/>
      <c r="AC169" s="341"/>
      <c r="AD169" s="341"/>
      <c r="AE169" s="341"/>
      <c r="AF169" s="341"/>
      <c r="AG169" s="341"/>
      <c r="AH169" s="341"/>
      <c r="AI169" s="341"/>
      <c r="AJ169" s="341"/>
      <c r="AK169" s="341"/>
      <c r="AL169" s="341"/>
      <c r="AM169" s="341"/>
      <c r="AN169" s="341"/>
      <c r="AO169" s="341"/>
      <c r="AP169" s="341"/>
      <c r="AQ169" s="341"/>
      <c r="AR169" s="341"/>
      <c r="AS169" s="341"/>
    </row>
    <row r="170" spans="1:45" ht="13.2" x14ac:dyDescent="0.25">
      <c r="A170" s="341"/>
      <c r="B170" s="341"/>
      <c r="C170" s="341"/>
      <c r="D170" s="341"/>
      <c r="E170" s="341"/>
      <c r="F170" s="341"/>
      <c r="G170" s="341"/>
      <c r="H170" s="341"/>
      <c r="I170" s="341"/>
      <c r="J170" s="341"/>
      <c r="K170" s="341"/>
      <c r="L170" s="341"/>
      <c r="M170" s="341"/>
      <c r="N170" s="341"/>
      <c r="O170" s="341"/>
      <c r="P170" s="341"/>
      <c r="Q170" s="341"/>
      <c r="R170" s="341"/>
      <c r="S170" s="341"/>
      <c r="T170" s="341"/>
      <c r="U170" s="341"/>
      <c r="V170" s="341"/>
      <c r="W170" s="341"/>
      <c r="X170" s="341"/>
      <c r="Y170" s="341"/>
      <c r="Z170" s="341"/>
      <c r="AA170" s="341"/>
      <c r="AB170" s="341"/>
      <c r="AC170" s="341"/>
      <c r="AD170" s="341"/>
      <c r="AE170" s="341"/>
      <c r="AF170" s="341"/>
      <c r="AG170" s="341"/>
      <c r="AH170" s="341"/>
      <c r="AI170" s="341"/>
      <c r="AJ170" s="341"/>
      <c r="AK170" s="341"/>
      <c r="AL170" s="341"/>
      <c r="AM170" s="341"/>
      <c r="AN170" s="341"/>
      <c r="AO170" s="341"/>
      <c r="AP170" s="341"/>
      <c r="AQ170" s="341"/>
      <c r="AR170" s="341"/>
      <c r="AS170" s="341"/>
    </row>
    <row r="171" spans="1:45" ht="13.2" x14ac:dyDescent="0.25">
      <c r="A171" s="341"/>
      <c r="B171" s="341"/>
      <c r="C171" s="341"/>
      <c r="D171" s="341"/>
      <c r="E171" s="341"/>
      <c r="F171" s="341"/>
      <c r="G171" s="341"/>
      <c r="H171" s="341"/>
      <c r="I171" s="341"/>
      <c r="J171" s="341"/>
      <c r="K171" s="341"/>
      <c r="L171" s="341"/>
      <c r="M171" s="341"/>
      <c r="N171" s="341"/>
      <c r="O171" s="341"/>
      <c r="P171" s="341"/>
      <c r="Q171" s="341"/>
      <c r="R171" s="341"/>
      <c r="S171" s="341"/>
      <c r="T171" s="341"/>
      <c r="U171" s="341"/>
      <c r="V171" s="341"/>
      <c r="W171" s="341"/>
      <c r="X171" s="341"/>
      <c r="Y171" s="341"/>
      <c r="Z171" s="341"/>
      <c r="AA171" s="341"/>
      <c r="AB171" s="341"/>
      <c r="AC171" s="341"/>
      <c r="AD171" s="341"/>
      <c r="AE171" s="341"/>
      <c r="AF171" s="341"/>
      <c r="AG171" s="341"/>
      <c r="AH171" s="341"/>
      <c r="AI171" s="341"/>
      <c r="AJ171" s="341"/>
      <c r="AK171" s="341"/>
      <c r="AL171" s="341"/>
      <c r="AM171" s="341"/>
      <c r="AN171" s="341"/>
      <c r="AO171" s="341"/>
      <c r="AP171" s="341"/>
      <c r="AQ171" s="341"/>
      <c r="AR171" s="341"/>
      <c r="AS171" s="341"/>
    </row>
    <row r="172" spans="1:45" ht="13.2" x14ac:dyDescent="0.25">
      <c r="A172" s="341"/>
      <c r="B172" s="341"/>
      <c r="C172" s="341"/>
      <c r="D172" s="341"/>
      <c r="E172" s="341"/>
      <c r="F172" s="341"/>
      <c r="G172" s="341"/>
      <c r="H172" s="341"/>
      <c r="I172" s="341"/>
      <c r="J172" s="341"/>
      <c r="K172" s="341"/>
      <c r="L172" s="341"/>
      <c r="M172" s="341"/>
      <c r="N172" s="341"/>
      <c r="O172" s="341"/>
      <c r="P172" s="341"/>
      <c r="Q172" s="341"/>
      <c r="R172" s="341"/>
      <c r="S172" s="341"/>
      <c r="T172" s="341"/>
      <c r="U172" s="341"/>
      <c r="V172" s="341"/>
      <c r="W172" s="341"/>
      <c r="X172" s="341"/>
      <c r="Y172" s="341"/>
      <c r="Z172" s="341"/>
      <c r="AA172" s="341"/>
      <c r="AB172" s="341"/>
      <c r="AC172" s="341"/>
      <c r="AD172" s="341"/>
      <c r="AE172" s="341"/>
      <c r="AF172" s="341"/>
      <c r="AG172" s="341"/>
      <c r="AH172" s="341"/>
      <c r="AI172" s="341"/>
      <c r="AJ172" s="341"/>
      <c r="AK172" s="341"/>
      <c r="AL172" s="341"/>
      <c r="AM172" s="341"/>
      <c r="AN172" s="341"/>
      <c r="AO172" s="341"/>
      <c r="AP172" s="341"/>
      <c r="AQ172" s="341"/>
      <c r="AR172" s="341"/>
      <c r="AS172" s="341"/>
    </row>
    <row r="173" spans="1:45" ht="13.2" x14ac:dyDescent="0.25">
      <c r="A173" s="341"/>
      <c r="B173" s="341"/>
      <c r="C173" s="341"/>
      <c r="D173" s="341"/>
      <c r="E173" s="341"/>
      <c r="F173" s="341"/>
      <c r="G173" s="341"/>
      <c r="H173" s="341"/>
      <c r="I173" s="341"/>
      <c r="J173" s="341"/>
      <c r="K173" s="341"/>
      <c r="L173" s="341"/>
      <c r="M173" s="341"/>
      <c r="N173" s="341"/>
      <c r="O173" s="341"/>
      <c r="P173" s="341"/>
      <c r="Q173" s="341"/>
      <c r="R173" s="341"/>
      <c r="S173" s="341"/>
      <c r="T173" s="341"/>
      <c r="U173" s="341"/>
      <c r="V173" s="341"/>
      <c r="W173" s="341"/>
      <c r="X173" s="341"/>
      <c r="Y173" s="341"/>
      <c r="Z173" s="341"/>
      <c r="AA173" s="341"/>
      <c r="AB173" s="341"/>
      <c r="AC173" s="341"/>
      <c r="AD173" s="341"/>
      <c r="AE173" s="341"/>
      <c r="AF173" s="341"/>
      <c r="AG173" s="341"/>
      <c r="AH173" s="341"/>
      <c r="AI173" s="341"/>
      <c r="AJ173" s="341"/>
      <c r="AK173" s="341"/>
      <c r="AL173" s="341"/>
      <c r="AM173" s="341"/>
      <c r="AN173" s="341"/>
      <c r="AO173" s="341"/>
      <c r="AP173" s="341"/>
      <c r="AQ173" s="341"/>
      <c r="AR173" s="341"/>
      <c r="AS173" s="341"/>
    </row>
    <row r="174" spans="1:45" ht="13.2" x14ac:dyDescent="0.25">
      <c r="A174" s="341"/>
      <c r="B174" s="341"/>
      <c r="C174" s="341"/>
      <c r="D174" s="341"/>
      <c r="E174" s="341"/>
      <c r="F174" s="341"/>
      <c r="G174" s="341"/>
      <c r="H174" s="341"/>
      <c r="I174" s="341"/>
      <c r="J174" s="341"/>
      <c r="K174" s="341"/>
      <c r="L174" s="341"/>
      <c r="M174" s="341"/>
      <c r="N174" s="341"/>
      <c r="O174" s="341"/>
      <c r="P174" s="341"/>
      <c r="Q174" s="341"/>
      <c r="R174" s="341"/>
      <c r="S174" s="341"/>
      <c r="T174" s="341"/>
      <c r="U174" s="341"/>
      <c r="V174" s="341"/>
      <c r="W174" s="341"/>
      <c r="X174" s="341"/>
      <c r="Y174" s="341"/>
      <c r="Z174" s="341"/>
      <c r="AA174" s="341"/>
      <c r="AB174" s="341"/>
      <c r="AC174" s="341"/>
      <c r="AD174" s="341"/>
      <c r="AE174" s="341"/>
      <c r="AF174" s="341"/>
      <c r="AG174" s="341"/>
      <c r="AH174" s="341"/>
      <c r="AI174" s="341"/>
      <c r="AJ174" s="341"/>
      <c r="AK174" s="341"/>
      <c r="AL174" s="341"/>
      <c r="AM174" s="341"/>
      <c r="AN174" s="341"/>
      <c r="AO174" s="341"/>
      <c r="AP174" s="341"/>
      <c r="AQ174" s="341"/>
      <c r="AR174" s="341"/>
      <c r="AS174" s="341"/>
    </row>
    <row r="175" spans="1:45" ht="13.2" x14ac:dyDescent="0.25">
      <c r="A175" s="341"/>
      <c r="B175" s="341"/>
      <c r="C175" s="341"/>
      <c r="D175" s="341"/>
      <c r="E175" s="341"/>
      <c r="F175" s="341"/>
      <c r="G175" s="341"/>
      <c r="H175" s="341"/>
      <c r="I175" s="341"/>
      <c r="J175" s="341"/>
      <c r="K175" s="341"/>
      <c r="L175" s="341"/>
      <c r="M175" s="341"/>
      <c r="N175" s="341"/>
      <c r="O175" s="341"/>
      <c r="P175" s="341"/>
      <c r="Q175" s="341"/>
      <c r="R175" s="341"/>
      <c r="S175" s="341"/>
      <c r="T175" s="341"/>
      <c r="U175" s="341"/>
      <c r="V175" s="341"/>
      <c r="W175" s="341"/>
      <c r="X175" s="341"/>
      <c r="Y175" s="341"/>
      <c r="Z175" s="341"/>
      <c r="AA175" s="341"/>
      <c r="AB175" s="341"/>
      <c r="AC175" s="341"/>
      <c r="AD175" s="341"/>
      <c r="AE175" s="341"/>
      <c r="AF175" s="341"/>
      <c r="AG175" s="341"/>
      <c r="AH175" s="341"/>
      <c r="AI175" s="341"/>
      <c r="AJ175" s="341"/>
      <c r="AK175" s="341"/>
      <c r="AL175" s="341"/>
      <c r="AM175" s="341"/>
      <c r="AN175" s="341"/>
      <c r="AO175" s="341"/>
      <c r="AP175" s="341"/>
      <c r="AQ175" s="341"/>
      <c r="AR175" s="341"/>
      <c r="AS175" s="341"/>
    </row>
    <row r="176" spans="1:45" ht="13.2" x14ac:dyDescent="0.25">
      <c r="A176" s="341"/>
      <c r="B176" s="341"/>
      <c r="C176" s="341"/>
      <c r="D176" s="341"/>
      <c r="E176" s="341"/>
      <c r="F176" s="341"/>
      <c r="G176" s="341"/>
      <c r="H176" s="341"/>
      <c r="I176" s="341"/>
      <c r="J176" s="341"/>
      <c r="K176" s="341"/>
      <c r="L176" s="341"/>
      <c r="M176" s="341"/>
      <c r="N176" s="341"/>
      <c r="O176" s="341"/>
      <c r="P176" s="341"/>
      <c r="Q176" s="341"/>
      <c r="R176" s="341"/>
      <c r="S176" s="341"/>
      <c r="T176" s="341"/>
      <c r="U176" s="341"/>
      <c r="V176" s="341"/>
      <c r="W176" s="341"/>
      <c r="X176" s="341"/>
      <c r="Y176" s="341"/>
      <c r="Z176" s="341"/>
      <c r="AA176" s="341"/>
      <c r="AB176" s="341"/>
      <c r="AC176" s="341"/>
      <c r="AD176" s="341"/>
      <c r="AE176" s="341"/>
      <c r="AF176" s="341"/>
      <c r="AG176" s="341"/>
      <c r="AH176" s="341"/>
      <c r="AI176" s="341"/>
      <c r="AJ176" s="341"/>
      <c r="AK176" s="341"/>
      <c r="AL176" s="341"/>
      <c r="AM176" s="341"/>
      <c r="AN176" s="341"/>
      <c r="AO176" s="341"/>
      <c r="AP176" s="341"/>
      <c r="AQ176" s="341"/>
      <c r="AR176" s="341"/>
      <c r="AS176" s="341"/>
    </row>
    <row r="177" spans="1:45" ht="13.2" x14ac:dyDescent="0.25">
      <c r="A177" s="341"/>
      <c r="B177" s="341"/>
      <c r="C177" s="341"/>
      <c r="D177" s="341"/>
      <c r="E177" s="341"/>
      <c r="F177" s="341"/>
      <c r="G177" s="341"/>
      <c r="H177" s="341"/>
      <c r="I177" s="341"/>
      <c r="J177" s="341"/>
      <c r="K177" s="341"/>
      <c r="L177" s="341"/>
      <c r="M177" s="341"/>
      <c r="N177" s="341"/>
      <c r="O177" s="341"/>
      <c r="P177" s="341"/>
      <c r="Q177" s="341"/>
      <c r="R177" s="341"/>
      <c r="S177" s="341"/>
      <c r="T177" s="341"/>
      <c r="U177" s="341"/>
      <c r="V177" s="341"/>
      <c r="W177" s="341"/>
      <c r="X177" s="341"/>
      <c r="Y177" s="341"/>
      <c r="Z177" s="341"/>
      <c r="AA177" s="341"/>
      <c r="AB177" s="341"/>
      <c r="AC177" s="341"/>
      <c r="AD177" s="341"/>
      <c r="AE177" s="341"/>
      <c r="AF177" s="341"/>
      <c r="AG177" s="341"/>
      <c r="AH177" s="341"/>
      <c r="AI177" s="341"/>
      <c r="AJ177" s="341"/>
      <c r="AK177" s="341"/>
      <c r="AL177" s="341"/>
      <c r="AM177" s="341"/>
      <c r="AN177" s="341"/>
      <c r="AO177" s="341"/>
      <c r="AP177" s="341"/>
      <c r="AQ177" s="341"/>
      <c r="AR177" s="341"/>
      <c r="AS177" s="341"/>
    </row>
    <row r="178" spans="1:45" ht="13.2" x14ac:dyDescent="0.25">
      <c r="A178" s="341"/>
      <c r="B178" s="341"/>
      <c r="C178" s="341"/>
      <c r="D178" s="341"/>
      <c r="E178" s="341"/>
      <c r="F178" s="341"/>
      <c r="G178" s="341"/>
      <c r="H178" s="341"/>
      <c r="I178" s="341"/>
      <c r="J178" s="341"/>
      <c r="K178" s="341"/>
      <c r="L178" s="341"/>
      <c r="M178" s="341"/>
      <c r="N178" s="341"/>
      <c r="O178" s="341"/>
      <c r="P178" s="341"/>
      <c r="Q178" s="341"/>
      <c r="R178" s="341"/>
      <c r="S178" s="341"/>
      <c r="T178" s="341"/>
      <c r="U178" s="341"/>
      <c r="V178" s="341"/>
      <c r="W178" s="341"/>
      <c r="X178" s="341"/>
      <c r="Y178" s="341"/>
      <c r="Z178" s="341"/>
      <c r="AA178" s="341"/>
      <c r="AB178" s="341"/>
      <c r="AC178" s="341"/>
      <c r="AD178" s="341"/>
      <c r="AE178" s="341"/>
      <c r="AF178" s="341"/>
      <c r="AG178" s="341"/>
      <c r="AH178" s="341"/>
      <c r="AI178" s="341"/>
      <c r="AJ178" s="341"/>
      <c r="AK178" s="341"/>
      <c r="AL178" s="341"/>
      <c r="AM178" s="341"/>
      <c r="AN178" s="341"/>
      <c r="AO178" s="341"/>
      <c r="AP178" s="341"/>
      <c r="AQ178" s="341"/>
      <c r="AR178" s="341"/>
      <c r="AS178" s="341"/>
    </row>
    <row r="179" spans="1:45" ht="13.2" x14ac:dyDescent="0.25">
      <c r="A179" s="341"/>
      <c r="B179" s="341"/>
      <c r="C179" s="341"/>
      <c r="D179" s="341"/>
      <c r="E179" s="341"/>
      <c r="F179" s="341"/>
      <c r="G179" s="341"/>
      <c r="H179" s="341"/>
      <c r="I179" s="341"/>
      <c r="J179" s="341"/>
      <c r="K179" s="341"/>
      <c r="L179" s="341"/>
      <c r="M179" s="341"/>
      <c r="N179" s="341"/>
      <c r="O179" s="341"/>
      <c r="P179" s="341"/>
      <c r="Q179" s="341"/>
      <c r="R179" s="341"/>
      <c r="S179" s="341"/>
      <c r="T179" s="341"/>
      <c r="U179" s="341"/>
      <c r="V179" s="341"/>
      <c r="W179" s="341"/>
      <c r="X179" s="341"/>
      <c r="Y179" s="341"/>
      <c r="Z179" s="341"/>
      <c r="AA179" s="341"/>
      <c r="AB179" s="341"/>
      <c r="AC179" s="341"/>
      <c r="AD179" s="341"/>
      <c r="AE179" s="341"/>
      <c r="AF179" s="341"/>
      <c r="AG179" s="341"/>
      <c r="AH179" s="341"/>
      <c r="AI179" s="341"/>
      <c r="AJ179" s="341"/>
      <c r="AK179" s="341"/>
      <c r="AL179" s="341"/>
      <c r="AM179" s="341"/>
      <c r="AN179" s="341"/>
      <c r="AO179" s="341"/>
      <c r="AP179" s="341"/>
      <c r="AQ179" s="341"/>
      <c r="AR179" s="341"/>
      <c r="AS179" s="341"/>
    </row>
    <row r="180" spans="1:45" ht="13.2" x14ac:dyDescent="0.25">
      <c r="A180" s="341"/>
      <c r="B180" s="341"/>
      <c r="C180" s="341"/>
      <c r="D180" s="341"/>
      <c r="E180" s="341"/>
      <c r="F180" s="341"/>
      <c r="G180" s="341"/>
      <c r="H180" s="341"/>
      <c r="I180" s="341"/>
      <c r="J180" s="341"/>
      <c r="K180" s="341"/>
      <c r="L180" s="341"/>
      <c r="M180" s="341"/>
      <c r="N180" s="341"/>
      <c r="O180" s="341"/>
      <c r="P180" s="341"/>
      <c r="Q180" s="341"/>
      <c r="R180" s="341"/>
      <c r="S180" s="341"/>
      <c r="T180" s="341"/>
      <c r="U180" s="341"/>
      <c r="V180" s="341"/>
      <c r="W180" s="341"/>
      <c r="X180" s="341"/>
      <c r="Y180" s="341"/>
      <c r="Z180" s="341"/>
      <c r="AA180" s="341"/>
      <c r="AB180" s="341"/>
      <c r="AC180" s="341"/>
      <c r="AD180" s="341"/>
      <c r="AE180" s="341"/>
      <c r="AF180" s="341"/>
      <c r="AG180" s="341"/>
      <c r="AH180" s="341"/>
      <c r="AI180" s="341"/>
      <c r="AJ180" s="341"/>
      <c r="AK180" s="341"/>
      <c r="AL180" s="341"/>
      <c r="AM180" s="341"/>
      <c r="AN180" s="341"/>
      <c r="AO180" s="341"/>
      <c r="AP180" s="341"/>
      <c r="AQ180" s="341"/>
      <c r="AR180" s="341"/>
      <c r="AS180" s="341"/>
    </row>
    <row r="181" spans="1:45" ht="13.2" x14ac:dyDescent="0.25">
      <c r="A181" s="341"/>
      <c r="B181" s="341"/>
      <c r="C181" s="341"/>
      <c r="D181" s="341"/>
      <c r="E181" s="341"/>
      <c r="F181" s="341"/>
      <c r="G181" s="341"/>
      <c r="H181" s="341"/>
      <c r="I181" s="341"/>
      <c r="J181" s="341"/>
      <c r="K181" s="341"/>
      <c r="L181" s="341"/>
      <c r="M181" s="341"/>
      <c r="N181" s="341"/>
      <c r="O181" s="341"/>
      <c r="P181" s="341"/>
      <c r="Q181" s="341"/>
      <c r="R181" s="341"/>
      <c r="S181" s="341"/>
      <c r="T181" s="341"/>
      <c r="U181" s="341"/>
      <c r="V181" s="341"/>
      <c r="W181" s="341"/>
      <c r="X181" s="341"/>
      <c r="Y181" s="341"/>
      <c r="Z181" s="341"/>
      <c r="AA181" s="341"/>
      <c r="AB181" s="341"/>
      <c r="AC181" s="341"/>
      <c r="AD181" s="341"/>
      <c r="AE181" s="341"/>
      <c r="AF181" s="341"/>
      <c r="AG181" s="341"/>
      <c r="AH181" s="341"/>
      <c r="AI181" s="341"/>
      <c r="AJ181" s="341"/>
      <c r="AK181" s="341"/>
      <c r="AL181" s="341"/>
      <c r="AM181" s="341"/>
      <c r="AN181" s="341"/>
      <c r="AO181" s="341"/>
      <c r="AP181" s="341"/>
      <c r="AQ181" s="341"/>
      <c r="AR181" s="341"/>
      <c r="AS181" s="341"/>
    </row>
    <row r="182" spans="1:45" ht="13.2" x14ac:dyDescent="0.25">
      <c r="A182" s="341"/>
      <c r="B182" s="341"/>
      <c r="C182" s="341"/>
      <c r="D182" s="341"/>
      <c r="E182" s="341"/>
      <c r="F182" s="341"/>
      <c r="G182" s="341"/>
      <c r="H182" s="341"/>
      <c r="I182" s="341"/>
      <c r="J182" s="341"/>
      <c r="K182" s="341"/>
      <c r="L182" s="341"/>
      <c r="M182" s="341"/>
      <c r="N182" s="341"/>
      <c r="O182" s="341"/>
      <c r="P182" s="341"/>
      <c r="Q182" s="341"/>
      <c r="R182" s="341"/>
      <c r="S182" s="341"/>
      <c r="T182" s="341"/>
      <c r="U182" s="341"/>
      <c r="V182" s="341"/>
      <c r="W182" s="341"/>
      <c r="X182" s="341"/>
      <c r="Y182" s="341"/>
      <c r="Z182" s="341"/>
      <c r="AA182" s="341"/>
      <c r="AB182" s="341"/>
      <c r="AC182" s="341"/>
      <c r="AD182" s="341"/>
      <c r="AE182" s="341"/>
      <c r="AF182" s="341"/>
      <c r="AG182" s="341"/>
      <c r="AH182" s="341"/>
      <c r="AI182" s="341"/>
      <c r="AJ182" s="341"/>
      <c r="AK182" s="341"/>
      <c r="AL182" s="341"/>
      <c r="AM182" s="341"/>
      <c r="AN182" s="341"/>
      <c r="AO182" s="341"/>
      <c r="AP182" s="341"/>
      <c r="AQ182" s="341"/>
      <c r="AR182" s="341"/>
      <c r="AS182" s="341"/>
    </row>
    <row r="183" spans="1:45" ht="13.2" x14ac:dyDescent="0.25">
      <c r="A183" s="341"/>
      <c r="B183" s="341"/>
      <c r="C183" s="341"/>
      <c r="D183" s="341"/>
      <c r="E183" s="341"/>
      <c r="F183" s="341"/>
      <c r="G183" s="341"/>
      <c r="H183" s="341"/>
      <c r="I183" s="341"/>
      <c r="J183" s="341"/>
      <c r="K183" s="341"/>
      <c r="L183" s="341"/>
      <c r="M183" s="341"/>
      <c r="N183" s="341"/>
      <c r="O183" s="341"/>
      <c r="P183" s="341"/>
      <c r="Q183" s="341"/>
      <c r="R183" s="341"/>
      <c r="S183" s="341"/>
      <c r="T183" s="341"/>
      <c r="U183" s="341"/>
      <c r="V183" s="341"/>
      <c r="W183" s="341"/>
      <c r="X183" s="341"/>
      <c r="Y183" s="341"/>
      <c r="Z183" s="341"/>
      <c r="AA183" s="341"/>
      <c r="AB183" s="341"/>
      <c r="AC183" s="341"/>
      <c r="AD183" s="341"/>
      <c r="AE183" s="341"/>
      <c r="AF183" s="341"/>
      <c r="AG183" s="341"/>
      <c r="AH183" s="341"/>
      <c r="AI183" s="341"/>
      <c r="AJ183" s="341"/>
      <c r="AK183" s="341"/>
      <c r="AL183" s="341"/>
      <c r="AM183" s="341"/>
      <c r="AN183" s="341"/>
      <c r="AO183" s="341"/>
      <c r="AP183" s="341"/>
      <c r="AQ183" s="341"/>
      <c r="AR183" s="341"/>
      <c r="AS183" s="341"/>
    </row>
    <row r="184" spans="1:45" ht="13.2" x14ac:dyDescent="0.25">
      <c r="A184" s="341"/>
      <c r="B184" s="341"/>
      <c r="C184" s="341"/>
      <c r="D184" s="341"/>
      <c r="E184" s="341"/>
      <c r="F184" s="341"/>
      <c r="G184" s="341"/>
      <c r="H184" s="341"/>
      <c r="I184" s="341"/>
      <c r="J184" s="341"/>
      <c r="K184" s="341"/>
      <c r="L184" s="341"/>
      <c r="M184" s="341"/>
      <c r="N184" s="341"/>
      <c r="O184" s="341"/>
      <c r="P184" s="341"/>
      <c r="Q184" s="341"/>
      <c r="R184" s="341"/>
      <c r="S184" s="341"/>
      <c r="T184" s="341"/>
      <c r="U184" s="341"/>
      <c r="V184" s="341"/>
      <c r="W184" s="341"/>
      <c r="X184" s="341"/>
      <c r="Y184" s="341"/>
      <c r="Z184" s="341"/>
      <c r="AA184" s="341"/>
      <c r="AB184" s="341"/>
      <c r="AC184" s="341"/>
      <c r="AD184" s="341"/>
      <c r="AE184" s="341"/>
      <c r="AF184" s="341"/>
      <c r="AG184" s="341"/>
      <c r="AH184" s="341"/>
      <c r="AI184" s="341"/>
      <c r="AJ184" s="341"/>
      <c r="AK184" s="341"/>
      <c r="AL184" s="341"/>
      <c r="AM184" s="341"/>
      <c r="AN184" s="341"/>
      <c r="AO184" s="341"/>
      <c r="AP184" s="341"/>
      <c r="AQ184" s="341"/>
      <c r="AR184" s="341"/>
      <c r="AS184" s="341"/>
    </row>
    <row r="185" spans="1:45" ht="13.2" x14ac:dyDescent="0.25">
      <c r="A185" s="341"/>
      <c r="B185" s="341"/>
      <c r="C185" s="341"/>
      <c r="D185" s="341"/>
      <c r="E185" s="341"/>
      <c r="F185" s="341"/>
      <c r="G185" s="341"/>
      <c r="H185" s="341"/>
      <c r="I185" s="341"/>
      <c r="J185" s="341"/>
      <c r="K185" s="341"/>
      <c r="L185" s="341"/>
      <c r="M185" s="341"/>
      <c r="N185" s="341"/>
      <c r="O185" s="341"/>
      <c r="P185" s="341"/>
      <c r="Q185" s="341"/>
      <c r="R185" s="341"/>
      <c r="S185" s="341"/>
      <c r="T185" s="341"/>
      <c r="U185" s="341"/>
      <c r="V185" s="341"/>
      <c r="W185" s="341"/>
      <c r="X185" s="341"/>
      <c r="Y185" s="341"/>
      <c r="Z185" s="341"/>
      <c r="AA185" s="341"/>
      <c r="AB185" s="341"/>
      <c r="AC185" s="341"/>
      <c r="AD185" s="341"/>
      <c r="AE185" s="341"/>
      <c r="AF185" s="341"/>
      <c r="AG185" s="341"/>
      <c r="AH185" s="341"/>
      <c r="AI185" s="341"/>
      <c r="AJ185" s="341"/>
      <c r="AK185" s="341"/>
      <c r="AL185" s="341"/>
      <c r="AM185" s="341"/>
      <c r="AN185" s="341"/>
      <c r="AO185" s="341"/>
      <c r="AP185" s="341"/>
      <c r="AQ185" s="341"/>
      <c r="AR185" s="341"/>
      <c r="AS185" s="341"/>
    </row>
    <row r="186" spans="1:45" ht="13.2" x14ac:dyDescent="0.25">
      <c r="A186" s="341"/>
      <c r="B186" s="341"/>
      <c r="C186" s="341"/>
      <c r="D186" s="341"/>
      <c r="E186" s="341"/>
      <c r="F186" s="341"/>
      <c r="G186" s="341"/>
      <c r="H186" s="341"/>
      <c r="I186" s="341"/>
      <c r="J186" s="341"/>
      <c r="K186" s="341"/>
      <c r="L186" s="341"/>
      <c r="M186" s="341"/>
      <c r="N186" s="341"/>
      <c r="O186" s="341"/>
      <c r="P186" s="341"/>
      <c r="Q186" s="341"/>
      <c r="R186" s="341"/>
      <c r="S186" s="341"/>
      <c r="T186" s="341"/>
      <c r="U186" s="341"/>
      <c r="V186" s="341"/>
      <c r="W186" s="341"/>
      <c r="X186" s="341"/>
      <c r="Y186" s="341"/>
      <c r="Z186" s="341"/>
      <c r="AA186" s="341"/>
      <c r="AB186" s="341"/>
      <c r="AC186" s="341"/>
      <c r="AD186" s="341"/>
      <c r="AE186" s="341"/>
      <c r="AF186" s="341"/>
      <c r="AG186" s="341"/>
      <c r="AH186" s="341"/>
      <c r="AI186" s="341"/>
      <c r="AJ186" s="341"/>
      <c r="AK186" s="341"/>
      <c r="AL186" s="341"/>
      <c r="AM186" s="341"/>
      <c r="AN186" s="341"/>
      <c r="AO186" s="341"/>
      <c r="AP186" s="341"/>
      <c r="AQ186" s="341"/>
      <c r="AR186" s="341"/>
      <c r="AS186" s="341"/>
    </row>
    <row r="187" spans="1:45" ht="13.2" x14ac:dyDescent="0.25">
      <c r="A187" s="341"/>
      <c r="B187" s="341"/>
      <c r="C187" s="341"/>
      <c r="D187" s="341"/>
      <c r="E187" s="341"/>
      <c r="F187" s="341"/>
      <c r="G187" s="341"/>
      <c r="H187" s="341"/>
      <c r="I187" s="341"/>
      <c r="J187" s="341"/>
      <c r="K187" s="341"/>
      <c r="L187" s="341"/>
      <c r="M187" s="341"/>
      <c r="N187" s="341"/>
      <c r="O187" s="341"/>
      <c r="P187" s="341"/>
      <c r="Q187" s="341"/>
      <c r="R187" s="341"/>
      <c r="S187" s="341"/>
      <c r="T187" s="341"/>
      <c r="U187" s="341"/>
      <c r="V187" s="341"/>
      <c r="W187" s="341"/>
      <c r="X187" s="341"/>
      <c r="Y187" s="341"/>
      <c r="Z187" s="341"/>
      <c r="AA187" s="341"/>
      <c r="AB187" s="341"/>
      <c r="AC187" s="341"/>
      <c r="AD187" s="341"/>
      <c r="AE187" s="341"/>
      <c r="AF187" s="341"/>
      <c r="AG187" s="341"/>
      <c r="AH187" s="341"/>
      <c r="AI187" s="341"/>
      <c r="AJ187" s="341"/>
      <c r="AK187" s="341"/>
      <c r="AL187" s="341"/>
      <c r="AM187" s="341"/>
      <c r="AN187" s="341"/>
      <c r="AO187" s="341"/>
      <c r="AP187" s="341"/>
      <c r="AQ187" s="341"/>
      <c r="AR187" s="341"/>
      <c r="AS187" s="341"/>
    </row>
    <row r="188" spans="1:45" ht="13.2" x14ac:dyDescent="0.25">
      <c r="A188" s="341"/>
      <c r="B188" s="341"/>
      <c r="C188" s="341"/>
      <c r="D188" s="341"/>
      <c r="E188" s="341"/>
      <c r="F188" s="341"/>
      <c r="G188" s="341"/>
      <c r="H188" s="341"/>
      <c r="I188" s="341"/>
      <c r="J188" s="341"/>
      <c r="K188" s="341"/>
      <c r="L188" s="341"/>
      <c r="M188" s="341"/>
      <c r="N188" s="341"/>
      <c r="O188" s="341"/>
      <c r="P188" s="341"/>
      <c r="Q188" s="341"/>
      <c r="R188" s="341"/>
      <c r="S188" s="341"/>
      <c r="T188" s="341"/>
      <c r="U188" s="341"/>
      <c r="V188" s="341"/>
      <c r="W188" s="341"/>
      <c r="X188" s="341"/>
      <c r="Y188" s="341"/>
      <c r="Z188" s="341"/>
      <c r="AA188" s="341"/>
      <c r="AB188" s="341"/>
      <c r="AC188" s="341"/>
      <c r="AD188" s="341"/>
      <c r="AE188" s="341"/>
      <c r="AF188" s="341"/>
      <c r="AG188" s="341"/>
      <c r="AH188" s="341"/>
      <c r="AI188" s="341"/>
      <c r="AJ188" s="341"/>
      <c r="AK188" s="341"/>
      <c r="AL188" s="341"/>
      <c r="AM188" s="341"/>
      <c r="AN188" s="341"/>
      <c r="AO188" s="341"/>
      <c r="AP188" s="341"/>
      <c r="AQ188" s="341"/>
      <c r="AR188" s="341"/>
      <c r="AS188" s="341"/>
    </row>
    <row r="189" spans="1:45" ht="13.2" x14ac:dyDescent="0.25">
      <c r="A189" s="341"/>
      <c r="B189" s="341"/>
      <c r="C189" s="341"/>
      <c r="D189" s="341"/>
      <c r="E189" s="341"/>
      <c r="F189" s="341"/>
      <c r="G189" s="341"/>
      <c r="H189" s="341"/>
      <c r="I189" s="341"/>
      <c r="J189" s="341"/>
      <c r="K189" s="341"/>
      <c r="L189" s="341"/>
      <c r="M189" s="341"/>
      <c r="N189" s="341"/>
      <c r="O189" s="341"/>
      <c r="P189" s="341"/>
      <c r="Q189" s="341"/>
      <c r="R189" s="341"/>
      <c r="S189" s="341"/>
      <c r="T189" s="341"/>
      <c r="U189" s="341"/>
      <c r="V189" s="341"/>
      <c r="W189" s="341"/>
      <c r="X189" s="341"/>
      <c r="Y189" s="341"/>
      <c r="Z189" s="341"/>
      <c r="AA189" s="341"/>
      <c r="AB189" s="341"/>
      <c r="AC189" s="341"/>
      <c r="AD189" s="341"/>
      <c r="AE189" s="341"/>
      <c r="AF189" s="341"/>
      <c r="AG189" s="341"/>
      <c r="AH189" s="341"/>
      <c r="AI189" s="341"/>
      <c r="AJ189" s="341"/>
      <c r="AK189" s="341"/>
      <c r="AL189" s="341"/>
      <c r="AM189" s="341"/>
      <c r="AN189" s="341"/>
      <c r="AO189" s="341"/>
      <c r="AP189" s="341"/>
      <c r="AQ189" s="341"/>
      <c r="AR189" s="341"/>
      <c r="AS189" s="341"/>
    </row>
    <row r="190" spans="1:45" ht="13.2" x14ac:dyDescent="0.25">
      <c r="A190" s="341"/>
      <c r="B190" s="341"/>
      <c r="C190" s="341"/>
      <c r="D190" s="341"/>
      <c r="E190" s="341"/>
      <c r="F190" s="341"/>
      <c r="G190" s="341"/>
      <c r="H190" s="341"/>
      <c r="I190" s="341"/>
      <c r="J190" s="341"/>
      <c r="K190" s="341"/>
      <c r="L190" s="341"/>
      <c r="M190" s="341"/>
      <c r="N190" s="341"/>
      <c r="O190" s="341"/>
      <c r="P190" s="341"/>
      <c r="Q190" s="341"/>
      <c r="R190" s="341"/>
      <c r="S190" s="341"/>
      <c r="T190" s="341"/>
      <c r="U190" s="341"/>
      <c r="V190" s="341"/>
      <c r="W190" s="341"/>
      <c r="X190" s="341"/>
      <c r="Y190" s="341"/>
      <c r="Z190" s="341"/>
      <c r="AA190" s="341"/>
      <c r="AB190" s="341"/>
      <c r="AC190" s="341"/>
      <c r="AD190" s="341"/>
      <c r="AE190" s="341"/>
      <c r="AF190" s="341"/>
      <c r="AG190" s="341"/>
      <c r="AH190" s="341"/>
      <c r="AI190" s="341"/>
      <c r="AJ190" s="341"/>
      <c r="AK190" s="341"/>
      <c r="AL190" s="341"/>
      <c r="AM190" s="341"/>
      <c r="AN190" s="341"/>
      <c r="AO190" s="341"/>
      <c r="AP190" s="341"/>
      <c r="AQ190" s="341"/>
      <c r="AR190" s="341"/>
      <c r="AS190" s="341"/>
    </row>
    <row r="191" spans="1:45" ht="13.2" x14ac:dyDescent="0.25">
      <c r="A191" s="341"/>
      <c r="B191" s="341"/>
      <c r="C191" s="341"/>
      <c r="D191" s="341"/>
      <c r="E191" s="341"/>
      <c r="F191" s="341"/>
      <c r="G191" s="341"/>
      <c r="H191" s="341"/>
      <c r="I191" s="341"/>
      <c r="J191" s="341"/>
      <c r="K191" s="341"/>
      <c r="L191" s="341"/>
      <c r="M191" s="341"/>
      <c r="N191" s="341"/>
      <c r="O191" s="341"/>
      <c r="P191" s="341"/>
      <c r="Q191" s="341"/>
      <c r="R191" s="341"/>
      <c r="S191" s="341"/>
      <c r="T191" s="341"/>
      <c r="U191" s="341"/>
      <c r="V191" s="341"/>
      <c r="W191" s="341"/>
      <c r="X191" s="341"/>
      <c r="Y191" s="341"/>
      <c r="Z191" s="341"/>
      <c r="AA191" s="341"/>
      <c r="AB191" s="341"/>
      <c r="AC191" s="341"/>
      <c r="AD191" s="341"/>
      <c r="AE191" s="341"/>
      <c r="AF191" s="341"/>
      <c r="AG191" s="341"/>
      <c r="AH191" s="341"/>
      <c r="AI191" s="341"/>
      <c r="AJ191" s="341"/>
      <c r="AK191" s="341"/>
      <c r="AL191" s="341"/>
      <c r="AM191" s="341"/>
      <c r="AN191" s="341"/>
      <c r="AO191" s="341"/>
      <c r="AP191" s="341"/>
      <c r="AQ191" s="341"/>
      <c r="AR191" s="341"/>
      <c r="AS191" s="341"/>
    </row>
    <row r="192" spans="1:45" ht="13.2" x14ac:dyDescent="0.25">
      <c r="A192" s="341"/>
      <c r="B192" s="341"/>
      <c r="C192" s="341"/>
      <c r="D192" s="341"/>
      <c r="E192" s="341"/>
      <c r="F192" s="341"/>
      <c r="G192" s="341"/>
      <c r="H192" s="341"/>
      <c r="I192" s="341"/>
      <c r="J192" s="341"/>
      <c r="K192" s="341"/>
      <c r="L192" s="341"/>
      <c r="M192" s="341"/>
      <c r="N192" s="341"/>
      <c r="O192" s="341"/>
      <c r="P192" s="341"/>
      <c r="Q192" s="341"/>
      <c r="R192" s="341"/>
      <c r="S192" s="341"/>
      <c r="T192" s="341"/>
      <c r="U192" s="341"/>
      <c r="V192" s="341"/>
      <c r="W192" s="341"/>
      <c r="X192" s="341"/>
      <c r="Y192" s="341"/>
      <c r="Z192" s="341"/>
      <c r="AA192" s="341"/>
      <c r="AB192" s="341"/>
      <c r="AC192" s="341"/>
      <c r="AD192" s="341"/>
      <c r="AE192" s="341"/>
      <c r="AF192" s="341"/>
      <c r="AG192" s="341"/>
      <c r="AH192" s="341"/>
      <c r="AI192" s="341"/>
      <c r="AJ192" s="341"/>
      <c r="AK192" s="341"/>
      <c r="AL192" s="341"/>
      <c r="AM192" s="341"/>
      <c r="AN192" s="341"/>
      <c r="AO192" s="341"/>
      <c r="AP192" s="341"/>
      <c r="AQ192" s="341"/>
      <c r="AR192" s="341"/>
      <c r="AS192" s="341"/>
    </row>
    <row r="193" spans="1:45" ht="13.2" x14ac:dyDescent="0.25">
      <c r="A193" s="341"/>
      <c r="B193" s="341"/>
      <c r="C193" s="341"/>
      <c r="D193" s="341"/>
      <c r="E193" s="341"/>
      <c r="F193" s="341"/>
      <c r="G193" s="341"/>
      <c r="H193" s="341"/>
      <c r="I193" s="341"/>
      <c r="J193" s="341"/>
      <c r="K193" s="341"/>
      <c r="L193" s="341"/>
      <c r="M193" s="341"/>
      <c r="N193" s="341"/>
      <c r="O193" s="341"/>
      <c r="P193" s="341"/>
      <c r="Q193" s="341"/>
      <c r="R193" s="341"/>
      <c r="S193" s="341"/>
      <c r="T193" s="341"/>
      <c r="U193" s="341"/>
      <c r="V193" s="341"/>
      <c r="W193" s="341"/>
      <c r="X193" s="341"/>
      <c r="Y193" s="341"/>
      <c r="Z193" s="341"/>
      <c r="AA193" s="341"/>
      <c r="AB193" s="341"/>
      <c r="AC193" s="341"/>
      <c r="AD193" s="341"/>
      <c r="AE193" s="341"/>
      <c r="AF193" s="341"/>
      <c r="AG193" s="341"/>
      <c r="AH193" s="341"/>
      <c r="AI193" s="341"/>
      <c r="AJ193" s="341"/>
      <c r="AK193" s="341"/>
      <c r="AL193" s="341"/>
      <c r="AM193" s="341"/>
      <c r="AN193" s="341"/>
      <c r="AO193" s="341"/>
      <c r="AP193" s="341"/>
      <c r="AQ193" s="341"/>
      <c r="AR193" s="341"/>
      <c r="AS193" s="341"/>
    </row>
    <row r="194" spans="1:45" ht="13.2" x14ac:dyDescent="0.25">
      <c r="A194" s="341"/>
      <c r="B194" s="341"/>
      <c r="C194" s="341"/>
      <c r="D194" s="341"/>
      <c r="E194" s="341"/>
      <c r="F194" s="341"/>
      <c r="G194" s="341"/>
      <c r="H194" s="341"/>
      <c r="I194" s="341"/>
      <c r="J194" s="341"/>
      <c r="K194" s="341"/>
      <c r="L194" s="341"/>
      <c r="M194" s="341"/>
      <c r="N194" s="341"/>
      <c r="O194" s="341"/>
      <c r="P194" s="341"/>
      <c r="Q194" s="341"/>
      <c r="R194" s="341"/>
      <c r="S194" s="341"/>
      <c r="T194" s="341"/>
      <c r="U194" s="341"/>
      <c r="V194" s="341"/>
      <c r="W194" s="341"/>
      <c r="X194" s="341"/>
      <c r="Y194" s="341"/>
      <c r="Z194" s="341"/>
      <c r="AA194" s="341"/>
      <c r="AB194" s="341"/>
      <c r="AC194" s="341"/>
      <c r="AD194" s="341"/>
      <c r="AE194" s="341"/>
      <c r="AF194" s="341"/>
      <c r="AG194" s="341"/>
      <c r="AH194" s="341"/>
      <c r="AI194" s="341"/>
      <c r="AJ194" s="341"/>
      <c r="AK194" s="341"/>
      <c r="AL194" s="341"/>
      <c r="AM194" s="341"/>
      <c r="AN194" s="341"/>
      <c r="AO194" s="341"/>
      <c r="AP194" s="341"/>
      <c r="AQ194" s="341"/>
      <c r="AR194" s="341"/>
      <c r="AS194" s="341"/>
    </row>
    <row r="195" spans="1:45" ht="13.2" x14ac:dyDescent="0.25">
      <c r="A195" s="341"/>
      <c r="B195" s="341"/>
      <c r="C195" s="341"/>
      <c r="D195" s="341"/>
      <c r="E195" s="341"/>
      <c r="F195" s="341"/>
      <c r="G195" s="341"/>
      <c r="H195" s="341"/>
      <c r="I195" s="341"/>
      <c r="J195" s="341"/>
      <c r="K195" s="341"/>
      <c r="L195" s="341"/>
      <c r="M195" s="341"/>
      <c r="N195" s="341"/>
      <c r="O195" s="341"/>
      <c r="P195" s="341"/>
      <c r="Q195" s="341"/>
      <c r="R195" s="341"/>
      <c r="S195" s="341"/>
      <c r="T195" s="341"/>
      <c r="U195" s="341"/>
      <c r="V195" s="341"/>
      <c r="W195" s="341"/>
      <c r="X195" s="341"/>
      <c r="Y195" s="341"/>
      <c r="Z195" s="341"/>
      <c r="AA195" s="341"/>
      <c r="AB195" s="341"/>
      <c r="AC195" s="341"/>
      <c r="AD195" s="341"/>
      <c r="AE195" s="341"/>
      <c r="AF195" s="341"/>
      <c r="AG195" s="341"/>
      <c r="AH195" s="341"/>
      <c r="AI195" s="341"/>
      <c r="AJ195" s="341"/>
      <c r="AK195" s="341"/>
      <c r="AL195" s="341"/>
      <c r="AM195" s="341"/>
      <c r="AN195" s="341"/>
      <c r="AO195" s="341"/>
      <c r="AP195" s="341"/>
      <c r="AQ195" s="341"/>
      <c r="AR195" s="341"/>
      <c r="AS195" s="341"/>
    </row>
    <row r="196" spans="1:45" ht="13.2" x14ac:dyDescent="0.25">
      <c r="A196" s="341"/>
      <c r="B196" s="341"/>
      <c r="C196" s="341"/>
      <c r="D196" s="341"/>
      <c r="E196" s="341"/>
      <c r="F196" s="341"/>
      <c r="G196" s="341"/>
      <c r="H196" s="341"/>
      <c r="I196" s="341"/>
      <c r="J196" s="341"/>
      <c r="K196" s="341"/>
      <c r="L196" s="341"/>
      <c r="M196" s="341"/>
      <c r="N196" s="341"/>
      <c r="O196" s="341"/>
      <c r="P196" s="341"/>
      <c r="Q196" s="341"/>
      <c r="R196" s="341"/>
      <c r="S196" s="341"/>
      <c r="T196" s="341"/>
      <c r="U196" s="341"/>
      <c r="V196" s="341"/>
      <c r="W196" s="341"/>
      <c r="X196" s="341"/>
      <c r="Y196" s="341"/>
      <c r="Z196" s="341"/>
      <c r="AA196" s="341"/>
      <c r="AB196" s="341"/>
      <c r="AC196" s="341"/>
      <c r="AD196" s="341"/>
      <c r="AE196" s="341"/>
      <c r="AF196" s="341"/>
      <c r="AG196" s="341"/>
      <c r="AH196" s="341"/>
      <c r="AI196" s="341"/>
      <c r="AJ196" s="341"/>
      <c r="AK196" s="341"/>
      <c r="AL196" s="341"/>
      <c r="AM196" s="341"/>
      <c r="AN196" s="341"/>
      <c r="AO196" s="341"/>
      <c r="AP196" s="341"/>
      <c r="AQ196" s="341"/>
      <c r="AR196" s="341"/>
      <c r="AS196" s="341"/>
    </row>
    <row r="197" spans="1:45" ht="13.2" x14ac:dyDescent="0.25">
      <c r="A197" s="341"/>
      <c r="B197" s="341"/>
      <c r="C197" s="341"/>
      <c r="D197" s="341"/>
      <c r="E197" s="341"/>
      <c r="F197" s="341"/>
      <c r="G197" s="341"/>
      <c r="H197" s="341"/>
      <c r="I197" s="341"/>
      <c r="J197" s="341"/>
      <c r="K197" s="341"/>
      <c r="L197" s="341"/>
      <c r="M197" s="341"/>
      <c r="N197" s="341"/>
      <c r="O197" s="341"/>
      <c r="P197" s="341"/>
      <c r="Q197" s="341"/>
      <c r="R197" s="341"/>
      <c r="S197" s="341"/>
      <c r="T197" s="341"/>
      <c r="U197" s="341"/>
      <c r="V197" s="341"/>
      <c r="W197" s="341"/>
      <c r="X197" s="341"/>
      <c r="Y197" s="341"/>
      <c r="Z197" s="341"/>
      <c r="AA197" s="341"/>
      <c r="AB197" s="341"/>
      <c r="AC197" s="341"/>
      <c r="AD197" s="341"/>
      <c r="AE197" s="341"/>
      <c r="AF197" s="341"/>
      <c r="AG197" s="341"/>
      <c r="AH197" s="341"/>
      <c r="AI197" s="341"/>
      <c r="AJ197" s="341"/>
      <c r="AK197" s="341"/>
      <c r="AL197" s="341"/>
      <c r="AM197" s="341"/>
      <c r="AN197" s="341"/>
      <c r="AO197" s="341"/>
      <c r="AP197" s="341"/>
      <c r="AQ197" s="341"/>
      <c r="AR197" s="341"/>
      <c r="AS197" s="341"/>
    </row>
    <row r="198" spans="1:45" ht="13.2" x14ac:dyDescent="0.25">
      <c r="A198" s="341"/>
      <c r="B198" s="341"/>
      <c r="C198" s="341"/>
      <c r="D198" s="341"/>
      <c r="E198" s="341"/>
      <c r="F198" s="341"/>
      <c r="G198" s="341"/>
      <c r="H198" s="341"/>
      <c r="I198" s="341"/>
      <c r="J198" s="341"/>
      <c r="K198" s="341"/>
      <c r="L198" s="341"/>
      <c r="M198" s="341"/>
      <c r="N198" s="341"/>
      <c r="O198" s="341"/>
      <c r="P198" s="341"/>
      <c r="Q198" s="341"/>
      <c r="R198" s="341"/>
      <c r="S198" s="341"/>
      <c r="T198" s="341"/>
      <c r="U198" s="341"/>
      <c r="V198" s="341"/>
      <c r="W198" s="341"/>
      <c r="X198" s="341"/>
      <c r="Y198" s="341"/>
      <c r="Z198" s="341"/>
      <c r="AA198" s="341"/>
      <c r="AB198" s="341"/>
      <c r="AC198" s="341"/>
      <c r="AD198" s="341"/>
      <c r="AE198" s="341"/>
      <c r="AF198" s="341"/>
      <c r="AG198" s="341"/>
      <c r="AH198" s="341"/>
      <c r="AI198" s="341"/>
      <c r="AJ198" s="341"/>
      <c r="AK198" s="341"/>
      <c r="AL198" s="341"/>
      <c r="AM198" s="341"/>
      <c r="AN198" s="341"/>
      <c r="AO198" s="341"/>
      <c r="AP198" s="341"/>
      <c r="AQ198" s="341"/>
      <c r="AR198" s="341"/>
      <c r="AS198" s="341"/>
    </row>
    <row r="199" spans="1:45" ht="13.2" x14ac:dyDescent="0.25">
      <c r="A199" s="341"/>
      <c r="B199" s="341"/>
      <c r="C199" s="341"/>
      <c r="D199" s="341"/>
      <c r="E199" s="341"/>
      <c r="F199" s="341"/>
      <c r="G199" s="341"/>
      <c r="H199" s="341"/>
      <c r="I199" s="341"/>
      <c r="J199" s="341"/>
      <c r="K199" s="341"/>
      <c r="L199" s="341"/>
      <c r="M199" s="341"/>
      <c r="N199" s="341"/>
      <c r="O199" s="341"/>
      <c r="P199" s="341"/>
      <c r="Q199" s="341"/>
      <c r="R199" s="341"/>
      <c r="S199" s="341"/>
      <c r="T199" s="341"/>
      <c r="U199" s="341"/>
      <c r="V199" s="341"/>
      <c r="W199" s="341"/>
      <c r="X199" s="341"/>
      <c r="Y199" s="341"/>
      <c r="Z199" s="341"/>
      <c r="AA199" s="341"/>
      <c r="AB199" s="341"/>
      <c r="AC199" s="341"/>
      <c r="AD199" s="341"/>
      <c r="AE199" s="341"/>
      <c r="AF199" s="341"/>
      <c r="AG199" s="341"/>
      <c r="AH199" s="341"/>
      <c r="AI199" s="341"/>
      <c r="AJ199" s="341"/>
      <c r="AK199" s="341"/>
      <c r="AL199" s="341"/>
      <c r="AM199" s="341"/>
      <c r="AN199" s="341"/>
      <c r="AO199" s="341"/>
      <c r="AP199" s="341"/>
      <c r="AQ199" s="341"/>
      <c r="AR199" s="341"/>
      <c r="AS199" s="341"/>
    </row>
    <row r="200" spans="1:45" ht="13.2" x14ac:dyDescent="0.25">
      <c r="A200" s="341"/>
      <c r="B200" s="341"/>
      <c r="C200" s="341"/>
      <c r="D200" s="341"/>
      <c r="E200" s="341"/>
      <c r="F200" s="341"/>
      <c r="G200" s="341"/>
      <c r="H200" s="341"/>
      <c r="I200" s="341"/>
      <c r="J200" s="341"/>
      <c r="K200" s="341"/>
      <c r="L200" s="341"/>
      <c r="M200" s="341"/>
      <c r="N200" s="341"/>
      <c r="O200" s="341"/>
      <c r="P200" s="341"/>
      <c r="Q200" s="341"/>
      <c r="R200" s="341"/>
      <c r="S200" s="341"/>
      <c r="T200" s="341"/>
      <c r="U200" s="341"/>
      <c r="V200" s="341"/>
      <c r="W200" s="341"/>
      <c r="X200" s="341"/>
      <c r="Y200" s="341"/>
      <c r="Z200" s="341"/>
      <c r="AA200" s="341"/>
      <c r="AB200" s="341"/>
      <c r="AC200" s="341"/>
      <c r="AD200" s="341"/>
      <c r="AE200" s="341"/>
      <c r="AF200" s="341"/>
      <c r="AG200" s="341"/>
      <c r="AH200" s="341"/>
      <c r="AI200" s="341"/>
      <c r="AJ200" s="341"/>
      <c r="AK200" s="341"/>
      <c r="AL200" s="341"/>
      <c r="AM200" s="341"/>
      <c r="AN200" s="341"/>
      <c r="AO200" s="341"/>
      <c r="AP200" s="341"/>
      <c r="AQ200" s="341"/>
      <c r="AR200" s="341"/>
      <c r="AS200" s="341"/>
    </row>
    <row r="201" spans="1:45" ht="13.2" x14ac:dyDescent="0.25">
      <c r="A201" s="341"/>
      <c r="B201" s="341"/>
      <c r="C201" s="341"/>
      <c r="D201" s="341"/>
      <c r="E201" s="341"/>
      <c r="F201" s="341"/>
      <c r="G201" s="341"/>
      <c r="H201" s="341"/>
      <c r="I201" s="341"/>
      <c r="J201" s="341"/>
      <c r="K201" s="341"/>
      <c r="L201" s="341"/>
      <c r="M201" s="341"/>
      <c r="N201" s="341"/>
      <c r="O201" s="341"/>
      <c r="P201" s="341"/>
      <c r="Q201" s="341"/>
      <c r="R201" s="341"/>
      <c r="S201" s="341"/>
      <c r="T201" s="341"/>
      <c r="U201" s="341"/>
      <c r="V201" s="341"/>
      <c r="W201" s="341"/>
      <c r="X201" s="341"/>
      <c r="Y201" s="341"/>
      <c r="Z201" s="341"/>
      <c r="AA201" s="341"/>
      <c r="AB201" s="341"/>
      <c r="AC201" s="341"/>
      <c r="AD201" s="341"/>
      <c r="AE201" s="341"/>
      <c r="AF201" s="341"/>
      <c r="AG201" s="341"/>
      <c r="AH201" s="341"/>
      <c r="AI201" s="341"/>
      <c r="AJ201" s="341"/>
      <c r="AK201" s="341"/>
      <c r="AL201" s="341"/>
      <c r="AM201" s="341"/>
      <c r="AN201" s="341"/>
      <c r="AO201" s="341"/>
      <c r="AP201" s="341"/>
      <c r="AQ201" s="341"/>
      <c r="AR201" s="341"/>
      <c r="AS201" s="341"/>
    </row>
    <row r="202" spans="1:45" ht="13.2" x14ac:dyDescent="0.25">
      <c r="A202" s="341"/>
      <c r="B202" s="341"/>
      <c r="C202" s="341"/>
      <c r="D202" s="341"/>
      <c r="E202" s="341"/>
      <c r="F202" s="341"/>
      <c r="G202" s="341"/>
      <c r="H202" s="341"/>
      <c r="I202" s="341"/>
      <c r="J202" s="341"/>
      <c r="K202" s="341"/>
      <c r="L202" s="341"/>
      <c r="M202" s="341"/>
      <c r="N202" s="341"/>
      <c r="O202" s="341"/>
      <c r="P202" s="341"/>
      <c r="Q202" s="341"/>
      <c r="R202" s="341"/>
      <c r="S202" s="341"/>
      <c r="T202" s="341"/>
      <c r="U202" s="341"/>
      <c r="V202" s="341"/>
      <c r="W202" s="341"/>
      <c r="X202" s="341"/>
      <c r="Y202" s="341"/>
      <c r="Z202" s="341"/>
      <c r="AA202" s="341"/>
      <c r="AB202" s="341"/>
      <c r="AC202" s="341"/>
      <c r="AD202" s="341"/>
      <c r="AE202" s="341"/>
      <c r="AF202" s="341"/>
      <c r="AG202" s="341"/>
      <c r="AH202" s="341"/>
      <c r="AI202" s="341"/>
      <c r="AJ202" s="341"/>
      <c r="AK202" s="341"/>
      <c r="AL202" s="341"/>
      <c r="AM202" s="341"/>
      <c r="AN202" s="341"/>
      <c r="AO202" s="341"/>
      <c r="AP202" s="341"/>
      <c r="AQ202" s="341"/>
      <c r="AR202" s="341"/>
      <c r="AS202" s="341"/>
    </row>
    <row r="203" spans="1:45" ht="13.2" x14ac:dyDescent="0.25">
      <c r="A203" s="341"/>
      <c r="B203" s="341"/>
      <c r="C203" s="341"/>
      <c r="D203" s="341"/>
      <c r="E203" s="341"/>
      <c r="F203" s="341"/>
      <c r="G203" s="341"/>
      <c r="H203" s="341"/>
      <c r="I203" s="341"/>
      <c r="J203" s="341"/>
      <c r="K203" s="341"/>
      <c r="L203" s="341"/>
      <c r="M203" s="341"/>
      <c r="N203" s="341"/>
      <c r="O203" s="341"/>
      <c r="P203" s="341"/>
      <c r="Q203" s="341"/>
      <c r="R203" s="341"/>
      <c r="S203" s="341"/>
      <c r="T203" s="341"/>
      <c r="U203" s="341"/>
      <c r="V203" s="341"/>
      <c r="W203" s="341"/>
      <c r="X203" s="341"/>
      <c r="Y203" s="341"/>
      <c r="Z203" s="341"/>
      <c r="AA203" s="341"/>
      <c r="AB203" s="341"/>
      <c r="AC203" s="341"/>
      <c r="AD203" s="341"/>
      <c r="AE203" s="341"/>
      <c r="AF203" s="341"/>
      <c r="AG203" s="341"/>
      <c r="AH203" s="341"/>
      <c r="AI203" s="341"/>
      <c r="AJ203" s="341"/>
      <c r="AK203" s="341"/>
      <c r="AL203" s="341"/>
      <c r="AM203" s="341"/>
      <c r="AN203" s="341"/>
      <c r="AO203" s="341"/>
      <c r="AP203" s="341"/>
      <c r="AQ203" s="341"/>
      <c r="AR203" s="341"/>
      <c r="AS203" s="341"/>
    </row>
    <row r="204" spans="1:45" ht="13.2" x14ac:dyDescent="0.25">
      <c r="A204" s="341"/>
      <c r="B204" s="341"/>
      <c r="C204" s="341"/>
      <c r="D204" s="341"/>
      <c r="E204" s="341"/>
      <c r="F204" s="341"/>
      <c r="G204" s="341"/>
      <c r="H204" s="341"/>
      <c r="I204" s="341"/>
      <c r="J204" s="341"/>
      <c r="K204" s="341"/>
      <c r="L204" s="341"/>
      <c r="M204" s="341"/>
      <c r="N204" s="341"/>
      <c r="O204" s="341"/>
      <c r="P204" s="341"/>
      <c r="Q204" s="341"/>
      <c r="R204" s="341"/>
      <c r="S204" s="341"/>
      <c r="T204" s="341"/>
      <c r="U204" s="341"/>
      <c r="V204" s="341"/>
      <c r="W204" s="341"/>
      <c r="X204" s="341"/>
      <c r="Y204" s="341"/>
      <c r="Z204" s="341"/>
      <c r="AA204" s="341"/>
      <c r="AB204" s="341"/>
      <c r="AC204" s="341"/>
      <c r="AD204" s="341"/>
      <c r="AE204" s="341"/>
      <c r="AF204" s="341"/>
      <c r="AG204" s="341"/>
      <c r="AH204" s="341"/>
      <c r="AI204" s="341"/>
      <c r="AJ204" s="341"/>
      <c r="AK204" s="341"/>
      <c r="AL204" s="341"/>
      <c r="AM204" s="341"/>
      <c r="AN204" s="341"/>
      <c r="AO204" s="341"/>
      <c r="AP204" s="341"/>
      <c r="AQ204" s="341"/>
      <c r="AR204" s="341"/>
      <c r="AS204" s="341"/>
    </row>
    <row r="205" spans="1:45" ht="13.2" x14ac:dyDescent="0.25">
      <c r="A205" s="341"/>
      <c r="B205" s="341"/>
      <c r="C205" s="341"/>
      <c r="D205" s="341"/>
      <c r="E205" s="341"/>
      <c r="F205" s="341"/>
      <c r="G205" s="341"/>
      <c r="H205" s="341"/>
      <c r="I205" s="341"/>
      <c r="J205" s="341"/>
      <c r="K205" s="341"/>
      <c r="L205" s="341"/>
      <c r="M205" s="341"/>
      <c r="N205" s="341"/>
      <c r="O205" s="341"/>
      <c r="P205" s="341"/>
      <c r="Q205" s="341"/>
      <c r="R205" s="341"/>
      <c r="S205" s="341"/>
      <c r="T205" s="341"/>
      <c r="U205" s="341"/>
      <c r="V205" s="341"/>
      <c r="W205" s="341"/>
      <c r="X205" s="341"/>
      <c r="Y205" s="341"/>
      <c r="Z205" s="341"/>
      <c r="AA205" s="341"/>
      <c r="AB205" s="341"/>
      <c r="AC205" s="341"/>
      <c r="AD205" s="341"/>
      <c r="AE205" s="341"/>
      <c r="AF205" s="341"/>
      <c r="AG205" s="341"/>
      <c r="AH205" s="341"/>
      <c r="AI205" s="341"/>
      <c r="AJ205" s="341"/>
      <c r="AK205" s="341"/>
      <c r="AL205" s="341"/>
      <c r="AM205" s="341"/>
      <c r="AN205" s="341"/>
      <c r="AO205" s="341"/>
      <c r="AP205" s="341"/>
      <c r="AQ205" s="341"/>
      <c r="AR205" s="341"/>
      <c r="AS205" s="341"/>
    </row>
    <row r="206" spans="1:45" ht="13.2" x14ac:dyDescent="0.25">
      <c r="A206" s="341"/>
      <c r="B206" s="341"/>
      <c r="C206" s="341"/>
      <c r="D206" s="341"/>
      <c r="E206" s="341"/>
      <c r="F206" s="341"/>
      <c r="G206" s="341"/>
      <c r="H206" s="341"/>
      <c r="I206" s="341"/>
      <c r="J206" s="341"/>
      <c r="K206" s="341"/>
      <c r="L206" s="341"/>
      <c r="M206" s="341"/>
      <c r="N206" s="341"/>
      <c r="O206" s="341"/>
      <c r="P206" s="341"/>
      <c r="Q206" s="341"/>
      <c r="R206" s="341"/>
      <c r="S206" s="341"/>
      <c r="T206" s="341"/>
      <c r="U206" s="341"/>
      <c r="V206" s="341"/>
      <c r="W206" s="341"/>
      <c r="X206" s="341"/>
      <c r="Y206" s="341"/>
      <c r="Z206" s="341"/>
      <c r="AA206" s="341"/>
      <c r="AB206" s="341"/>
      <c r="AC206" s="341"/>
      <c r="AD206" s="341"/>
      <c r="AE206" s="341"/>
      <c r="AF206" s="341"/>
      <c r="AG206" s="341"/>
      <c r="AH206" s="341"/>
      <c r="AI206" s="341"/>
      <c r="AJ206" s="341"/>
      <c r="AK206" s="341"/>
      <c r="AL206" s="341"/>
      <c r="AM206" s="341"/>
      <c r="AN206" s="341"/>
      <c r="AO206" s="341"/>
      <c r="AP206" s="341"/>
      <c r="AQ206" s="341"/>
      <c r="AR206" s="341"/>
      <c r="AS206" s="341"/>
    </row>
    <row r="207" spans="1:45" ht="13.2" x14ac:dyDescent="0.25">
      <c r="A207" s="341"/>
      <c r="B207" s="341"/>
      <c r="C207" s="341"/>
      <c r="D207" s="341"/>
      <c r="E207" s="341"/>
      <c r="F207" s="341"/>
      <c r="G207" s="341"/>
      <c r="H207" s="341"/>
      <c r="I207" s="341"/>
      <c r="J207" s="341"/>
      <c r="K207" s="341"/>
      <c r="L207" s="341"/>
      <c r="M207" s="341"/>
      <c r="N207" s="341"/>
      <c r="O207" s="341"/>
      <c r="P207" s="341"/>
      <c r="Q207" s="341"/>
      <c r="R207" s="341"/>
      <c r="S207" s="341"/>
      <c r="T207" s="341"/>
      <c r="U207" s="341"/>
      <c r="V207" s="341"/>
      <c r="W207" s="341"/>
      <c r="X207" s="341"/>
      <c r="Y207" s="341"/>
      <c r="Z207" s="341"/>
      <c r="AA207" s="341"/>
      <c r="AB207" s="341"/>
      <c r="AC207" s="341"/>
      <c r="AD207" s="341"/>
      <c r="AE207" s="341"/>
      <c r="AF207" s="341"/>
      <c r="AG207" s="341"/>
      <c r="AH207" s="341"/>
      <c r="AI207" s="341"/>
      <c r="AJ207" s="341"/>
      <c r="AK207" s="341"/>
      <c r="AL207" s="341"/>
      <c r="AM207" s="341"/>
      <c r="AN207" s="341"/>
      <c r="AO207" s="341"/>
      <c r="AP207" s="341"/>
      <c r="AQ207" s="341"/>
      <c r="AR207" s="341"/>
      <c r="AS207" s="341"/>
    </row>
    <row r="208" spans="1:45" ht="13.2" x14ac:dyDescent="0.25">
      <c r="A208" s="341"/>
      <c r="B208" s="341"/>
      <c r="C208" s="341"/>
      <c r="D208" s="341"/>
      <c r="E208" s="341"/>
      <c r="F208" s="341"/>
      <c r="G208" s="341"/>
      <c r="H208" s="341"/>
      <c r="I208" s="341"/>
      <c r="J208" s="341"/>
      <c r="K208" s="341"/>
      <c r="L208" s="341"/>
      <c r="M208" s="341"/>
      <c r="N208" s="341"/>
      <c r="O208" s="341"/>
      <c r="P208" s="341"/>
      <c r="Q208" s="341"/>
      <c r="R208" s="341"/>
      <c r="S208" s="341"/>
      <c r="T208" s="341"/>
      <c r="U208" s="341"/>
      <c r="V208" s="341"/>
      <c r="W208" s="341"/>
      <c r="X208" s="341"/>
      <c r="Y208" s="341"/>
      <c r="Z208" s="341"/>
      <c r="AA208" s="341"/>
      <c r="AB208" s="341"/>
      <c r="AC208" s="341"/>
      <c r="AD208" s="341"/>
      <c r="AE208" s="341"/>
      <c r="AF208" s="341"/>
      <c r="AG208" s="341"/>
      <c r="AH208" s="341"/>
      <c r="AI208" s="341"/>
      <c r="AJ208" s="341"/>
      <c r="AK208" s="341"/>
      <c r="AL208" s="341"/>
      <c r="AM208" s="341"/>
      <c r="AN208" s="341"/>
      <c r="AO208" s="341"/>
      <c r="AP208" s="341"/>
      <c r="AQ208" s="341"/>
      <c r="AR208" s="341"/>
      <c r="AS208" s="341"/>
    </row>
    <row r="209" spans="1:45" ht="13.2" x14ac:dyDescent="0.25">
      <c r="A209" s="341"/>
      <c r="B209" s="341"/>
      <c r="C209" s="341"/>
      <c r="D209" s="341"/>
      <c r="E209" s="341"/>
      <c r="F209" s="341"/>
      <c r="G209" s="341"/>
      <c r="H209" s="341"/>
      <c r="I209" s="341"/>
      <c r="J209" s="341"/>
      <c r="K209" s="341"/>
      <c r="L209" s="341"/>
      <c r="M209" s="341"/>
      <c r="N209" s="341"/>
      <c r="O209" s="341"/>
      <c r="P209" s="341"/>
      <c r="Q209" s="341"/>
      <c r="R209" s="341"/>
      <c r="S209" s="341"/>
      <c r="T209" s="341"/>
      <c r="U209" s="341"/>
      <c r="V209" s="341"/>
      <c r="W209" s="341"/>
      <c r="X209" s="341"/>
      <c r="Y209" s="341"/>
      <c r="Z209" s="341"/>
      <c r="AA209" s="341"/>
      <c r="AB209" s="341"/>
      <c r="AC209" s="341"/>
      <c r="AD209" s="341"/>
      <c r="AE209" s="341"/>
      <c r="AF209" s="341"/>
      <c r="AG209" s="341"/>
      <c r="AH209" s="341"/>
      <c r="AI209" s="341"/>
      <c r="AJ209" s="341"/>
      <c r="AK209" s="341"/>
      <c r="AL209" s="341"/>
      <c r="AM209" s="341"/>
      <c r="AN209" s="341"/>
      <c r="AO209" s="341"/>
      <c r="AP209" s="341"/>
      <c r="AQ209" s="341"/>
      <c r="AR209" s="341"/>
      <c r="AS209" s="341"/>
    </row>
    <row r="210" spans="1:45" ht="13.2" x14ac:dyDescent="0.25">
      <c r="A210" s="341"/>
      <c r="B210" s="341"/>
      <c r="C210" s="341"/>
      <c r="D210" s="341"/>
      <c r="E210" s="341"/>
      <c r="F210" s="341"/>
      <c r="G210" s="341"/>
      <c r="H210" s="341"/>
      <c r="I210" s="341"/>
      <c r="J210" s="341"/>
      <c r="K210" s="341"/>
      <c r="L210" s="341"/>
      <c r="M210" s="341"/>
      <c r="N210" s="341"/>
      <c r="O210" s="341"/>
      <c r="P210" s="341"/>
      <c r="Q210" s="341"/>
      <c r="R210" s="341"/>
      <c r="S210" s="341"/>
      <c r="T210" s="341"/>
      <c r="U210" s="341"/>
      <c r="V210" s="341"/>
      <c r="W210" s="341"/>
      <c r="X210" s="341"/>
      <c r="Y210" s="341"/>
      <c r="Z210" s="341"/>
      <c r="AA210" s="341"/>
      <c r="AB210" s="341"/>
      <c r="AC210" s="341"/>
      <c r="AD210" s="341"/>
      <c r="AE210" s="341"/>
      <c r="AF210" s="341"/>
      <c r="AG210" s="341"/>
      <c r="AH210" s="341"/>
      <c r="AI210" s="341"/>
      <c r="AJ210" s="341"/>
      <c r="AK210" s="341"/>
      <c r="AL210" s="341"/>
      <c r="AM210" s="341"/>
      <c r="AN210" s="341"/>
      <c r="AO210" s="341"/>
      <c r="AP210" s="341"/>
      <c r="AQ210" s="341"/>
      <c r="AR210" s="341"/>
      <c r="AS210" s="341"/>
    </row>
    <row r="211" spans="1:45" ht="13.2" x14ac:dyDescent="0.25">
      <c r="A211" s="341"/>
      <c r="B211" s="341"/>
      <c r="C211" s="341"/>
      <c r="D211" s="341"/>
      <c r="E211" s="341"/>
      <c r="F211" s="341"/>
      <c r="G211" s="341"/>
      <c r="H211" s="341"/>
      <c r="I211" s="341"/>
      <c r="J211" s="341"/>
      <c r="K211" s="341"/>
      <c r="L211" s="341"/>
      <c r="M211" s="341"/>
      <c r="N211" s="341"/>
      <c r="O211" s="341"/>
      <c r="P211" s="341"/>
      <c r="Q211" s="341"/>
      <c r="R211" s="341"/>
      <c r="S211" s="341"/>
      <c r="T211" s="341"/>
      <c r="U211" s="341"/>
      <c r="V211" s="341"/>
      <c r="W211" s="341"/>
      <c r="X211" s="341"/>
      <c r="Y211" s="341"/>
      <c r="Z211" s="341"/>
      <c r="AA211" s="341"/>
      <c r="AB211" s="341"/>
      <c r="AC211" s="341"/>
      <c r="AD211" s="341"/>
      <c r="AE211" s="341"/>
      <c r="AF211" s="341"/>
      <c r="AG211" s="341"/>
      <c r="AH211" s="341"/>
      <c r="AI211" s="341"/>
      <c r="AJ211" s="341"/>
      <c r="AK211" s="341"/>
      <c r="AL211" s="341"/>
      <c r="AM211" s="341"/>
      <c r="AN211" s="341"/>
      <c r="AO211" s="341"/>
      <c r="AP211" s="341"/>
      <c r="AQ211" s="341"/>
      <c r="AR211" s="341"/>
      <c r="AS211" s="341"/>
    </row>
    <row r="212" spans="1:45" ht="13.2" x14ac:dyDescent="0.25">
      <c r="A212" s="341"/>
      <c r="B212" s="341"/>
      <c r="C212" s="341"/>
      <c r="D212" s="341"/>
      <c r="E212" s="341"/>
      <c r="F212" s="341"/>
      <c r="G212" s="341"/>
      <c r="H212" s="341"/>
      <c r="I212" s="341"/>
      <c r="J212" s="341"/>
      <c r="K212" s="341"/>
      <c r="L212" s="341"/>
      <c r="M212" s="341"/>
      <c r="N212" s="341"/>
      <c r="O212" s="341"/>
      <c r="P212" s="341"/>
      <c r="Q212" s="341"/>
      <c r="R212" s="341"/>
      <c r="S212" s="341"/>
      <c r="T212" s="341"/>
      <c r="U212" s="341"/>
      <c r="V212" s="341"/>
      <c r="W212" s="341"/>
      <c r="X212" s="341"/>
      <c r="Y212" s="341"/>
      <c r="Z212" s="341"/>
      <c r="AA212" s="341"/>
      <c r="AB212" s="341"/>
      <c r="AC212" s="341"/>
      <c r="AD212" s="341"/>
      <c r="AE212" s="341"/>
      <c r="AF212" s="341"/>
      <c r="AG212" s="341"/>
      <c r="AH212" s="341"/>
      <c r="AI212" s="341"/>
      <c r="AJ212" s="341"/>
      <c r="AK212" s="341"/>
      <c r="AL212" s="341"/>
      <c r="AM212" s="341"/>
      <c r="AN212" s="341"/>
      <c r="AO212" s="341"/>
      <c r="AP212" s="341"/>
      <c r="AQ212" s="341"/>
      <c r="AR212" s="341"/>
      <c r="AS212" s="341"/>
    </row>
    <row r="213" spans="1:45" ht="13.2" x14ac:dyDescent="0.25">
      <c r="A213" s="341"/>
      <c r="B213" s="341"/>
      <c r="C213" s="341"/>
      <c r="D213" s="341"/>
      <c r="E213" s="341"/>
      <c r="F213" s="341"/>
      <c r="G213" s="341"/>
      <c r="H213" s="341"/>
      <c r="I213" s="341"/>
      <c r="J213" s="341"/>
      <c r="K213" s="341"/>
      <c r="L213" s="341"/>
      <c r="M213" s="341"/>
      <c r="N213" s="341"/>
      <c r="O213" s="341"/>
      <c r="P213" s="341"/>
      <c r="Q213" s="341"/>
      <c r="R213" s="341"/>
      <c r="S213" s="341"/>
      <c r="T213" s="341"/>
      <c r="U213" s="341"/>
      <c r="V213" s="341"/>
      <c r="W213" s="341"/>
      <c r="X213" s="341"/>
      <c r="Y213" s="341"/>
      <c r="Z213" s="341"/>
      <c r="AA213" s="341"/>
      <c r="AB213" s="341"/>
      <c r="AC213" s="341"/>
      <c r="AD213" s="341"/>
      <c r="AE213" s="341"/>
      <c r="AF213" s="341"/>
      <c r="AG213" s="341"/>
      <c r="AH213" s="341"/>
      <c r="AI213" s="341"/>
      <c r="AJ213" s="341"/>
      <c r="AK213" s="341"/>
      <c r="AL213" s="341"/>
      <c r="AM213" s="341"/>
      <c r="AN213" s="341"/>
      <c r="AO213" s="341"/>
      <c r="AP213" s="341"/>
      <c r="AQ213" s="341"/>
      <c r="AR213" s="341"/>
      <c r="AS213" s="341"/>
    </row>
    <row r="214" spans="1:45" ht="13.2" x14ac:dyDescent="0.25">
      <c r="A214" s="341"/>
      <c r="B214" s="341"/>
      <c r="C214" s="341"/>
      <c r="D214" s="341"/>
      <c r="E214" s="341"/>
      <c r="F214" s="341"/>
      <c r="G214" s="341"/>
      <c r="H214" s="341"/>
      <c r="I214" s="341"/>
      <c r="J214" s="341"/>
      <c r="K214" s="341"/>
      <c r="L214" s="341"/>
      <c r="M214" s="341"/>
      <c r="N214" s="341"/>
      <c r="O214" s="341"/>
      <c r="P214" s="341"/>
      <c r="Q214" s="341"/>
      <c r="R214" s="341"/>
      <c r="S214" s="341"/>
      <c r="T214" s="341"/>
      <c r="U214" s="341"/>
      <c r="V214" s="341"/>
      <c r="W214" s="341"/>
      <c r="X214" s="341"/>
      <c r="Y214" s="341"/>
      <c r="Z214" s="341"/>
      <c r="AA214" s="341"/>
      <c r="AB214" s="341"/>
      <c r="AC214" s="341"/>
      <c r="AD214" s="341"/>
      <c r="AE214" s="341"/>
      <c r="AF214" s="341"/>
      <c r="AG214" s="341"/>
      <c r="AH214" s="341"/>
      <c r="AI214" s="341"/>
      <c r="AJ214" s="341"/>
      <c r="AK214" s="341"/>
      <c r="AL214" s="341"/>
      <c r="AM214" s="341"/>
      <c r="AN214" s="341"/>
      <c r="AO214" s="341"/>
      <c r="AP214" s="341"/>
      <c r="AQ214" s="341"/>
      <c r="AR214" s="341"/>
      <c r="AS214" s="341"/>
    </row>
    <row r="215" spans="1:45" ht="13.2" x14ac:dyDescent="0.25">
      <c r="A215" s="341"/>
      <c r="B215" s="341"/>
      <c r="C215" s="341"/>
      <c r="D215" s="341"/>
      <c r="E215" s="341"/>
      <c r="F215" s="341"/>
      <c r="G215" s="341"/>
      <c r="H215" s="341"/>
      <c r="I215" s="341"/>
      <c r="J215" s="341"/>
      <c r="K215" s="341"/>
      <c r="L215" s="341"/>
      <c r="M215" s="341"/>
      <c r="N215" s="341"/>
      <c r="O215" s="341"/>
      <c r="P215" s="341"/>
      <c r="Q215" s="341"/>
      <c r="R215" s="341"/>
      <c r="S215" s="341"/>
      <c r="T215" s="341"/>
      <c r="U215" s="341"/>
      <c r="V215" s="341"/>
      <c r="W215" s="341"/>
      <c r="X215" s="341"/>
      <c r="Y215" s="341"/>
      <c r="Z215" s="341"/>
      <c r="AA215" s="341"/>
      <c r="AB215" s="341"/>
      <c r="AC215" s="341"/>
      <c r="AD215" s="341"/>
      <c r="AE215" s="341"/>
      <c r="AF215" s="341"/>
      <c r="AG215" s="341"/>
      <c r="AH215" s="341"/>
      <c r="AI215" s="341"/>
      <c r="AJ215" s="341"/>
      <c r="AK215" s="341"/>
      <c r="AL215" s="341"/>
      <c r="AM215" s="341"/>
      <c r="AN215" s="341"/>
      <c r="AO215" s="341"/>
      <c r="AP215" s="341"/>
      <c r="AQ215" s="341"/>
      <c r="AR215" s="341"/>
      <c r="AS215" s="341"/>
    </row>
    <row r="216" spans="1:45" ht="13.2" x14ac:dyDescent="0.25">
      <c r="A216" s="341"/>
      <c r="B216" s="341"/>
      <c r="C216" s="341"/>
      <c r="D216" s="341"/>
      <c r="E216" s="341"/>
      <c r="F216" s="341"/>
      <c r="G216" s="341"/>
      <c r="H216" s="341"/>
      <c r="I216" s="341"/>
      <c r="J216" s="341"/>
      <c r="K216" s="341"/>
      <c r="L216" s="341"/>
      <c r="M216" s="341"/>
      <c r="N216" s="341"/>
      <c r="O216" s="341"/>
      <c r="P216" s="341"/>
      <c r="Q216" s="341"/>
      <c r="R216" s="341"/>
      <c r="S216" s="341"/>
      <c r="T216" s="341"/>
      <c r="U216" s="341"/>
      <c r="V216" s="341"/>
      <c r="W216" s="341"/>
      <c r="X216" s="341"/>
      <c r="Y216" s="341"/>
      <c r="Z216" s="341"/>
      <c r="AA216" s="341"/>
      <c r="AB216" s="341"/>
      <c r="AC216" s="341"/>
      <c r="AD216" s="341"/>
      <c r="AE216" s="341"/>
      <c r="AF216" s="341"/>
      <c r="AG216" s="341"/>
      <c r="AH216" s="341"/>
      <c r="AI216" s="341"/>
      <c r="AJ216" s="341"/>
      <c r="AK216" s="341"/>
      <c r="AL216" s="341"/>
      <c r="AM216" s="341"/>
      <c r="AN216" s="341"/>
      <c r="AO216" s="341"/>
      <c r="AP216" s="341"/>
      <c r="AQ216" s="341"/>
      <c r="AR216" s="341"/>
      <c r="AS216" s="341"/>
    </row>
    <row r="217" spans="1:45" ht="13.2" x14ac:dyDescent="0.25">
      <c r="A217" s="341"/>
      <c r="B217" s="341"/>
      <c r="C217" s="341"/>
      <c r="D217" s="341"/>
      <c r="E217" s="341"/>
      <c r="F217" s="341"/>
      <c r="G217" s="341"/>
      <c r="H217" s="341"/>
      <c r="I217" s="341"/>
      <c r="J217" s="341"/>
      <c r="K217" s="341"/>
      <c r="L217" s="341"/>
      <c r="M217" s="341"/>
      <c r="N217" s="341"/>
      <c r="O217" s="341"/>
      <c r="P217" s="341"/>
      <c r="Q217" s="341"/>
      <c r="R217" s="341"/>
      <c r="S217" s="341"/>
      <c r="T217" s="341"/>
      <c r="U217" s="341"/>
      <c r="V217" s="341"/>
      <c r="W217" s="341"/>
      <c r="X217" s="341"/>
      <c r="Y217" s="341"/>
      <c r="Z217" s="341"/>
      <c r="AA217" s="341"/>
      <c r="AB217" s="341"/>
      <c r="AC217" s="341"/>
      <c r="AD217" s="341"/>
      <c r="AE217" s="341"/>
      <c r="AF217" s="341"/>
      <c r="AG217" s="341"/>
      <c r="AH217" s="341"/>
      <c r="AI217" s="341"/>
      <c r="AJ217" s="341"/>
      <c r="AK217" s="341"/>
      <c r="AL217" s="341"/>
      <c r="AM217" s="341"/>
      <c r="AN217" s="341"/>
      <c r="AO217" s="341"/>
      <c r="AP217" s="341"/>
      <c r="AQ217" s="341"/>
      <c r="AR217" s="341"/>
      <c r="AS217" s="341"/>
    </row>
    <row r="218" spans="1:45" ht="13.2" x14ac:dyDescent="0.25">
      <c r="A218" s="341"/>
      <c r="B218" s="341"/>
      <c r="C218" s="341"/>
      <c r="D218" s="341"/>
      <c r="E218" s="341"/>
      <c r="F218" s="341"/>
      <c r="G218" s="341"/>
      <c r="H218" s="341"/>
      <c r="I218" s="341"/>
      <c r="J218" s="341"/>
      <c r="K218" s="341"/>
      <c r="L218" s="341"/>
      <c r="M218" s="341"/>
      <c r="N218" s="341"/>
      <c r="O218" s="341"/>
      <c r="P218" s="341"/>
      <c r="Q218" s="341"/>
      <c r="R218" s="341"/>
      <c r="S218" s="341"/>
      <c r="T218" s="341"/>
      <c r="U218" s="341"/>
      <c r="V218" s="341"/>
      <c r="W218" s="341"/>
      <c r="X218" s="341"/>
      <c r="Y218" s="341"/>
      <c r="Z218" s="341"/>
      <c r="AA218" s="341"/>
      <c r="AB218" s="341"/>
      <c r="AC218" s="341"/>
      <c r="AD218" s="341"/>
      <c r="AE218" s="341"/>
      <c r="AF218" s="341"/>
      <c r="AG218" s="341"/>
      <c r="AH218" s="341"/>
      <c r="AI218" s="341"/>
      <c r="AJ218" s="341"/>
      <c r="AK218" s="341"/>
      <c r="AL218" s="341"/>
      <c r="AM218" s="341"/>
      <c r="AN218" s="341"/>
      <c r="AO218" s="341"/>
      <c r="AP218" s="341"/>
      <c r="AQ218" s="341"/>
      <c r="AR218" s="341"/>
      <c r="AS218" s="341"/>
    </row>
    <row r="219" spans="1:45" ht="13.2" x14ac:dyDescent="0.25">
      <c r="A219" s="341"/>
      <c r="B219" s="341"/>
      <c r="C219" s="341"/>
      <c r="D219" s="341"/>
      <c r="E219" s="341"/>
      <c r="F219" s="341"/>
      <c r="G219" s="341"/>
      <c r="H219" s="341"/>
      <c r="I219" s="341"/>
      <c r="J219" s="341"/>
      <c r="K219" s="341"/>
      <c r="L219" s="341"/>
      <c r="M219" s="341"/>
      <c r="N219" s="341"/>
      <c r="O219" s="341"/>
      <c r="P219" s="341"/>
      <c r="Q219" s="341"/>
      <c r="R219" s="341"/>
      <c r="S219" s="341"/>
      <c r="T219" s="341"/>
      <c r="U219" s="341"/>
      <c r="V219" s="341"/>
      <c r="W219" s="341"/>
      <c r="X219" s="341"/>
      <c r="Y219" s="341"/>
      <c r="Z219" s="341"/>
      <c r="AA219" s="341"/>
      <c r="AB219" s="341"/>
      <c r="AC219" s="341"/>
      <c r="AD219" s="341"/>
      <c r="AE219" s="341"/>
      <c r="AF219" s="341"/>
      <c r="AG219" s="341"/>
      <c r="AH219" s="341"/>
      <c r="AI219" s="341"/>
      <c r="AJ219" s="341"/>
      <c r="AK219" s="341"/>
      <c r="AL219" s="341"/>
      <c r="AM219" s="341"/>
      <c r="AN219" s="341"/>
      <c r="AO219" s="341"/>
      <c r="AP219" s="341"/>
      <c r="AQ219" s="341"/>
      <c r="AR219" s="341"/>
      <c r="AS219" s="341"/>
    </row>
    <row r="220" spans="1:45" ht="13.2" x14ac:dyDescent="0.25">
      <c r="A220" s="341"/>
      <c r="B220" s="341"/>
      <c r="C220" s="341"/>
      <c r="D220" s="341"/>
      <c r="E220" s="341"/>
      <c r="F220" s="341"/>
      <c r="G220" s="341"/>
      <c r="H220" s="341"/>
      <c r="I220" s="341"/>
      <c r="J220" s="341"/>
      <c r="K220" s="341"/>
      <c r="L220" s="341"/>
      <c r="M220" s="341"/>
      <c r="N220" s="341"/>
      <c r="O220" s="341"/>
      <c r="P220" s="341"/>
      <c r="Q220" s="341"/>
      <c r="R220" s="341"/>
      <c r="S220" s="341"/>
      <c r="T220" s="341"/>
      <c r="U220" s="341"/>
      <c r="V220" s="341"/>
      <c r="W220" s="341"/>
      <c r="X220" s="341"/>
      <c r="Y220" s="341"/>
      <c r="Z220" s="341"/>
      <c r="AA220" s="341"/>
      <c r="AB220" s="341"/>
      <c r="AC220" s="341"/>
      <c r="AD220" s="341"/>
      <c r="AE220" s="341"/>
      <c r="AF220" s="341"/>
      <c r="AG220" s="341"/>
      <c r="AH220" s="341"/>
      <c r="AI220" s="341"/>
      <c r="AJ220" s="341"/>
      <c r="AK220" s="341"/>
      <c r="AL220" s="341"/>
      <c r="AM220" s="341"/>
      <c r="AN220" s="341"/>
      <c r="AO220" s="341"/>
      <c r="AP220" s="341"/>
      <c r="AQ220" s="341"/>
      <c r="AR220" s="341"/>
      <c r="AS220" s="341"/>
    </row>
    <row r="221" spans="1:45" ht="13.2" x14ac:dyDescent="0.25">
      <c r="A221" s="341"/>
      <c r="B221" s="341"/>
      <c r="C221" s="341"/>
      <c r="D221" s="341"/>
      <c r="E221" s="341"/>
      <c r="F221" s="341"/>
      <c r="G221" s="341"/>
      <c r="H221" s="341"/>
      <c r="I221" s="341"/>
      <c r="J221" s="341"/>
      <c r="K221" s="341"/>
      <c r="L221" s="341"/>
      <c r="M221" s="341"/>
      <c r="N221" s="341"/>
      <c r="O221" s="341"/>
      <c r="P221" s="341"/>
      <c r="Q221" s="341"/>
      <c r="R221" s="341"/>
      <c r="S221" s="341"/>
      <c r="T221" s="341"/>
      <c r="U221" s="341"/>
      <c r="V221" s="341"/>
      <c r="W221" s="341"/>
      <c r="X221" s="341"/>
      <c r="Y221" s="341"/>
      <c r="Z221" s="341"/>
      <c r="AA221" s="341"/>
      <c r="AB221" s="341"/>
      <c r="AC221" s="341"/>
      <c r="AD221" s="341"/>
      <c r="AE221" s="341"/>
      <c r="AF221" s="341"/>
      <c r="AG221" s="341"/>
      <c r="AH221" s="341"/>
      <c r="AI221" s="341"/>
      <c r="AJ221" s="341"/>
      <c r="AK221" s="341"/>
      <c r="AL221" s="341"/>
      <c r="AM221" s="341"/>
      <c r="AN221" s="341"/>
      <c r="AO221" s="341"/>
      <c r="AP221" s="341"/>
      <c r="AQ221" s="341"/>
      <c r="AR221" s="341"/>
      <c r="AS221" s="341"/>
    </row>
    <row r="222" spans="1:45" ht="13.2" x14ac:dyDescent="0.25">
      <c r="A222" s="341"/>
      <c r="B222" s="341"/>
      <c r="C222" s="341"/>
      <c r="D222" s="341"/>
      <c r="E222" s="341"/>
      <c r="F222" s="341"/>
      <c r="G222" s="341"/>
      <c r="H222" s="341"/>
      <c r="I222" s="341"/>
      <c r="J222" s="341"/>
      <c r="K222" s="341"/>
      <c r="L222" s="341"/>
      <c r="M222" s="341"/>
      <c r="N222" s="341"/>
      <c r="O222" s="341"/>
      <c r="P222" s="341"/>
      <c r="Q222" s="341"/>
      <c r="R222" s="341"/>
      <c r="S222" s="341"/>
      <c r="T222" s="341"/>
      <c r="U222" s="341"/>
      <c r="V222" s="341"/>
      <c r="W222" s="341"/>
      <c r="X222" s="341"/>
      <c r="Y222" s="341"/>
      <c r="Z222" s="341"/>
      <c r="AA222" s="341"/>
      <c r="AB222" s="341"/>
      <c r="AC222" s="341"/>
      <c r="AD222" s="341"/>
      <c r="AE222" s="341"/>
      <c r="AF222" s="341"/>
      <c r="AG222" s="341"/>
      <c r="AH222" s="341"/>
      <c r="AI222" s="341"/>
      <c r="AJ222" s="341"/>
      <c r="AK222" s="341"/>
      <c r="AL222" s="341"/>
      <c r="AM222" s="341"/>
      <c r="AN222" s="341"/>
      <c r="AO222" s="341"/>
      <c r="AP222" s="341"/>
      <c r="AQ222" s="341"/>
      <c r="AR222" s="341"/>
      <c r="AS222" s="341"/>
    </row>
    <row r="223" spans="1:45" ht="13.2" x14ac:dyDescent="0.25">
      <c r="A223" s="341"/>
      <c r="B223" s="341"/>
      <c r="C223" s="341"/>
      <c r="D223" s="341"/>
      <c r="E223" s="341"/>
      <c r="F223" s="341"/>
      <c r="G223" s="341"/>
      <c r="H223" s="341"/>
      <c r="I223" s="341"/>
      <c r="J223" s="341"/>
      <c r="K223" s="341"/>
      <c r="L223" s="341"/>
      <c r="M223" s="341"/>
      <c r="N223" s="341"/>
      <c r="O223" s="341"/>
      <c r="P223" s="341"/>
      <c r="Q223" s="341"/>
      <c r="R223" s="341"/>
      <c r="S223" s="341"/>
      <c r="T223" s="341"/>
      <c r="U223" s="341"/>
      <c r="V223" s="341"/>
      <c r="W223" s="341"/>
      <c r="X223" s="341"/>
      <c r="Y223" s="341"/>
      <c r="Z223" s="341"/>
      <c r="AA223" s="341"/>
      <c r="AB223" s="341"/>
      <c r="AC223" s="341"/>
      <c r="AD223" s="341"/>
      <c r="AE223" s="341"/>
      <c r="AF223" s="341"/>
      <c r="AG223" s="341"/>
      <c r="AH223" s="341"/>
      <c r="AI223" s="341"/>
      <c r="AJ223" s="341"/>
      <c r="AK223" s="341"/>
      <c r="AL223" s="341"/>
      <c r="AM223" s="341"/>
      <c r="AN223" s="341"/>
      <c r="AO223" s="341"/>
      <c r="AP223" s="341"/>
      <c r="AQ223" s="341"/>
      <c r="AR223" s="341"/>
      <c r="AS223" s="341"/>
    </row>
    <row r="224" spans="1:45" ht="13.2" x14ac:dyDescent="0.25">
      <c r="A224" s="341"/>
      <c r="B224" s="341"/>
      <c r="C224" s="341"/>
      <c r="D224" s="341"/>
      <c r="E224" s="341"/>
      <c r="F224" s="341"/>
      <c r="G224" s="341"/>
      <c r="H224" s="341"/>
      <c r="I224" s="341"/>
      <c r="J224" s="341"/>
      <c r="K224" s="341"/>
      <c r="L224" s="341"/>
      <c r="M224" s="341"/>
      <c r="N224" s="341"/>
      <c r="O224" s="341"/>
      <c r="P224" s="341"/>
      <c r="Q224" s="341"/>
      <c r="R224" s="341"/>
      <c r="S224" s="341"/>
      <c r="T224" s="341"/>
      <c r="U224" s="341"/>
      <c r="V224" s="341"/>
      <c r="W224" s="341"/>
      <c r="X224" s="341"/>
      <c r="Y224" s="341"/>
      <c r="Z224" s="341"/>
      <c r="AA224" s="341"/>
      <c r="AB224" s="341"/>
      <c r="AC224" s="341"/>
      <c r="AD224" s="341"/>
      <c r="AE224" s="341"/>
      <c r="AF224" s="341"/>
      <c r="AG224" s="341"/>
      <c r="AH224" s="341"/>
      <c r="AI224" s="341"/>
      <c r="AJ224" s="341"/>
      <c r="AK224" s="341"/>
      <c r="AL224" s="341"/>
      <c r="AM224" s="341"/>
      <c r="AN224" s="341"/>
      <c r="AO224" s="341"/>
      <c r="AP224" s="341"/>
      <c r="AQ224" s="341"/>
      <c r="AR224" s="341"/>
      <c r="AS224" s="341"/>
    </row>
    <row r="225" spans="1:45" ht="13.2" x14ac:dyDescent="0.25">
      <c r="A225" s="341"/>
      <c r="B225" s="341"/>
      <c r="C225" s="341"/>
      <c r="D225" s="341"/>
      <c r="E225" s="341"/>
      <c r="F225" s="341"/>
      <c r="G225" s="341"/>
      <c r="H225" s="341"/>
      <c r="I225" s="341"/>
      <c r="J225" s="341"/>
      <c r="K225" s="341"/>
      <c r="L225" s="341"/>
      <c r="M225" s="341"/>
      <c r="N225" s="341"/>
      <c r="O225" s="341"/>
      <c r="P225" s="341"/>
      <c r="Q225" s="341"/>
      <c r="R225" s="341"/>
      <c r="S225" s="341"/>
      <c r="T225" s="341"/>
      <c r="U225" s="341"/>
      <c r="V225" s="341"/>
      <c r="W225" s="341"/>
      <c r="X225" s="341"/>
      <c r="Y225" s="341"/>
      <c r="Z225" s="341"/>
      <c r="AA225" s="341"/>
      <c r="AB225" s="341"/>
      <c r="AC225" s="341"/>
      <c r="AD225" s="341"/>
      <c r="AE225" s="341"/>
      <c r="AF225" s="341"/>
      <c r="AG225" s="341"/>
      <c r="AH225" s="341"/>
      <c r="AI225" s="341"/>
      <c r="AJ225" s="341"/>
      <c r="AK225" s="341"/>
      <c r="AL225" s="341"/>
      <c r="AM225" s="341"/>
      <c r="AN225" s="341"/>
      <c r="AO225" s="341"/>
      <c r="AP225" s="341"/>
      <c r="AQ225" s="341"/>
      <c r="AR225" s="341"/>
      <c r="AS225" s="341"/>
    </row>
    <row r="226" spans="1:45" ht="13.2" x14ac:dyDescent="0.25">
      <c r="A226" s="341"/>
      <c r="B226" s="341"/>
      <c r="C226" s="341"/>
      <c r="D226" s="341"/>
      <c r="E226" s="341"/>
      <c r="F226" s="341"/>
      <c r="G226" s="341"/>
      <c r="H226" s="341"/>
      <c r="I226" s="341"/>
      <c r="J226" s="341"/>
      <c r="K226" s="341"/>
      <c r="L226" s="341"/>
      <c r="M226" s="341"/>
      <c r="N226" s="341"/>
      <c r="O226" s="341"/>
      <c r="P226" s="341"/>
      <c r="Q226" s="341"/>
      <c r="R226" s="341"/>
      <c r="S226" s="341"/>
      <c r="T226" s="341"/>
      <c r="U226" s="341"/>
      <c r="V226" s="341"/>
      <c r="W226" s="341"/>
      <c r="X226" s="341"/>
      <c r="Y226" s="341"/>
      <c r="Z226" s="341"/>
      <c r="AA226" s="341"/>
      <c r="AB226" s="341"/>
      <c r="AC226" s="341"/>
      <c r="AD226" s="341"/>
      <c r="AE226" s="341"/>
      <c r="AF226" s="341"/>
      <c r="AG226" s="341"/>
      <c r="AH226" s="341"/>
      <c r="AI226" s="341"/>
      <c r="AJ226" s="341"/>
      <c r="AK226" s="341"/>
      <c r="AL226" s="341"/>
      <c r="AM226" s="341"/>
      <c r="AN226" s="341"/>
      <c r="AO226" s="341"/>
      <c r="AP226" s="341"/>
      <c r="AQ226" s="341"/>
      <c r="AR226" s="341"/>
      <c r="AS226" s="341"/>
    </row>
    <row r="227" spans="1:45" ht="13.2" x14ac:dyDescent="0.25">
      <c r="A227" s="341"/>
      <c r="B227" s="341"/>
      <c r="C227" s="341"/>
      <c r="D227" s="341"/>
      <c r="E227" s="341"/>
      <c r="F227" s="341"/>
      <c r="G227" s="341"/>
      <c r="H227" s="341"/>
      <c r="I227" s="341"/>
      <c r="J227" s="341"/>
      <c r="K227" s="341"/>
      <c r="L227" s="341"/>
      <c r="M227" s="341"/>
      <c r="N227" s="341"/>
      <c r="O227" s="341"/>
      <c r="P227" s="341"/>
      <c r="Q227" s="341"/>
      <c r="R227" s="341"/>
      <c r="S227" s="341"/>
      <c r="T227" s="341"/>
      <c r="U227" s="341"/>
      <c r="V227" s="341"/>
      <c r="W227" s="341"/>
      <c r="X227" s="341"/>
      <c r="Y227" s="341"/>
      <c r="Z227" s="341"/>
      <c r="AA227" s="341"/>
      <c r="AB227" s="341"/>
      <c r="AC227" s="341"/>
      <c r="AD227" s="341"/>
      <c r="AE227" s="341"/>
      <c r="AF227" s="341"/>
      <c r="AG227" s="341"/>
      <c r="AH227" s="341"/>
      <c r="AI227" s="341"/>
      <c r="AJ227" s="341"/>
      <c r="AK227" s="341"/>
      <c r="AL227" s="341"/>
      <c r="AM227" s="341"/>
      <c r="AN227" s="341"/>
      <c r="AO227" s="341"/>
      <c r="AP227" s="341"/>
      <c r="AQ227" s="341"/>
      <c r="AR227" s="341"/>
      <c r="AS227" s="341"/>
    </row>
    <row r="228" spans="1:45" ht="13.2" x14ac:dyDescent="0.25">
      <c r="A228" s="341"/>
      <c r="B228" s="341"/>
      <c r="C228" s="341"/>
      <c r="D228" s="341"/>
      <c r="E228" s="341"/>
      <c r="F228" s="341"/>
      <c r="G228" s="341"/>
      <c r="H228" s="341"/>
      <c r="I228" s="341"/>
      <c r="J228" s="341"/>
      <c r="K228" s="341"/>
      <c r="L228" s="341"/>
      <c r="M228" s="341"/>
      <c r="N228" s="341"/>
      <c r="O228" s="341"/>
      <c r="P228" s="341"/>
      <c r="Q228" s="341"/>
      <c r="R228" s="341"/>
      <c r="S228" s="341"/>
      <c r="T228" s="341"/>
      <c r="U228" s="341"/>
      <c r="V228" s="341"/>
      <c r="W228" s="341"/>
      <c r="X228" s="341"/>
      <c r="Y228" s="341"/>
      <c r="Z228" s="341"/>
      <c r="AA228" s="341"/>
      <c r="AB228" s="341"/>
      <c r="AC228" s="341"/>
      <c r="AD228" s="341"/>
      <c r="AE228" s="341"/>
      <c r="AF228" s="341"/>
      <c r="AG228" s="341"/>
      <c r="AH228" s="341"/>
      <c r="AI228" s="341"/>
      <c r="AJ228" s="341"/>
      <c r="AK228" s="341"/>
      <c r="AL228" s="341"/>
      <c r="AM228" s="341"/>
      <c r="AN228" s="341"/>
      <c r="AO228" s="341"/>
      <c r="AP228" s="341"/>
      <c r="AQ228" s="341"/>
      <c r="AR228" s="341"/>
      <c r="AS228" s="341"/>
    </row>
    <row r="229" spans="1:45" ht="13.2" x14ac:dyDescent="0.25">
      <c r="A229" s="341"/>
      <c r="B229" s="341"/>
      <c r="C229" s="341"/>
      <c r="D229" s="341"/>
      <c r="E229" s="341"/>
      <c r="F229" s="341"/>
      <c r="G229" s="341"/>
      <c r="H229" s="341"/>
      <c r="I229" s="341"/>
      <c r="J229" s="341"/>
      <c r="K229" s="341"/>
      <c r="L229" s="341"/>
      <c r="M229" s="341"/>
      <c r="N229" s="341"/>
      <c r="O229" s="341"/>
      <c r="P229" s="341"/>
      <c r="Q229" s="341"/>
      <c r="R229" s="341"/>
      <c r="S229" s="341"/>
      <c r="T229" s="341"/>
      <c r="U229" s="341"/>
      <c r="V229" s="341"/>
      <c r="W229" s="341"/>
      <c r="X229" s="341"/>
      <c r="Y229" s="341"/>
      <c r="Z229" s="341"/>
      <c r="AA229" s="341"/>
      <c r="AB229" s="341"/>
      <c r="AC229" s="341"/>
      <c r="AD229" s="341"/>
      <c r="AE229" s="341"/>
      <c r="AF229" s="341"/>
      <c r="AG229" s="341"/>
      <c r="AH229" s="341"/>
      <c r="AI229" s="341"/>
      <c r="AJ229" s="341"/>
      <c r="AK229" s="341"/>
      <c r="AL229" s="341"/>
      <c r="AM229" s="341"/>
      <c r="AN229" s="341"/>
      <c r="AO229" s="341"/>
      <c r="AP229" s="341"/>
      <c r="AQ229" s="341"/>
      <c r="AR229" s="341"/>
      <c r="AS229" s="341"/>
    </row>
    <row r="230" spans="1:45" ht="13.2" x14ac:dyDescent="0.25">
      <c r="A230" s="341"/>
      <c r="B230" s="341"/>
      <c r="C230" s="341"/>
      <c r="D230" s="341"/>
      <c r="E230" s="341"/>
      <c r="F230" s="341"/>
      <c r="G230" s="341"/>
      <c r="H230" s="341"/>
      <c r="I230" s="341"/>
      <c r="J230" s="341"/>
      <c r="K230" s="341"/>
      <c r="L230" s="341"/>
      <c r="M230" s="341"/>
      <c r="N230" s="341"/>
      <c r="O230" s="341"/>
      <c r="P230" s="341"/>
      <c r="Q230" s="341"/>
      <c r="R230" s="341"/>
      <c r="S230" s="341"/>
      <c r="T230" s="341"/>
      <c r="U230" s="341"/>
      <c r="V230" s="341"/>
      <c r="W230" s="341"/>
      <c r="X230" s="341"/>
      <c r="Y230" s="341"/>
      <c r="Z230" s="341"/>
      <c r="AA230" s="341"/>
      <c r="AB230" s="341"/>
      <c r="AC230" s="341"/>
      <c r="AD230" s="341"/>
      <c r="AE230" s="341"/>
      <c r="AF230" s="341"/>
      <c r="AG230" s="341"/>
      <c r="AH230" s="341"/>
      <c r="AI230" s="341"/>
      <c r="AJ230" s="341"/>
      <c r="AK230" s="341"/>
      <c r="AL230" s="341"/>
      <c r="AM230" s="341"/>
      <c r="AN230" s="341"/>
      <c r="AO230" s="341"/>
      <c r="AP230" s="341"/>
      <c r="AQ230" s="341"/>
      <c r="AR230" s="341"/>
      <c r="AS230" s="341"/>
    </row>
    <row r="231" spans="1:45" ht="13.2" x14ac:dyDescent="0.25">
      <c r="A231" s="341"/>
      <c r="B231" s="341"/>
      <c r="C231" s="341"/>
      <c r="D231" s="341"/>
      <c r="E231" s="341"/>
      <c r="F231" s="341"/>
      <c r="G231" s="341"/>
      <c r="H231" s="341"/>
      <c r="I231" s="341"/>
      <c r="J231" s="341"/>
      <c r="K231" s="341"/>
      <c r="L231" s="341"/>
      <c r="M231" s="341"/>
      <c r="N231" s="341"/>
      <c r="O231" s="341"/>
      <c r="P231" s="341"/>
      <c r="Q231" s="341"/>
      <c r="R231" s="341"/>
      <c r="S231" s="341"/>
      <c r="T231" s="341"/>
      <c r="U231" s="341"/>
      <c r="V231" s="341"/>
      <c r="W231" s="341"/>
      <c r="X231" s="341"/>
      <c r="Y231" s="341"/>
      <c r="Z231" s="341"/>
      <c r="AA231" s="341"/>
      <c r="AB231" s="341"/>
      <c r="AC231" s="341"/>
      <c r="AD231" s="341"/>
      <c r="AE231" s="341"/>
      <c r="AF231" s="341"/>
      <c r="AG231" s="341"/>
      <c r="AH231" s="341"/>
      <c r="AI231" s="341"/>
      <c r="AJ231" s="341"/>
      <c r="AK231" s="341"/>
      <c r="AL231" s="341"/>
      <c r="AM231" s="341"/>
      <c r="AN231" s="341"/>
      <c r="AO231" s="341"/>
      <c r="AP231" s="341"/>
      <c r="AQ231" s="341"/>
      <c r="AR231" s="341"/>
      <c r="AS231" s="341"/>
    </row>
    <row r="232" spans="1:45" ht="13.2" x14ac:dyDescent="0.25">
      <c r="A232" s="341"/>
      <c r="B232" s="341"/>
      <c r="C232" s="341"/>
      <c r="D232" s="341"/>
      <c r="E232" s="341"/>
      <c r="F232" s="341"/>
      <c r="G232" s="341"/>
      <c r="H232" s="341"/>
      <c r="I232" s="341"/>
      <c r="J232" s="341"/>
      <c r="K232" s="341"/>
      <c r="L232" s="341"/>
      <c r="M232" s="341"/>
      <c r="N232" s="341"/>
      <c r="O232" s="341"/>
      <c r="P232" s="341"/>
      <c r="Q232" s="341"/>
      <c r="R232" s="341"/>
      <c r="S232" s="341"/>
      <c r="T232" s="341"/>
      <c r="U232" s="341"/>
      <c r="V232" s="341"/>
      <c r="W232" s="341"/>
      <c r="X232" s="341"/>
      <c r="Y232" s="341"/>
      <c r="Z232" s="341"/>
      <c r="AA232" s="341"/>
      <c r="AB232" s="341"/>
      <c r="AC232" s="341"/>
      <c r="AD232" s="341"/>
      <c r="AE232" s="341"/>
      <c r="AF232" s="341"/>
      <c r="AG232" s="341"/>
      <c r="AH232" s="341"/>
      <c r="AI232" s="341"/>
      <c r="AJ232" s="341"/>
      <c r="AK232" s="341"/>
      <c r="AL232" s="341"/>
      <c r="AM232" s="341"/>
      <c r="AN232" s="341"/>
      <c r="AO232" s="341"/>
      <c r="AP232" s="341"/>
      <c r="AQ232" s="341"/>
      <c r="AR232" s="341"/>
      <c r="AS232" s="341"/>
    </row>
    <row r="233" spans="1:45" ht="13.2" x14ac:dyDescent="0.25">
      <c r="A233" s="341"/>
      <c r="B233" s="341"/>
      <c r="C233" s="341"/>
      <c r="D233" s="341"/>
      <c r="E233" s="341"/>
      <c r="F233" s="341"/>
      <c r="G233" s="341"/>
      <c r="H233" s="341"/>
      <c r="I233" s="341"/>
      <c r="J233" s="341"/>
      <c r="K233" s="341"/>
      <c r="L233" s="341"/>
      <c r="M233" s="341"/>
      <c r="N233" s="341"/>
      <c r="O233" s="341"/>
      <c r="P233" s="341"/>
      <c r="Q233" s="341"/>
      <c r="R233" s="341"/>
      <c r="S233" s="341"/>
      <c r="T233" s="341"/>
      <c r="U233" s="341"/>
      <c r="V233" s="341"/>
      <c r="W233" s="341"/>
      <c r="X233" s="341"/>
      <c r="Y233" s="341"/>
      <c r="Z233" s="341"/>
      <c r="AA233" s="341"/>
      <c r="AB233" s="341"/>
      <c r="AC233" s="341"/>
      <c r="AD233" s="341"/>
      <c r="AE233" s="341"/>
      <c r="AF233" s="341"/>
      <c r="AG233" s="341"/>
      <c r="AH233" s="341"/>
      <c r="AI233" s="341"/>
      <c r="AJ233" s="341"/>
      <c r="AK233" s="341"/>
      <c r="AL233" s="341"/>
      <c r="AM233" s="341"/>
      <c r="AN233" s="341"/>
      <c r="AO233" s="341"/>
      <c r="AP233" s="341"/>
      <c r="AQ233" s="341"/>
      <c r="AR233" s="341"/>
      <c r="AS233" s="341"/>
    </row>
    <row r="234" spans="1:45" ht="13.2" x14ac:dyDescent="0.25">
      <c r="A234" s="341"/>
      <c r="B234" s="341"/>
      <c r="C234" s="341"/>
      <c r="D234" s="341"/>
      <c r="E234" s="341"/>
      <c r="F234" s="341"/>
      <c r="G234" s="341"/>
      <c r="H234" s="341"/>
      <c r="I234" s="341"/>
      <c r="J234" s="341"/>
      <c r="K234" s="341"/>
      <c r="L234" s="341"/>
      <c r="M234" s="341"/>
      <c r="N234" s="341"/>
      <c r="O234" s="341"/>
      <c r="P234" s="341"/>
      <c r="Q234" s="341"/>
      <c r="R234" s="341"/>
      <c r="S234" s="341"/>
      <c r="T234" s="341"/>
      <c r="U234" s="341"/>
      <c r="V234" s="341"/>
      <c r="W234" s="341"/>
      <c r="X234" s="341"/>
      <c r="Y234" s="341"/>
      <c r="Z234" s="341"/>
      <c r="AA234" s="341"/>
      <c r="AB234" s="341"/>
      <c r="AC234" s="341"/>
      <c r="AD234" s="341"/>
      <c r="AE234" s="341"/>
      <c r="AF234" s="341"/>
      <c r="AG234" s="341"/>
      <c r="AH234" s="341"/>
      <c r="AI234" s="341"/>
      <c r="AJ234" s="341"/>
      <c r="AK234" s="341"/>
      <c r="AL234" s="341"/>
      <c r="AM234" s="341"/>
      <c r="AN234" s="341"/>
      <c r="AO234" s="341"/>
      <c r="AP234" s="341"/>
      <c r="AQ234" s="341"/>
      <c r="AR234" s="341"/>
      <c r="AS234" s="341"/>
    </row>
    <row r="235" spans="1:45" ht="13.2" x14ac:dyDescent="0.25">
      <c r="A235" s="341"/>
      <c r="B235" s="341"/>
      <c r="C235" s="341"/>
      <c r="D235" s="341"/>
      <c r="E235" s="341"/>
      <c r="F235" s="341"/>
      <c r="G235" s="341"/>
      <c r="H235" s="341"/>
      <c r="I235" s="341"/>
      <c r="J235" s="341"/>
      <c r="K235" s="341"/>
      <c r="L235" s="341"/>
      <c r="M235" s="341"/>
      <c r="N235" s="341"/>
      <c r="O235" s="341"/>
      <c r="P235" s="341"/>
      <c r="Q235" s="341"/>
      <c r="R235" s="341"/>
      <c r="S235" s="341"/>
      <c r="T235" s="341"/>
      <c r="U235" s="341"/>
      <c r="V235" s="341"/>
      <c r="W235" s="341"/>
      <c r="X235" s="341"/>
      <c r="Y235" s="341"/>
      <c r="Z235" s="341"/>
      <c r="AA235" s="341"/>
      <c r="AB235" s="341"/>
      <c r="AC235" s="341"/>
      <c r="AD235" s="341"/>
      <c r="AE235" s="341"/>
      <c r="AF235" s="341"/>
      <c r="AG235" s="341"/>
      <c r="AH235" s="341"/>
      <c r="AI235" s="341"/>
      <c r="AJ235" s="341"/>
      <c r="AK235" s="341"/>
      <c r="AL235" s="341"/>
      <c r="AM235" s="341"/>
      <c r="AN235" s="341"/>
      <c r="AO235" s="341"/>
      <c r="AP235" s="341"/>
      <c r="AQ235" s="341"/>
      <c r="AR235" s="341"/>
      <c r="AS235" s="341"/>
    </row>
    <row r="236" spans="1:45" ht="13.2" x14ac:dyDescent="0.25">
      <c r="A236" s="341"/>
      <c r="B236" s="341"/>
      <c r="C236" s="341"/>
      <c r="D236" s="341"/>
      <c r="E236" s="341"/>
      <c r="F236" s="341"/>
      <c r="G236" s="341"/>
      <c r="H236" s="341"/>
      <c r="I236" s="341"/>
      <c r="J236" s="341"/>
      <c r="K236" s="341"/>
      <c r="L236" s="341"/>
      <c r="M236" s="341"/>
      <c r="N236" s="341"/>
      <c r="O236" s="341"/>
      <c r="P236" s="341"/>
      <c r="Q236" s="341"/>
      <c r="R236" s="341"/>
      <c r="S236" s="341"/>
      <c r="T236" s="341"/>
      <c r="U236" s="341"/>
      <c r="V236" s="341"/>
      <c r="W236" s="341"/>
      <c r="X236" s="341"/>
      <c r="Y236" s="341"/>
      <c r="Z236" s="341"/>
      <c r="AA236" s="341"/>
      <c r="AB236" s="341"/>
      <c r="AC236" s="341"/>
      <c r="AD236" s="341"/>
      <c r="AE236" s="341"/>
      <c r="AF236" s="341"/>
      <c r="AG236" s="341"/>
      <c r="AH236" s="341"/>
      <c r="AI236" s="341"/>
      <c r="AJ236" s="341"/>
      <c r="AK236" s="341"/>
      <c r="AL236" s="341"/>
      <c r="AM236" s="341"/>
      <c r="AN236" s="341"/>
      <c r="AO236" s="341"/>
      <c r="AP236" s="341"/>
      <c r="AQ236" s="341"/>
      <c r="AR236" s="341"/>
      <c r="AS236" s="341"/>
    </row>
    <row r="237" spans="1:45" ht="13.2" x14ac:dyDescent="0.25">
      <c r="A237" s="341"/>
      <c r="B237" s="341"/>
      <c r="C237" s="341"/>
      <c r="D237" s="341"/>
      <c r="E237" s="341"/>
      <c r="F237" s="341"/>
      <c r="G237" s="341"/>
      <c r="H237" s="341"/>
      <c r="I237" s="341"/>
      <c r="J237" s="341"/>
      <c r="K237" s="341"/>
      <c r="L237" s="341"/>
      <c r="M237" s="341"/>
      <c r="N237" s="341"/>
      <c r="O237" s="341"/>
      <c r="P237" s="341"/>
      <c r="Q237" s="341"/>
      <c r="R237" s="341"/>
      <c r="S237" s="341"/>
      <c r="T237" s="341"/>
      <c r="U237" s="341"/>
      <c r="V237" s="341"/>
      <c r="W237" s="341"/>
      <c r="X237" s="341"/>
      <c r="Y237" s="341"/>
      <c r="Z237" s="341"/>
      <c r="AA237" s="341"/>
      <c r="AB237" s="341"/>
      <c r="AC237" s="341"/>
      <c r="AD237" s="341"/>
      <c r="AE237" s="341"/>
      <c r="AF237" s="341"/>
      <c r="AG237" s="341"/>
      <c r="AH237" s="341"/>
      <c r="AI237" s="341"/>
      <c r="AJ237" s="341"/>
      <c r="AK237" s="341"/>
      <c r="AL237" s="341"/>
      <c r="AM237" s="341"/>
      <c r="AN237" s="341"/>
      <c r="AO237" s="341"/>
      <c r="AP237" s="341"/>
      <c r="AQ237" s="341"/>
      <c r="AR237" s="341"/>
      <c r="AS237" s="341"/>
    </row>
    <row r="238" spans="1:45" ht="13.2" x14ac:dyDescent="0.25">
      <c r="A238" s="341"/>
      <c r="B238" s="341"/>
      <c r="C238" s="341"/>
      <c r="D238" s="341"/>
      <c r="E238" s="341"/>
      <c r="F238" s="341"/>
      <c r="G238" s="341"/>
      <c r="H238" s="341"/>
      <c r="I238" s="341"/>
      <c r="J238" s="341"/>
      <c r="K238" s="341"/>
      <c r="L238" s="341"/>
      <c r="M238" s="341"/>
      <c r="N238" s="341"/>
      <c r="O238" s="341"/>
      <c r="P238" s="341"/>
      <c r="Q238" s="341"/>
      <c r="R238" s="341"/>
      <c r="S238" s="341"/>
      <c r="T238" s="341"/>
      <c r="U238" s="341"/>
      <c r="V238" s="341"/>
      <c r="W238" s="341"/>
      <c r="X238" s="341"/>
      <c r="Y238" s="341"/>
      <c r="Z238" s="341"/>
      <c r="AA238" s="341"/>
      <c r="AB238" s="341"/>
      <c r="AC238" s="341"/>
      <c r="AD238" s="341"/>
      <c r="AE238" s="341"/>
      <c r="AF238" s="341"/>
      <c r="AG238" s="341"/>
      <c r="AH238" s="341"/>
      <c r="AI238" s="341"/>
      <c r="AJ238" s="341"/>
      <c r="AK238" s="341"/>
      <c r="AL238" s="341"/>
      <c r="AM238" s="341"/>
      <c r="AN238" s="341"/>
      <c r="AO238" s="341"/>
      <c r="AP238" s="341"/>
      <c r="AQ238" s="341"/>
      <c r="AR238" s="341"/>
      <c r="AS238" s="341"/>
    </row>
    <row r="239" spans="1:45" ht="13.2" x14ac:dyDescent="0.25">
      <c r="A239" s="341"/>
      <c r="B239" s="341"/>
      <c r="C239" s="341"/>
      <c r="D239" s="341"/>
      <c r="E239" s="341"/>
      <c r="F239" s="341"/>
      <c r="G239" s="341"/>
      <c r="H239" s="341"/>
      <c r="I239" s="341"/>
      <c r="J239" s="341"/>
      <c r="K239" s="341"/>
      <c r="L239" s="341"/>
      <c r="M239" s="341"/>
      <c r="N239" s="341"/>
      <c r="O239" s="341"/>
      <c r="P239" s="341"/>
      <c r="Q239" s="341"/>
      <c r="R239" s="341"/>
      <c r="S239" s="341"/>
      <c r="T239" s="341"/>
      <c r="U239" s="341"/>
      <c r="V239" s="341"/>
      <c r="W239" s="341"/>
      <c r="X239" s="341"/>
      <c r="Y239" s="341"/>
      <c r="Z239" s="341"/>
      <c r="AA239" s="341"/>
      <c r="AB239" s="341"/>
      <c r="AC239" s="341"/>
      <c r="AD239" s="341"/>
      <c r="AE239" s="341"/>
      <c r="AF239" s="341"/>
      <c r="AG239" s="341"/>
      <c r="AH239" s="341"/>
      <c r="AI239" s="341"/>
      <c r="AJ239" s="341"/>
      <c r="AK239" s="341"/>
      <c r="AL239" s="341"/>
      <c r="AM239" s="341"/>
      <c r="AN239" s="341"/>
      <c r="AO239" s="341"/>
      <c r="AP239" s="341"/>
      <c r="AQ239" s="341"/>
      <c r="AR239" s="341"/>
      <c r="AS239" s="341"/>
    </row>
    <row r="240" spans="1:45" ht="13.2" x14ac:dyDescent="0.25">
      <c r="A240" s="341"/>
      <c r="B240" s="341"/>
      <c r="C240" s="341"/>
      <c r="D240" s="341"/>
      <c r="E240" s="341"/>
      <c r="F240" s="341"/>
      <c r="G240" s="341"/>
      <c r="H240" s="341"/>
      <c r="I240" s="341"/>
      <c r="J240" s="341"/>
      <c r="K240" s="341"/>
      <c r="L240" s="341"/>
      <c r="M240" s="341"/>
      <c r="N240" s="341"/>
      <c r="O240" s="341"/>
      <c r="P240" s="341"/>
      <c r="Q240" s="341"/>
      <c r="R240" s="341"/>
      <c r="S240" s="341"/>
      <c r="T240" s="341"/>
      <c r="U240" s="341"/>
      <c r="V240" s="341"/>
      <c r="W240" s="341"/>
      <c r="X240" s="341"/>
      <c r="Y240" s="341"/>
      <c r="Z240" s="341"/>
      <c r="AA240" s="341"/>
      <c r="AB240" s="341"/>
      <c r="AC240" s="341"/>
      <c r="AD240" s="341"/>
      <c r="AE240" s="341"/>
      <c r="AF240" s="341"/>
      <c r="AG240" s="341"/>
      <c r="AH240" s="341"/>
      <c r="AI240" s="341"/>
      <c r="AJ240" s="341"/>
      <c r="AK240" s="341"/>
      <c r="AL240" s="341"/>
      <c r="AM240" s="341"/>
      <c r="AN240" s="341"/>
      <c r="AO240" s="341"/>
      <c r="AP240" s="341"/>
      <c r="AQ240" s="341"/>
      <c r="AR240" s="341"/>
      <c r="AS240" s="341"/>
    </row>
    <row r="241" spans="1:45" ht="13.2" x14ac:dyDescent="0.25">
      <c r="A241" s="341"/>
      <c r="B241" s="341"/>
      <c r="C241" s="341"/>
      <c r="D241" s="341"/>
      <c r="E241" s="341"/>
      <c r="F241" s="341"/>
      <c r="G241" s="341"/>
      <c r="H241" s="341"/>
      <c r="I241" s="341"/>
      <c r="J241" s="341"/>
      <c r="K241" s="341"/>
      <c r="L241" s="341"/>
      <c r="M241" s="341"/>
      <c r="N241" s="341"/>
      <c r="O241" s="341"/>
      <c r="P241" s="341"/>
      <c r="Q241" s="341"/>
      <c r="R241" s="341"/>
      <c r="S241" s="341"/>
      <c r="T241" s="341"/>
      <c r="U241" s="341"/>
      <c r="V241" s="341"/>
      <c r="W241" s="341"/>
      <c r="X241" s="341"/>
      <c r="Y241" s="341"/>
      <c r="Z241" s="341"/>
      <c r="AA241" s="341"/>
      <c r="AB241" s="341"/>
      <c r="AC241" s="341"/>
      <c r="AD241" s="341"/>
      <c r="AE241" s="341"/>
      <c r="AF241" s="341"/>
      <c r="AG241" s="341"/>
      <c r="AH241" s="341"/>
      <c r="AI241" s="341"/>
      <c r="AJ241" s="341"/>
      <c r="AK241" s="341"/>
      <c r="AL241" s="341"/>
      <c r="AM241" s="341"/>
      <c r="AN241" s="341"/>
      <c r="AO241" s="341"/>
      <c r="AP241" s="341"/>
      <c r="AQ241" s="341"/>
      <c r="AR241" s="341"/>
      <c r="AS241" s="341"/>
    </row>
    <row r="242" spans="1:45" ht="13.2" x14ac:dyDescent="0.25">
      <c r="A242" s="341"/>
      <c r="B242" s="341"/>
      <c r="C242" s="341"/>
      <c r="D242" s="341"/>
      <c r="E242" s="341"/>
      <c r="F242" s="341"/>
      <c r="G242" s="341"/>
      <c r="H242" s="341"/>
      <c r="I242" s="341"/>
      <c r="J242" s="341"/>
      <c r="K242" s="341"/>
      <c r="L242" s="341"/>
      <c r="M242" s="341"/>
      <c r="N242" s="341"/>
      <c r="O242" s="341"/>
      <c r="P242" s="341"/>
      <c r="Q242" s="341"/>
      <c r="R242" s="341"/>
      <c r="S242" s="341"/>
      <c r="T242" s="341"/>
      <c r="U242" s="341"/>
      <c r="V242" s="341"/>
      <c r="W242" s="341"/>
      <c r="X242" s="341"/>
      <c r="Y242" s="341"/>
      <c r="Z242" s="341"/>
      <c r="AA242" s="341"/>
      <c r="AB242" s="341"/>
      <c r="AC242" s="341"/>
      <c r="AD242" s="341"/>
      <c r="AE242" s="341"/>
      <c r="AF242" s="341"/>
      <c r="AG242" s="341"/>
      <c r="AH242" s="341"/>
      <c r="AI242" s="341"/>
      <c r="AJ242" s="341"/>
      <c r="AK242" s="341"/>
      <c r="AL242" s="341"/>
      <c r="AM242" s="341"/>
      <c r="AN242" s="341"/>
      <c r="AO242" s="341"/>
      <c r="AP242" s="341"/>
      <c r="AQ242" s="341"/>
      <c r="AR242" s="341"/>
      <c r="AS242" s="341"/>
    </row>
    <row r="243" spans="1:45" ht="13.2" x14ac:dyDescent="0.25">
      <c r="A243" s="341"/>
      <c r="B243" s="341"/>
      <c r="C243" s="341"/>
      <c r="D243" s="341"/>
      <c r="E243" s="341"/>
      <c r="F243" s="341"/>
      <c r="G243" s="341"/>
      <c r="H243" s="341"/>
      <c r="I243" s="341"/>
      <c r="J243" s="341"/>
      <c r="K243" s="341"/>
      <c r="L243" s="341"/>
      <c r="M243" s="341"/>
      <c r="N243" s="341"/>
      <c r="O243" s="341"/>
      <c r="P243" s="341"/>
      <c r="Q243" s="341"/>
      <c r="R243" s="341"/>
      <c r="S243" s="341"/>
      <c r="T243" s="341"/>
      <c r="U243" s="341"/>
      <c r="V243" s="341"/>
      <c r="W243" s="341"/>
      <c r="X243" s="341"/>
      <c r="Y243" s="341"/>
      <c r="Z243" s="341"/>
      <c r="AA243" s="341"/>
      <c r="AB243" s="341"/>
      <c r="AC243" s="341"/>
      <c r="AD243" s="341"/>
      <c r="AE243" s="341"/>
      <c r="AF243" s="341"/>
      <c r="AG243" s="341"/>
      <c r="AH243" s="341"/>
      <c r="AI243" s="341"/>
      <c r="AJ243" s="341"/>
      <c r="AK243" s="341"/>
      <c r="AL243" s="341"/>
      <c r="AM243" s="341"/>
      <c r="AN243" s="341"/>
      <c r="AO243" s="341"/>
      <c r="AP243" s="341"/>
      <c r="AQ243" s="341"/>
      <c r="AR243" s="341"/>
      <c r="AS243" s="341"/>
    </row>
    <row r="244" spans="1:45" ht="13.2" x14ac:dyDescent="0.25">
      <c r="A244" s="341"/>
      <c r="B244" s="341"/>
      <c r="C244" s="341"/>
      <c r="D244" s="341"/>
      <c r="E244" s="341"/>
      <c r="F244" s="341"/>
      <c r="G244" s="341"/>
      <c r="H244" s="341"/>
      <c r="I244" s="341"/>
      <c r="J244" s="341"/>
      <c r="K244" s="341"/>
      <c r="L244" s="341"/>
      <c r="M244" s="341"/>
      <c r="N244" s="341"/>
      <c r="O244" s="341"/>
      <c r="P244" s="341"/>
      <c r="Q244" s="341"/>
      <c r="R244" s="341"/>
      <c r="S244" s="341"/>
      <c r="T244" s="341"/>
      <c r="U244" s="341"/>
      <c r="V244" s="341"/>
      <c r="W244" s="341"/>
      <c r="X244" s="341"/>
      <c r="Y244" s="341"/>
      <c r="Z244" s="341"/>
      <c r="AA244" s="341"/>
      <c r="AB244" s="341"/>
      <c r="AC244" s="341"/>
      <c r="AD244" s="341"/>
      <c r="AE244" s="341"/>
      <c r="AF244" s="341"/>
      <c r="AG244" s="341"/>
      <c r="AH244" s="341"/>
      <c r="AI244" s="341"/>
      <c r="AJ244" s="341"/>
      <c r="AK244" s="341"/>
      <c r="AL244" s="341"/>
      <c r="AM244" s="341"/>
      <c r="AN244" s="341"/>
      <c r="AO244" s="341"/>
      <c r="AP244" s="341"/>
      <c r="AQ244" s="341"/>
      <c r="AR244" s="341"/>
      <c r="AS244" s="341"/>
    </row>
    <row r="245" spans="1:45" ht="13.2" x14ac:dyDescent="0.25">
      <c r="A245" s="341"/>
      <c r="B245" s="341"/>
      <c r="C245" s="341"/>
      <c r="D245" s="341"/>
      <c r="E245" s="341"/>
      <c r="F245" s="341"/>
      <c r="G245" s="341"/>
      <c r="H245" s="341"/>
      <c r="I245" s="341"/>
      <c r="J245" s="341"/>
      <c r="K245" s="341"/>
      <c r="L245" s="341"/>
      <c r="M245" s="341"/>
      <c r="N245" s="341"/>
      <c r="O245" s="341"/>
      <c r="P245" s="341"/>
      <c r="Q245" s="341"/>
      <c r="R245" s="341"/>
      <c r="S245" s="341"/>
      <c r="T245" s="341"/>
      <c r="U245" s="341"/>
      <c r="V245" s="341"/>
      <c r="W245" s="341"/>
      <c r="X245" s="341"/>
      <c r="Y245" s="341"/>
      <c r="Z245" s="341"/>
      <c r="AA245" s="341"/>
      <c r="AB245" s="341"/>
      <c r="AC245" s="341"/>
      <c r="AD245" s="341"/>
      <c r="AE245" s="341"/>
      <c r="AF245" s="341"/>
      <c r="AG245" s="341"/>
      <c r="AH245" s="341"/>
      <c r="AI245" s="341"/>
      <c r="AJ245" s="341"/>
      <c r="AK245" s="341"/>
      <c r="AL245" s="341"/>
      <c r="AM245" s="341"/>
      <c r="AN245" s="341"/>
      <c r="AO245" s="341"/>
      <c r="AP245" s="341"/>
      <c r="AQ245" s="341"/>
      <c r="AR245" s="341"/>
      <c r="AS245" s="341"/>
    </row>
    <row r="246" spans="1:45" ht="13.2" x14ac:dyDescent="0.25">
      <c r="A246" s="341"/>
      <c r="B246" s="341"/>
      <c r="C246" s="341"/>
      <c r="D246" s="341"/>
      <c r="E246" s="341"/>
      <c r="F246" s="341"/>
      <c r="G246" s="341"/>
      <c r="H246" s="341"/>
      <c r="I246" s="341"/>
      <c r="J246" s="341"/>
      <c r="K246" s="341"/>
      <c r="L246" s="341"/>
      <c r="M246" s="341"/>
      <c r="N246" s="341"/>
      <c r="O246" s="341"/>
      <c r="P246" s="341"/>
      <c r="Q246" s="341"/>
      <c r="R246" s="341"/>
      <c r="S246" s="341"/>
      <c r="T246" s="341"/>
      <c r="U246" s="341"/>
      <c r="V246" s="341"/>
      <c r="W246" s="341"/>
      <c r="X246" s="341"/>
      <c r="Y246" s="341"/>
      <c r="Z246" s="341"/>
      <c r="AA246" s="341"/>
      <c r="AB246" s="341"/>
      <c r="AC246" s="341"/>
      <c r="AD246" s="341"/>
      <c r="AE246" s="341"/>
      <c r="AF246" s="341"/>
      <c r="AG246" s="341"/>
      <c r="AH246" s="341"/>
      <c r="AI246" s="341"/>
      <c r="AJ246" s="341"/>
      <c r="AK246" s="341"/>
      <c r="AL246" s="341"/>
      <c r="AM246" s="341"/>
      <c r="AN246" s="341"/>
      <c r="AO246" s="341"/>
      <c r="AP246" s="341"/>
      <c r="AQ246" s="341"/>
      <c r="AR246" s="341"/>
      <c r="AS246" s="341"/>
    </row>
    <row r="247" spans="1:45" ht="13.2" x14ac:dyDescent="0.25">
      <c r="A247" s="341"/>
      <c r="B247" s="341"/>
      <c r="C247" s="341"/>
      <c r="D247" s="341"/>
      <c r="E247" s="341"/>
      <c r="F247" s="341"/>
      <c r="G247" s="341"/>
      <c r="H247" s="341"/>
      <c r="I247" s="341"/>
      <c r="J247" s="341"/>
      <c r="K247" s="341"/>
      <c r="L247" s="341"/>
      <c r="M247" s="341"/>
      <c r="N247" s="341"/>
      <c r="O247" s="341"/>
      <c r="P247" s="341"/>
      <c r="Q247" s="341"/>
      <c r="R247" s="341"/>
      <c r="S247" s="341"/>
      <c r="T247" s="341"/>
      <c r="U247" s="341"/>
      <c r="V247" s="341"/>
      <c r="W247" s="341"/>
      <c r="X247" s="341"/>
      <c r="Y247" s="341"/>
      <c r="Z247" s="341"/>
      <c r="AA247" s="341"/>
      <c r="AB247" s="341"/>
      <c r="AC247" s="341"/>
      <c r="AD247" s="341"/>
      <c r="AE247" s="341"/>
      <c r="AF247" s="341"/>
      <c r="AG247" s="341"/>
      <c r="AH247" s="341"/>
      <c r="AI247" s="341"/>
      <c r="AJ247" s="341"/>
      <c r="AK247" s="341"/>
      <c r="AL247" s="341"/>
      <c r="AM247" s="341"/>
      <c r="AN247" s="341"/>
      <c r="AO247" s="341"/>
      <c r="AP247" s="341"/>
      <c r="AQ247" s="341"/>
      <c r="AR247" s="341"/>
      <c r="AS247" s="341"/>
    </row>
    <row r="248" spans="1:45" ht="13.2" x14ac:dyDescent="0.25">
      <c r="A248" s="341"/>
      <c r="B248" s="341"/>
      <c r="C248" s="341"/>
      <c r="D248" s="341"/>
      <c r="E248" s="341"/>
      <c r="F248" s="341"/>
      <c r="G248" s="341"/>
      <c r="H248" s="341"/>
      <c r="I248" s="341"/>
      <c r="J248" s="341"/>
      <c r="K248" s="341"/>
      <c r="L248" s="341"/>
      <c r="M248" s="341"/>
      <c r="N248" s="341"/>
      <c r="O248" s="341"/>
      <c r="P248" s="341"/>
      <c r="Q248" s="341"/>
      <c r="R248" s="341"/>
      <c r="S248" s="341"/>
      <c r="T248" s="341"/>
      <c r="U248" s="341"/>
      <c r="V248" s="341"/>
      <c r="W248" s="341"/>
      <c r="X248" s="341"/>
      <c r="Y248" s="341"/>
      <c r="Z248" s="341"/>
      <c r="AA248" s="341"/>
      <c r="AB248" s="341"/>
      <c r="AC248" s="341"/>
      <c r="AD248" s="341"/>
      <c r="AE248" s="341"/>
      <c r="AF248" s="341"/>
      <c r="AG248" s="341"/>
      <c r="AH248" s="341"/>
      <c r="AI248" s="341"/>
      <c r="AJ248" s="341"/>
      <c r="AK248" s="341"/>
      <c r="AL248" s="341"/>
      <c r="AM248" s="341"/>
      <c r="AN248" s="341"/>
      <c r="AO248" s="341"/>
      <c r="AP248" s="341"/>
      <c r="AQ248" s="341"/>
      <c r="AR248" s="341"/>
      <c r="AS248" s="341"/>
    </row>
    <row r="249" spans="1:45" ht="13.2" x14ac:dyDescent="0.25">
      <c r="A249" s="341"/>
      <c r="B249" s="341"/>
      <c r="C249" s="341"/>
      <c r="D249" s="341"/>
      <c r="E249" s="341"/>
      <c r="F249" s="341"/>
      <c r="G249" s="341"/>
      <c r="H249" s="341"/>
      <c r="I249" s="341"/>
      <c r="J249" s="341"/>
      <c r="K249" s="341"/>
      <c r="L249" s="341"/>
      <c r="M249" s="341"/>
      <c r="N249" s="341"/>
      <c r="O249" s="341"/>
      <c r="P249" s="341"/>
      <c r="Q249" s="341"/>
      <c r="R249" s="341"/>
      <c r="S249" s="341"/>
      <c r="T249" s="341"/>
      <c r="U249" s="341"/>
      <c r="V249" s="341"/>
      <c r="W249" s="341"/>
      <c r="X249" s="341"/>
      <c r="Y249" s="341"/>
      <c r="Z249" s="341"/>
      <c r="AA249" s="341"/>
      <c r="AB249" s="341"/>
      <c r="AC249" s="341"/>
      <c r="AD249" s="341"/>
      <c r="AE249" s="341"/>
      <c r="AF249" s="341"/>
      <c r="AG249" s="341"/>
      <c r="AH249" s="341"/>
      <c r="AI249" s="341"/>
      <c r="AJ249" s="341"/>
      <c r="AK249" s="341"/>
      <c r="AL249" s="341"/>
      <c r="AM249" s="341"/>
      <c r="AN249" s="341"/>
      <c r="AO249" s="341"/>
      <c r="AP249" s="341"/>
      <c r="AQ249" s="341"/>
      <c r="AR249" s="341"/>
      <c r="AS249" s="341"/>
    </row>
    <row r="250" spans="1:45" ht="13.2" x14ac:dyDescent="0.25">
      <c r="A250" s="341"/>
      <c r="B250" s="341"/>
      <c r="C250" s="341"/>
      <c r="D250" s="341"/>
      <c r="E250" s="341"/>
      <c r="F250" s="341"/>
      <c r="G250" s="341"/>
      <c r="H250" s="341"/>
      <c r="I250" s="341"/>
      <c r="J250" s="341"/>
      <c r="K250" s="341"/>
      <c r="L250" s="341"/>
      <c r="M250" s="341"/>
      <c r="N250" s="341"/>
      <c r="O250" s="341"/>
      <c r="P250" s="341"/>
      <c r="Q250" s="341"/>
      <c r="R250" s="341"/>
      <c r="S250" s="341"/>
      <c r="T250" s="341"/>
      <c r="U250" s="341"/>
      <c r="V250" s="341"/>
      <c r="W250" s="341"/>
      <c r="X250" s="341"/>
      <c r="Y250" s="341"/>
      <c r="Z250" s="341"/>
      <c r="AA250" s="341"/>
      <c r="AB250" s="341"/>
      <c r="AC250" s="341"/>
      <c r="AD250" s="341"/>
      <c r="AE250" s="341"/>
      <c r="AF250" s="341"/>
      <c r="AG250" s="341"/>
      <c r="AH250" s="341"/>
      <c r="AI250" s="341"/>
      <c r="AJ250" s="341"/>
      <c r="AK250" s="341"/>
      <c r="AL250" s="341"/>
      <c r="AM250" s="341"/>
      <c r="AN250" s="341"/>
      <c r="AO250" s="341"/>
      <c r="AP250" s="341"/>
      <c r="AQ250" s="341"/>
      <c r="AR250" s="341"/>
      <c r="AS250" s="341"/>
    </row>
    <row r="251" spans="1:45" ht="13.2" x14ac:dyDescent="0.25">
      <c r="A251" s="341"/>
      <c r="B251" s="341"/>
      <c r="C251" s="341"/>
      <c r="D251" s="341"/>
      <c r="E251" s="341"/>
      <c r="F251" s="341"/>
      <c r="G251" s="341"/>
      <c r="H251" s="341"/>
      <c r="I251" s="341"/>
      <c r="J251" s="341"/>
      <c r="K251" s="341"/>
      <c r="L251" s="341"/>
      <c r="M251" s="341"/>
      <c r="N251" s="341"/>
      <c r="O251" s="341"/>
      <c r="P251" s="341"/>
      <c r="Q251" s="341"/>
      <c r="R251" s="341"/>
      <c r="S251" s="341"/>
      <c r="T251" s="341"/>
      <c r="U251" s="341"/>
      <c r="V251" s="341"/>
      <c r="W251" s="341"/>
      <c r="X251" s="341"/>
      <c r="Y251" s="341"/>
      <c r="Z251" s="341"/>
      <c r="AA251" s="341"/>
      <c r="AB251" s="341"/>
      <c r="AC251" s="341"/>
      <c r="AD251" s="341"/>
      <c r="AE251" s="341"/>
      <c r="AF251" s="341"/>
      <c r="AG251" s="341"/>
      <c r="AH251" s="341"/>
      <c r="AI251" s="341"/>
      <c r="AJ251" s="341"/>
      <c r="AK251" s="341"/>
      <c r="AL251" s="341"/>
      <c r="AM251" s="341"/>
      <c r="AN251" s="341"/>
      <c r="AO251" s="341"/>
      <c r="AP251" s="341"/>
      <c r="AQ251" s="341"/>
      <c r="AR251" s="341"/>
      <c r="AS251" s="341"/>
    </row>
    <row r="252" spans="1:45" ht="13.2" x14ac:dyDescent="0.25">
      <c r="A252" s="341"/>
      <c r="B252" s="341"/>
      <c r="C252" s="341"/>
      <c r="D252" s="341"/>
      <c r="E252" s="341"/>
      <c r="F252" s="341"/>
      <c r="G252" s="341"/>
      <c r="H252" s="341"/>
      <c r="I252" s="341"/>
      <c r="J252" s="341"/>
      <c r="K252" s="341"/>
      <c r="L252" s="341"/>
      <c r="M252" s="341"/>
      <c r="N252" s="341"/>
      <c r="O252" s="341"/>
      <c r="P252" s="341"/>
      <c r="Q252" s="341"/>
      <c r="R252" s="341"/>
      <c r="S252" s="341"/>
      <c r="T252" s="341"/>
      <c r="U252" s="341"/>
      <c r="V252" s="341"/>
      <c r="W252" s="341"/>
      <c r="X252" s="341"/>
      <c r="Y252" s="341"/>
      <c r="Z252" s="341"/>
      <c r="AA252" s="341"/>
      <c r="AB252" s="341"/>
      <c r="AC252" s="341"/>
      <c r="AD252" s="341"/>
      <c r="AE252" s="341"/>
      <c r="AF252" s="341"/>
      <c r="AG252" s="341"/>
      <c r="AH252" s="341"/>
      <c r="AI252" s="341"/>
      <c r="AJ252" s="341"/>
      <c r="AK252" s="341"/>
      <c r="AL252" s="341"/>
      <c r="AM252" s="341"/>
      <c r="AN252" s="341"/>
      <c r="AO252" s="341"/>
      <c r="AP252" s="341"/>
      <c r="AQ252" s="341"/>
      <c r="AR252" s="341"/>
      <c r="AS252" s="341"/>
    </row>
    <row r="253" spans="1:45" ht="13.2" x14ac:dyDescent="0.25">
      <c r="A253" s="341"/>
      <c r="B253" s="341"/>
      <c r="C253" s="341"/>
      <c r="D253" s="341"/>
      <c r="E253" s="341"/>
      <c r="F253" s="341"/>
      <c r="G253" s="341"/>
      <c r="H253" s="341"/>
      <c r="I253" s="341"/>
      <c r="J253" s="341"/>
      <c r="K253" s="341"/>
      <c r="L253" s="341"/>
      <c r="M253" s="341"/>
      <c r="N253" s="341"/>
      <c r="O253" s="341"/>
      <c r="P253" s="341"/>
      <c r="Q253" s="341"/>
      <c r="R253" s="341"/>
      <c r="S253" s="341"/>
      <c r="T253" s="341"/>
      <c r="U253" s="341"/>
      <c r="V253" s="341"/>
      <c r="W253" s="341"/>
      <c r="X253" s="341"/>
      <c r="Y253" s="341"/>
      <c r="Z253" s="341"/>
      <c r="AA253" s="341"/>
      <c r="AB253" s="341"/>
      <c r="AC253" s="341"/>
      <c r="AD253" s="341"/>
      <c r="AE253" s="341"/>
      <c r="AF253" s="341"/>
      <c r="AG253" s="341"/>
      <c r="AH253" s="341"/>
      <c r="AI253" s="341"/>
      <c r="AJ253" s="341"/>
      <c r="AK253" s="341"/>
      <c r="AL253" s="341"/>
      <c r="AM253" s="341"/>
      <c r="AN253" s="341"/>
      <c r="AO253" s="341"/>
      <c r="AP253" s="341"/>
      <c r="AQ253" s="341"/>
      <c r="AR253" s="341"/>
      <c r="AS253" s="341"/>
    </row>
    <row r="254" spans="1:45" ht="13.2" x14ac:dyDescent="0.25">
      <c r="A254" s="341"/>
      <c r="B254" s="341"/>
      <c r="C254" s="341"/>
      <c r="D254" s="341"/>
      <c r="E254" s="341"/>
      <c r="F254" s="341"/>
      <c r="G254" s="341"/>
      <c r="H254" s="341"/>
      <c r="I254" s="341"/>
      <c r="J254" s="341"/>
      <c r="K254" s="341"/>
      <c r="L254" s="341"/>
      <c r="M254" s="341"/>
      <c r="N254" s="341"/>
      <c r="O254" s="341"/>
      <c r="P254" s="341"/>
      <c r="Q254" s="341"/>
      <c r="R254" s="341"/>
      <c r="S254" s="341"/>
      <c r="T254" s="341"/>
      <c r="U254" s="341"/>
      <c r="V254" s="341"/>
      <c r="W254" s="341"/>
      <c r="X254" s="341"/>
      <c r="Y254" s="341"/>
      <c r="Z254" s="341"/>
      <c r="AA254" s="341"/>
      <c r="AB254" s="341"/>
      <c r="AC254" s="341"/>
      <c r="AD254" s="341"/>
      <c r="AE254" s="341"/>
      <c r="AF254" s="341"/>
      <c r="AG254" s="341"/>
      <c r="AH254" s="341"/>
      <c r="AI254" s="341"/>
      <c r="AJ254" s="341"/>
      <c r="AK254" s="341"/>
      <c r="AL254" s="341"/>
      <c r="AM254" s="341"/>
      <c r="AN254" s="341"/>
      <c r="AO254" s="341"/>
      <c r="AP254" s="341"/>
      <c r="AQ254" s="341"/>
      <c r="AR254" s="341"/>
      <c r="AS254" s="341"/>
    </row>
    <row r="255" spans="1:45" ht="13.2" x14ac:dyDescent="0.25">
      <c r="A255" s="341"/>
      <c r="B255" s="341"/>
      <c r="C255" s="341"/>
      <c r="D255" s="341"/>
      <c r="E255" s="341"/>
      <c r="F255" s="341"/>
      <c r="G255" s="341"/>
      <c r="H255" s="341"/>
      <c r="I255" s="341"/>
      <c r="J255" s="341"/>
      <c r="K255" s="341"/>
      <c r="L255" s="341"/>
      <c r="M255" s="341"/>
      <c r="N255" s="341"/>
      <c r="O255" s="341"/>
      <c r="P255" s="341"/>
      <c r="Q255" s="341"/>
      <c r="R255" s="341"/>
      <c r="S255" s="341"/>
      <c r="T255" s="341"/>
      <c r="U255" s="341"/>
      <c r="V255" s="341"/>
      <c r="W255" s="341"/>
      <c r="X255" s="341"/>
      <c r="Y255" s="341"/>
      <c r="Z255" s="341"/>
      <c r="AA255" s="341"/>
      <c r="AB255" s="341"/>
      <c r="AC255" s="341"/>
      <c r="AD255" s="341"/>
      <c r="AE255" s="341"/>
      <c r="AF255" s="341"/>
      <c r="AG255" s="341"/>
      <c r="AH255" s="341"/>
      <c r="AI255" s="341"/>
      <c r="AJ255" s="341"/>
      <c r="AK255" s="341"/>
      <c r="AL255" s="341"/>
      <c r="AM255" s="341"/>
      <c r="AN255" s="341"/>
      <c r="AO255" s="341"/>
      <c r="AP255" s="341"/>
      <c r="AQ255" s="341"/>
      <c r="AR255" s="341"/>
      <c r="AS255" s="341"/>
    </row>
    <row r="256" spans="1:45" ht="13.2" x14ac:dyDescent="0.25">
      <c r="A256" s="341"/>
      <c r="B256" s="341"/>
      <c r="C256" s="341"/>
      <c r="D256" s="341"/>
      <c r="E256" s="341"/>
      <c r="F256" s="341"/>
      <c r="G256" s="341"/>
      <c r="H256" s="341"/>
      <c r="I256" s="341"/>
      <c r="J256" s="341"/>
      <c r="K256" s="341"/>
      <c r="L256" s="341"/>
      <c r="M256" s="341"/>
      <c r="N256" s="341"/>
      <c r="O256" s="341"/>
      <c r="P256" s="341"/>
      <c r="Q256" s="341"/>
      <c r="R256" s="341"/>
      <c r="S256" s="341"/>
      <c r="T256" s="341"/>
      <c r="U256" s="341"/>
      <c r="V256" s="341"/>
      <c r="W256" s="341"/>
      <c r="X256" s="341"/>
      <c r="Y256" s="341"/>
      <c r="Z256" s="341"/>
      <c r="AA256" s="341"/>
      <c r="AB256" s="341"/>
      <c r="AC256" s="341"/>
      <c r="AD256" s="341"/>
      <c r="AE256" s="341"/>
      <c r="AF256" s="341"/>
      <c r="AG256" s="341"/>
      <c r="AH256" s="341"/>
      <c r="AI256" s="341"/>
      <c r="AJ256" s="341"/>
      <c r="AK256" s="341"/>
      <c r="AL256" s="341"/>
      <c r="AM256" s="341"/>
      <c r="AN256" s="341"/>
      <c r="AO256" s="341"/>
      <c r="AP256" s="341"/>
      <c r="AQ256" s="341"/>
      <c r="AR256" s="341"/>
      <c r="AS256" s="341"/>
    </row>
    <row r="257" spans="1:45" ht="13.2" x14ac:dyDescent="0.25">
      <c r="A257" s="341"/>
      <c r="B257" s="341"/>
      <c r="C257" s="341"/>
      <c r="D257" s="341"/>
      <c r="E257" s="341"/>
      <c r="F257" s="341"/>
      <c r="G257" s="341"/>
      <c r="H257" s="341"/>
      <c r="I257" s="341"/>
      <c r="J257" s="341"/>
      <c r="K257" s="341"/>
      <c r="L257" s="341"/>
      <c r="M257" s="341"/>
      <c r="N257" s="341"/>
      <c r="O257" s="341"/>
      <c r="P257" s="341"/>
      <c r="Q257" s="341"/>
      <c r="R257" s="341"/>
      <c r="S257" s="341"/>
      <c r="T257" s="341"/>
      <c r="U257" s="341"/>
      <c r="V257" s="341"/>
      <c r="W257" s="341"/>
      <c r="X257" s="341"/>
      <c r="Y257" s="341"/>
      <c r="Z257" s="341"/>
      <c r="AA257" s="341"/>
      <c r="AB257" s="341"/>
      <c r="AC257" s="341"/>
      <c r="AD257" s="341"/>
      <c r="AE257" s="341"/>
      <c r="AF257" s="341"/>
      <c r="AG257" s="341"/>
      <c r="AH257" s="341"/>
      <c r="AI257" s="341"/>
      <c r="AJ257" s="341"/>
      <c r="AK257" s="341"/>
      <c r="AL257" s="341"/>
      <c r="AM257" s="341"/>
      <c r="AN257" s="341"/>
      <c r="AO257" s="341"/>
      <c r="AP257" s="341"/>
      <c r="AQ257" s="341"/>
      <c r="AR257" s="341"/>
      <c r="AS257" s="341"/>
    </row>
    <row r="258" spans="1:45" ht="13.2" x14ac:dyDescent="0.25">
      <c r="A258" s="341"/>
      <c r="B258" s="341"/>
      <c r="C258" s="341"/>
      <c r="D258" s="341"/>
      <c r="E258" s="341"/>
      <c r="F258" s="341"/>
      <c r="G258" s="341"/>
      <c r="H258" s="341"/>
      <c r="I258" s="341"/>
      <c r="J258" s="341"/>
      <c r="K258" s="341"/>
      <c r="L258" s="341"/>
      <c r="M258" s="341"/>
      <c r="N258" s="341"/>
      <c r="O258" s="341"/>
      <c r="P258" s="341"/>
      <c r="Q258" s="341"/>
      <c r="R258" s="341"/>
      <c r="S258" s="341"/>
      <c r="T258" s="341"/>
      <c r="U258" s="341"/>
      <c r="V258" s="341"/>
      <c r="W258" s="341"/>
      <c r="X258" s="341"/>
      <c r="Y258" s="341"/>
      <c r="Z258" s="341"/>
      <c r="AA258" s="341"/>
      <c r="AB258" s="341"/>
      <c r="AC258" s="341"/>
      <c r="AD258" s="341"/>
      <c r="AE258" s="341"/>
      <c r="AF258" s="341"/>
      <c r="AG258" s="341"/>
      <c r="AH258" s="341"/>
      <c r="AI258" s="341"/>
      <c r="AJ258" s="341"/>
      <c r="AK258" s="341"/>
      <c r="AL258" s="341"/>
      <c r="AM258" s="341"/>
      <c r="AN258" s="341"/>
      <c r="AO258" s="341"/>
      <c r="AP258" s="341"/>
      <c r="AQ258" s="341"/>
      <c r="AR258" s="341"/>
      <c r="AS258" s="341"/>
    </row>
    <row r="259" spans="1:45" ht="13.2" x14ac:dyDescent="0.25">
      <c r="A259" s="341"/>
      <c r="B259" s="341"/>
      <c r="C259" s="341"/>
      <c r="D259" s="341"/>
      <c r="E259" s="341"/>
      <c r="F259" s="341"/>
      <c r="G259" s="341"/>
      <c r="H259" s="341"/>
      <c r="I259" s="341"/>
      <c r="J259" s="341"/>
      <c r="K259" s="341"/>
      <c r="L259" s="341"/>
      <c r="M259" s="341"/>
      <c r="N259" s="341"/>
      <c r="O259" s="341"/>
      <c r="P259" s="341"/>
      <c r="Q259" s="341"/>
      <c r="R259" s="341"/>
      <c r="S259" s="341"/>
      <c r="T259" s="341"/>
      <c r="U259" s="341"/>
      <c r="V259" s="341"/>
      <c r="W259" s="341"/>
      <c r="X259" s="341"/>
      <c r="Y259" s="341"/>
      <c r="Z259" s="341"/>
      <c r="AA259" s="341"/>
      <c r="AB259" s="341"/>
      <c r="AC259" s="341"/>
      <c r="AD259" s="341"/>
      <c r="AE259" s="341"/>
      <c r="AF259" s="341"/>
      <c r="AG259" s="341"/>
      <c r="AH259" s="341"/>
      <c r="AI259" s="341"/>
      <c r="AJ259" s="341"/>
      <c r="AK259" s="341"/>
      <c r="AL259" s="341"/>
      <c r="AM259" s="341"/>
      <c r="AN259" s="341"/>
      <c r="AO259" s="341"/>
      <c r="AP259" s="341"/>
      <c r="AQ259" s="341"/>
      <c r="AR259" s="341"/>
      <c r="AS259" s="341"/>
    </row>
    <row r="260" spans="1:45" ht="13.2" x14ac:dyDescent="0.25">
      <c r="A260" s="341"/>
      <c r="B260" s="341"/>
      <c r="C260" s="341"/>
      <c r="D260" s="341"/>
      <c r="E260" s="341"/>
      <c r="F260" s="341"/>
      <c r="G260" s="341"/>
      <c r="H260" s="341"/>
      <c r="I260" s="341"/>
      <c r="J260" s="341"/>
      <c r="K260" s="341"/>
      <c r="L260" s="341"/>
      <c r="M260" s="341"/>
      <c r="N260" s="341"/>
      <c r="O260" s="341"/>
      <c r="P260" s="341"/>
      <c r="Q260" s="341"/>
      <c r="R260" s="341"/>
      <c r="S260" s="341"/>
      <c r="T260" s="341"/>
      <c r="U260" s="341"/>
      <c r="V260" s="341"/>
      <c r="W260" s="341"/>
      <c r="X260" s="341"/>
      <c r="Y260" s="341"/>
      <c r="Z260" s="341"/>
      <c r="AA260" s="341"/>
      <c r="AB260" s="341"/>
      <c r="AC260" s="341"/>
      <c r="AD260" s="341"/>
      <c r="AE260" s="341"/>
      <c r="AF260" s="341"/>
      <c r="AG260" s="341"/>
      <c r="AH260" s="341"/>
      <c r="AI260" s="341"/>
      <c r="AJ260" s="341"/>
      <c r="AK260" s="341"/>
      <c r="AL260" s="341"/>
      <c r="AM260" s="341"/>
      <c r="AN260" s="341"/>
      <c r="AO260" s="341"/>
      <c r="AP260" s="341"/>
      <c r="AQ260" s="341"/>
      <c r="AR260" s="341"/>
      <c r="AS260" s="341"/>
    </row>
    <row r="261" spans="1:45" ht="13.2" x14ac:dyDescent="0.25">
      <c r="A261" s="341"/>
      <c r="B261" s="341"/>
      <c r="C261" s="341"/>
      <c r="D261" s="341"/>
      <c r="E261" s="341"/>
      <c r="F261" s="341"/>
      <c r="G261" s="341"/>
      <c r="H261" s="341"/>
      <c r="I261" s="341"/>
      <c r="J261" s="341"/>
      <c r="K261" s="341"/>
      <c r="L261" s="341"/>
      <c r="M261" s="341"/>
      <c r="N261" s="341"/>
      <c r="O261" s="341"/>
      <c r="P261" s="341"/>
      <c r="Q261" s="341"/>
      <c r="R261" s="341"/>
      <c r="S261" s="341"/>
      <c r="T261" s="341"/>
      <c r="U261" s="341"/>
      <c r="V261" s="341"/>
      <c r="W261" s="341"/>
      <c r="X261" s="341"/>
      <c r="Y261" s="341"/>
      <c r="Z261" s="341"/>
      <c r="AA261" s="341"/>
      <c r="AB261" s="341"/>
      <c r="AC261" s="341"/>
      <c r="AD261" s="341"/>
      <c r="AE261" s="341"/>
      <c r="AF261" s="341"/>
      <c r="AG261" s="341"/>
      <c r="AH261" s="341"/>
      <c r="AI261" s="341"/>
      <c r="AJ261" s="341"/>
      <c r="AK261" s="341"/>
      <c r="AL261" s="341"/>
      <c r="AM261" s="341"/>
      <c r="AN261" s="341"/>
      <c r="AO261" s="341"/>
      <c r="AP261" s="341"/>
      <c r="AQ261" s="341"/>
      <c r="AR261" s="341"/>
      <c r="AS261" s="341"/>
    </row>
    <row r="262" spans="1:45" ht="13.2" x14ac:dyDescent="0.25">
      <c r="A262" s="341"/>
      <c r="B262" s="341"/>
      <c r="C262" s="341"/>
      <c r="D262" s="341"/>
      <c r="E262" s="341"/>
      <c r="F262" s="341"/>
      <c r="G262" s="341"/>
      <c r="H262" s="341"/>
      <c r="I262" s="341"/>
      <c r="J262" s="341"/>
      <c r="K262" s="341"/>
      <c r="L262" s="341"/>
      <c r="M262" s="341"/>
      <c r="N262" s="341"/>
      <c r="O262" s="341"/>
      <c r="P262" s="341"/>
      <c r="Q262" s="341"/>
      <c r="R262" s="341"/>
      <c r="S262" s="341"/>
      <c r="T262" s="341"/>
      <c r="U262" s="341"/>
      <c r="V262" s="341"/>
      <c r="W262" s="341"/>
      <c r="X262" s="341"/>
      <c r="Y262" s="341"/>
      <c r="Z262" s="341"/>
      <c r="AA262" s="341"/>
      <c r="AB262" s="341"/>
      <c r="AC262" s="341"/>
      <c r="AD262" s="341"/>
      <c r="AE262" s="341"/>
      <c r="AF262" s="341"/>
      <c r="AG262" s="341"/>
      <c r="AH262" s="341"/>
      <c r="AI262" s="341"/>
      <c r="AJ262" s="341"/>
      <c r="AK262" s="341"/>
      <c r="AL262" s="341"/>
      <c r="AM262" s="341"/>
      <c r="AN262" s="341"/>
      <c r="AO262" s="341"/>
      <c r="AP262" s="341"/>
      <c r="AQ262" s="341"/>
      <c r="AR262" s="341"/>
      <c r="AS262" s="341"/>
    </row>
    <row r="263" spans="1:45" ht="13.2" x14ac:dyDescent="0.25">
      <c r="A263" s="341"/>
      <c r="B263" s="341"/>
      <c r="C263" s="341"/>
      <c r="D263" s="341"/>
      <c r="E263" s="341"/>
      <c r="F263" s="341"/>
      <c r="G263" s="341"/>
      <c r="H263" s="341"/>
      <c r="I263" s="341"/>
      <c r="J263" s="341"/>
      <c r="K263" s="341"/>
      <c r="L263" s="341"/>
      <c r="M263" s="341"/>
      <c r="N263" s="341"/>
      <c r="O263" s="341"/>
      <c r="P263" s="341"/>
      <c r="Q263" s="341"/>
      <c r="R263" s="341"/>
      <c r="S263" s="341"/>
      <c r="T263" s="341"/>
      <c r="U263" s="341"/>
      <c r="V263" s="341"/>
      <c r="W263" s="341"/>
      <c r="X263" s="341"/>
      <c r="Y263" s="341"/>
      <c r="Z263" s="341"/>
      <c r="AA263" s="341"/>
      <c r="AB263" s="341"/>
      <c r="AC263" s="341"/>
      <c r="AD263" s="341"/>
      <c r="AE263" s="341"/>
      <c r="AF263" s="341"/>
      <c r="AG263" s="341"/>
      <c r="AH263" s="341"/>
      <c r="AI263" s="341"/>
      <c r="AJ263" s="341"/>
      <c r="AK263" s="341"/>
      <c r="AL263" s="341"/>
      <c r="AM263" s="341"/>
      <c r="AN263" s="341"/>
      <c r="AO263" s="341"/>
      <c r="AP263" s="341"/>
      <c r="AQ263" s="341"/>
      <c r="AR263" s="341"/>
      <c r="AS263" s="341"/>
    </row>
    <row r="264" spans="1:45" ht="13.2" x14ac:dyDescent="0.25">
      <c r="A264" s="341"/>
      <c r="B264" s="341"/>
      <c r="C264" s="341"/>
      <c r="D264" s="341"/>
      <c r="E264" s="341"/>
      <c r="F264" s="341"/>
      <c r="G264" s="341"/>
      <c r="H264" s="341"/>
      <c r="I264" s="341"/>
      <c r="J264" s="341"/>
      <c r="K264" s="341"/>
      <c r="L264" s="341"/>
      <c r="M264" s="341"/>
      <c r="N264" s="341"/>
      <c r="O264" s="341"/>
      <c r="P264" s="341"/>
      <c r="Q264" s="341"/>
      <c r="R264" s="341"/>
      <c r="S264" s="341"/>
      <c r="T264" s="341"/>
      <c r="U264" s="341"/>
      <c r="V264" s="341"/>
      <c r="W264" s="341"/>
      <c r="X264" s="341"/>
      <c r="Y264" s="341"/>
      <c r="Z264" s="341"/>
      <c r="AA264" s="341"/>
      <c r="AB264" s="341"/>
      <c r="AC264" s="341"/>
      <c r="AD264" s="341"/>
      <c r="AE264" s="341"/>
      <c r="AF264" s="341"/>
      <c r="AG264" s="341"/>
      <c r="AH264" s="341"/>
      <c r="AI264" s="341"/>
      <c r="AJ264" s="341"/>
      <c r="AK264" s="341"/>
      <c r="AL264" s="341"/>
      <c r="AM264" s="341"/>
      <c r="AN264" s="341"/>
      <c r="AO264" s="341"/>
      <c r="AP264" s="341"/>
      <c r="AQ264" s="341"/>
      <c r="AR264" s="341"/>
      <c r="AS264" s="341"/>
    </row>
    <row r="265" spans="1:45" ht="13.2" x14ac:dyDescent="0.25">
      <c r="A265" s="341"/>
      <c r="B265" s="341"/>
      <c r="C265" s="341"/>
      <c r="D265" s="341"/>
      <c r="E265" s="341"/>
      <c r="F265" s="341"/>
      <c r="G265" s="341"/>
      <c r="H265" s="341"/>
      <c r="I265" s="341"/>
      <c r="J265" s="341"/>
      <c r="K265" s="341"/>
      <c r="L265" s="341"/>
      <c r="M265" s="341"/>
      <c r="N265" s="341"/>
      <c r="O265" s="341"/>
      <c r="P265" s="341"/>
      <c r="Q265" s="341"/>
      <c r="R265" s="341"/>
      <c r="S265" s="341"/>
      <c r="T265" s="341"/>
      <c r="U265" s="341"/>
      <c r="V265" s="341"/>
      <c r="W265" s="341"/>
      <c r="X265" s="341"/>
      <c r="Y265" s="341"/>
      <c r="Z265" s="341"/>
      <c r="AA265" s="341"/>
      <c r="AB265" s="341"/>
      <c r="AC265" s="341"/>
      <c r="AD265" s="341"/>
      <c r="AE265" s="341"/>
      <c r="AF265" s="341"/>
      <c r="AG265" s="341"/>
      <c r="AH265" s="341"/>
      <c r="AI265" s="341"/>
      <c r="AJ265" s="341"/>
      <c r="AK265" s="341"/>
      <c r="AL265" s="341"/>
      <c r="AM265" s="341"/>
      <c r="AN265" s="341"/>
      <c r="AO265" s="341"/>
      <c r="AP265" s="341"/>
      <c r="AQ265" s="341"/>
      <c r="AR265" s="341"/>
      <c r="AS265" s="341"/>
    </row>
    <row r="266" spans="1:45" ht="13.2" x14ac:dyDescent="0.25">
      <c r="A266" s="341"/>
      <c r="B266" s="341"/>
      <c r="C266" s="341"/>
      <c r="D266" s="341"/>
      <c r="E266" s="341"/>
      <c r="F266" s="341"/>
      <c r="G266" s="341"/>
      <c r="H266" s="341"/>
      <c r="I266" s="341"/>
      <c r="J266" s="341"/>
      <c r="K266" s="341"/>
      <c r="L266" s="341"/>
      <c r="M266" s="341"/>
      <c r="N266" s="341"/>
      <c r="O266" s="341"/>
      <c r="P266" s="341"/>
      <c r="Q266" s="341"/>
      <c r="R266" s="341"/>
      <c r="S266" s="341"/>
      <c r="T266" s="341"/>
      <c r="U266" s="341"/>
      <c r="V266" s="341"/>
      <c r="W266" s="341"/>
      <c r="X266" s="341"/>
      <c r="Y266" s="341"/>
      <c r="Z266" s="341"/>
      <c r="AA266" s="341"/>
      <c r="AB266" s="341"/>
      <c r="AC266" s="341"/>
      <c r="AD266" s="341"/>
      <c r="AE266" s="341"/>
      <c r="AF266" s="341"/>
      <c r="AG266" s="341"/>
      <c r="AH266" s="341"/>
      <c r="AI266" s="341"/>
      <c r="AJ266" s="341"/>
      <c r="AK266" s="341"/>
      <c r="AL266" s="341"/>
      <c r="AM266" s="341"/>
      <c r="AN266" s="341"/>
      <c r="AO266" s="341"/>
      <c r="AP266" s="341"/>
      <c r="AQ266" s="341"/>
      <c r="AR266" s="341"/>
      <c r="AS266" s="341"/>
    </row>
    <row r="267" spans="1:45" ht="13.2" x14ac:dyDescent="0.25">
      <c r="A267" s="341"/>
      <c r="B267" s="341"/>
      <c r="C267" s="341"/>
      <c r="D267" s="341"/>
      <c r="E267" s="341"/>
      <c r="F267" s="341"/>
      <c r="G267" s="341"/>
      <c r="H267" s="341"/>
      <c r="I267" s="341"/>
      <c r="J267" s="341"/>
      <c r="K267" s="341"/>
      <c r="L267" s="341"/>
      <c r="M267" s="341"/>
      <c r="N267" s="341"/>
      <c r="O267" s="341"/>
      <c r="P267" s="341"/>
      <c r="Q267" s="341"/>
      <c r="R267" s="341"/>
      <c r="S267" s="341"/>
      <c r="T267" s="341"/>
      <c r="U267" s="341"/>
      <c r="V267" s="341"/>
      <c r="W267" s="341"/>
      <c r="X267" s="341"/>
      <c r="Y267" s="341"/>
      <c r="Z267" s="341"/>
      <c r="AA267" s="341"/>
      <c r="AB267" s="341"/>
      <c r="AC267" s="341"/>
      <c r="AD267" s="341"/>
      <c r="AE267" s="341"/>
      <c r="AF267" s="341"/>
      <c r="AG267" s="341"/>
      <c r="AH267" s="341"/>
      <c r="AI267" s="341"/>
      <c r="AJ267" s="341"/>
      <c r="AK267" s="341"/>
      <c r="AL267" s="341"/>
      <c r="AM267" s="341"/>
      <c r="AN267" s="341"/>
      <c r="AO267" s="341"/>
      <c r="AP267" s="341"/>
      <c r="AQ267" s="341"/>
      <c r="AR267" s="341"/>
      <c r="AS267" s="341"/>
    </row>
    <row r="268" spans="1:45" ht="13.2" x14ac:dyDescent="0.25">
      <c r="A268" s="341"/>
      <c r="B268" s="341"/>
      <c r="C268" s="341"/>
      <c r="D268" s="341"/>
      <c r="E268" s="341"/>
      <c r="F268" s="341"/>
      <c r="G268" s="341"/>
      <c r="H268" s="341"/>
      <c r="I268" s="341"/>
      <c r="J268" s="341"/>
      <c r="K268" s="341"/>
      <c r="L268" s="341"/>
      <c r="M268" s="341"/>
      <c r="N268" s="341"/>
      <c r="O268" s="341"/>
      <c r="P268" s="341"/>
      <c r="Q268" s="341"/>
      <c r="R268" s="341"/>
      <c r="S268" s="341"/>
      <c r="T268" s="341"/>
      <c r="U268" s="341"/>
      <c r="V268" s="341"/>
      <c r="W268" s="341"/>
      <c r="X268" s="341"/>
      <c r="Y268" s="341"/>
      <c r="Z268" s="341"/>
      <c r="AA268" s="341"/>
      <c r="AB268" s="341"/>
      <c r="AC268" s="341"/>
      <c r="AD268" s="341"/>
      <c r="AE268" s="341"/>
      <c r="AF268" s="341"/>
      <c r="AG268" s="341"/>
      <c r="AH268" s="341"/>
      <c r="AI268" s="341"/>
      <c r="AJ268" s="341"/>
      <c r="AK268" s="341"/>
      <c r="AL268" s="341"/>
      <c r="AM268" s="341"/>
      <c r="AN268" s="341"/>
      <c r="AO268" s="341"/>
      <c r="AP268" s="341"/>
      <c r="AQ268" s="341"/>
      <c r="AR268" s="341"/>
      <c r="AS268" s="341"/>
    </row>
    <row r="269" spans="1:45" ht="13.2" x14ac:dyDescent="0.25">
      <c r="A269" s="341"/>
      <c r="B269" s="341"/>
      <c r="C269" s="341"/>
      <c r="D269" s="341"/>
      <c r="E269" s="341"/>
      <c r="F269" s="341"/>
      <c r="G269" s="341"/>
      <c r="H269" s="341"/>
      <c r="I269" s="341"/>
      <c r="J269" s="341"/>
      <c r="K269" s="341"/>
      <c r="L269" s="341"/>
      <c r="M269" s="341"/>
      <c r="N269" s="341"/>
      <c r="O269" s="341"/>
      <c r="P269" s="341"/>
      <c r="Q269" s="341"/>
      <c r="R269" s="341"/>
      <c r="S269" s="341"/>
      <c r="T269" s="341"/>
      <c r="U269" s="341"/>
      <c r="V269" s="341"/>
      <c r="W269" s="341"/>
      <c r="X269" s="341"/>
      <c r="Y269" s="341"/>
      <c r="Z269" s="341"/>
      <c r="AA269" s="341"/>
      <c r="AB269" s="341"/>
      <c r="AC269" s="341"/>
      <c r="AD269" s="341"/>
      <c r="AE269" s="341"/>
      <c r="AF269" s="341"/>
      <c r="AG269" s="341"/>
      <c r="AH269" s="341"/>
      <c r="AI269" s="341"/>
      <c r="AJ269" s="341"/>
      <c r="AK269" s="341"/>
      <c r="AL269" s="341"/>
      <c r="AM269" s="341"/>
      <c r="AN269" s="341"/>
      <c r="AO269" s="341"/>
      <c r="AP269" s="341"/>
      <c r="AQ269" s="341"/>
      <c r="AR269" s="341"/>
      <c r="AS269" s="341"/>
    </row>
    <row r="270" spans="1:45" ht="13.2" x14ac:dyDescent="0.25">
      <c r="A270" s="341"/>
      <c r="B270" s="341"/>
      <c r="C270" s="341"/>
      <c r="D270" s="341"/>
      <c r="E270" s="341"/>
      <c r="F270" s="341"/>
      <c r="G270" s="341"/>
      <c r="H270" s="341"/>
      <c r="I270" s="341"/>
      <c r="J270" s="341"/>
      <c r="K270" s="341"/>
      <c r="L270" s="341"/>
      <c r="M270" s="341"/>
      <c r="N270" s="341"/>
      <c r="O270" s="341"/>
      <c r="P270" s="341"/>
      <c r="Q270" s="341"/>
      <c r="R270" s="341"/>
      <c r="S270" s="341"/>
      <c r="T270" s="341"/>
      <c r="U270" s="341"/>
      <c r="V270" s="341"/>
      <c r="W270" s="341"/>
      <c r="X270" s="341"/>
      <c r="Y270" s="341"/>
      <c r="Z270" s="341"/>
      <c r="AA270" s="341"/>
      <c r="AB270" s="341"/>
      <c r="AC270" s="341"/>
      <c r="AD270" s="341"/>
      <c r="AE270" s="341"/>
      <c r="AF270" s="341"/>
      <c r="AG270" s="341"/>
      <c r="AH270" s="341"/>
      <c r="AI270" s="341"/>
      <c r="AJ270" s="341"/>
      <c r="AK270" s="341"/>
      <c r="AL270" s="341"/>
      <c r="AM270" s="341"/>
      <c r="AN270" s="341"/>
      <c r="AO270" s="341"/>
      <c r="AP270" s="341"/>
      <c r="AQ270" s="341"/>
      <c r="AR270" s="341"/>
      <c r="AS270" s="341"/>
    </row>
    <row r="271" spans="1:45" ht="13.2" x14ac:dyDescent="0.25">
      <c r="A271" s="341"/>
      <c r="B271" s="341"/>
      <c r="C271" s="341"/>
      <c r="D271" s="341"/>
      <c r="E271" s="341"/>
      <c r="F271" s="341"/>
      <c r="G271" s="341"/>
      <c r="H271" s="341"/>
      <c r="I271" s="341"/>
      <c r="J271" s="341"/>
      <c r="K271" s="341"/>
      <c r="L271" s="341"/>
      <c r="M271" s="341"/>
      <c r="N271" s="341"/>
      <c r="O271" s="341"/>
      <c r="P271" s="341"/>
      <c r="Q271" s="341"/>
      <c r="R271" s="341"/>
      <c r="S271" s="341"/>
      <c r="T271" s="341"/>
      <c r="U271" s="341"/>
      <c r="V271" s="341"/>
      <c r="W271" s="341"/>
      <c r="X271" s="341"/>
      <c r="Y271" s="341"/>
      <c r="Z271" s="341"/>
      <c r="AA271" s="341"/>
      <c r="AB271" s="341"/>
      <c r="AC271" s="341"/>
      <c r="AD271" s="341"/>
      <c r="AE271" s="341"/>
      <c r="AF271" s="341"/>
      <c r="AG271" s="341"/>
      <c r="AH271" s="341"/>
      <c r="AI271" s="341"/>
      <c r="AJ271" s="341"/>
      <c r="AK271" s="341"/>
      <c r="AL271" s="341"/>
      <c r="AM271" s="341"/>
      <c r="AN271" s="341"/>
      <c r="AO271" s="341"/>
      <c r="AP271" s="341"/>
      <c r="AQ271" s="341"/>
      <c r="AR271" s="341"/>
      <c r="AS271" s="341"/>
    </row>
    <row r="272" spans="1:45" ht="13.2" x14ac:dyDescent="0.25">
      <c r="A272" s="341"/>
      <c r="B272" s="341"/>
      <c r="C272" s="341"/>
      <c r="D272" s="341"/>
      <c r="E272" s="341"/>
      <c r="F272" s="341"/>
      <c r="G272" s="341"/>
      <c r="H272" s="341"/>
      <c r="I272" s="341"/>
      <c r="J272" s="341"/>
      <c r="K272" s="341"/>
      <c r="L272" s="341"/>
      <c r="M272" s="341"/>
      <c r="N272" s="341"/>
      <c r="O272" s="341"/>
      <c r="P272" s="341"/>
      <c r="Q272" s="341"/>
      <c r="R272" s="341"/>
      <c r="S272" s="341"/>
      <c r="T272" s="341"/>
      <c r="U272" s="341"/>
      <c r="V272" s="341"/>
      <c r="W272" s="341"/>
      <c r="X272" s="341"/>
      <c r="Y272" s="341"/>
      <c r="Z272" s="341"/>
      <c r="AA272" s="341"/>
      <c r="AB272" s="341"/>
      <c r="AC272" s="341"/>
      <c r="AD272" s="341"/>
      <c r="AE272" s="341"/>
      <c r="AF272" s="341"/>
      <c r="AG272" s="341"/>
      <c r="AH272" s="341"/>
      <c r="AI272" s="341"/>
      <c r="AJ272" s="341"/>
      <c r="AK272" s="341"/>
      <c r="AL272" s="341"/>
      <c r="AM272" s="341"/>
      <c r="AN272" s="341"/>
      <c r="AO272" s="341"/>
      <c r="AP272" s="341"/>
      <c r="AQ272" s="341"/>
      <c r="AR272" s="341"/>
      <c r="AS272" s="341"/>
    </row>
    <row r="273" spans="1:45" ht="13.2" x14ac:dyDescent="0.25">
      <c r="A273" s="341"/>
      <c r="B273" s="341"/>
      <c r="C273" s="341"/>
      <c r="D273" s="341"/>
      <c r="E273" s="341"/>
      <c r="F273" s="341"/>
      <c r="G273" s="341"/>
      <c r="H273" s="341"/>
      <c r="I273" s="341"/>
      <c r="J273" s="341"/>
      <c r="K273" s="341"/>
      <c r="L273" s="341"/>
      <c r="M273" s="341"/>
      <c r="N273" s="341"/>
      <c r="O273" s="341"/>
      <c r="P273" s="341"/>
      <c r="Q273" s="341"/>
      <c r="R273" s="341"/>
      <c r="S273" s="341"/>
      <c r="T273" s="341"/>
      <c r="U273" s="341"/>
      <c r="V273" s="341"/>
      <c r="W273" s="341"/>
      <c r="X273" s="341"/>
      <c r="Y273" s="341"/>
      <c r="Z273" s="341"/>
      <c r="AA273" s="341"/>
      <c r="AB273" s="341"/>
      <c r="AC273" s="341"/>
      <c r="AD273" s="341"/>
      <c r="AE273" s="341"/>
      <c r="AF273" s="341"/>
      <c r="AG273" s="341"/>
      <c r="AH273" s="341"/>
      <c r="AI273" s="341"/>
      <c r="AJ273" s="341"/>
      <c r="AK273" s="341"/>
      <c r="AL273" s="341"/>
      <c r="AM273" s="341"/>
      <c r="AN273" s="341"/>
      <c r="AO273" s="341"/>
      <c r="AP273" s="341"/>
      <c r="AQ273" s="341"/>
      <c r="AR273" s="341"/>
      <c r="AS273" s="341"/>
    </row>
    <row r="274" spans="1:45" ht="13.2" x14ac:dyDescent="0.25">
      <c r="A274" s="341"/>
      <c r="B274" s="341"/>
      <c r="C274" s="341"/>
      <c r="D274" s="341"/>
      <c r="E274" s="341"/>
      <c r="F274" s="341"/>
      <c r="G274" s="341"/>
      <c r="H274" s="341"/>
      <c r="I274" s="341"/>
      <c r="J274" s="341"/>
      <c r="K274" s="341"/>
      <c r="L274" s="341"/>
      <c r="M274" s="341"/>
      <c r="N274" s="341"/>
      <c r="O274" s="341"/>
      <c r="P274" s="341"/>
      <c r="Q274" s="341"/>
      <c r="R274" s="341"/>
      <c r="S274" s="341"/>
      <c r="T274" s="341"/>
      <c r="U274" s="341"/>
      <c r="V274" s="341"/>
      <c r="W274" s="341"/>
      <c r="X274" s="341"/>
      <c r="Y274" s="341"/>
      <c r="Z274" s="341"/>
      <c r="AA274" s="341"/>
      <c r="AB274" s="341"/>
      <c r="AC274" s="341"/>
      <c r="AD274" s="341"/>
      <c r="AE274" s="341"/>
      <c r="AF274" s="341"/>
      <c r="AG274" s="341"/>
      <c r="AH274" s="341"/>
      <c r="AI274" s="341"/>
      <c r="AJ274" s="341"/>
      <c r="AK274" s="341"/>
      <c r="AL274" s="341"/>
      <c r="AM274" s="341"/>
      <c r="AN274" s="341"/>
      <c r="AO274" s="341"/>
      <c r="AP274" s="341"/>
      <c r="AQ274" s="341"/>
      <c r="AR274" s="341"/>
      <c r="AS274" s="341"/>
    </row>
    <row r="275" spans="1:45" ht="13.2" x14ac:dyDescent="0.25">
      <c r="A275" s="341"/>
      <c r="B275" s="341"/>
      <c r="C275" s="341"/>
      <c r="D275" s="341"/>
      <c r="E275" s="341"/>
      <c r="F275" s="341"/>
      <c r="G275" s="341"/>
      <c r="H275" s="341"/>
      <c r="I275" s="341"/>
      <c r="J275" s="341"/>
      <c r="K275" s="341"/>
      <c r="L275" s="341"/>
      <c r="M275" s="341"/>
      <c r="N275" s="341"/>
      <c r="O275" s="341"/>
      <c r="P275" s="341"/>
      <c r="Q275" s="341"/>
      <c r="R275" s="341"/>
      <c r="S275" s="341"/>
      <c r="T275" s="341"/>
      <c r="U275" s="341"/>
      <c r="V275" s="341"/>
      <c r="W275" s="341"/>
      <c r="X275" s="341"/>
      <c r="Y275" s="341"/>
      <c r="Z275" s="341"/>
      <c r="AA275" s="341"/>
      <c r="AB275" s="341"/>
      <c r="AC275" s="341"/>
      <c r="AD275" s="341"/>
      <c r="AE275" s="341"/>
      <c r="AF275" s="341"/>
      <c r="AG275" s="341"/>
      <c r="AH275" s="341"/>
      <c r="AI275" s="341"/>
      <c r="AJ275" s="341"/>
      <c r="AK275" s="341"/>
      <c r="AL275" s="341"/>
      <c r="AM275" s="341"/>
      <c r="AN275" s="341"/>
      <c r="AO275" s="341"/>
      <c r="AP275" s="341"/>
      <c r="AQ275" s="341"/>
      <c r="AR275" s="341"/>
      <c r="AS275" s="341"/>
    </row>
    <row r="276" spans="1:45" ht="13.2" x14ac:dyDescent="0.25">
      <c r="A276" s="341"/>
      <c r="B276" s="341"/>
      <c r="C276" s="341"/>
      <c r="D276" s="341"/>
      <c r="E276" s="341"/>
      <c r="F276" s="341"/>
      <c r="G276" s="341"/>
      <c r="H276" s="341"/>
      <c r="I276" s="341"/>
      <c r="J276" s="341"/>
      <c r="K276" s="341"/>
      <c r="L276" s="341"/>
      <c r="M276" s="341"/>
      <c r="N276" s="341"/>
      <c r="O276" s="341"/>
      <c r="P276" s="341"/>
      <c r="Q276" s="341"/>
      <c r="R276" s="341"/>
      <c r="S276" s="341"/>
      <c r="T276" s="341"/>
      <c r="U276" s="341"/>
      <c r="V276" s="341"/>
      <c r="W276" s="341"/>
      <c r="X276" s="341"/>
      <c r="Y276" s="341"/>
      <c r="Z276" s="341"/>
      <c r="AA276" s="341"/>
      <c r="AB276" s="341"/>
      <c r="AC276" s="341"/>
      <c r="AD276" s="341"/>
      <c r="AE276" s="341"/>
      <c r="AF276" s="341"/>
      <c r="AG276" s="341"/>
      <c r="AH276" s="341"/>
      <c r="AI276" s="341"/>
      <c r="AJ276" s="341"/>
      <c r="AK276" s="341"/>
      <c r="AL276" s="341"/>
      <c r="AM276" s="341"/>
      <c r="AN276" s="341"/>
      <c r="AO276" s="341"/>
      <c r="AP276" s="341"/>
      <c r="AQ276" s="341"/>
      <c r="AR276" s="341"/>
      <c r="AS276" s="341"/>
    </row>
    <row r="277" spans="1:45" ht="13.2" x14ac:dyDescent="0.25">
      <c r="A277" s="341"/>
      <c r="B277" s="341"/>
      <c r="C277" s="341"/>
      <c r="D277" s="341"/>
      <c r="E277" s="341"/>
      <c r="F277" s="341"/>
      <c r="G277" s="341"/>
      <c r="H277" s="341"/>
      <c r="I277" s="341"/>
      <c r="J277" s="341"/>
      <c r="K277" s="341"/>
      <c r="L277" s="341"/>
      <c r="M277" s="341"/>
      <c r="N277" s="341"/>
      <c r="O277" s="341"/>
      <c r="P277" s="341"/>
      <c r="Q277" s="341"/>
      <c r="R277" s="341"/>
      <c r="S277" s="341"/>
      <c r="T277" s="341"/>
      <c r="U277" s="341"/>
      <c r="V277" s="341"/>
      <c r="W277" s="341"/>
      <c r="X277" s="341"/>
      <c r="Y277" s="341"/>
      <c r="Z277" s="341"/>
      <c r="AA277" s="341"/>
      <c r="AB277" s="341"/>
      <c r="AC277" s="341"/>
      <c r="AD277" s="341"/>
      <c r="AE277" s="341"/>
      <c r="AF277" s="341"/>
      <c r="AG277" s="341"/>
      <c r="AH277" s="341"/>
      <c r="AI277" s="341"/>
      <c r="AJ277" s="341"/>
      <c r="AK277" s="341"/>
      <c r="AL277" s="341"/>
      <c r="AM277" s="341"/>
      <c r="AN277" s="341"/>
      <c r="AO277" s="341"/>
      <c r="AP277" s="341"/>
      <c r="AQ277" s="341"/>
      <c r="AR277" s="341"/>
      <c r="AS277" s="341"/>
    </row>
    <row r="278" spans="1:45" ht="13.2" x14ac:dyDescent="0.25">
      <c r="A278" s="341"/>
      <c r="B278" s="341"/>
      <c r="C278" s="341"/>
      <c r="D278" s="341"/>
      <c r="E278" s="341"/>
      <c r="F278" s="341"/>
      <c r="G278" s="341"/>
      <c r="H278" s="341"/>
      <c r="I278" s="341"/>
      <c r="J278" s="341"/>
      <c r="K278" s="341"/>
      <c r="L278" s="341"/>
      <c r="M278" s="341"/>
      <c r="N278" s="341"/>
      <c r="O278" s="341"/>
      <c r="P278" s="341"/>
      <c r="Q278" s="341"/>
      <c r="R278" s="341"/>
      <c r="S278" s="341"/>
      <c r="T278" s="341"/>
      <c r="U278" s="341"/>
      <c r="V278" s="341"/>
      <c r="W278" s="341"/>
      <c r="X278" s="341"/>
      <c r="Y278" s="341"/>
      <c r="Z278" s="341"/>
      <c r="AA278" s="341"/>
      <c r="AB278" s="341"/>
      <c r="AC278" s="341"/>
      <c r="AD278" s="341"/>
      <c r="AE278" s="341"/>
      <c r="AF278" s="341"/>
      <c r="AG278" s="341"/>
      <c r="AH278" s="341"/>
      <c r="AI278" s="341"/>
      <c r="AJ278" s="341"/>
      <c r="AK278" s="341"/>
      <c r="AL278" s="341"/>
      <c r="AM278" s="341"/>
      <c r="AN278" s="341"/>
      <c r="AO278" s="341"/>
      <c r="AP278" s="341"/>
      <c r="AQ278" s="341"/>
      <c r="AR278" s="341"/>
      <c r="AS278" s="341"/>
    </row>
    <row r="279" spans="1:45" ht="13.2" x14ac:dyDescent="0.25">
      <c r="A279" s="341"/>
      <c r="B279" s="341"/>
      <c r="C279" s="341"/>
      <c r="D279" s="341"/>
      <c r="E279" s="341"/>
      <c r="F279" s="341"/>
      <c r="G279" s="341"/>
      <c r="H279" s="341"/>
      <c r="I279" s="341"/>
      <c r="J279" s="341"/>
      <c r="K279" s="341"/>
      <c r="L279" s="341"/>
      <c r="M279" s="341"/>
      <c r="N279" s="341"/>
      <c r="O279" s="341"/>
      <c r="P279" s="341"/>
      <c r="Q279" s="341"/>
      <c r="R279" s="341"/>
      <c r="S279" s="341"/>
      <c r="T279" s="341"/>
      <c r="U279" s="341"/>
      <c r="V279" s="341"/>
      <c r="W279" s="341"/>
      <c r="X279" s="341"/>
      <c r="Y279" s="341"/>
      <c r="Z279" s="341"/>
      <c r="AA279" s="341"/>
      <c r="AB279" s="341"/>
      <c r="AC279" s="341"/>
      <c r="AD279" s="341"/>
      <c r="AE279" s="341"/>
      <c r="AF279" s="341"/>
      <c r="AG279" s="341"/>
      <c r="AH279" s="341"/>
      <c r="AI279" s="341"/>
      <c r="AJ279" s="341"/>
      <c r="AK279" s="341"/>
      <c r="AL279" s="341"/>
      <c r="AM279" s="341"/>
      <c r="AN279" s="341"/>
      <c r="AO279" s="341"/>
      <c r="AP279" s="341"/>
      <c r="AQ279" s="341"/>
      <c r="AR279" s="341"/>
      <c r="AS279" s="341"/>
    </row>
    <row r="280" spans="1:45" ht="13.2" x14ac:dyDescent="0.25">
      <c r="A280" s="341"/>
      <c r="B280" s="341"/>
      <c r="C280" s="341"/>
      <c r="D280" s="341"/>
      <c r="E280" s="341"/>
      <c r="F280" s="341"/>
      <c r="G280" s="341"/>
      <c r="H280" s="341"/>
      <c r="I280" s="341"/>
      <c r="J280" s="341"/>
      <c r="K280" s="341"/>
      <c r="L280" s="341"/>
      <c r="M280" s="341"/>
      <c r="N280" s="341"/>
      <c r="O280" s="341"/>
      <c r="P280" s="341"/>
      <c r="Q280" s="341"/>
      <c r="R280" s="341"/>
      <c r="S280" s="341"/>
      <c r="T280" s="341"/>
      <c r="U280" s="341"/>
      <c r="V280" s="341"/>
      <c r="W280" s="341"/>
      <c r="X280" s="341"/>
      <c r="Y280" s="341"/>
      <c r="Z280" s="341"/>
      <c r="AA280" s="341"/>
      <c r="AB280" s="341"/>
      <c r="AC280" s="341"/>
      <c r="AD280" s="341"/>
      <c r="AE280" s="341"/>
      <c r="AF280" s="341"/>
      <c r="AG280" s="341"/>
      <c r="AH280" s="341"/>
      <c r="AI280" s="341"/>
      <c r="AJ280" s="341"/>
      <c r="AK280" s="341"/>
      <c r="AL280" s="341"/>
      <c r="AM280" s="341"/>
      <c r="AN280" s="341"/>
      <c r="AO280" s="341"/>
      <c r="AP280" s="341"/>
      <c r="AQ280" s="341"/>
      <c r="AR280" s="341"/>
      <c r="AS280" s="341"/>
    </row>
    <row r="281" spans="1:45" ht="13.2" x14ac:dyDescent="0.25">
      <c r="A281" s="341"/>
      <c r="B281" s="341"/>
      <c r="C281" s="341"/>
      <c r="D281" s="341"/>
      <c r="E281" s="341"/>
      <c r="F281" s="341"/>
      <c r="G281" s="341"/>
      <c r="H281" s="341"/>
      <c r="I281" s="341"/>
      <c r="J281" s="341"/>
      <c r="K281" s="341"/>
      <c r="L281" s="341"/>
      <c r="M281" s="341"/>
      <c r="N281" s="341"/>
      <c r="O281" s="341"/>
      <c r="P281" s="341"/>
      <c r="Q281" s="341"/>
      <c r="R281" s="341"/>
      <c r="S281" s="341"/>
      <c r="T281" s="341"/>
      <c r="U281" s="341"/>
      <c r="V281" s="341"/>
      <c r="W281" s="341"/>
      <c r="X281" s="341"/>
      <c r="Y281" s="341"/>
      <c r="Z281" s="341"/>
      <c r="AA281" s="341"/>
      <c r="AB281" s="341"/>
      <c r="AC281" s="341"/>
      <c r="AD281" s="341"/>
      <c r="AE281" s="341"/>
      <c r="AF281" s="341"/>
      <c r="AG281" s="341"/>
      <c r="AH281" s="341"/>
      <c r="AI281" s="341"/>
      <c r="AJ281" s="341"/>
      <c r="AK281" s="341"/>
      <c r="AL281" s="341"/>
      <c r="AM281" s="341"/>
      <c r="AN281" s="341"/>
      <c r="AO281" s="341"/>
      <c r="AP281" s="341"/>
      <c r="AQ281" s="341"/>
      <c r="AR281" s="341"/>
      <c r="AS281" s="341"/>
    </row>
    <row r="282" spans="1:45" ht="13.2" x14ac:dyDescent="0.25">
      <c r="A282" s="341"/>
      <c r="B282" s="341"/>
      <c r="C282" s="341"/>
      <c r="D282" s="341"/>
      <c r="E282" s="341"/>
      <c r="F282" s="341"/>
      <c r="G282" s="341"/>
      <c r="H282" s="341"/>
      <c r="I282" s="341"/>
      <c r="J282" s="341"/>
      <c r="K282" s="341"/>
      <c r="L282" s="341"/>
      <c r="M282" s="341"/>
      <c r="N282" s="341"/>
      <c r="O282" s="341"/>
      <c r="P282" s="341"/>
      <c r="Q282" s="341"/>
      <c r="R282" s="341"/>
      <c r="S282" s="341"/>
      <c r="T282" s="341"/>
      <c r="U282" s="341"/>
      <c r="V282" s="341"/>
      <c r="W282" s="341"/>
      <c r="X282" s="341"/>
      <c r="Y282" s="341"/>
      <c r="Z282" s="341"/>
      <c r="AA282" s="341"/>
      <c r="AB282" s="341"/>
      <c r="AC282" s="341"/>
      <c r="AD282" s="341"/>
      <c r="AE282" s="341"/>
      <c r="AF282" s="341"/>
      <c r="AG282" s="341"/>
      <c r="AH282" s="341"/>
      <c r="AI282" s="341"/>
      <c r="AJ282" s="341"/>
      <c r="AK282" s="341"/>
      <c r="AL282" s="341"/>
      <c r="AM282" s="341"/>
      <c r="AN282" s="341"/>
      <c r="AO282" s="341"/>
      <c r="AP282" s="341"/>
      <c r="AQ282" s="341"/>
      <c r="AR282" s="341"/>
      <c r="AS282" s="341"/>
    </row>
    <row r="283" spans="1:45" ht="13.2" x14ac:dyDescent="0.25">
      <c r="A283" s="341"/>
      <c r="B283" s="341"/>
      <c r="C283" s="341"/>
      <c r="D283" s="341"/>
      <c r="E283" s="341"/>
      <c r="F283" s="341"/>
      <c r="G283" s="341"/>
      <c r="H283" s="341"/>
      <c r="I283" s="341"/>
      <c r="J283" s="341"/>
      <c r="K283" s="341"/>
      <c r="L283" s="341"/>
      <c r="M283" s="341"/>
      <c r="N283" s="341"/>
      <c r="O283" s="341"/>
      <c r="P283" s="341"/>
      <c r="Q283" s="341"/>
      <c r="R283" s="341"/>
      <c r="S283" s="341"/>
      <c r="T283" s="341"/>
      <c r="U283" s="341"/>
      <c r="V283" s="341"/>
      <c r="W283" s="341"/>
      <c r="X283" s="341"/>
      <c r="Y283" s="341"/>
      <c r="Z283" s="341"/>
      <c r="AA283" s="341"/>
      <c r="AB283" s="341"/>
      <c r="AC283" s="341"/>
      <c r="AD283" s="341"/>
      <c r="AE283" s="341"/>
      <c r="AF283" s="341"/>
      <c r="AG283" s="341"/>
      <c r="AH283" s="341"/>
      <c r="AI283" s="341"/>
      <c r="AJ283" s="341"/>
      <c r="AK283" s="341"/>
      <c r="AL283" s="341"/>
      <c r="AM283" s="341"/>
      <c r="AN283" s="341"/>
      <c r="AO283" s="341"/>
      <c r="AP283" s="341"/>
      <c r="AQ283" s="341"/>
      <c r="AR283" s="341"/>
      <c r="AS283" s="341"/>
    </row>
    <row r="284" spans="1:45" ht="13.2" x14ac:dyDescent="0.25">
      <c r="A284" s="341"/>
      <c r="B284" s="341"/>
      <c r="C284" s="341"/>
      <c r="D284" s="341"/>
      <c r="E284" s="341"/>
      <c r="F284" s="341"/>
      <c r="G284" s="341"/>
      <c r="H284" s="341"/>
      <c r="I284" s="341"/>
      <c r="J284" s="341"/>
      <c r="K284" s="341"/>
      <c r="L284" s="341"/>
      <c r="M284" s="341"/>
      <c r="N284" s="341"/>
      <c r="O284" s="341"/>
      <c r="P284" s="341"/>
      <c r="Q284" s="341"/>
      <c r="R284" s="341"/>
      <c r="S284" s="341"/>
      <c r="T284" s="341"/>
      <c r="U284" s="341"/>
      <c r="V284" s="341"/>
      <c r="W284" s="341"/>
      <c r="X284" s="341"/>
      <c r="Y284" s="341"/>
      <c r="Z284" s="341"/>
      <c r="AA284" s="341"/>
      <c r="AB284" s="341"/>
      <c r="AC284" s="341"/>
      <c r="AD284" s="341"/>
      <c r="AE284" s="341"/>
      <c r="AF284" s="341"/>
      <c r="AG284" s="341"/>
      <c r="AH284" s="341"/>
      <c r="AI284" s="341"/>
      <c r="AJ284" s="341"/>
      <c r="AK284" s="341"/>
      <c r="AL284" s="341"/>
      <c r="AM284" s="341"/>
      <c r="AN284" s="341"/>
      <c r="AO284" s="341"/>
      <c r="AP284" s="341"/>
      <c r="AQ284" s="341"/>
      <c r="AR284" s="341"/>
      <c r="AS284" s="341"/>
    </row>
    <row r="285" spans="1:45" ht="13.2" x14ac:dyDescent="0.25">
      <c r="A285" s="341"/>
      <c r="B285" s="341"/>
      <c r="C285" s="341"/>
      <c r="D285" s="341"/>
      <c r="E285" s="341"/>
      <c r="F285" s="341"/>
      <c r="G285" s="341"/>
      <c r="H285" s="341"/>
      <c r="I285" s="341"/>
      <c r="J285" s="341"/>
      <c r="K285" s="341"/>
      <c r="L285" s="341"/>
      <c r="M285" s="341"/>
      <c r="N285" s="341"/>
      <c r="O285" s="341"/>
      <c r="P285" s="341"/>
      <c r="Q285" s="341"/>
      <c r="R285" s="341"/>
      <c r="S285" s="341"/>
      <c r="T285" s="341"/>
      <c r="U285" s="341"/>
      <c r="V285" s="341"/>
      <c r="W285" s="341"/>
      <c r="X285" s="341"/>
      <c r="Y285" s="341"/>
      <c r="Z285" s="341"/>
      <c r="AA285" s="341"/>
      <c r="AB285" s="341"/>
      <c r="AC285" s="341"/>
      <c r="AD285" s="341"/>
      <c r="AE285" s="341"/>
      <c r="AF285" s="341"/>
      <c r="AG285" s="341"/>
      <c r="AH285" s="341"/>
      <c r="AI285" s="341"/>
      <c r="AJ285" s="341"/>
      <c r="AK285" s="341"/>
      <c r="AL285" s="341"/>
      <c r="AM285" s="341"/>
      <c r="AN285" s="341"/>
      <c r="AO285" s="341"/>
      <c r="AP285" s="341"/>
      <c r="AQ285" s="341"/>
      <c r="AR285" s="341"/>
      <c r="AS285" s="341"/>
    </row>
    <row r="286" spans="1:45" ht="13.2" x14ac:dyDescent="0.25">
      <c r="A286" s="341"/>
      <c r="B286" s="341"/>
      <c r="C286" s="341"/>
      <c r="D286" s="341"/>
      <c r="E286" s="341"/>
      <c r="F286" s="341"/>
      <c r="G286" s="341"/>
      <c r="H286" s="341"/>
      <c r="I286" s="341"/>
      <c r="J286" s="341"/>
      <c r="K286" s="341"/>
      <c r="L286" s="341"/>
      <c r="M286" s="341"/>
      <c r="N286" s="341"/>
      <c r="O286" s="341"/>
      <c r="P286" s="341"/>
      <c r="Q286" s="341"/>
      <c r="R286" s="341"/>
      <c r="S286" s="341"/>
      <c r="T286" s="341"/>
      <c r="U286" s="341"/>
      <c r="V286" s="341"/>
      <c r="W286" s="341"/>
      <c r="X286" s="341"/>
      <c r="Y286" s="341"/>
      <c r="Z286" s="341"/>
      <c r="AA286" s="341"/>
      <c r="AB286" s="341"/>
      <c r="AC286" s="341"/>
      <c r="AD286" s="341"/>
      <c r="AE286" s="341"/>
      <c r="AF286" s="341"/>
      <c r="AG286" s="341"/>
      <c r="AH286" s="341"/>
      <c r="AI286" s="341"/>
      <c r="AJ286" s="341"/>
      <c r="AK286" s="341"/>
      <c r="AL286" s="341"/>
      <c r="AM286" s="341"/>
      <c r="AN286" s="341"/>
      <c r="AO286" s="341"/>
      <c r="AP286" s="341"/>
      <c r="AQ286" s="341"/>
      <c r="AR286" s="341"/>
      <c r="AS286" s="341"/>
    </row>
    <row r="287" spans="1:45" ht="13.2" x14ac:dyDescent="0.25">
      <c r="A287" s="341"/>
      <c r="B287" s="341"/>
      <c r="C287" s="341"/>
      <c r="D287" s="341"/>
      <c r="E287" s="341"/>
      <c r="F287" s="341"/>
      <c r="G287" s="341"/>
      <c r="H287" s="341"/>
      <c r="I287" s="341"/>
      <c r="J287" s="341"/>
      <c r="K287" s="341"/>
      <c r="L287" s="341"/>
      <c r="M287" s="341"/>
      <c r="N287" s="341"/>
      <c r="O287" s="341"/>
      <c r="P287" s="341"/>
      <c r="Q287" s="341"/>
      <c r="R287" s="341"/>
      <c r="S287" s="341"/>
      <c r="T287" s="341"/>
      <c r="U287" s="341"/>
      <c r="V287" s="341"/>
      <c r="W287" s="341"/>
      <c r="X287" s="341"/>
      <c r="Y287" s="341"/>
      <c r="Z287" s="341"/>
      <c r="AA287" s="341"/>
      <c r="AB287" s="341"/>
      <c r="AC287" s="341"/>
      <c r="AD287" s="341"/>
      <c r="AE287" s="341"/>
      <c r="AF287" s="341"/>
      <c r="AG287" s="341"/>
      <c r="AH287" s="341"/>
      <c r="AI287" s="341"/>
      <c r="AJ287" s="341"/>
      <c r="AK287" s="341"/>
      <c r="AL287" s="341"/>
      <c r="AM287" s="341"/>
      <c r="AN287" s="341"/>
      <c r="AO287" s="341"/>
      <c r="AP287" s="341"/>
      <c r="AQ287" s="341"/>
      <c r="AR287" s="341"/>
      <c r="AS287" s="341"/>
    </row>
    <row r="288" spans="1:45" ht="13.2" x14ac:dyDescent="0.25">
      <c r="A288" s="341"/>
      <c r="B288" s="341"/>
      <c r="C288" s="341"/>
      <c r="D288" s="341"/>
      <c r="E288" s="341"/>
      <c r="F288" s="341"/>
      <c r="G288" s="341"/>
      <c r="H288" s="341"/>
      <c r="I288" s="341"/>
      <c r="J288" s="341"/>
      <c r="K288" s="341"/>
      <c r="L288" s="341"/>
      <c r="M288" s="341"/>
      <c r="N288" s="341"/>
      <c r="O288" s="341"/>
      <c r="P288" s="341"/>
      <c r="Q288" s="341"/>
      <c r="R288" s="341"/>
      <c r="S288" s="341"/>
      <c r="T288" s="341"/>
      <c r="U288" s="341"/>
      <c r="V288" s="341"/>
      <c r="W288" s="341"/>
      <c r="X288" s="341"/>
      <c r="Y288" s="341"/>
      <c r="Z288" s="341"/>
      <c r="AA288" s="341"/>
      <c r="AB288" s="341"/>
      <c r="AC288" s="341"/>
      <c r="AD288" s="341"/>
      <c r="AE288" s="341"/>
      <c r="AF288" s="341"/>
      <c r="AG288" s="341"/>
      <c r="AH288" s="341"/>
      <c r="AI288" s="341"/>
      <c r="AJ288" s="341"/>
      <c r="AK288" s="341"/>
      <c r="AL288" s="341"/>
      <c r="AM288" s="341"/>
      <c r="AN288" s="341"/>
      <c r="AO288" s="341"/>
      <c r="AP288" s="341"/>
      <c r="AQ288" s="341"/>
      <c r="AR288" s="341"/>
      <c r="AS288" s="341"/>
    </row>
    <row r="289" spans="1:45" ht="13.2" x14ac:dyDescent="0.25">
      <c r="A289" s="341"/>
      <c r="B289" s="341"/>
      <c r="C289" s="341"/>
      <c r="D289" s="341"/>
      <c r="E289" s="341"/>
      <c r="F289" s="341"/>
      <c r="G289" s="341"/>
      <c r="H289" s="341"/>
      <c r="I289" s="341"/>
      <c r="J289" s="341"/>
      <c r="K289" s="341"/>
      <c r="L289" s="341"/>
      <c r="M289" s="341"/>
      <c r="N289" s="341"/>
      <c r="O289" s="341"/>
      <c r="P289" s="341"/>
      <c r="Q289" s="341"/>
      <c r="R289" s="341"/>
      <c r="S289" s="341"/>
      <c r="T289" s="341"/>
      <c r="U289" s="341"/>
      <c r="V289" s="341"/>
      <c r="W289" s="341"/>
      <c r="X289" s="341"/>
      <c r="Y289" s="341"/>
      <c r="Z289" s="341"/>
      <c r="AA289" s="341"/>
      <c r="AB289" s="341"/>
      <c r="AC289" s="341"/>
      <c r="AD289" s="341"/>
      <c r="AE289" s="341"/>
      <c r="AF289" s="341"/>
      <c r="AG289" s="341"/>
      <c r="AH289" s="341"/>
      <c r="AI289" s="341"/>
      <c r="AJ289" s="341"/>
      <c r="AK289" s="341"/>
      <c r="AL289" s="341"/>
      <c r="AM289" s="341"/>
      <c r="AN289" s="341"/>
      <c r="AO289" s="341"/>
      <c r="AP289" s="341"/>
      <c r="AQ289" s="341"/>
      <c r="AR289" s="341"/>
      <c r="AS289" s="341"/>
    </row>
    <row r="290" spans="1:45" ht="13.2" x14ac:dyDescent="0.25">
      <c r="A290" s="341"/>
      <c r="B290" s="341"/>
      <c r="C290" s="341"/>
      <c r="D290" s="341"/>
      <c r="E290" s="341"/>
      <c r="F290" s="341"/>
      <c r="G290" s="341"/>
      <c r="H290" s="341"/>
      <c r="I290" s="341"/>
      <c r="J290" s="341"/>
      <c r="K290" s="341"/>
      <c r="L290" s="341"/>
      <c r="M290" s="341"/>
      <c r="N290" s="341"/>
      <c r="O290" s="341"/>
      <c r="P290" s="341"/>
      <c r="Q290" s="341"/>
      <c r="R290" s="341"/>
      <c r="S290" s="341"/>
      <c r="T290" s="341"/>
      <c r="U290" s="341"/>
      <c r="V290" s="341"/>
      <c r="W290" s="341"/>
      <c r="X290" s="341"/>
      <c r="Y290" s="341"/>
      <c r="Z290" s="341"/>
      <c r="AA290" s="341"/>
      <c r="AB290" s="341"/>
      <c r="AC290" s="341"/>
      <c r="AD290" s="341"/>
      <c r="AE290" s="341"/>
      <c r="AF290" s="341"/>
      <c r="AG290" s="341"/>
      <c r="AH290" s="341"/>
      <c r="AI290" s="341"/>
      <c r="AJ290" s="341"/>
      <c r="AK290" s="341"/>
      <c r="AL290" s="341"/>
      <c r="AM290" s="341"/>
      <c r="AN290" s="341"/>
      <c r="AO290" s="341"/>
      <c r="AP290" s="341"/>
      <c r="AQ290" s="341"/>
      <c r="AR290" s="341"/>
      <c r="AS290" s="341"/>
    </row>
    <row r="291" spans="1:45" ht="13.2" x14ac:dyDescent="0.25">
      <c r="A291" s="341"/>
      <c r="B291" s="341"/>
      <c r="C291" s="341"/>
      <c r="D291" s="341"/>
      <c r="E291" s="341"/>
      <c r="F291" s="341"/>
      <c r="G291" s="341"/>
      <c r="H291" s="341"/>
      <c r="I291" s="341"/>
      <c r="J291" s="341"/>
      <c r="K291" s="341"/>
      <c r="L291" s="341"/>
      <c r="M291" s="341"/>
      <c r="N291" s="341"/>
      <c r="O291" s="341"/>
      <c r="P291" s="341"/>
      <c r="Q291" s="341"/>
      <c r="R291" s="341"/>
      <c r="S291" s="341"/>
      <c r="T291" s="341"/>
      <c r="U291" s="341"/>
      <c r="V291" s="341"/>
      <c r="W291" s="341"/>
      <c r="X291" s="341"/>
      <c r="Y291" s="341"/>
      <c r="Z291" s="341"/>
      <c r="AA291" s="341"/>
      <c r="AB291" s="341"/>
      <c r="AC291" s="341"/>
      <c r="AD291" s="341"/>
      <c r="AE291" s="341"/>
      <c r="AF291" s="341"/>
      <c r="AG291" s="341"/>
      <c r="AH291" s="341"/>
      <c r="AI291" s="341"/>
      <c r="AJ291" s="341"/>
      <c r="AK291" s="341"/>
      <c r="AL291" s="341"/>
      <c r="AM291" s="341"/>
      <c r="AN291" s="341"/>
      <c r="AO291" s="341"/>
      <c r="AP291" s="341"/>
      <c r="AQ291" s="341"/>
      <c r="AR291" s="341"/>
      <c r="AS291" s="341"/>
    </row>
    <row r="292" spans="1:45" ht="13.2" x14ac:dyDescent="0.25">
      <c r="A292" s="341"/>
      <c r="B292" s="341"/>
      <c r="C292" s="341"/>
      <c r="D292" s="341"/>
      <c r="E292" s="341"/>
      <c r="F292" s="341"/>
      <c r="G292" s="341"/>
      <c r="H292" s="341"/>
      <c r="I292" s="341"/>
      <c r="J292" s="341"/>
      <c r="K292" s="341"/>
      <c r="L292" s="341"/>
      <c r="M292" s="341"/>
      <c r="N292" s="341"/>
      <c r="O292" s="341"/>
      <c r="P292" s="341"/>
      <c r="Q292" s="341"/>
      <c r="R292" s="341"/>
      <c r="S292" s="341"/>
      <c r="T292" s="341"/>
      <c r="U292" s="341"/>
      <c r="V292" s="341"/>
      <c r="W292" s="341"/>
      <c r="X292" s="341"/>
      <c r="Y292" s="341"/>
      <c r="Z292" s="341"/>
      <c r="AA292" s="341"/>
      <c r="AB292" s="341"/>
      <c r="AC292" s="341"/>
      <c r="AD292" s="341"/>
      <c r="AE292" s="341"/>
      <c r="AF292" s="341"/>
      <c r="AG292" s="341"/>
      <c r="AH292" s="341"/>
      <c r="AI292" s="341"/>
      <c r="AJ292" s="341"/>
      <c r="AK292" s="341"/>
      <c r="AL292" s="341"/>
      <c r="AM292" s="341"/>
      <c r="AN292" s="341"/>
      <c r="AO292" s="341"/>
      <c r="AP292" s="341"/>
      <c r="AQ292" s="341"/>
      <c r="AR292" s="341"/>
      <c r="AS292" s="341"/>
    </row>
    <row r="293" spans="1:45" ht="13.2" x14ac:dyDescent="0.25">
      <c r="A293" s="341"/>
      <c r="B293" s="341"/>
      <c r="C293" s="341"/>
      <c r="D293" s="341"/>
      <c r="E293" s="341"/>
      <c r="F293" s="341"/>
      <c r="G293" s="341"/>
      <c r="H293" s="341"/>
      <c r="I293" s="341"/>
      <c r="J293" s="341"/>
      <c r="K293" s="341"/>
      <c r="L293" s="341"/>
      <c r="M293" s="341"/>
      <c r="N293" s="341"/>
      <c r="O293" s="341"/>
      <c r="P293" s="341"/>
      <c r="Q293" s="341"/>
      <c r="R293" s="341"/>
      <c r="S293" s="341"/>
      <c r="T293" s="341"/>
      <c r="U293" s="341"/>
      <c r="V293" s="341"/>
      <c r="W293" s="341"/>
      <c r="X293" s="341"/>
      <c r="Y293" s="341"/>
      <c r="Z293" s="341"/>
      <c r="AA293" s="341"/>
      <c r="AB293" s="341"/>
      <c r="AC293" s="341"/>
      <c r="AD293" s="341"/>
      <c r="AE293" s="341"/>
      <c r="AF293" s="341"/>
      <c r="AG293" s="341"/>
      <c r="AH293" s="341"/>
      <c r="AI293" s="341"/>
      <c r="AJ293" s="341"/>
      <c r="AK293" s="341"/>
      <c r="AL293" s="341"/>
      <c r="AM293" s="341"/>
      <c r="AN293" s="341"/>
      <c r="AO293" s="341"/>
      <c r="AP293" s="341"/>
      <c r="AQ293" s="341"/>
      <c r="AR293" s="341"/>
      <c r="AS293" s="341"/>
    </row>
    <row r="294" spans="1:45" ht="13.2" x14ac:dyDescent="0.25">
      <c r="A294" s="341"/>
      <c r="B294" s="341"/>
      <c r="C294" s="341"/>
      <c r="D294" s="341"/>
      <c r="E294" s="341"/>
      <c r="F294" s="341"/>
      <c r="G294" s="341"/>
      <c r="H294" s="341"/>
      <c r="I294" s="341"/>
      <c r="J294" s="341"/>
      <c r="K294" s="341"/>
      <c r="L294" s="341"/>
      <c r="M294" s="341"/>
      <c r="N294" s="341"/>
      <c r="O294" s="341"/>
      <c r="P294" s="341"/>
      <c r="Q294" s="341"/>
      <c r="R294" s="341"/>
      <c r="S294" s="341"/>
      <c r="T294" s="341"/>
      <c r="U294" s="341"/>
      <c r="V294" s="341"/>
      <c r="W294" s="341"/>
      <c r="X294" s="341"/>
      <c r="Y294" s="341"/>
      <c r="Z294" s="341"/>
      <c r="AA294" s="341"/>
      <c r="AB294" s="341"/>
      <c r="AC294" s="341"/>
      <c r="AD294" s="341"/>
      <c r="AE294" s="341"/>
      <c r="AF294" s="341"/>
      <c r="AG294" s="341"/>
      <c r="AH294" s="341"/>
      <c r="AI294" s="341"/>
      <c r="AJ294" s="341"/>
      <c r="AK294" s="341"/>
      <c r="AL294" s="341"/>
      <c r="AM294" s="341"/>
      <c r="AN294" s="341"/>
      <c r="AO294" s="341"/>
      <c r="AP294" s="341"/>
      <c r="AQ294" s="341"/>
      <c r="AR294" s="341"/>
      <c r="AS294" s="341"/>
    </row>
    <row r="295" spans="1:45" ht="13.2" x14ac:dyDescent="0.25">
      <c r="A295" s="341"/>
      <c r="B295" s="341"/>
      <c r="C295" s="341"/>
      <c r="D295" s="341"/>
      <c r="E295" s="341"/>
      <c r="F295" s="341"/>
      <c r="G295" s="341"/>
      <c r="H295" s="341"/>
      <c r="I295" s="341"/>
      <c r="J295" s="341"/>
      <c r="K295" s="341"/>
      <c r="L295" s="341"/>
      <c r="M295" s="341"/>
      <c r="N295" s="341"/>
      <c r="O295" s="341"/>
      <c r="P295" s="341"/>
      <c r="Q295" s="341"/>
      <c r="R295" s="341"/>
      <c r="S295" s="341"/>
      <c r="T295" s="341"/>
      <c r="U295" s="341"/>
      <c r="V295" s="341"/>
      <c r="W295" s="341"/>
      <c r="X295" s="341"/>
      <c r="Y295" s="341"/>
      <c r="Z295" s="341"/>
      <c r="AA295" s="341"/>
      <c r="AB295" s="341"/>
      <c r="AC295" s="341"/>
      <c r="AD295" s="341"/>
      <c r="AE295" s="341"/>
      <c r="AF295" s="341"/>
      <c r="AG295" s="341"/>
      <c r="AH295" s="341"/>
      <c r="AI295" s="341"/>
      <c r="AJ295" s="341"/>
      <c r="AK295" s="341"/>
      <c r="AL295" s="341"/>
      <c r="AM295" s="341"/>
      <c r="AN295" s="341"/>
      <c r="AO295" s="341"/>
      <c r="AP295" s="341"/>
      <c r="AQ295" s="341"/>
      <c r="AR295" s="341"/>
      <c r="AS295" s="341"/>
    </row>
    <row r="296" spans="1:45" ht="13.2" x14ac:dyDescent="0.25">
      <c r="A296" s="341"/>
      <c r="B296" s="341"/>
      <c r="C296" s="341"/>
      <c r="D296" s="341"/>
      <c r="E296" s="341"/>
      <c r="F296" s="341"/>
      <c r="G296" s="341"/>
      <c r="H296" s="341"/>
      <c r="I296" s="341"/>
      <c r="J296" s="341"/>
      <c r="K296" s="341"/>
      <c r="L296" s="341"/>
      <c r="M296" s="341"/>
      <c r="N296" s="341"/>
      <c r="O296" s="341"/>
      <c r="P296" s="341"/>
      <c r="Q296" s="341"/>
      <c r="R296" s="341"/>
      <c r="S296" s="341"/>
      <c r="T296" s="341"/>
      <c r="U296" s="341"/>
      <c r="V296" s="341"/>
      <c r="W296" s="341"/>
      <c r="X296" s="341"/>
      <c r="Y296" s="341"/>
      <c r="Z296" s="341"/>
      <c r="AA296" s="341"/>
      <c r="AB296" s="341"/>
      <c r="AC296" s="341"/>
      <c r="AD296" s="341"/>
      <c r="AE296" s="341"/>
      <c r="AF296" s="341"/>
      <c r="AG296" s="341"/>
      <c r="AH296" s="341"/>
      <c r="AI296" s="341"/>
      <c r="AJ296" s="341"/>
      <c r="AK296" s="341"/>
      <c r="AL296" s="341"/>
      <c r="AM296" s="341"/>
      <c r="AN296" s="341"/>
      <c r="AO296" s="341"/>
      <c r="AP296" s="341"/>
      <c r="AQ296" s="341"/>
      <c r="AR296" s="341"/>
      <c r="AS296" s="341"/>
    </row>
    <row r="297" spans="1:45" ht="13.2" x14ac:dyDescent="0.25">
      <c r="A297" s="341"/>
      <c r="B297" s="341"/>
      <c r="C297" s="341"/>
      <c r="D297" s="341"/>
      <c r="E297" s="341"/>
      <c r="F297" s="341"/>
      <c r="G297" s="341"/>
      <c r="H297" s="341"/>
      <c r="I297" s="341"/>
      <c r="J297" s="341"/>
      <c r="K297" s="341"/>
      <c r="L297" s="341"/>
      <c r="M297" s="341"/>
      <c r="N297" s="341"/>
      <c r="O297" s="341"/>
      <c r="P297" s="341"/>
      <c r="Q297" s="341"/>
      <c r="R297" s="341"/>
      <c r="S297" s="341"/>
      <c r="T297" s="341"/>
      <c r="U297" s="341"/>
      <c r="V297" s="341"/>
      <c r="W297" s="341"/>
      <c r="X297" s="341"/>
      <c r="Y297" s="341"/>
      <c r="Z297" s="341"/>
      <c r="AA297" s="341"/>
      <c r="AB297" s="341"/>
      <c r="AC297" s="341"/>
      <c r="AD297" s="341"/>
      <c r="AE297" s="341"/>
      <c r="AF297" s="341"/>
      <c r="AG297" s="341"/>
      <c r="AH297" s="341"/>
      <c r="AI297" s="341"/>
      <c r="AJ297" s="341"/>
      <c r="AK297" s="341"/>
      <c r="AL297" s="341"/>
      <c r="AM297" s="341"/>
      <c r="AN297" s="341"/>
      <c r="AO297" s="341"/>
      <c r="AP297" s="341"/>
      <c r="AQ297" s="341"/>
      <c r="AR297" s="341"/>
      <c r="AS297" s="341"/>
    </row>
    <row r="298" spans="1:45" ht="13.2" x14ac:dyDescent="0.25">
      <c r="A298" s="341"/>
      <c r="B298" s="341"/>
      <c r="C298" s="341"/>
      <c r="D298" s="341"/>
      <c r="E298" s="341"/>
      <c r="F298" s="341"/>
      <c r="G298" s="341"/>
      <c r="H298" s="341"/>
      <c r="I298" s="341"/>
      <c r="J298" s="341"/>
      <c r="K298" s="341"/>
      <c r="L298" s="341"/>
      <c r="M298" s="341"/>
      <c r="N298" s="341"/>
      <c r="O298" s="341"/>
      <c r="P298" s="341"/>
      <c r="Q298" s="341"/>
      <c r="R298" s="341"/>
      <c r="S298" s="341"/>
      <c r="T298" s="341"/>
      <c r="U298" s="341"/>
      <c r="V298" s="341"/>
      <c r="W298" s="341"/>
      <c r="X298" s="341"/>
      <c r="Y298" s="341"/>
      <c r="Z298" s="341"/>
      <c r="AA298" s="341"/>
      <c r="AB298" s="341"/>
      <c r="AC298" s="341"/>
      <c r="AD298" s="341"/>
      <c r="AE298" s="341"/>
      <c r="AF298" s="341"/>
      <c r="AG298" s="341"/>
      <c r="AH298" s="341"/>
      <c r="AI298" s="341"/>
      <c r="AJ298" s="341"/>
      <c r="AK298" s="341"/>
      <c r="AL298" s="341"/>
      <c r="AM298" s="341"/>
      <c r="AN298" s="341"/>
      <c r="AO298" s="341"/>
      <c r="AP298" s="341"/>
      <c r="AQ298" s="341"/>
      <c r="AR298" s="341"/>
      <c r="AS298" s="341"/>
    </row>
    <row r="299" spans="1:45" ht="13.2" x14ac:dyDescent="0.25">
      <c r="A299" s="341"/>
      <c r="B299" s="341"/>
      <c r="C299" s="341"/>
      <c r="D299" s="341"/>
      <c r="E299" s="341"/>
      <c r="F299" s="341"/>
      <c r="G299" s="341"/>
      <c r="H299" s="341"/>
      <c r="I299" s="341"/>
      <c r="J299" s="341"/>
      <c r="K299" s="341"/>
      <c r="L299" s="341"/>
      <c r="M299" s="341"/>
      <c r="N299" s="341"/>
      <c r="O299" s="341"/>
      <c r="P299" s="341"/>
      <c r="Q299" s="341"/>
      <c r="R299" s="341"/>
      <c r="S299" s="341"/>
      <c r="T299" s="341"/>
      <c r="U299" s="341"/>
      <c r="V299" s="341"/>
      <c r="W299" s="341"/>
      <c r="X299" s="341"/>
      <c r="Y299" s="341"/>
      <c r="Z299" s="341"/>
      <c r="AA299" s="341"/>
      <c r="AB299" s="341"/>
      <c r="AC299" s="341"/>
      <c r="AD299" s="341"/>
      <c r="AE299" s="341"/>
      <c r="AF299" s="341"/>
      <c r="AG299" s="341"/>
      <c r="AH299" s="341"/>
      <c r="AI299" s="341"/>
      <c r="AJ299" s="341"/>
      <c r="AK299" s="341"/>
      <c r="AL299" s="341"/>
      <c r="AM299" s="341"/>
      <c r="AN299" s="341"/>
      <c r="AO299" s="341"/>
      <c r="AP299" s="341"/>
      <c r="AQ299" s="341"/>
      <c r="AR299" s="341"/>
      <c r="AS299" s="341"/>
    </row>
    <row r="300" spans="1:45" ht="13.2" x14ac:dyDescent="0.25">
      <c r="A300" s="341"/>
      <c r="B300" s="341"/>
      <c r="C300" s="341"/>
      <c r="D300" s="341"/>
      <c r="E300" s="341"/>
      <c r="F300" s="341"/>
      <c r="G300" s="341"/>
      <c r="H300" s="341"/>
      <c r="I300" s="341"/>
      <c r="J300" s="341"/>
      <c r="K300" s="341"/>
      <c r="L300" s="341"/>
      <c r="M300" s="341"/>
      <c r="N300" s="341"/>
      <c r="O300" s="341"/>
      <c r="P300" s="341"/>
      <c r="Q300" s="341"/>
      <c r="R300" s="341"/>
      <c r="S300" s="341"/>
      <c r="T300" s="341"/>
      <c r="U300" s="341"/>
      <c r="V300" s="341"/>
      <c r="W300" s="341"/>
      <c r="X300" s="341"/>
      <c r="Y300" s="341"/>
      <c r="Z300" s="341"/>
      <c r="AA300" s="341"/>
      <c r="AB300" s="341"/>
      <c r="AC300" s="341"/>
      <c r="AD300" s="341"/>
      <c r="AE300" s="341"/>
      <c r="AF300" s="341"/>
      <c r="AG300" s="341"/>
      <c r="AH300" s="341"/>
      <c r="AI300" s="341"/>
      <c r="AJ300" s="341"/>
      <c r="AK300" s="341"/>
      <c r="AL300" s="341"/>
      <c r="AM300" s="341"/>
      <c r="AN300" s="341"/>
      <c r="AO300" s="341"/>
      <c r="AP300" s="341"/>
      <c r="AQ300" s="341"/>
      <c r="AR300" s="341"/>
      <c r="AS300" s="341"/>
    </row>
    <row r="301" spans="1:45" ht="13.2" x14ac:dyDescent="0.25">
      <c r="A301" s="341"/>
      <c r="B301" s="341"/>
      <c r="C301" s="341"/>
      <c r="D301" s="341"/>
      <c r="E301" s="341"/>
      <c r="F301" s="341"/>
      <c r="G301" s="341"/>
      <c r="H301" s="341"/>
      <c r="I301" s="341"/>
      <c r="J301" s="341"/>
      <c r="K301" s="341"/>
      <c r="L301" s="341"/>
      <c r="M301" s="341"/>
      <c r="N301" s="341"/>
      <c r="O301" s="341"/>
      <c r="P301" s="341"/>
      <c r="Q301" s="341"/>
      <c r="R301" s="341"/>
      <c r="S301" s="341"/>
      <c r="T301" s="341"/>
      <c r="U301" s="341"/>
      <c r="V301" s="341"/>
      <c r="W301" s="341"/>
      <c r="X301" s="341"/>
      <c r="Y301" s="341"/>
      <c r="Z301" s="341"/>
      <c r="AA301" s="341"/>
      <c r="AB301" s="341"/>
      <c r="AC301" s="341"/>
      <c r="AD301" s="341"/>
      <c r="AE301" s="341"/>
      <c r="AF301" s="341"/>
      <c r="AG301" s="341"/>
      <c r="AH301" s="341"/>
      <c r="AI301" s="341"/>
      <c r="AJ301" s="341"/>
      <c r="AK301" s="341"/>
      <c r="AL301" s="341"/>
      <c r="AM301" s="341"/>
      <c r="AN301" s="341"/>
      <c r="AO301" s="341"/>
      <c r="AP301" s="341"/>
      <c r="AQ301" s="341"/>
      <c r="AR301" s="341"/>
      <c r="AS301" s="341"/>
    </row>
    <row r="302" spans="1:45" ht="13.2" x14ac:dyDescent="0.25">
      <c r="A302" s="341"/>
      <c r="B302" s="341"/>
      <c r="C302" s="341"/>
      <c r="D302" s="341"/>
      <c r="E302" s="341"/>
      <c r="F302" s="341"/>
      <c r="G302" s="341"/>
      <c r="H302" s="341"/>
      <c r="I302" s="341"/>
      <c r="J302" s="341"/>
      <c r="K302" s="341"/>
      <c r="L302" s="341"/>
      <c r="M302" s="341"/>
      <c r="N302" s="341"/>
      <c r="O302" s="341"/>
      <c r="P302" s="341"/>
      <c r="Q302" s="341"/>
      <c r="R302" s="341"/>
      <c r="S302" s="341"/>
      <c r="T302" s="341"/>
      <c r="U302" s="341"/>
      <c r="V302" s="341"/>
      <c r="W302" s="341"/>
      <c r="X302" s="341"/>
      <c r="Y302" s="341"/>
      <c r="Z302" s="341"/>
      <c r="AA302" s="341"/>
      <c r="AB302" s="341"/>
      <c r="AC302" s="341"/>
      <c r="AD302" s="341"/>
      <c r="AE302" s="341"/>
      <c r="AF302" s="341"/>
      <c r="AG302" s="341"/>
      <c r="AH302" s="341"/>
      <c r="AI302" s="341"/>
      <c r="AJ302" s="341"/>
      <c r="AK302" s="341"/>
      <c r="AL302" s="341"/>
      <c r="AM302" s="341"/>
      <c r="AN302" s="341"/>
      <c r="AO302" s="341"/>
      <c r="AP302" s="341"/>
      <c r="AQ302" s="341"/>
      <c r="AR302" s="341"/>
      <c r="AS302" s="341"/>
    </row>
    <row r="303" spans="1:45" ht="13.2" x14ac:dyDescent="0.25">
      <c r="A303" s="341"/>
      <c r="B303" s="341"/>
      <c r="C303" s="341"/>
      <c r="D303" s="341"/>
      <c r="E303" s="341"/>
      <c r="F303" s="341"/>
      <c r="G303" s="341"/>
      <c r="H303" s="341"/>
      <c r="I303" s="341"/>
      <c r="J303" s="341"/>
      <c r="K303" s="341"/>
      <c r="L303" s="341"/>
      <c r="M303" s="341"/>
      <c r="N303" s="341"/>
      <c r="O303" s="341"/>
      <c r="P303" s="341"/>
      <c r="Q303" s="341"/>
      <c r="R303" s="341"/>
      <c r="S303" s="341"/>
      <c r="T303" s="341"/>
      <c r="U303" s="341"/>
      <c r="V303" s="341"/>
      <c r="W303" s="341"/>
      <c r="X303" s="341"/>
      <c r="Y303" s="341"/>
      <c r="Z303" s="341"/>
      <c r="AA303" s="341"/>
      <c r="AB303" s="341"/>
      <c r="AC303" s="341"/>
      <c r="AD303" s="341"/>
      <c r="AE303" s="341"/>
      <c r="AF303" s="341"/>
      <c r="AG303" s="341"/>
      <c r="AH303" s="341"/>
      <c r="AI303" s="341"/>
      <c r="AJ303" s="341"/>
      <c r="AK303" s="341"/>
      <c r="AL303" s="341"/>
      <c r="AM303" s="341"/>
      <c r="AN303" s="341"/>
      <c r="AO303" s="341"/>
      <c r="AP303" s="341"/>
      <c r="AQ303" s="341"/>
      <c r="AR303" s="341"/>
      <c r="AS303" s="341"/>
    </row>
    <row r="304" spans="1:45" ht="13.2" x14ac:dyDescent="0.25">
      <c r="A304" s="341"/>
      <c r="B304" s="341"/>
      <c r="C304" s="341"/>
      <c r="D304" s="341"/>
      <c r="E304" s="341"/>
      <c r="F304" s="341"/>
      <c r="G304" s="341"/>
      <c r="H304" s="341"/>
      <c r="I304" s="341"/>
      <c r="J304" s="341"/>
      <c r="K304" s="341"/>
      <c r="L304" s="341"/>
      <c r="M304" s="341"/>
      <c r="N304" s="341"/>
      <c r="O304" s="341"/>
      <c r="P304" s="341"/>
      <c r="Q304" s="341"/>
      <c r="R304" s="341"/>
      <c r="S304" s="341"/>
      <c r="T304" s="341"/>
      <c r="U304" s="341"/>
      <c r="V304" s="341"/>
      <c r="W304" s="341"/>
      <c r="X304" s="341"/>
      <c r="Y304" s="341"/>
      <c r="Z304" s="341"/>
      <c r="AA304" s="341"/>
      <c r="AB304" s="341"/>
      <c r="AC304" s="341"/>
      <c r="AD304" s="341"/>
      <c r="AE304" s="341"/>
      <c r="AF304" s="341"/>
      <c r="AG304" s="341"/>
      <c r="AH304" s="341"/>
      <c r="AI304" s="341"/>
      <c r="AJ304" s="341"/>
      <c r="AK304" s="341"/>
      <c r="AL304" s="341"/>
      <c r="AM304" s="341"/>
      <c r="AN304" s="341"/>
      <c r="AO304" s="341"/>
      <c r="AP304" s="341"/>
      <c r="AQ304" s="341"/>
      <c r="AR304" s="341"/>
      <c r="AS304" s="341"/>
    </row>
    <row r="305" spans="1:45" ht="13.2" x14ac:dyDescent="0.25">
      <c r="A305" s="341"/>
      <c r="B305" s="341"/>
      <c r="C305" s="341"/>
      <c r="D305" s="341"/>
      <c r="E305" s="341"/>
      <c r="F305" s="341"/>
      <c r="G305" s="341"/>
      <c r="H305" s="341"/>
      <c r="I305" s="341"/>
      <c r="J305" s="341"/>
      <c r="K305" s="341"/>
      <c r="L305" s="341"/>
      <c r="M305" s="341"/>
      <c r="N305" s="341"/>
      <c r="O305" s="341"/>
      <c r="P305" s="341"/>
      <c r="Q305" s="341"/>
      <c r="R305" s="341"/>
      <c r="S305" s="341"/>
      <c r="T305" s="341"/>
      <c r="U305" s="341"/>
      <c r="V305" s="341"/>
      <c r="W305" s="341"/>
      <c r="X305" s="341"/>
      <c r="Y305" s="341"/>
      <c r="Z305" s="341"/>
      <c r="AA305" s="341"/>
      <c r="AB305" s="341"/>
      <c r="AC305" s="341"/>
      <c r="AD305" s="341"/>
      <c r="AE305" s="341"/>
      <c r="AF305" s="341"/>
      <c r="AG305" s="341"/>
      <c r="AH305" s="341"/>
      <c r="AI305" s="341"/>
      <c r="AJ305" s="341"/>
      <c r="AK305" s="341"/>
      <c r="AL305" s="341"/>
      <c r="AM305" s="341"/>
      <c r="AN305" s="341"/>
      <c r="AO305" s="341"/>
      <c r="AP305" s="341"/>
      <c r="AQ305" s="341"/>
      <c r="AR305" s="341"/>
      <c r="AS305" s="341"/>
    </row>
    <row r="306" spans="1:45" ht="13.2" x14ac:dyDescent="0.25">
      <c r="A306" s="341"/>
      <c r="B306" s="341"/>
      <c r="C306" s="341"/>
      <c r="D306" s="341"/>
      <c r="E306" s="341"/>
      <c r="F306" s="341"/>
      <c r="G306" s="341"/>
      <c r="H306" s="341"/>
      <c r="I306" s="341"/>
      <c r="J306" s="341"/>
      <c r="K306" s="341"/>
      <c r="L306" s="341"/>
      <c r="M306" s="341"/>
      <c r="N306" s="341"/>
      <c r="O306" s="341"/>
      <c r="P306" s="341"/>
      <c r="Q306" s="341"/>
      <c r="R306" s="341"/>
      <c r="S306" s="341"/>
      <c r="T306" s="341"/>
      <c r="U306" s="341"/>
      <c r="V306" s="341"/>
      <c r="W306" s="341"/>
      <c r="X306" s="341"/>
      <c r="Y306" s="341"/>
      <c r="Z306" s="341"/>
      <c r="AA306" s="341"/>
      <c r="AB306" s="341"/>
      <c r="AC306" s="341"/>
      <c r="AD306" s="341"/>
      <c r="AE306" s="341"/>
      <c r="AF306" s="341"/>
      <c r="AG306" s="341"/>
      <c r="AH306" s="341"/>
      <c r="AI306" s="341"/>
      <c r="AJ306" s="341"/>
      <c r="AK306" s="341"/>
      <c r="AL306" s="341"/>
      <c r="AM306" s="341"/>
      <c r="AN306" s="341"/>
      <c r="AO306" s="341"/>
      <c r="AP306" s="341"/>
      <c r="AQ306" s="341"/>
      <c r="AR306" s="341"/>
      <c r="AS306" s="341"/>
    </row>
    <row r="307" spans="1:45" ht="13.2" x14ac:dyDescent="0.25">
      <c r="A307" s="341"/>
      <c r="B307" s="341"/>
      <c r="C307" s="341"/>
      <c r="D307" s="341"/>
      <c r="E307" s="341"/>
      <c r="F307" s="341"/>
      <c r="G307" s="341"/>
      <c r="H307" s="341"/>
      <c r="I307" s="341"/>
      <c r="J307" s="341"/>
      <c r="K307" s="341"/>
      <c r="L307" s="341"/>
      <c r="M307" s="341"/>
      <c r="N307" s="341"/>
      <c r="O307" s="341"/>
      <c r="P307" s="341"/>
      <c r="Q307" s="341"/>
      <c r="R307" s="341"/>
      <c r="S307" s="341"/>
      <c r="T307" s="341"/>
      <c r="U307" s="341"/>
      <c r="V307" s="341"/>
      <c r="W307" s="341"/>
      <c r="X307" s="341"/>
      <c r="Y307" s="341"/>
      <c r="Z307" s="341"/>
      <c r="AA307" s="341"/>
      <c r="AB307" s="341"/>
      <c r="AC307" s="341"/>
      <c r="AD307" s="341"/>
      <c r="AE307" s="341"/>
      <c r="AF307" s="341"/>
      <c r="AG307" s="341"/>
      <c r="AH307" s="341"/>
      <c r="AI307" s="341"/>
      <c r="AJ307" s="341"/>
      <c r="AK307" s="341"/>
      <c r="AL307" s="341"/>
      <c r="AM307" s="341"/>
      <c r="AN307" s="341"/>
      <c r="AO307" s="341"/>
      <c r="AP307" s="341"/>
      <c r="AQ307" s="341"/>
      <c r="AR307" s="341"/>
      <c r="AS307" s="341"/>
    </row>
    <row r="308" spans="1:45" ht="13.2" x14ac:dyDescent="0.25">
      <c r="A308" s="341"/>
      <c r="B308" s="341"/>
      <c r="C308" s="341"/>
      <c r="D308" s="341"/>
      <c r="E308" s="341"/>
      <c r="F308" s="341"/>
      <c r="G308" s="341"/>
      <c r="H308" s="341"/>
      <c r="I308" s="341"/>
      <c r="J308" s="341"/>
      <c r="K308" s="341"/>
      <c r="L308" s="341"/>
      <c r="M308" s="341"/>
      <c r="N308" s="341"/>
      <c r="O308" s="341"/>
      <c r="P308" s="341"/>
      <c r="Q308" s="341"/>
      <c r="R308" s="341"/>
      <c r="S308" s="341"/>
      <c r="T308" s="341"/>
      <c r="U308" s="341"/>
      <c r="V308" s="341"/>
      <c r="W308" s="341"/>
      <c r="X308" s="341"/>
      <c r="Y308" s="341"/>
      <c r="Z308" s="341"/>
      <c r="AA308" s="341"/>
      <c r="AB308" s="341"/>
      <c r="AC308" s="341"/>
      <c r="AD308" s="341"/>
      <c r="AE308" s="341"/>
      <c r="AF308" s="341"/>
      <c r="AG308" s="341"/>
      <c r="AH308" s="341"/>
      <c r="AI308" s="341"/>
      <c r="AJ308" s="341"/>
      <c r="AK308" s="341"/>
      <c r="AL308" s="341"/>
      <c r="AM308" s="341"/>
      <c r="AN308" s="341"/>
      <c r="AO308" s="341"/>
      <c r="AP308" s="341"/>
      <c r="AQ308" s="341"/>
      <c r="AR308" s="341"/>
      <c r="AS308" s="341"/>
    </row>
    <row r="309" spans="1:45" ht="13.2" x14ac:dyDescent="0.25">
      <c r="A309" s="341"/>
      <c r="B309" s="341"/>
      <c r="C309" s="341"/>
      <c r="D309" s="341"/>
      <c r="E309" s="341"/>
      <c r="F309" s="341"/>
      <c r="G309" s="341"/>
      <c r="H309" s="341"/>
      <c r="I309" s="341"/>
      <c r="J309" s="341"/>
      <c r="K309" s="341"/>
      <c r="L309" s="341"/>
      <c r="M309" s="341"/>
      <c r="N309" s="341"/>
      <c r="O309" s="341"/>
      <c r="P309" s="341"/>
      <c r="Q309" s="341"/>
      <c r="R309" s="341"/>
      <c r="S309" s="341"/>
      <c r="T309" s="341"/>
      <c r="U309" s="341"/>
      <c r="V309" s="341"/>
      <c r="W309" s="341"/>
      <c r="X309" s="341"/>
      <c r="Y309" s="341"/>
      <c r="Z309" s="341"/>
      <c r="AA309" s="341"/>
      <c r="AB309" s="341"/>
      <c r="AC309" s="341"/>
      <c r="AD309" s="341"/>
      <c r="AE309" s="341"/>
      <c r="AF309" s="341"/>
      <c r="AG309" s="341"/>
      <c r="AH309" s="341"/>
      <c r="AI309" s="341"/>
      <c r="AJ309" s="341"/>
      <c r="AK309" s="341"/>
      <c r="AL309" s="341"/>
      <c r="AM309" s="341"/>
      <c r="AN309" s="341"/>
      <c r="AO309" s="341"/>
      <c r="AP309" s="341"/>
      <c r="AQ309" s="341"/>
      <c r="AR309" s="341"/>
      <c r="AS309" s="341"/>
    </row>
    <row r="310" spans="1:45" ht="13.2" x14ac:dyDescent="0.25">
      <c r="A310" s="341"/>
      <c r="B310" s="341"/>
      <c r="C310" s="341"/>
      <c r="D310" s="341"/>
      <c r="E310" s="341"/>
      <c r="F310" s="341"/>
      <c r="G310" s="341"/>
      <c r="H310" s="341"/>
      <c r="I310" s="341"/>
      <c r="J310" s="341"/>
      <c r="K310" s="341"/>
      <c r="L310" s="341"/>
      <c r="M310" s="341"/>
      <c r="N310" s="341"/>
      <c r="O310" s="341"/>
      <c r="P310" s="341"/>
      <c r="Q310" s="341"/>
      <c r="R310" s="341"/>
      <c r="S310" s="341"/>
      <c r="T310" s="341"/>
      <c r="U310" s="341"/>
      <c r="V310" s="341"/>
      <c r="W310" s="341"/>
      <c r="X310" s="341"/>
      <c r="Y310" s="341"/>
      <c r="Z310" s="341"/>
      <c r="AA310" s="341"/>
      <c r="AB310" s="341"/>
      <c r="AC310" s="341"/>
      <c r="AD310" s="341"/>
      <c r="AE310" s="341"/>
      <c r="AF310" s="341"/>
      <c r="AG310" s="341"/>
      <c r="AH310" s="341"/>
      <c r="AI310" s="341"/>
      <c r="AJ310" s="341"/>
      <c r="AK310" s="341"/>
      <c r="AL310" s="341"/>
      <c r="AM310" s="341"/>
      <c r="AN310" s="341"/>
      <c r="AO310" s="341"/>
      <c r="AP310" s="341"/>
      <c r="AQ310" s="341"/>
      <c r="AR310" s="341"/>
      <c r="AS310" s="341"/>
    </row>
    <row r="311" spans="1:45" ht="13.2" x14ac:dyDescent="0.25">
      <c r="A311" s="341"/>
      <c r="B311" s="341"/>
      <c r="C311" s="341"/>
      <c r="D311" s="341"/>
      <c r="E311" s="341"/>
      <c r="F311" s="341"/>
      <c r="G311" s="341"/>
      <c r="H311" s="341"/>
      <c r="I311" s="341"/>
      <c r="J311" s="341"/>
      <c r="K311" s="341"/>
      <c r="L311" s="341"/>
      <c r="M311" s="341"/>
      <c r="N311" s="341"/>
      <c r="O311" s="341"/>
      <c r="P311" s="341"/>
      <c r="Q311" s="341"/>
      <c r="R311" s="341"/>
      <c r="S311" s="341"/>
      <c r="T311" s="341"/>
      <c r="U311" s="341"/>
      <c r="V311" s="341"/>
      <c r="W311" s="341"/>
      <c r="X311" s="341"/>
      <c r="Y311" s="341"/>
      <c r="Z311" s="341"/>
      <c r="AA311" s="341"/>
      <c r="AB311" s="341"/>
      <c r="AC311" s="341"/>
      <c r="AD311" s="341"/>
      <c r="AE311" s="341"/>
      <c r="AF311" s="341"/>
      <c r="AG311" s="341"/>
      <c r="AH311" s="341"/>
      <c r="AI311" s="341"/>
      <c r="AJ311" s="341"/>
      <c r="AK311" s="341"/>
      <c r="AL311" s="341"/>
      <c r="AM311" s="341"/>
      <c r="AN311" s="341"/>
      <c r="AO311" s="341"/>
      <c r="AP311" s="341"/>
      <c r="AQ311" s="341"/>
      <c r="AR311" s="341"/>
      <c r="AS311" s="341"/>
    </row>
    <row r="312" spans="1:45" ht="13.2" x14ac:dyDescent="0.25">
      <c r="A312" s="341"/>
      <c r="B312" s="341"/>
      <c r="C312" s="341"/>
      <c r="D312" s="341"/>
      <c r="E312" s="341"/>
      <c r="F312" s="341"/>
      <c r="G312" s="341"/>
      <c r="H312" s="341"/>
      <c r="I312" s="341"/>
      <c r="J312" s="341"/>
      <c r="K312" s="341"/>
      <c r="L312" s="341"/>
      <c r="M312" s="341"/>
      <c r="N312" s="341"/>
      <c r="O312" s="341"/>
      <c r="P312" s="341"/>
      <c r="Q312" s="341"/>
      <c r="R312" s="341"/>
      <c r="S312" s="341"/>
      <c r="T312" s="341"/>
      <c r="U312" s="341"/>
      <c r="V312" s="341"/>
      <c r="W312" s="341"/>
      <c r="X312" s="341"/>
      <c r="Y312" s="341"/>
      <c r="Z312" s="341"/>
      <c r="AA312" s="341"/>
      <c r="AB312" s="341"/>
      <c r="AC312" s="341"/>
      <c r="AD312" s="341"/>
      <c r="AE312" s="341"/>
      <c r="AF312" s="341"/>
      <c r="AG312" s="341"/>
      <c r="AH312" s="341"/>
      <c r="AI312" s="341"/>
      <c r="AJ312" s="341"/>
      <c r="AK312" s="341"/>
      <c r="AL312" s="341"/>
      <c r="AM312" s="341"/>
      <c r="AN312" s="341"/>
      <c r="AO312" s="341"/>
      <c r="AP312" s="341"/>
      <c r="AQ312" s="341"/>
      <c r="AR312" s="341"/>
      <c r="AS312" s="341"/>
    </row>
    <row r="313" spans="1:45" ht="13.2" x14ac:dyDescent="0.25">
      <c r="A313" s="341"/>
      <c r="B313" s="341"/>
      <c r="C313" s="341"/>
      <c r="D313" s="341"/>
      <c r="E313" s="341"/>
      <c r="F313" s="341"/>
      <c r="G313" s="341"/>
      <c r="H313" s="341"/>
      <c r="I313" s="341"/>
      <c r="J313" s="341"/>
      <c r="K313" s="341"/>
      <c r="L313" s="341"/>
      <c r="M313" s="341"/>
      <c r="N313" s="341"/>
      <c r="O313" s="341"/>
      <c r="P313" s="341"/>
      <c r="Q313" s="341"/>
      <c r="R313" s="341"/>
      <c r="S313" s="341"/>
      <c r="T313" s="341"/>
      <c r="U313" s="341"/>
      <c r="V313" s="341"/>
      <c r="W313" s="341"/>
      <c r="X313" s="341"/>
      <c r="Y313" s="341"/>
      <c r="Z313" s="341"/>
      <c r="AA313" s="341"/>
      <c r="AB313" s="341"/>
      <c r="AC313" s="341"/>
      <c r="AD313" s="341"/>
      <c r="AE313" s="341"/>
      <c r="AF313" s="341"/>
      <c r="AG313" s="341"/>
      <c r="AH313" s="341"/>
      <c r="AI313" s="341"/>
      <c r="AJ313" s="341"/>
      <c r="AK313" s="341"/>
      <c r="AL313" s="341"/>
      <c r="AM313" s="341"/>
      <c r="AN313" s="341"/>
      <c r="AO313" s="341"/>
      <c r="AP313" s="341"/>
      <c r="AQ313" s="341"/>
      <c r="AR313" s="341"/>
      <c r="AS313" s="341"/>
    </row>
    <row r="314" spans="1:45" ht="13.2" x14ac:dyDescent="0.25">
      <c r="A314" s="341"/>
      <c r="B314" s="341"/>
      <c r="C314" s="341"/>
      <c r="D314" s="341"/>
      <c r="E314" s="341"/>
      <c r="F314" s="341"/>
      <c r="G314" s="341"/>
      <c r="H314" s="341"/>
      <c r="I314" s="341"/>
      <c r="J314" s="341"/>
      <c r="K314" s="341"/>
      <c r="L314" s="341"/>
      <c r="M314" s="341"/>
      <c r="N314" s="341"/>
      <c r="O314" s="341"/>
      <c r="P314" s="341"/>
      <c r="Q314" s="341"/>
      <c r="R314" s="341"/>
      <c r="S314" s="341"/>
      <c r="T314" s="341"/>
      <c r="U314" s="341"/>
      <c r="V314" s="341"/>
      <c r="W314" s="341"/>
      <c r="X314" s="341"/>
      <c r="Y314" s="341"/>
      <c r="Z314" s="341"/>
      <c r="AA314" s="341"/>
      <c r="AB314" s="341"/>
      <c r="AC314" s="341"/>
      <c r="AD314" s="341"/>
      <c r="AE314" s="341"/>
      <c r="AF314" s="341"/>
      <c r="AG314" s="341"/>
      <c r="AH314" s="341"/>
      <c r="AI314" s="341"/>
      <c r="AJ314" s="341"/>
      <c r="AK314" s="341"/>
      <c r="AL314" s="341"/>
      <c r="AM314" s="341"/>
      <c r="AN314" s="341"/>
      <c r="AO314" s="341"/>
      <c r="AP314" s="341"/>
      <c r="AQ314" s="341"/>
      <c r="AR314" s="341"/>
      <c r="AS314" s="341"/>
    </row>
    <row r="315" spans="1:45" ht="13.2" x14ac:dyDescent="0.25">
      <c r="A315" s="341"/>
      <c r="B315" s="341"/>
      <c r="C315" s="341"/>
      <c r="D315" s="341"/>
      <c r="E315" s="341"/>
      <c r="F315" s="341"/>
      <c r="G315" s="341"/>
      <c r="H315" s="341"/>
      <c r="I315" s="341"/>
      <c r="J315" s="341"/>
      <c r="K315" s="341"/>
      <c r="L315" s="341"/>
      <c r="M315" s="341"/>
      <c r="N315" s="341"/>
      <c r="O315" s="341"/>
      <c r="P315" s="341"/>
      <c r="Q315" s="341"/>
      <c r="R315" s="341"/>
      <c r="S315" s="341"/>
      <c r="T315" s="341"/>
      <c r="U315" s="341"/>
      <c r="V315" s="341"/>
      <c r="W315" s="341"/>
      <c r="X315" s="341"/>
      <c r="Y315" s="341"/>
      <c r="Z315" s="341"/>
      <c r="AA315" s="341"/>
      <c r="AB315" s="341"/>
      <c r="AC315" s="341"/>
      <c r="AD315" s="341"/>
      <c r="AE315" s="341"/>
      <c r="AF315" s="341"/>
      <c r="AG315" s="341"/>
      <c r="AH315" s="341"/>
      <c r="AI315" s="341"/>
      <c r="AJ315" s="341"/>
      <c r="AK315" s="341"/>
      <c r="AL315" s="341"/>
      <c r="AM315" s="341"/>
      <c r="AN315" s="341"/>
      <c r="AO315" s="341"/>
      <c r="AP315" s="341"/>
      <c r="AQ315" s="341"/>
      <c r="AR315" s="341"/>
      <c r="AS315" s="341"/>
    </row>
    <row r="316" spans="1:45" ht="13.2" x14ac:dyDescent="0.25">
      <c r="A316" s="341"/>
      <c r="B316" s="341"/>
      <c r="C316" s="341"/>
      <c r="D316" s="341"/>
      <c r="E316" s="341"/>
      <c r="F316" s="341"/>
      <c r="G316" s="341"/>
      <c r="H316" s="341"/>
      <c r="I316" s="341"/>
      <c r="J316" s="341"/>
      <c r="K316" s="341"/>
      <c r="L316" s="341"/>
      <c r="M316" s="341"/>
      <c r="N316" s="341"/>
      <c r="O316" s="341"/>
      <c r="P316" s="341"/>
      <c r="Q316" s="341"/>
      <c r="R316" s="341"/>
      <c r="S316" s="341"/>
      <c r="T316" s="341"/>
      <c r="U316" s="341"/>
      <c r="V316" s="341"/>
      <c r="W316" s="341"/>
      <c r="X316" s="341"/>
      <c r="Y316" s="341"/>
      <c r="Z316" s="341"/>
      <c r="AA316" s="341"/>
      <c r="AB316" s="341"/>
      <c r="AC316" s="341"/>
      <c r="AD316" s="341"/>
      <c r="AE316" s="341"/>
      <c r="AF316" s="341"/>
      <c r="AG316" s="341"/>
      <c r="AH316" s="341"/>
      <c r="AI316" s="341"/>
      <c r="AJ316" s="341"/>
      <c r="AK316" s="341"/>
      <c r="AL316" s="341"/>
      <c r="AM316" s="341"/>
      <c r="AN316" s="341"/>
      <c r="AO316" s="341"/>
      <c r="AP316" s="341"/>
      <c r="AQ316" s="341"/>
      <c r="AR316" s="341"/>
      <c r="AS316" s="341"/>
    </row>
    <row r="317" spans="1:45" ht="13.2" x14ac:dyDescent="0.25">
      <c r="A317" s="341"/>
      <c r="B317" s="341"/>
      <c r="C317" s="341"/>
      <c r="D317" s="341"/>
      <c r="E317" s="341"/>
      <c r="F317" s="341"/>
      <c r="G317" s="341"/>
      <c r="H317" s="341"/>
      <c r="I317" s="341"/>
      <c r="J317" s="341"/>
      <c r="K317" s="341"/>
      <c r="L317" s="341"/>
      <c r="M317" s="341"/>
      <c r="N317" s="341"/>
      <c r="O317" s="341"/>
      <c r="P317" s="341"/>
      <c r="Q317" s="341"/>
      <c r="R317" s="341"/>
      <c r="S317" s="341"/>
      <c r="T317" s="341"/>
      <c r="U317" s="341"/>
      <c r="V317" s="341"/>
      <c r="W317" s="341"/>
      <c r="X317" s="341"/>
      <c r="Y317" s="341"/>
      <c r="Z317" s="341"/>
      <c r="AA317" s="341"/>
      <c r="AB317" s="341"/>
      <c r="AC317" s="341"/>
      <c r="AD317" s="341"/>
      <c r="AE317" s="341"/>
      <c r="AF317" s="341"/>
      <c r="AG317" s="341"/>
      <c r="AH317" s="341"/>
      <c r="AI317" s="341"/>
      <c r="AJ317" s="341"/>
      <c r="AK317" s="341"/>
      <c r="AL317" s="341"/>
      <c r="AM317" s="341"/>
      <c r="AN317" s="341"/>
      <c r="AO317" s="341"/>
      <c r="AP317" s="341"/>
      <c r="AQ317" s="341"/>
      <c r="AR317" s="341"/>
      <c r="AS317" s="341"/>
    </row>
    <row r="318" spans="1:45" ht="13.2" x14ac:dyDescent="0.25">
      <c r="A318" s="341"/>
      <c r="B318" s="341"/>
      <c r="C318" s="341"/>
      <c r="D318" s="341"/>
      <c r="E318" s="341"/>
      <c r="F318" s="341"/>
      <c r="G318" s="341"/>
      <c r="H318" s="341"/>
      <c r="I318" s="341"/>
      <c r="J318" s="341"/>
      <c r="K318" s="341"/>
      <c r="L318" s="341"/>
      <c r="M318" s="341"/>
      <c r="N318" s="341"/>
      <c r="O318" s="341"/>
      <c r="P318" s="341"/>
      <c r="Q318" s="341"/>
      <c r="R318" s="341"/>
      <c r="S318" s="341"/>
      <c r="T318" s="341"/>
      <c r="U318" s="341"/>
      <c r="V318" s="341"/>
      <c r="W318" s="341"/>
      <c r="X318" s="341"/>
      <c r="Y318" s="341"/>
      <c r="Z318" s="341"/>
      <c r="AA318" s="341"/>
      <c r="AB318" s="341"/>
      <c r="AC318" s="341"/>
      <c r="AD318" s="341"/>
      <c r="AE318" s="341"/>
      <c r="AF318" s="341"/>
      <c r="AG318" s="341"/>
      <c r="AH318" s="341"/>
      <c r="AI318" s="341"/>
      <c r="AJ318" s="341"/>
      <c r="AK318" s="341"/>
      <c r="AL318" s="341"/>
      <c r="AM318" s="341"/>
      <c r="AN318" s="341"/>
      <c r="AO318" s="341"/>
      <c r="AP318" s="341"/>
      <c r="AQ318" s="341"/>
      <c r="AR318" s="341"/>
      <c r="AS318" s="341"/>
    </row>
    <row r="319" spans="1:45" ht="13.2" x14ac:dyDescent="0.25">
      <c r="A319" s="341"/>
      <c r="B319" s="341"/>
      <c r="C319" s="341"/>
      <c r="D319" s="341"/>
      <c r="E319" s="341"/>
      <c r="F319" s="341"/>
      <c r="G319" s="341"/>
      <c r="H319" s="341"/>
      <c r="I319" s="341"/>
      <c r="J319" s="341"/>
      <c r="K319" s="341"/>
      <c r="L319" s="341"/>
      <c r="M319" s="341"/>
      <c r="N319" s="341"/>
      <c r="O319" s="341"/>
      <c r="P319" s="341"/>
      <c r="Q319" s="341"/>
      <c r="R319" s="341"/>
      <c r="S319" s="341"/>
      <c r="T319" s="341"/>
      <c r="U319" s="341"/>
      <c r="V319" s="341"/>
      <c r="W319" s="341"/>
      <c r="X319" s="341"/>
      <c r="Y319" s="341"/>
      <c r="Z319" s="341"/>
      <c r="AA319" s="341"/>
      <c r="AB319" s="341"/>
      <c r="AC319" s="341"/>
      <c r="AD319" s="341"/>
      <c r="AE319" s="341"/>
      <c r="AF319" s="341"/>
      <c r="AG319" s="341"/>
      <c r="AH319" s="341"/>
      <c r="AI319" s="341"/>
      <c r="AJ319" s="341"/>
      <c r="AK319" s="341"/>
      <c r="AL319" s="341"/>
      <c r="AM319" s="341"/>
      <c r="AN319" s="341"/>
      <c r="AO319" s="341"/>
      <c r="AP319" s="341"/>
      <c r="AQ319" s="341"/>
      <c r="AR319" s="341"/>
      <c r="AS319" s="341"/>
    </row>
    <row r="320" spans="1:45" ht="13.2" x14ac:dyDescent="0.25">
      <c r="A320" s="341"/>
      <c r="B320" s="341"/>
      <c r="C320" s="341"/>
      <c r="D320" s="341"/>
      <c r="E320" s="341"/>
      <c r="F320" s="341"/>
      <c r="G320" s="341"/>
      <c r="H320" s="341"/>
      <c r="I320" s="341"/>
      <c r="J320" s="341"/>
      <c r="K320" s="341"/>
      <c r="L320" s="341"/>
      <c r="M320" s="341"/>
      <c r="N320" s="341"/>
      <c r="O320" s="341"/>
      <c r="P320" s="341"/>
      <c r="Q320" s="341"/>
      <c r="R320" s="341"/>
      <c r="S320" s="341"/>
      <c r="T320" s="341"/>
      <c r="U320" s="341"/>
      <c r="V320" s="341"/>
      <c r="W320" s="341"/>
      <c r="X320" s="341"/>
      <c r="Y320" s="341"/>
      <c r="Z320" s="341"/>
      <c r="AA320" s="341"/>
      <c r="AB320" s="341"/>
      <c r="AC320" s="341"/>
      <c r="AD320" s="341"/>
      <c r="AE320" s="341"/>
      <c r="AF320" s="341"/>
      <c r="AG320" s="341"/>
      <c r="AH320" s="341"/>
      <c r="AI320" s="341"/>
      <c r="AJ320" s="341"/>
      <c r="AK320" s="341"/>
      <c r="AL320" s="341"/>
      <c r="AM320" s="341"/>
      <c r="AN320" s="341"/>
      <c r="AO320" s="341"/>
      <c r="AP320" s="341"/>
      <c r="AQ320" s="341"/>
      <c r="AR320" s="341"/>
      <c r="AS320" s="341"/>
    </row>
    <row r="321" spans="1:45" ht="13.2" x14ac:dyDescent="0.25">
      <c r="A321" s="341"/>
      <c r="B321" s="341"/>
      <c r="C321" s="341"/>
      <c r="D321" s="341"/>
      <c r="E321" s="341"/>
      <c r="F321" s="341"/>
      <c r="G321" s="341"/>
      <c r="H321" s="341"/>
      <c r="I321" s="341"/>
      <c r="J321" s="341"/>
      <c r="K321" s="341"/>
      <c r="L321" s="341"/>
      <c r="M321" s="341"/>
      <c r="N321" s="341"/>
      <c r="O321" s="341"/>
      <c r="P321" s="341"/>
      <c r="Q321" s="341"/>
      <c r="R321" s="341"/>
      <c r="S321" s="341"/>
      <c r="T321" s="341"/>
      <c r="U321" s="341"/>
      <c r="V321" s="341"/>
      <c r="W321" s="341"/>
      <c r="X321" s="341"/>
      <c r="Y321" s="341"/>
      <c r="Z321" s="341"/>
      <c r="AA321" s="341"/>
      <c r="AB321" s="341"/>
      <c r="AC321" s="341"/>
      <c r="AD321" s="341"/>
      <c r="AE321" s="341"/>
      <c r="AF321" s="341"/>
      <c r="AG321" s="341"/>
      <c r="AH321" s="341"/>
      <c r="AI321" s="341"/>
      <c r="AJ321" s="341"/>
      <c r="AK321" s="341"/>
      <c r="AL321" s="341"/>
      <c r="AM321" s="341"/>
      <c r="AN321" s="341"/>
      <c r="AO321" s="341"/>
      <c r="AP321" s="341"/>
      <c r="AQ321" s="341"/>
      <c r="AR321" s="341"/>
      <c r="AS321" s="341"/>
    </row>
    <row r="322" spans="1:45" ht="13.2" x14ac:dyDescent="0.25">
      <c r="A322" s="341"/>
      <c r="B322" s="341"/>
      <c r="C322" s="341"/>
      <c r="D322" s="341"/>
      <c r="E322" s="341"/>
      <c r="F322" s="341"/>
      <c r="G322" s="341"/>
      <c r="H322" s="341"/>
      <c r="I322" s="341"/>
      <c r="J322" s="341"/>
      <c r="K322" s="341"/>
      <c r="L322" s="341"/>
      <c r="M322" s="341"/>
      <c r="N322" s="341"/>
      <c r="O322" s="341"/>
      <c r="P322" s="341"/>
      <c r="Q322" s="341"/>
      <c r="R322" s="341"/>
      <c r="S322" s="341"/>
      <c r="T322" s="341"/>
      <c r="U322" s="341"/>
      <c r="V322" s="341"/>
      <c r="W322" s="341"/>
      <c r="X322" s="341"/>
      <c r="Y322" s="341"/>
      <c r="Z322" s="341"/>
      <c r="AA322" s="341"/>
      <c r="AB322" s="341"/>
      <c r="AC322" s="341"/>
      <c r="AD322" s="341"/>
      <c r="AE322" s="341"/>
      <c r="AF322" s="341"/>
      <c r="AG322" s="341"/>
      <c r="AH322" s="341"/>
      <c r="AI322" s="341"/>
      <c r="AJ322" s="341"/>
      <c r="AK322" s="341"/>
      <c r="AL322" s="341"/>
      <c r="AM322" s="341"/>
      <c r="AN322" s="341"/>
      <c r="AO322" s="341"/>
      <c r="AP322" s="341"/>
      <c r="AQ322" s="341"/>
      <c r="AR322" s="341"/>
      <c r="AS322" s="341"/>
    </row>
    <row r="323" spans="1:45" ht="13.2" x14ac:dyDescent="0.25">
      <c r="A323" s="341"/>
      <c r="B323" s="341"/>
      <c r="C323" s="341"/>
      <c r="D323" s="341"/>
      <c r="E323" s="341"/>
      <c r="F323" s="341"/>
      <c r="G323" s="341"/>
      <c r="H323" s="341"/>
      <c r="I323" s="341"/>
      <c r="J323" s="341"/>
      <c r="K323" s="341"/>
      <c r="L323" s="341"/>
      <c r="M323" s="341"/>
      <c r="N323" s="341"/>
      <c r="O323" s="341"/>
      <c r="P323" s="341"/>
      <c r="Q323" s="341"/>
      <c r="R323" s="341"/>
      <c r="S323" s="341"/>
      <c r="T323" s="341"/>
      <c r="U323" s="341"/>
      <c r="V323" s="341"/>
      <c r="W323" s="341"/>
      <c r="X323" s="341"/>
      <c r="Y323" s="341"/>
      <c r="Z323" s="341"/>
      <c r="AA323" s="341"/>
      <c r="AB323" s="341"/>
      <c r="AC323" s="341"/>
      <c r="AD323" s="341"/>
      <c r="AE323" s="341"/>
      <c r="AF323" s="341"/>
      <c r="AG323" s="341"/>
      <c r="AH323" s="341"/>
      <c r="AI323" s="341"/>
      <c r="AJ323" s="341"/>
      <c r="AK323" s="341"/>
      <c r="AL323" s="341"/>
      <c r="AM323" s="341"/>
      <c r="AN323" s="341"/>
      <c r="AO323" s="341"/>
      <c r="AP323" s="341"/>
      <c r="AQ323" s="341"/>
      <c r="AR323" s="341"/>
      <c r="AS323" s="341"/>
    </row>
    <row r="324" spans="1:45" ht="13.2" x14ac:dyDescent="0.25">
      <c r="A324" s="341"/>
      <c r="B324" s="341"/>
      <c r="C324" s="341"/>
      <c r="D324" s="341"/>
      <c r="E324" s="341"/>
      <c r="F324" s="341"/>
      <c r="G324" s="341"/>
      <c r="H324" s="341"/>
      <c r="I324" s="341"/>
      <c r="J324" s="341"/>
      <c r="K324" s="341"/>
      <c r="L324" s="341"/>
      <c r="M324" s="341"/>
      <c r="N324" s="341"/>
      <c r="O324" s="341"/>
      <c r="P324" s="341"/>
      <c r="Q324" s="341"/>
      <c r="R324" s="341"/>
      <c r="S324" s="341"/>
      <c r="T324" s="341"/>
      <c r="U324" s="341"/>
      <c r="V324" s="341"/>
      <c r="W324" s="341"/>
      <c r="X324" s="341"/>
      <c r="Y324" s="341"/>
      <c r="Z324" s="341"/>
      <c r="AA324" s="341"/>
      <c r="AB324" s="341"/>
      <c r="AC324" s="341"/>
      <c r="AD324" s="341"/>
      <c r="AE324" s="341"/>
      <c r="AF324" s="341"/>
      <c r="AG324" s="341"/>
      <c r="AH324" s="341"/>
      <c r="AI324" s="341"/>
      <c r="AJ324" s="341"/>
      <c r="AK324" s="341"/>
      <c r="AL324" s="341"/>
      <c r="AM324" s="341"/>
      <c r="AN324" s="341"/>
      <c r="AO324" s="341"/>
      <c r="AP324" s="341"/>
      <c r="AQ324" s="341"/>
      <c r="AR324" s="341"/>
      <c r="AS324" s="341"/>
    </row>
    <row r="325" spans="1:45" ht="13.2" x14ac:dyDescent="0.25">
      <c r="A325" s="341"/>
      <c r="B325" s="341"/>
      <c r="C325" s="341"/>
      <c r="D325" s="341"/>
      <c r="E325" s="341"/>
      <c r="F325" s="341"/>
      <c r="G325" s="341"/>
      <c r="H325" s="341"/>
      <c r="I325" s="341"/>
      <c r="J325" s="341"/>
      <c r="K325" s="341"/>
      <c r="L325" s="341"/>
      <c r="M325" s="341"/>
      <c r="N325" s="341"/>
      <c r="O325" s="341"/>
      <c r="P325" s="341"/>
      <c r="Q325" s="341"/>
      <c r="R325" s="341"/>
      <c r="S325" s="341"/>
      <c r="T325" s="341"/>
      <c r="U325" s="341"/>
      <c r="V325" s="341"/>
      <c r="W325" s="341"/>
      <c r="X325" s="341"/>
      <c r="Y325" s="341"/>
      <c r="Z325" s="341"/>
      <c r="AA325" s="341"/>
      <c r="AB325" s="341"/>
      <c r="AC325" s="341"/>
      <c r="AD325" s="341"/>
      <c r="AE325" s="341"/>
      <c r="AF325" s="341"/>
      <c r="AG325" s="341"/>
      <c r="AH325" s="341"/>
      <c r="AI325" s="341"/>
      <c r="AJ325" s="341"/>
      <c r="AK325" s="341"/>
      <c r="AL325" s="341"/>
      <c r="AM325" s="341"/>
      <c r="AN325" s="341"/>
      <c r="AO325" s="341"/>
      <c r="AP325" s="341"/>
      <c r="AQ325" s="341"/>
      <c r="AR325" s="341"/>
      <c r="AS325" s="341"/>
    </row>
    <row r="326" spans="1:45" ht="13.2" x14ac:dyDescent="0.25">
      <c r="A326" s="341"/>
      <c r="B326" s="341"/>
      <c r="C326" s="341"/>
      <c r="D326" s="341"/>
      <c r="E326" s="341"/>
      <c r="F326" s="341"/>
      <c r="G326" s="341"/>
      <c r="H326" s="341"/>
      <c r="I326" s="341"/>
      <c r="J326" s="341"/>
      <c r="K326" s="341"/>
      <c r="L326" s="341"/>
      <c r="M326" s="341"/>
      <c r="N326" s="341"/>
      <c r="O326" s="341"/>
      <c r="P326" s="341"/>
      <c r="Q326" s="341"/>
      <c r="R326" s="341"/>
      <c r="S326" s="341"/>
      <c r="T326" s="341"/>
      <c r="U326" s="341"/>
      <c r="V326" s="341"/>
      <c r="W326" s="341"/>
      <c r="X326" s="341"/>
      <c r="Y326" s="341"/>
      <c r="Z326" s="341"/>
      <c r="AA326" s="341"/>
      <c r="AB326" s="341"/>
      <c r="AC326" s="341"/>
      <c r="AD326" s="341"/>
      <c r="AE326" s="341"/>
      <c r="AF326" s="341"/>
      <c r="AG326" s="341"/>
      <c r="AH326" s="341"/>
      <c r="AI326" s="341"/>
      <c r="AJ326" s="341"/>
      <c r="AK326" s="341"/>
      <c r="AL326" s="341"/>
      <c r="AM326" s="341"/>
      <c r="AN326" s="341"/>
      <c r="AO326" s="341"/>
      <c r="AP326" s="341"/>
      <c r="AQ326" s="341"/>
      <c r="AR326" s="341"/>
      <c r="AS326" s="341"/>
    </row>
    <row r="327" spans="1:45" ht="13.2" x14ac:dyDescent="0.25">
      <c r="A327" s="341"/>
      <c r="B327" s="341"/>
      <c r="C327" s="341"/>
      <c r="D327" s="341"/>
      <c r="E327" s="341"/>
      <c r="F327" s="341"/>
      <c r="G327" s="341"/>
      <c r="H327" s="341"/>
      <c r="I327" s="341"/>
      <c r="J327" s="341"/>
      <c r="K327" s="341"/>
      <c r="L327" s="341"/>
      <c r="M327" s="341"/>
      <c r="N327" s="341"/>
      <c r="O327" s="341"/>
      <c r="P327" s="341"/>
      <c r="Q327" s="341"/>
      <c r="R327" s="341"/>
      <c r="S327" s="341"/>
      <c r="T327" s="341"/>
      <c r="U327" s="341"/>
      <c r="V327" s="341"/>
      <c r="W327" s="341"/>
      <c r="X327" s="341"/>
      <c r="Y327" s="341"/>
      <c r="Z327" s="341"/>
      <c r="AA327" s="341"/>
      <c r="AB327" s="341"/>
      <c r="AC327" s="341"/>
      <c r="AD327" s="341"/>
      <c r="AE327" s="341"/>
      <c r="AF327" s="341"/>
      <c r="AG327" s="341"/>
      <c r="AH327" s="341"/>
      <c r="AI327" s="341"/>
      <c r="AJ327" s="341"/>
      <c r="AK327" s="341"/>
      <c r="AL327" s="341"/>
      <c r="AM327" s="341"/>
      <c r="AN327" s="341"/>
      <c r="AO327" s="341"/>
      <c r="AP327" s="341"/>
      <c r="AQ327" s="341"/>
      <c r="AR327" s="341"/>
      <c r="AS327" s="341"/>
    </row>
    <row r="328" spans="1:45" ht="13.2" x14ac:dyDescent="0.25">
      <c r="A328" s="341"/>
      <c r="B328" s="341"/>
      <c r="C328" s="341"/>
      <c r="D328" s="341"/>
      <c r="E328" s="341"/>
      <c r="F328" s="341"/>
      <c r="G328" s="341"/>
      <c r="H328" s="341"/>
      <c r="I328" s="341"/>
      <c r="J328" s="341"/>
      <c r="K328" s="341"/>
      <c r="L328" s="341"/>
      <c r="M328" s="341"/>
      <c r="N328" s="341"/>
      <c r="O328" s="341"/>
      <c r="P328" s="341"/>
      <c r="Q328" s="341"/>
      <c r="R328" s="341"/>
      <c r="S328" s="341"/>
      <c r="T328" s="341"/>
      <c r="U328" s="341"/>
      <c r="V328" s="341"/>
      <c r="W328" s="341"/>
      <c r="X328" s="341"/>
      <c r="Y328" s="341"/>
      <c r="Z328" s="341"/>
      <c r="AA328" s="341"/>
      <c r="AB328" s="341"/>
      <c r="AC328" s="341"/>
      <c r="AD328" s="341"/>
      <c r="AE328" s="341"/>
      <c r="AF328" s="341"/>
      <c r="AG328" s="341"/>
      <c r="AH328" s="341"/>
      <c r="AI328" s="341"/>
      <c r="AJ328" s="341"/>
      <c r="AK328" s="341"/>
      <c r="AL328" s="341"/>
      <c r="AM328" s="341"/>
      <c r="AN328" s="341"/>
      <c r="AO328" s="341"/>
      <c r="AP328" s="341"/>
      <c r="AQ328" s="341"/>
      <c r="AR328" s="341"/>
      <c r="AS328" s="341"/>
    </row>
    <row r="329" spans="1:45" ht="13.2" x14ac:dyDescent="0.25">
      <c r="A329" s="341"/>
      <c r="B329" s="341"/>
      <c r="C329" s="341"/>
      <c r="D329" s="341"/>
      <c r="E329" s="341"/>
      <c r="F329" s="341"/>
      <c r="G329" s="341"/>
      <c r="H329" s="341"/>
      <c r="I329" s="341"/>
      <c r="J329" s="341"/>
      <c r="K329" s="341"/>
      <c r="L329" s="341"/>
      <c r="M329" s="341"/>
      <c r="N329" s="341"/>
      <c r="O329" s="341"/>
      <c r="P329" s="341"/>
      <c r="Q329" s="341"/>
      <c r="R329" s="341"/>
      <c r="S329" s="341"/>
      <c r="T329" s="341"/>
      <c r="U329" s="341"/>
      <c r="V329" s="341"/>
      <c r="W329" s="341"/>
      <c r="X329" s="341"/>
      <c r="Y329" s="341"/>
      <c r="Z329" s="341"/>
      <c r="AA329" s="341"/>
      <c r="AB329" s="341"/>
      <c r="AC329" s="341"/>
      <c r="AD329" s="341"/>
      <c r="AE329" s="341"/>
      <c r="AF329" s="341"/>
      <c r="AG329" s="341"/>
      <c r="AH329" s="341"/>
      <c r="AI329" s="341"/>
      <c r="AJ329" s="341"/>
      <c r="AK329" s="341"/>
      <c r="AL329" s="341"/>
      <c r="AM329" s="341"/>
      <c r="AN329" s="341"/>
      <c r="AO329" s="341"/>
      <c r="AP329" s="341"/>
      <c r="AQ329" s="341"/>
      <c r="AR329" s="341"/>
      <c r="AS329" s="341"/>
    </row>
    <row r="330" spans="1:45" ht="13.2" x14ac:dyDescent="0.25">
      <c r="A330" s="341"/>
      <c r="B330" s="341"/>
      <c r="C330" s="341"/>
      <c r="D330" s="341"/>
      <c r="E330" s="341"/>
      <c r="F330" s="341"/>
      <c r="G330" s="341"/>
      <c r="H330" s="341"/>
      <c r="I330" s="341"/>
      <c r="J330" s="341"/>
      <c r="K330" s="341"/>
      <c r="L330" s="341"/>
      <c r="M330" s="341"/>
      <c r="N330" s="341"/>
      <c r="O330" s="341"/>
      <c r="P330" s="341"/>
      <c r="Q330" s="341"/>
      <c r="R330" s="341"/>
      <c r="S330" s="341"/>
      <c r="T330" s="341"/>
      <c r="U330" s="341"/>
      <c r="V330" s="341"/>
      <c r="W330" s="341"/>
      <c r="X330" s="341"/>
      <c r="Y330" s="341"/>
      <c r="Z330" s="341"/>
      <c r="AA330" s="341"/>
      <c r="AB330" s="341"/>
      <c r="AC330" s="341"/>
      <c r="AD330" s="341"/>
      <c r="AE330" s="341"/>
      <c r="AF330" s="341"/>
      <c r="AG330" s="341"/>
      <c r="AH330" s="341"/>
      <c r="AI330" s="341"/>
      <c r="AJ330" s="341"/>
      <c r="AK330" s="341"/>
      <c r="AL330" s="341"/>
      <c r="AM330" s="341"/>
      <c r="AN330" s="341"/>
      <c r="AO330" s="341"/>
      <c r="AP330" s="341"/>
      <c r="AQ330" s="341"/>
      <c r="AR330" s="341"/>
      <c r="AS330" s="341"/>
    </row>
    <row r="331" spans="1:45" ht="13.2" x14ac:dyDescent="0.25">
      <c r="A331" s="341"/>
      <c r="B331" s="341"/>
      <c r="C331" s="341"/>
      <c r="D331" s="341"/>
      <c r="E331" s="341"/>
      <c r="F331" s="341"/>
      <c r="G331" s="341"/>
      <c r="H331" s="341"/>
      <c r="I331" s="341"/>
      <c r="J331" s="341"/>
      <c r="K331" s="341"/>
      <c r="L331" s="341"/>
      <c r="M331" s="341"/>
      <c r="N331" s="341"/>
      <c r="O331" s="341"/>
      <c r="P331" s="341"/>
      <c r="Q331" s="341"/>
      <c r="R331" s="341"/>
      <c r="S331" s="341"/>
      <c r="T331" s="341"/>
      <c r="U331" s="341"/>
      <c r="V331" s="341"/>
      <c r="W331" s="341"/>
      <c r="X331" s="341"/>
      <c r="Y331" s="341"/>
      <c r="Z331" s="341"/>
      <c r="AA331" s="341"/>
      <c r="AB331" s="341"/>
      <c r="AC331" s="341"/>
      <c r="AD331" s="341"/>
      <c r="AE331" s="341"/>
      <c r="AF331" s="341"/>
      <c r="AG331" s="341"/>
      <c r="AH331" s="341"/>
      <c r="AI331" s="341"/>
      <c r="AJ331" s="341"/>
      <c r="AK331" s="341"/>
      <c r="AL331" s="341"/>
      <c r="AM331" s="341"/>
      <c r="AN331" s="341"/>
      <c r="AO331" s="341"/>
      <c r="AP331" s="341"/>
      <c r="AQ331" s="341"/>
      <c r="AR331" s="341"/>
      <c r="AS331" s="341"/>
    </row>
    <row r="332" spans="1:45" ht="13.2" x14ac:dyDescent="0.25">
      <c r="A332" s="341"/>
      <c r="B332" s="341"/>
      <c r="C332" s="341"/>
      <c r="D332" s="341"/>
      <c r="E332" s="341"/>
      <c r="F332" s="341"/>
      <c r="G332" s="341"/>
      <c r="H332" s="341"/>
      <c r="I332" s="341"/>
      <c r="J332" s="341"/>
      <c r="K332" s="341"/>
      <c r="L332" s="341"/>
      <c r="M332" s="341"/>
      <c r="N332" s="341"/>
      <c r="O332" s="341"/>
      <c r="P332" s="341"/>
      <c r="Q332" s="341"/>
      <c r="R332" s="341"/>
      <c r="S332" s="341"/>
      <c r="T332" s="341"/>
      <c r="U332" s="341"/>
      <c r="V332" s="341"/>
      <c r="W332" s="341"/>
      <c r="X332" s="341"/>
      <c r="Y332" s="341"/>
      <c r="Z332" s="341"/>
      <c r="AA332" s="341"/>
      <c r="AB332" s="341"/>
      <c r="AC332" s="341"/>
      <c r="AD332" s="341"/>
      <c r="AE332" s="341"/>
      <c r="AF332" s="341"/>
      <c r="AG332" s="341"/>
      <c r="AH332" s="341"/>
      <c r="AI332" s="341"/>
      <c r="AJ332" s="341"/>
      <c r="AK332" s="341"/>
      <c r="AL332" s="341"/>
      <c r="AM332" s="341"/>
      <c r="AN332" s="341"/>
      <c r="AO332" s="341"/>
      <c r="AP332" s="341"/>
      <c r="AQ332" s="341"/>
      <c r="AR332" s="341"/>
      <c r="AS332" s="341"/>
    </row>
    <row r="333" spans="1:45" ht="13.2" x14ac:dyDescent="0.25">
      <c r="A333" s="341"/>
      <c r="B333" s="341"/>
      <c r="C333" s="341"/>
      <c r="D333" s="341"/>
      <c r="E333" s="341"/>
      <c r="F333" s="341"/>
      <c r="G333" s="341"/>
      <c r="H333" s="341"/>
      <c r="I333" s="341"/>
      <c r="J333" s="341"/>
      <c r="K333" s="341"/>
      <c r="L333" s="341"/>
      <c r="M333" s="341"/>
      <c r="N333" s="341"/>
      <c r="O333" s="341"/>
      <c r="P333" s="341"/>
      <c r="Q333" s="341"/>
      <c r="R333" s="341"/>
      <c r="S333" s="341"/>
      <c r="T333" s="341"/>
      <c r="U333" s="341"/>
      <c r="V333" s="341"/>
      <c r="W333" s="341"/>
      <c r="X333" s="341"/>
      <c r="Y333" s="341"/>
      <c r="Z333" s="341"/>
      <c r="AA333" s="341"/>
      <c r="AB333" s="341"/>
      <c r="AC333" s="341"/>
      <c r="AD333" s="341"/>
      <c r="AE333" s="341"/>
      <c r="AF333" s="341"/>
      <c r="AG333" s="341"/>
      <c r="AH333" s="341"/>
      <c r="AI333" s="341"/>
      <c r="AJ333" s="341"/>
      <c r="AK333" s="341"/>
      <c r="AL333" s="341"/>
      <c r="AM333" s="341"/>
      <c r="AN333" s="341"/>
      <c r="AO333" s="341"/>
      <c r="AP333" s="341"/>
      <c r="AQ333" s="341"/>
      <c r="AR333" s="341"/>
      <c r="AS333" s="341"/>
    </row>
    <row r="334" spans="1:45" ht="13.2" x14ac:dyDescent="0.25">
      <c r="A334" s="341"/>
      <c r="B334" s="341"/>
      <c r="C334" s="341"/>
      <c r="D334" s="341"/>
      <c r="E334" s="341"/>
      <c r="F334" s="341"/>
      <c r="G334" s="341"/>
      <c r="H334" s="341"/>
      <c r="I334" s="341"/>
      <c r="J334" s="341"/>
      <c r="K334" s="341"/>
      <c r="L334" s="341"/>
      <c r="M334" s="341"/>
      <c r="N334" s="341"/>
      <c r="O334" s="341"/>
      <c r="P334" s="341"/>
      <c r="Q334" s="341"/>
      <c r="R334" s="341"/>
      <c r="S334" s="341"/>
      <c r="T334" s="341"/>
      <c r="U334" s="341"/>
      <c r="V334" s="341"/>
      <c r="W334" s="341"/>
      <c r="X334" s="341"/>
      <c r="Y334" s="341"/>
      <c r="Z334" s="341"/>
      <c r="AA334" s="341"/>
      <c r="AB334" s="341"/>
      <c r="AC334" s="341"/>
      <c r="AD334" s="341"/>
      <c r="AE334" s="341"/>
      <c r="AF334" s="341"/>
      <c r="AG334" s="341"/>
      <c r="AH334" s="341"/>
      <c r="AI334" s="341"/>
      <c r="AJ334" s="341"/>
      <c r="AK334" s="341"/>
      <c r="AL334" s="341"/>
      <c r="AM334" s="341"/>
      <c r="AN334" s="341"/>
      <c r="AO334" s="341"/>
      <c r="AP334" s="341"/>
      <c r="AQ334" s="341"/>
      <c r="AR334" s="341"/>
      <c r="AS334" s="341"/>
    </row>
    <row r="335" spans="1:45" ht="13.2" x14ac:dyDescent="0.25">
      <c r="A335" s="341"/>
      <c r="B335" s="341"/>
      <c r="C335" s="341"/>
      <c r="D335" s="341"/>
      <c r="E335" s="341"/>
      <c r="F335" s="341"/>
      <c r="G335" s="341"/>
      <c r="H335" s="341"/>
      <c r="I335" s="341"/>
      <c r="J335" s="341"/>
      <c r="K335" s="341"/>
      <c r="L335" s="341"/>
      <c r="M335" s="341"/>
      <c r="N335" s="341"/>
      <c r="O335" s="341"/>
      <c r="P335" s="341"/>
      <c r="Q335" s="341"/>
      <c r="R335" s="341"/>
      <c r="S335" s="341"/>
      <c r="T335" s="341"/>
      <c r="U335" s="341"/>
      <c r="V335" s="341"/>
      <c r="W335" s="341"/>
      <c r="X335" s="341"/>
      <c r="Y335" s="341"/>
      <c r="Z335" s="341"/>
      <c r="AA335" s="341"/>
      <c r="AB335" s="341"/>
      <c r="AC335" s="341"/>
      <c r="AD335" s="341"/>
      <c r="AE335" s="341"/>
      <c r="AF335" s="341"/>
      <c r="AG335" s="341"/>
      <c r="AH335" s="341"/>
      <c r="AI335" s="341"/>
      <c r="AJ335" s="341"/>
      <c r="AK335" s="341"/>
      <c r="AL335" s="341"/>
      <c r="AM335" s="341"/>
      <c r="AN335" s="341"/>
      <c r="AO335" s="341"/>
      <c r="AP335" s="341"/>
      <c r="AQ335" s="341"/>
      <c r="AR335" s="341"/>
      <c r="AS335" s="341"/>
    </row>
    <row r="336" spans="1:45" ht="13.2" x14ac:dyDescent="0.25">
      <c r="A336" s="341"/>
      <c r="B336" s="341"/>
      <c r="C336" s="341"/>
      <c r="D336" s="341"/>
      <c r="E336" s="341"/>
      <c r="F336" s="341"/>
      <c r="G336" s="341"/>
      <c r="H336" s="341"/>
      <c r="I336" s="341"/>
      <c r="J336" s="341"/>
      <c r="K336" s="341"/>
      <c r="L336" s="341"/>
      <c r="M336" s="341"/>
      <c r="N336" s="341"/>
      <c r="O336" s="341"/>
      <c r="P336" s="341"/>
      <c r="Q336" s="341"/>
      <c r="R336" s="341"/>
      <c r="S336" s="341"/>
      <c r="T336" s="341"/>
      <c r="U336" s="341"/>
      <c r="V336" s="341"/>
      <c r="W336" s="341"/>
      <c r="X336" s="341"/>
      <c r="Y336" s="341"/>
      <c r="Z336" s="341"/>
      <c r="AA336" s="341"/>
      <c r="AB336" s="341"/>
      <c r="AC336" s="341"/>
      <c r="AD336" s="341"/>
      <c r="AE336" s="341"/>
      <c r="AF336" s="341"/>
      <c r="AG336" s="341"/>
      <c r="AH336" s="341"/>
      <c r="AI336" s="341"/>
      <c r="AJ336" s="341"/>
      <c r="AK336" s="341"/>
      <c r="AL336" s="341"/>
      <c r="AM336" s="341"/>
      <c r="AN336" s="341"/>
      <c r="AO336" s="341"/>
      <c r="AP336" s="341"/>
      <c r="AQ336" s="341"/>
      <c r="AR336" s="341"/>
      <c r="AS336" s="341"/>
    </row>
    <row r="337" spans="1:45" ht="13.2" x14ac:dyDescent="0.25">
      <c r="A337" s="341"/>
      <c r="B337" s="341"/>
      <c r="C337" s="341"/>
      <c r="D337" s="341"/>
      <c r="E337" s="341"/>
      <c r="F337" s="341"/>
      <c r="G337" s="341"/>
      <c r="H337" s="341"/>
      <c r="I337" s="341"/>
      <c r="J337" s="341"/>
      <c r="K337" s="341"/>
      <c r="L337" s="341"/>
      <c r="M337" s="341"/>
      <c r="N337" s="341"/>
      <c r="O337" s="341"/>
      <c r="P337" s="341"/>
      <c r="Q337" s="341"/>
      <c r="R337" s="341"/>
      <c r="S337" s="341"/>
      <c r="U337" s="341"/>
      <c r="V337" s="341"/>
      <c r="W337" s="341"/>
      <c r="X337" s="341"/>
      <c r="Y337" s="341"/>
      <c r="Z337" s="341"/>
      <c r="AA337" s="341"/>
      <c r="AB337" s="341"/>
      <c r="AC337" s="341"/>
      <c r="AD337" s="341"/>
      <c r="AE337" s="341"/>
      <c r="AF337" s="341"/>
      <c r="AG337" s="341"/>
      <c r="AH337" s="341"/>
      <c r="AI337" s="341"/>
      <c r="AJ337" s="341"/>
      <c r="AK337" s="341"/>
      <c r="AL337" s="341"/>
      <c r="AM337" s="341"/>
      <c r="AN337" s="341"/>
      <c r="AO337" s="341"/>
      <c r="AP337" s="341"/>
      <c r="AQ337" s="341"/>
      <c r="AR337" s="341"/>
      <c r="AS337" s="341"/>
    </row>
    <row r="338" spans="1:45" ht="13.2" x14ac:dyDescent="0.25">
      <c r="A338" s="341"/>
      <c r="B338" s="341"/>
      <c r="C338" s="341"/>
      <c r="D338" s="341"/>
      <c r="E338" s="341"/>
      <c r="F338" s="341"/>
      <c r="G338" s="341"/>
      <c r="H338" s="341"/>
      <c r="I338" s="341"/>
      <c r="J338" s="341"/>
      <c r="K338" s="341"/>
      <c r="L338" s="341"/>
      <c r="M338" s="341"/>
      <c r="N338" s="341"/>
      <c r="Y338" s="341"/>
      <c r="Z338" s="341"/>
      <c r="AA338" s="341"/>
      <c r="AB338" s="341"/>
      <c r="AC338" s="341"/>
      <c r="AD338" s="341"/>
      <c r="AE338" s="341"/>
      <c r="AF338" s="341"/>
      <c r="AG338" s="341"/>
      <c r="AH338" s="341"/>
      <c r="AI338" s="341"/>
      <c r="AJ338" s="341"/>
      <c r="AK338" s="341"/>
      <c r="AL338" s="341"/>
      <c r="AM338" s="341"/>
      <c r="AN338" s="341"/>
      <c r="AO338" s="341"/>
      <c r="AP338" s="341"/>
      <c r="AQ338" s="341"/>
      <c r="AR338" s="341"/>
      <c r="AS338" s="341"/>
    </row>
    <row r="339" spans="1:45" ht="13.2" x14ac:dyDescent="0.25">
      <c r="A339" s="341"/>
      <c r="B339" s="341"/>
      <c r="C339" s="341"/>
      <c r="D339" s="341"/>
      <c r="E339" s="341"/>
      <c r="F339" s="341"/>
      <c r="G339" s="341"/>
      <c r="H339" s="341"/>
      <c r="I339" s="341"/>
      <c r="J339" s="341"/>
      <c r="K339" s="341"/>
      <c r="L339" s="341"/>
      <c r="M339" s="341"/>
      <c r="N339" s="341"/>
      <c r="Y339" s="341"/>
      <c r="Z339" s="341"/>
      <c r="AA339" s="341"/>
      <c r="AB339" s="341"/>
      <c r="AC339" s="341"/>
      <c r="AD339" s="341"/>
      <c r="AE339" s="341"/>
      <c r="AF339" s="341"/>
      <c r="AG339" s="341"/>
      <c r="AH339" s="341"/>
      <c r="AI339" s="341"/>
      <c r="AJ339" s="341"/>
      <c r="AK339" s="341"/>
      <c r="AL339" s="341"/>
      <c r="AM339" s="341"/>
      <c r="AN339" s="341"/>
      <c r="AO339" s="341"/>
      <c r="AP339" s="341"/>
      <c r="AQ339" s="341"/>
      <c r="AR339" s="341"/>
      <c r="AS339" s="341"/>
    </row>
    <row r="340" spans="1:45" ht="13.2" x14ac:dyDescent="0.25">
      <c r="A340" s="341"/>
      <c r="B340" s="341"/>
      <c r="C340" s="341"/>
      <c r="D340" s="341"/>
      <c r="E340" s="341"/>
      <c r="F340" s="341"/>
      <c r="G340" s="341"/>
      <c r="H340" s="341"/>
      <c r="I340" s="341"/>
      <c r="J340" s="341"/>
      <c r="K340" s="341"/>
      <c r="L340" s="341"/>
      <c r="M340" s="341"/>
      <c r="N340" s="341"/>
      <c r="Y340" s="341"/>
      <c r="Z340" s="341"/>
      <c r="AA340" s="341"/>
      <c r="AB340" s="341"/>
      <c r="AC340" s="341"/>
      <c r="AD340" s="341"/>
      <c r="AE340" s="341"/>
      <c r="AF340" s="341"/>
      <c r="AG340" s="341"/>
      <c r="AH340" s="341"/>
      <c r="AI340" s="341"/>
      <c r="AJ340" s="341"/>
      <c r="AK340" s="341"/>
      <c r="AL340" s="341"/>
      <c r="AM340" s="341"/>
      <c r="AN340" s="341"/>
      <c r="AO340" s="341"/>
      <c r="AP340" s="341"/>
      <c r="AQ340" s="341"/>
      <c r="AR340" s="341"/>
      <c r="AS340" s="341"/>
    </row>
    <row r="341" spans="1:45" ht="13.2" x14ac:dyDescent="0.25">
      <c r="A341" s="341"/>
      <c r="B341" s="341"/>
      <c r="C341" s="341"/>
      <c r="D341" s="341"/>
      <c r="E341" s="341"/>
      <c r="F341" s="341"/>
      <c r="G341" s="341"/>
      <c r="H341" s="341"/>
      <c r="I341" s="341"/>
      <c r="J341" s="341"/>
      <c r="K341" s="341"/>
      <c r="L341" s="341"/>
      <c r="M341" s="341"/>
      <c r="N341" s="341"/>
      <c r="Y341" s="341"/>
      <c r="Z341" s="341"/>
      <c r="AA341" s="341"/>
      <c r="AB341" s="341"/>
      <c r="AC341" s="341"/>
      <c r="AD341" s="341"/>
      <c r="AE341" s="341"/>
      <c r="AF341" s="341"/>
      <c r="AG341" s="341"/>
      <c r="AH341" s="341"/>
      <c r="AI341" s="341"/>
      <c r="AJ341" s="341"/>
      <c r="AK341" s="341"/>
      <c r="AL341" s="341"/>
      <c r="AM341" s="341"/>
      <c r="AN341" s="341"/>
      <c r="AO341" s="341"/>
      <c r="AP341" s="341"/>
      <c r="AQ341" s="341"/>
      <c r="AR341" s="341"/>
      <c r="AS341" s="341"/>
    </row>
    <row r="342" spans="1:45" ht="13.2" x14ac:dyDescent="0.25">
      <c r="A342" s="341"/>
      <c r="B342" s="341"/>
      <c r="C342" s="341"/>
      <c r="D342" s="341"/>
      <c r="E342" s="341"/>
      <c r="F342" s="341"/>
      <c r="G342" s="341"/>
      <c r="H342" s="341"/>
      <c r="I342" s="341"/>
      <c r="J342" s="341"/>
      <c r="K342" s="341"/>
      <c r="L342" s="341"/>
      <c r="M342" s="341"/>
      <c r="N342" s="341"/>
      <c r="Y342" s="341"/>
      <c r="Z342" s="341"/>
      <c r="AA342" s="341"/>
      <c r="AB342" s="341"/>
      <c r="AC342" s="341"/>
      <c r="AD342" s="341"/>
      <c r="AE342" s="341"/>
      <c r="AF342" s="341"/>
      <c r="AG342" s="341"/>
      <c r="AH342" s="341"/>
      <c r="AI342" s="341"/>
      <c r="AJ342" s="341"/>
      <c r="AK342" s="341"/>
      <c r="AL342" s="341"/>
      <c r="AM342" s="341"/>
      <c r="AN342" s="341"/>
      <c r="AO342" s="341"/>
      <c r="AP342" s="341"/>
      <c r="AQ342" s="341"/>
      <c r="AR342" s="341"/>
      <c r="AS342" s="341"/>
    </row>
    <row r="343" spans="1:45" ht="13.2" x14ac:dyDescent="0.25">
      <c r="A343" s="341"/>
      <c r="B343" s="341"/>
      <c r="C343" s="341"/>
      <c r="D343" s="341"/>
      <c r="E343" s="341"/>
      <c r="F343" s="341"/>
      <c r="G343" s="341"/>
      <c r="H343" s="341"/>
      <c r="I343" s="341"/>
      <c r="J343" s="341"/>
      <c r="K343" s="341"/>
      <c r="L343" s="341"/>
      <c r="M343" s="341"/>
      <c r="N343" s="341"/>
      <c r="Y343" s="341"/>
      <c r="Z343" s="341"/>
      <c r="AA343" s="341"/>
      <c r="AB343" s="341"/>
      <c r="AC343" s="341"/>
      <c r="AD343" s="341"/>
      <c r="AE343" s="341"/>
      <c r="AF343" s="341"/>
      <c r="AG343" s="341"/>
      <c r="AH343" s="341"/>
      <c r="AI343" s="341"/>
      <c r="AJ343" s="341"/>
      <c r="AK343" s="341"/>
      <c r="AL343" s="341"/>
      <c r="AM343" s="341"/>
      <c r="AN343" s="341"/>
      <c r="AO343" s="341"/>
      <c r="AP343" s="341"/>
      <c r="AQ343" s="341"/>
      <c r="AR343" s="341"/>
      <c r="AS343" s="341"/>
    </row>
    <row r="344" spans="1:45" ht="13.2" x14ac:dyDescent="0.25">
      <c r="A344" s="341"/>
      <c r="B344" s="341"/>
      <c r="C344" s="341"/>
      <c r="D344" s="341"/>
      <c r="E344" s="341"/>
      <c r="F344" s="341"/>
      <c r="G344" s="341"/>
      <c r="H344" s="341"/>
      <c r="I344" s="341"/>
      <c r="J344" s="341"/>
      <c r="K344" s="341"/>
      <c r="L344" s="341"/>
      <c r="M344" s="341"/>
      <c r="N344" s="341"/>
      <c r="Y344" s="341"/>
      <c r="Z344" s="341"/>
      <c r="AA344" s="341"/>
      <c r="AB344" s="341"/>
      <c r="AC344" s="341"/>
      <c r="AD344" s="341"/>
      <c r="AE344" s="341"/>
      <c r="AF344" s="341"/>
      <c r="AG344" s="341"/>
      <c r="AH344" s="341"/>
      <c r="AI344" s="341"/>
      <c r="AJ344" s="341"/>
      <c r="AK344" s="341"/>
      <c r="AL344" s="341"/>
      <c r="AM344" s="341"/>
      <c r="AN344" s="341"/>
      <c r="AO344" s="341"/>
      <c r="AP344" s="341"/>
      <c r="AQ344" s="341"/>
      <c r="AR344" s="341"/>
      <c r="AS344" s="341"/>
    </row>
    <row r="345" spans="1:45" ht="13.2" x14ac:dyDescent="0.25">
      <c r="A345" s="341"/>
      <c r="B345" s="341"/>
      <c r="C345" s="341"/>
      <c r="D345" s="341"/>
      <c r="E345" s="341"/>
      <c r="F345" s="341"/>
      <c r="G345" s="341"/>
      <c r="H345" s="341"/>
      <c r="I345" s="341"/>
      <c r="J345" s="341"/>
      <c r="K345" s="341"/>
      <c r="L345" s="341"/>
      <c r="M345" s="341"/>
      <c r="N345" s="341"/>
      <c r="Y345" s="341"/>
      <c r="Z345" s="341"/>
      <c r="AA345" s="341"/>
      <c r="AB345" s="341"/>
      <c r="AC345" s="341"/>
      <c r="AD345" s="341"/>
      <c r="AE345" s="341"/>
      <c r="AF345" s="341"/>
      <c r="AG345" s="341"/>
      <c r="AH345" s="341"/>
      <c r="AI345" s="341"/>
      <c r="AJ345" s="341"/>
      <c r="AK345" s="341"/>
      <c r="AL345" s="341"/>
      <c r="AM345" s="341"/>
      <c r="AN345" s="341"/>
      <c r="AO345" s="341"/>
      <c r="AP345" s="341"/>
      <c r="AQ345" s="341"/>
      <c r="AR345" s="341"/>
      <c r="AS345" s="341"/>
    </row>
    <row r="346" spans="1:45" ht="13.2" x14ac:dyDescent="0.25">
      <c r="A346" s="341"/>
      <c r="B346" s="341"/>
      <c r="C346" s="341"/>
      <c r="D346" s="341"/>
      <c r="E346" s="341"/>
      <c r="F346" s="341"/>
      <c r="G346" s="341"/>
      <c r="H346" s="341"/>
      <c r="I346" s="341"/>
      <c r="J346" s="341"/>
      <c r="K346" s="341"/>
      <c r="L346" s="341"/>
      <c r="M346" s="341"/>
      <c r="N346" s="341"/>
      <c r="Y346" s="341"/>
      <c r="Z346" s="341"/>
      <c r="AA346" s="341"/>
      <c r="AB346" s="341"/>
      <c r="AC346" s="341"/>
      <c r="AD346" s="341"/>
      <c r="AE346" s="341"/>
      <c r="AF346" s="341"/>
      <c r="AG346" s="341"/>
      <c r="AH346" s="341"/>
      <c r="AI346" s="341"/>
      <c r="AJ346" s="341"/>
      <c r="AK346" s="341"/>
      <c r="AL346" s="341"/>
      <c r="AM346" s="341"/>
      <c r="AN346" s="341"/>
      <c r="AO346" s="341"/>
      <c r="AP346" s="341"/>
      <c r="AQ346" s="341"/>
      <c r="AR346" s="341"/>
      <c r="AS346" s="341"/>
    </row>
    <row r="347" spans="1:45" ht="13.2" x14ac:dyDescent="0.25">
      <c r="A347" s="341"/>
      <c r="B347" s="341"/>
      <c r="C347" s="341"/>
      <c r="D347" s="341"/>
      <c r="E347" s="341"/>
      <c r="F347" s="341"/>
      <c r="G347" s="341"/>
      <c r="H347" s="341"/>
      <c r="I347" s="341"/>
      <c r="J347" s="341"/>
      <c r="K347" s="341"/>
      <c r="L347" s="341"/>
      <c r="M347" s="341"/>
      <c r="N347" s="341"/>
      <c r="Y347" s="341"/>
      <c r="Z347" s="341"/>
      <c r="AA347" s="341"/>
      <c r="AB347" s="341"/>
      <c r="AC347" s="341"/>
      <c r="AD347" s="341"/>
      <c r="AE347" s="341"/>
      <c r="AF347" s="341"/>
      <c r="AG347" s="341"/>
      <c r="AH347" s="341"/>
      <c r="AI347" s="341"/>
      <c r="AJ347" s="341"/>
      <c r="AK347" s="341"/>
      <c r="AL347" s="341"/>
      <c r="AM347" s="341"/>
      <c r="AN347" s="341"/>
      <c r="AO347" s="341"/>
      <c r="AP347" s="341"/>
      <c r="AQ347" s="341"/>
      <c r="AR347" s="341"/>
      <c r="AS347" s="341"/>
    </row>
    <row r="348" spans="1:45" ht="13.2" x14ac:dyDescent="0.25">
      <c r="A348" s="341"/>
      <c r="B348" s="341"/>
      <c r="C348" s="341"/>
      <c r="D348" s="341"/>
      <c r="E348" s="341"/>
      <c r="F348" s="341"/>
      <c r="G348" s="341"/>
      <c r="H348" s="341"/>
      <c r="I348" s="341"/>
      <c r="J348" s="341"/>
      <c r="K348" s="341"/>
      <c r="L348" s="341"/>
      <c r="M348" s="341"/>
      <c r="N348" s="341"/>
      <c r="Y348" s="341"/>
      <c r="Z348" s="341"/>
      <c r="AA348" s="341"/>
      <c r="AB348" s="341"/>
      <c r="AC348" s="341"/>
      <c r="AD348" s="341"/>
      <c r="AE348" s="341"/>
      <c r="AF348" s="341"/>
      <c r="AG348" s="341"/>
      <c r="AH348" s="341"/>
      <c r="AI348" s="341"/>
      <c r="AJ348" s="341"/>
      <c r="AK348" s="341"/>
      <c r="AL348" s="341"/>
      <c r="AM348" s="341"/>
      <c r="AN348" s="341"/>
      <c r="AO348" s="341"/>
      <c r="AP348" s="341"/>
      <c r="AQ348" s="341"/>
      <c r="AR348" s="341"/>
      <c r="AS348" s="341"/>
    </row>
    <row r="349" spans="1:45" ht="13.2" x14ac:dyDescent="0.25">
      <c r="A349" s="341"/>
      <c r="B349" s="341"/>
      <c r="C349" s="341"/>
      <c r="D349" s="341"/>
      <c r="E349" s="341"/>
      <c r="F349" s="341"/>
      <c r="G349" s="341"/>
      <c r="H349" s="341"/>
      <c r="I349" s="341"/>
      <c r="J349" s="341"/>
      <c r="K349" s="341"/>
      <c r="L349" s="341"/>
      <c r="M349" s="341"/>
      <c r="N349" s="341"/>
      <c r="Y349" s="341"/>
      <c r="Z349" s="341"/>
      <c r="AA349" s="341"/>
      <c r="AB349" s="341"/>
      <c r="AC349" s="341"/>
      <c r="AD349" s="341"/>
      <c r="AE349" s="341"/>
      <c r="AF349" s="341"/>
      <c r="AG349" s="341"/>
      <c r="AH349" s="341"/>
      <c r="AI349" s="341"/>
      <c r="AJ349" s="341"/>
      <c r="AK349" s="341"/>
      <c r="AL349" s="341"/>
      <c r="AM349" s="341"/>
      <c r="AN349" s="341"/>
      <c r="AO349" s="341"/>
      <c r="AP349" s="341"/>
      <c r="AQ349" s="341"/>
      <c r="AR349" s="341"/>
      <c r="AS349" s="341"/>
    </row>
  </sheetData>
  <hyperlinks>
    <hyperlink ref="T44" location="Restaurant!X70" display="Cliquez ici"/>
  </hyperlinks>
  <pageMargins left="0.78740157480314965" right="0.78740157480314965" top="0.98425196850393704" bottom="0.98425196850393704" header="0.51181102362204722" footer="0.51181102362204722"/>
  <pageSetup paperSize="9" scale="43" orientation="portrait" horizontalDpi="360" verticalDpi="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>
    <tabColor theme="1" tint="0.34998626667073579"/>
  </sheetPr>
  <dimension ref="B1:R54"/>
  <sheetViews>
    <sheetView zoomScale="70" zoomScaleNormal="70" workbookViewId="0">
      <selection activeCell="X28" sqref="X28"/>
    </sheetView>
  </sheetViews>
  <sheetFormatPr baseColWidth="10" defaultRowHeight="13.2" x14ac:dyDescent="0.25"/>
  <cols>
    <col min="1" max="1" width="2.6640625" style="131" customWidth="1"/>
    <col min="2" max="2" width="42.33203125" style="131" bestFit="1" customWidth="1"/>
    <col min="3" max="14" width="11.5546875" style="131"/>
    <col min="15" max="15" width="17.33203125" style="132" bestFit="1" customWidth="1"/>
    <col min="16" max="16" width="2.88671875" style="131" customWidth="1"/>
    <col min="17" max="17" width="13.109375" style="133" bestFit="1" customWidth="1"/>
    <col min="18" max="257" width="11.5546875" style="131"/>
    <col min="258" max="258" width="36.33203125" style="131" customWidth="1"/>
    <col min="259" max="270" width="11.5546875" style="131"/>
    <col min="271" max="271" width="17.33203125" style="131" bestFit="1" customWidth="1"/>
    <col min="272" max="272" width="2.88671875" style="131" customWidth="1"/>
    <col min="273" max="273" width="13.109375" style="131" bestFit="1" customWidth="1"/>
    <col min="274" max="513" width="11.5546875" style="131"/>
    <col min="514" max="514" width="36.33203125" style="131" customWidth="1"/>
    <col min="515" max="526" width="11.5546875" style="131"/>
    <col min="527" max="527" width="17.33203125" style="131" bestFit="1" customWidth="1"/>
    <col min="528" max="528" width="2.88671875" style="131" customWidth="1"/>
    <col min="529" max="529" width="13.109375" style="131" bestFit="1" customWidth="1"/>
    <col min="530" max="769" width="11.5546875" style="131"/>
    <col min="770" max="770" width="36.33203125" style="131" customWidth="1"/>
    <col min="771" max="782" width="11.5546875" style="131"/>
    <col min="783" max="783" width="17.33203125" style="131" bestFit="1" customWidth="1"/>
    <col min="784" max="784" width="2.88671875" style="131" customWidth="1"/>
    <col min="785" max="785" width="13.109375" style="131" bestFit="1" customWidth="1"/>
    <col min="786" max="1025" width="11.5546875" style="131"/>
    <col min="1026" max="1026" width="36.33203125" style="131" customWidth="1"/>
    <col min="1027" max="1038" width="11.5546875" style="131"/>
    <col min="1039" max="1039" width="17.33203125" style="131" bestFit="1" customWidth="1"/>
    <col min="1040" max="1040" width="2.88671875" style="131" customWidth="1"/>
    <col min="1041" max="1041" width="13.109375" style="131" bestFit="1" customWidth="1"/>
    <col min="1042" max="1281" width="11.5546875" style="131"/>
    <col min="1282" max="1282" width="36.33203125" style="131" customWidth="1"/>
    <col min="1283" max="1294" width="11.5546875" style="131"/>
    <col min="1295" max="1295" width="17.33203125" style="131" bestFit="1" customWidth="1"/>
    <col min="1296" max="1296" width="2.88671875" style="131" customWidth="1"/>
    <col min="1297" max="1297" width="13.109375" style="131" bestFit="1" customWidth="1"/>
    <col min="1298" max="1537" width="11.5546875" style="131"/>
    <col min="1538" max="1538" width="36.33203125" style="131" customWidth="1"/>
    <col min="1539" max="1550" width="11.5546875" style="131"/>
    <col min="1551" max="1551" width="17.33203125" style="131" bestFit="1" customWidth="1"/>
    <col min="1552" max="1552" width="2.88671875" style="131" customWidth="1"/>
    <col min="1553" max="1553" width="13.109375" style="131" bestFit="1" customWidth="1"/>
    <col min="1554" max="1793" width="11.5546875" style="131"/>
    <col min="1794" max="1794" width="36.33203125" style="131" customWidth="1"/>
    <col min="1795" max="1806" width="11.5546875" style="131"/>
    <col min="1807" max="1807" width="17.33203125" style="131" bestFit="1" customWidth="1"/>
    <col min="1808" max="1808" width="2.88671875" style="131" customWidth="1"/>
    <col min="1809" max="1809" width="13.109375" style="131" bestFit="1" customWidth="1"/>
    <col min="1810" max="2049" width="11.5546875" style="131"/>
    <col min="2050" max="2050" width="36.33203125" style="131" customWidth="1"/>
    <col min="2051" max="2062" width="11.5546875" style="131"/>
    <col min="2063" max="2063" width="17.33203125" style="131" bestFit="1" customWidth="1"/>
    <col min="2064" max="2064" width="2.88671875" style="131" customWidth="1"/>
    <col min="2065" max="2065" width="13.109375" style="131" bestFit="1" customWidth="1"/>
    <col min="2066" max="2305" width="11.5546875" style="131"/>
    <col min="2306" max="2306" width="36.33203125" style="131" customWidth="1"/>
    <col min="2307" max="2318" width="11.5546875" style="131"/>
    <col min="2319" max="2319" width="17.33203125" style="131" bestFit="1" customWidth="1"/>
    <col min="2320" max="2320" width="2.88671875" style="131" customWidth="1"/>
    <col min="2321" max="2321" width="13.109375" style="131" bestFit="1" customWidth="1"/>
    <col min="2322" max="2561" width="11.5546875" style="131"/>
    <col min="2562" max="2562" width="36.33203125" style="131" customWidth="1"/>
    <col min="2563" max="2574" width="11.5546875" style="131"/>
    <col min="2575" max="2575" width="17.33203125" style="131" bestFit="1" customWidth="1"/>
    <col min="2576" max="2576" width="2.88671875" style="131" customWidth="1"/>
    <col min="2577" max="2577" width="13.109375" style="131" bestFit="1" customWidth="1"/>
    <col min="2578" max="2817" width="11.5546875" style="131"/>
    <col min="2818" max="2818" width="36.33203125" style="131" customWidth="1"/>
    <col min="2819" max="2830" width="11.5546875" style="131"/>
    <col min="2831" max="2831" width="17.33203125" style="131" bestFit="1" customWidth="1"/>
    <col min="2832" max="2832" width="2.88671875" style="131" customWidth="1"/>
    <col min="2833" max="2833" width="13.109375" style="131" bestFit="1" customWidth="1"/>
    <col min="2834" max="3073" width="11.5546875" style="131"/>
    <col min="3074" max="3074" width="36.33203125" style="131" customWidth="1"/>
    <col min="3075" max="3086" width="11.5546875" style="131"/>
    <col min="3087" max="3087" width="17.33203125" style="131" bestFit="1" customWidth="1"/>
    <col min="3088" max="3088" width="2.88671875" style="131" customWidth="1"/>
    <col min="3089" max="3089" width="13.109375" style="131" bestFit="1" customWidth="1"/>
    <col min="3090" max="3329" width="11.5546875" style="131"/>
    <col min="3330" max="3330" width="36.33203125" style="131" customWidth="1"/>
    <col min="3331" max="3342" width="11.5546875" style="131"/>
    <col min="3343" max="3343" width="17.33203125" style="131" bestFit="1" customWidth="1"/>
    <col min="3344" max="3344" width="2.88671875" style="131" customWidth="1"/>
    <col min="3345" max="3345" width="13.109375" style="131" bestFit="1" customWidth="1"/>
    <col min="3346" max="3585" width="11.5546875" style="131"/>
    <col min="3586" max="3586" width="36.33203125" style="131" customWidth="1"/>
    <col min="3587" max="3598" width="11.5546875" style="131"/>
    <col min="3599" max="3599" width="17.33203125" style="131" bestFit="1" customWidth="1"/>
    <col min="3600" max="3600" width="2.88671875" style="131" customWidth="1"/>
    <col min="3601" max="3601" width="13.109375" style="131" bestFit="1" customWidth="1"/>
    <col min="3602" max="3841" width="11.5546875" style="131"/>
    <col min="3842" max="3842" width="36.33203125" style="131" customWidth="1"/>
    <col min="3843" max="3854" width="11.5546875" style="131"/>
    <col min="3855" max="3855" width="17.33203125" style="131" bestFit="1" customWidth="1"/>
    <col min="3856" max="3856" width="2.88671875" style="131" customWidth="1"/>
    <col min="3857" max="3857" width="13.109375" style="131" bestFit="1" customWidth="1"/>
    <col min="3858" max="4097" width="11.5546875" style="131"/>
    <col min="4098" max="4098" width="36.33203125" style="131" customWidth="1"/>
    <col min="4099" max="4110" width="11.5546875" style="131"/>
    <col min="4111" max="4111" width="17.33203125" style="131" bestFit="1" customWidth="1"/>
    <col min="4112" max="4112" width="2.88671875" style="131" customWidth="1"/>
    <col min="4113" max="4113" width="13.109375" style="131" bestFit="1" customWidth="1"/>
    <col min="4114" max="4353" width="11.5546875" style="131"/>
    <col min="4354" max="4354" width="36.33203125" style="131" customWidth="1"/>
    <col min="4355" max="4366" width="11.5546875" style="131"/>
    <col min="4367" max="4367" width="17.33203125" style="131" bestFit="1" customWidth="1"/>
    <col min="4368" max="4368" width="2.88671875" style="131" customWidth="1"/>
    <col min="4369" max="4369" width="13.109375" style="131" bestFit="1" customWidth="1"/>
    <col min="4370" max="4609" width="11.5546875" style="131"/>
    <col min="4610" max="4610" width="36.33203125" style="131" customWidth="1"/>
    <col min="4611" max="4622" width="11.5546875" style="131"/>
    <col min="4623" max="4623" width="17.33203125" style="131" bestFit="1" customWidth="1"/>
    <col min="4624" max="4624" width="2.88671875" style="131" customWidth="1"/>
    <col min="4625" max="4625" width="13.109375" style="131" bestFit="1" customWidth="1"/>
    <col min="4626" max="4865" width="11.5546875" style="131"/>
    <col min="4866" max="4866" width="36.33203125" style="131" customWidth="1"/>
    <col min="4867" max="4878" width="11.5546875" style="131"/>
    <col min="4879" max="4879" width="17.33203125" style="131" bestFit="1" customWidth="1"/>
    <col min="4880" max="4880" width="2.88671875" style="131" customWidth="1"/>
    <col min="4881" max="4881" width="13.109375" style="131" bestFit="1" customWidth="1"/>
    <col min="4882" max="5121" width="11.5546875" style="131"/>
    <col min="5122" max="5122" width="36.33203125" style="131" customWidth="1"/>
    <col min="5123" max="5134" width="11.5546875" style="131"/>
    <col min="5135" max="5135" width="17.33203125" style="131" bestFit="1" customWidth="1"/>
    <col min="5136" max="5136" width="2.88671875" style="131" customWidth="1"/>
    <col min="5137" max="5137" width="13.109375" style="131" bestFit="1" customWidth="1"/>
    <col min="5138" max="5377" width="11.5546875" style="131"/>
    <col min="5378" max="5378" width="36.33203125" style="131" customWidth="1"/>
    <col min="5379" max="5390" width="11.5546875" style="131"/>
    <col min="5391" max="5391" width="17.33203125" style="131" bestFit="1" customWidth="1"/>
    <col min="5392" max="5392" width="2.88671875" style="131" customWidth="1"/>
    <col min="5393" max="5393" width="13.109375" style="131" bestFit="1" customWidth="1"/>
    <col min="5394" max="5633" width="11.5546875" style="131"/>
    <col min="5634" max="5634" width="36.33203125" style="131" customWidth="1"/>
    <col min="5635" max="5646" width="11.5546875" style="131"/>
    <col min="5647" max="5647" width="17.33203125" style="131" bestFit="1" customWidth="1"/>
    <col min="5648" max="5648" width="2.88671875" style="131" customWidth="1"/>
    <col min="5649" max="5649" width="13.109375" style="131" bestFit="1" customWidth="1"/>
    <col min="5650" max="5889" width="11.5546875" style="131"/>
    <col min="5890" max="5890" width="36.33203125" style="131" customWidth="1"/>
    <col min="5891" max="5902" width="11.5546875" style="131"/>
    <col min="5903" max="5903" width="17.33203125" style="131" bestFit="1" customWidth="1"/>
    <col min="5904" max="5904" width="2.88671875" style="131" customWidth="1"/>
    <col min="5905" max="5905" width="13.109375" style="131" bestFit="1" customWidth="1"/>
    <col min="5906" max="6145" width="11.5546875" style="131"/>
    <col min="6146" max="6146" width="36.33203125" style="131" customWidth="1"/>
    <col min="6147" max="6158" width="11.5546875" style="131"/>
    <col min="6159" max="6159" width="17.33203125" style="131" bestFit="1" customWidth="1"/>
    <col min="6160" max="6160" width="2.88671875" style="131" customWidth="1"/>
    <col min="6161" max="6161" width="13.109375" style="131" bestFit="1" customWidth="1"/>
    <col min="6162" max="6401" width="11.5546875" style="131"/>
    <col min="6402" max="6402" width="36.33203125" style="131" customWidth="1"/>
    <col min="6403" max="6414" width="11.5546875" style="131"/>
    <col min="6415" max="6415" width="17.33203125" style="131" bestFit="1" customWidth="1"/>
    <col min="6416" max="6416" width="2.88671875" style="131" customWidth="1"/>
    <col min="6417" max="6417" width="13.109375" style="131" bestFit="1" customWidth="1"/>
    <col min="6418" max="6657" width="11.5546875" style="131"/>
    <col min="6658" max="6658" width="36.33203125" style="131" customWidth="1"/>
    <col min="6659" max="6670" width="11.5546875" style="131"/>
    <col min="6671" max="6671" width="17.33203125" style="131" bestFit="1" customWidth="1"/>
    <col min="6672" max="6672" width="2.88671875" style="131" customWidth="1"/>
    <col min="6673" max="6673" width="13.109375" style="131" bestFit="1" customWidth="1"/>
    <col min="6674" max="6913" width="11.5546875" style="131"/>
    <col min="6914" max="6914" width="36.33203125" style="131" customWidth="1"/>
    <col min="6915" max="6926" width="11.5546875" style="131"/>
    <col min="6927" max="6927" width="17.33203125" style="131" bestFit="1" customWidth="1"/>
    <col min="6928" max="6928" width="2.88671875" style="131" customWidth="1"/>
    <col min="6929" max="6929" width="13.109375" style="131" bestFit="1" customWidth="1"/>
    <col min="6930" max="7169" width="11.5546875" style="131"/>
    <col min="7170" max="7170" width="36.33203125" style="131" customWidth="1"/>
    <col min="7171" max="7182" width="11.5546875" style="131"/>
    <col min="7183" max="7183" width="17.33203125" style="131" bestFit="1" customWidth="1"/>
    <col min="7184" max="7184" width="2.88671875" style="131" customWidth="1"/>
    <col min="7185" max="7185" width="13.109375" style="131" bestFit="1" customWidth="1"/>
    <col min="7186" max="7425" width="11.5546875" style="131"/>
    <col min="7426" max="7426" width="36.33203125" style="131" customWidth="1"/>
    <col min="7427" max="7438" width="11.5546875" style="131"/>
    <col min="7439" max="7439" width="17.33203125" style="131" bestFit="1" customWidth="1"/>
    <col min="7440" max="7440" width="2.88671875" style="131" customWidth="1"/>
    <col min="7441" max="7441" width="13.109375" style="131" bestFit="1" customWidth="1"/>
    <col min="7442" max="7681" width="11.5546875" style="131"/>
    <col min="7682" max="7682" width="36.33203125" style="131" customWidth="1"/>
    <col min="7683" max="7694" width="11.5546875" style="131"/>
    <col min="7695" max="7695" width="17.33203125" style="131" bestFit="1" customWidth="1"/>
    <col min="7696" max="7696" width="2.88671875" style="131" customWidth="1"/>
    <col min="7697" max="7697" width="13.109375" style="131" bestFit="1" customWidth="1"/>
    <col min="7698" max="7937" width="11.5546875" style="131"/>
    <col min="7938" max="7938" width="36.33203125" style="131" customWidth="1"/>
    <col min="7939" max="7950" width="11.5546875" style="131"/>
    <col min="7951" max="7951" width="17.33203125" style="131" bestFit="1" customWidth="1"/>
    <col min="7952" max="7952" width="2.88671875" style="131" customWidth="1"/>
    <col min="7953" max="7953" width="13.109375" style="131" bestFit="1" customWidth="1"/>
    <col min="7954" max="8193" width="11.5546875" style="131"/>
    <col min="8194" max="8194" width="36.33203125" style="131" customWidth="1"/>
    <col min="8195" max="8206" width="11.5546875" style="131"/>
    <col min="8207" max="8207" width="17.33203125" style="131" bestFit="1" customWidth="1"/>
    <col min="8208" max="8208" width="2.88671875" style="131" customWidth="1"/>
    <col min="8209" max="8209" width="13.109375" style="131" bestFit="1" customWidth="1"/>
    <col min="8210" max="8449" width="11.5546875" style="131"/>
    <col min="8450" max="8450" width="36.33203125" style="131" customWidth="1"/>
    <col min="8451" max="8462" width="11.5546875" style="131"/>
    <col min="8463" max="8463" width="17.33203125" style="131" bestFit="1" customWidth="1"/>
    <col min="8464" max="8464" width="2.88671875" style="131" customWidth="1"/>
    <col min="8465" max="8465" width="13.109375" style="131" bestFit="1" customWidth="1"/>
    <col min="8466" max="8705" width="11.5546875" style="131"/>
    <col min="8706" max="8706" width="36.33203125" style="131" customWidth="1"/>
    <col min="8707" max="8718" width="11.5546875" style="131"/>
    <col min="8719" max="8719" width="17.33203125" style="131" bestFit="1" customWidth="1"/>
    <col min="8720" max="8720" width="2.88671875" style="131" customWidth="1"/>
    <col min="8721" max="8721" width="13.109375" style="131" bestFit="1" customWidth="1"/>
    <col min="8722" max="8961" width="11.5546875" style="131"/>
    <col min="8962" max="8962" width="36.33203125" style="131" customWidth="1"/>
    <col min="8963" max="8974" width="11.5546875" style="131"/>
    <col min="8975" max="8975" width="17.33203125" style="131" bestFit="1" customWidth="1"/>
    <col min="8976" max="8976" width="2.88671875" style="131" customWidth="1"/>
    <col min="8977" max="8977" width="13.109375" style="131" bestFit="1" customWidth="1"/>
    <col min="8978" max="9217" width="11.5546875" style="131"/>
    <col min="9218" max="9218" width="36.33203125" style="131" customWidth="1"/>
    <col min="9219" max="9230" width="11.5546875" style="131"/>
    <col min="9231" max="9231" width="17.33203125" style="131" bestFit="1" customWidth="1"/>
    <col min="9232" max="9232" width="2.88671875" style="131" customWidth="1"/>
    <col min="9233" max="9233" width="13.109375" style="131" bestFit="1" customWidth="1"/>
    <col min="9234" max="9473" width="11.5546875" style="131"/>
    <col min="9474" max="9474" width="36.33203125" style="131" customWidth="1"/>
    <col min="9475" max="9486" width="11.5546875" style="131"/>
    <col min="9487" max="9487" width="17.33203125" style="131" bestFit="1" customWidth="1"/>
    <col min="9488" max="9488" width="2.88671875" style="131" customWidth="1"/>
    <col min="9489" max="9489" width="13.109375" style="131" bestFit="1" customWidth="1"/>
    <col min="9490" max="9729" width="11.5546875" style="131"/>
    <col min="9730" max="9730" width="36.33203125" style="131" customWidth="1"/>
    <col min="9731" max="9742" width="11.5546875" style="131"/>
    <col min="9743" max="9743" width="17.33203125" style="131" bestFit="1" customWidth="1"/>
    <col min="9744" max="9744" width="2.88671875" style="131" customWidth="1"/>
    <col min="9745" max="9745" width="13.109375" style="131" bestFit="1" customWidth="1"/>
    <col min="9746" max="9985" width="11.5546875" style="131"/>
    <col min="9986" max="9986" width="36.33203125" style="131" customWidth="1"/>
    <col min="9987" max="9998" width="11.5546875" style="131"/>
    <col min="9999" max="9999" width="17.33203125" style="131" bestFit="1" customWidth="1"/>
    <col min="10000" max="10000" width="2.88671875" style="131" customWidth="1"/>
    <col min="10001" max="10001" width="13.109375" style="131" bestFit="1" customWidth="1"/>
    <col min="10002" max="10241" width="11.5546875" style="131"/>
    <col min="10242" max="10242" width="36.33203125" style="131" customWidth="1"/>
    <col min="10243" max="10254" width="11.5546875" style="131"/>
    <col min="10255" max="10255" width="17.33203125" style="131" bestFit="1" customWidth="1"/>
    <col min="10256" max="10256" width="2.88671875" style="131" customWidth="1"/>
    <col min="10257" max="10257" width="13.109375" style="131" bestFit="1" customWidth="1"/>
    <col min="10258" max="10497" width="11.5546875" style="131"/>
    <col min="10498" max="10498" width="36.33203125" style="131" customWidth="1"/>
    <col min="10499" max="10510" width="11.5546875" style="131"/>
    <col min="10511" max="10511" width="17.33203125" style="131" bestFit="1" customWidth="1"/>
    <col min="10512" max="10512" width="2.88671875" style="131" customWidth="1"/>
    <col min="10513" max="10513" width="13.109375" style="131" bestFit="1" customWidth="1"/>
    <col min="10514" max="10753" width="11.5546875" style="131"/>
    <col min="10754" max="10754" width="36.33203125" style="131" customWidth="1"/>
    <col min="10755" max="10766" width="11.5546875" style="131"/>
    <col min="10767" max="10767" width="17.33203125" style="131" bestFit="1" customWidth="1"/>
    <col min="10768" max="10768" width="2.88671875" style="131" customWidth="1"/>
    <col min="10769" max="10769" width="13.109375" style="131" bestFit="1" customWidth="1"/>
    <col min="10770" max="11009" width="11.5546875" style="131"/>
    <col min="11010" max="11010" width="36.33203125" style="131" customWidth="1"/>
    <col min="11011" max="11022" width="11.5546875" style="131"/>
    <col min="11023" max="11023" width="17.33203125" style="131" bestFit="1" customWidth="1"/>
    <col min="11024" max="11024" width="2.88671875" style="131" customWidth="1"/>
    <col min="11025" max="11025" width="13.109375" style="131" bestFit="1" customWidth="1"/>
    <col min="11026" max="11265" width="11.5546875" style="131"/>
    <col min="11266" max="11266" width="36.33203125" style="131" customWidth="1"/>
    <col min="11267" max="11278" width="11.5546875" style="131"/>
    <col min="11279" max="11279" width="17.33203125" style="131" bestFit="1" customWidth="1"/>
    <col min="11280" max="11280" width="2.88671875" style="131" customWidth="1"/>
    <col min="11281" max="11281" width="13.109375" style="131" bestFit="1" customWidth="1"/>
    <col min="11282" max="11521" width="11.5546875" style="131"/>
    <col min="11522" max="11522" width="36.33203125" style="131" customWidth="1"/>
    <col min="11523" max="11534" width="11.5546875" style="131"/>
    <col min="11535" max="11535" width="17.33203125" style="131" bestFit="1" customWidth="1"/>
    <col min="11536" max="11536" width="2.88671875" style="131" customWidth="1"/>
    <col min="11537" max="11537" width="13.109375" style="131" bestFit="1" customWidth="1"/>
    <col min="11538" max="11777" width="11.5546875" style="131"/>
    <col min="11778" max="11778" width="36.33203125" style="131" customWidth="1"/>
    <col min="11779" max="11790" width="11.5546875" style="131"/>
    <col min="11791" max="11791" width="17.33203125" style="131" bestFit="1" customWidth="1"/>
    <col min="11792" max="11792" width="2.88671875" style="131" customWidth="1"/>
    <col min="11793" max="11793" width="13.109375" style="131" bestFit="1" customWidth="1"/>
    <col min="11794" max="12033" width="11.5546875" style="131"/>
    <col min="12034" max="12034" width="36.33203125" style="131" customWidth="1"/>
    <col min="12035" max="12046" width="11.5546875" style="131"/>
    <col min="12047" max="12047" width="17.33203125" style="131" bestFit="1" customWidth="1"/>
    <col min="12048" max="12048" width="2.88671875" style="131" customWidth="1"/>
    <col min="12049" max="12049" width="13.109375" style="131" bestFit="1" customWidth="1"/>
    <col min="12050" max="12289" width="11.5546875" style="131"/>
    <col min="12290" max="12290" width="36.33203125" style="131" customWidth="1"/>
    <col min="12291" max="12302" width="11.5546875" style="131"/>
    <col min="12303" max="12303" width="17.33203125" style="131" bestFit="1" customWidth="1"/>
    <col min="12304" max="12304" width="2.88671875" style="131" customWidth="1"/>
    <col min="12305" max="12305" width="13.109375" style="131" bestFit="1" customWidth="1"/>
    <col min="12306" max="12545" width="11.5546875" style="131"/>
    <col min="12546" max="12546" width="36.33203125" style="131" customWidth="1"/>
    <col min="12547" max="12558" width="11.5546875" style="131"/>
    <col min="12559" max="12559" width="17.33203125" style="131" bestFit="1" customWidth="1"/>
    <col min="12560" max="12560" width="2.88671875" style="131" customWidth="1"/>
    <col min="12561" max="12561" width="13.109375" style="131" bestFit="1" customWidth="1"/>
    <col min="12562" max="12801" width="11.5546875" style="131"/>
    <col min="12802" max="12802" width="36.33203125" style="131" customWidth="1"/>
    <col min="12803" max="12814" width="11.5546875" style="131"/>
    <col min="12815" max="12815" width="17.33203125" style="131" bestFit="1" customWidth="1"/>
    <col min="12816" max="12816" width="2.88671875" style="131" customWidth="1"/>
    <col min="12817" max="12817" width="13.109375" style="131" bestFit="1" customWidth="1"/>
    <col min="12818" max="13057" width="11.5546875" style="131"/>
    <col min="13058" max="13058" width="36.33203125" style="131" customWidth="1"/>
    <col min="13059" max="13070" width="11.5546875" style="131"/>
    <col min="13071" max="13071" width="17.33203125" style="131" bestFit="1" customWidth="1"/>
    <col min="13072" max="13072" width="2.88671875" style="131" customWidth="1"/>
    <col min="13073" max="13073" width="13.109375" style="131" bestFit="1" customWidth="1"/>
    <col min="13074" max="13313" width="11.5546875" style="131"/>
    <col min="13314" max="13314" width="36.33203125" style="131" customWidth="1"/>
    <col min="13315" max="13326" width="11.5546875" style="131"/>
    <col min="13327" max="13327" width="17.33203125" style="131" bestFit="1" customWidth="1"/>
    <col min="13328" max="13328" width="2.88671875" style="131" customWidth="1"/>
    <col min="13329" max="13329" width="13.109375" style="131" bestFit="1" customWidth="1"/>
    <col min="13330" max="13569" width="11.5546875" style="131"/>
    <col min="13570" max="13570" width="36.33203125" style="131" customWidth="1"/>
    <col min="13571" max="13582" width="11.5546875" style="131"/>
    <col min="13583" max="13583" width="17.33203125" style="131" bestFit="1" customWidth="1"/>
    <col min="13584" max="13584" width="2.88671875" style="131" customWidth="1"/>
    <col min="13585" max="13585" width="13.109375" style="131" bestFit="1" customWidth="1"/>
    <col min="13586" max="13825" width="11.5546875" style="131"/>
    <col min="13826" max="13826" width="36.33203125" style="131" customWidth="1"/>
    <col min="13827" max="13838" width="11.5546875" style="131"/>
    <col min="13839" max="13839" width="17.33203125" style="131" bestFit="1" customWidth="1"/>
    <col min="13840" max="13840" width="2.88671875" style="131" customWidth="1"/>
    <col min="13841" max="13841" width="13.109375" style="131" bestFit="1" customWidth="1"/>
    <col min="13842" max="14081" width="11.5546875" style="131"/>
    <col min="14082" max="14082" width="36.33203125" style="131" customWidth="1"/>
    <col min="14083" max="14094" width="11.5546875" style="131"/>
    <col min="14095" max="14095" width="17.33203125" style="131" bestFit="1" customWidth="1"/>
    <col min="14096" max="14096" width="2.88671875" style="131" customWidth="1"/>
    <col min="14097" max="14097" width="13.109375" style="131" bestFit="1" customWidth="1"/>
    <col min="14098" max="14337" width="11.5546875" style="131"/>
    <col min="14338" max="14338" width="36.33203125" style="131" customWidth="1"/>
    <col min="14339" max="14350" width="11.5546875" style="131"/>
    <col min="14351" max="14351" width="17.33203125" style="131" bestFit="1" customWidth="1"/>
    <col min="14352" max="14352" width="2.88671875" style="131" customWidth="1"/>
    <col min="14353" max="14353" width="13.109375" style="131" bestFit="1" customWidth="1"/>
    <col min="14354" max="14593" width="11.5546875" style="131"/>
    <col min="14594" max="14594" width="36.33203125" style="131" customWidth="1"/>
    <col min="14595" max="14606" width="11.5546875" style="131"/>
    <col min="14607" max="14607" width="17.33203125" style="131" bestFit="1" customWidth="1"/>
    <col min="14608" max="14608" width="2.88671875" style="131" customWidth="1"/>
    <col min="14609" max="14609" width="13.109375" style="131" bestFit="1" customWidth="1"/>
    <col min="14610" max="14849" width="11.5546875" style="131"/>
    <col min="14850" max="14850" width="36.33203125" style="131" customWidth="1"/>
    <col min="14851" max="14862" width="11.5546875" style="131"/>
    <col min="14863" max="14863" width="17.33203125" style="131" bestFit="1" customWidth="1"/>
    <col min="14864" max="14864" width="2.88671875" style="131" customWidth="1"/>
    <col min="14865" max="14865" width="13.109375" style="131" bestFit="1" customWidth="1"/>
    <col min="14866" max="15105" width="11.5546875" style="131"/>
    <col min="15106" max="15106" width="36.33203125" style="131" customWidth="1"/>
    <col min="15107" max="15118" width="11.5546875" style="131"/>
    <col min="15119" max="15119" width="17.33203125" style="131" bestFit="1" customWidth="1"/>
    <col min="15120" max="15120" width="2.88671875" style="131" customWidth="1"/>
    <col min="15121" max="15121" width="13.109375" style="131" bestFit="1" customWidth="1"/>
    <col min="15122" max="15361" width="11.5546875" style="131"/>
    <col min="15362" max="15362" width="36.33203125" style="131" customWidth="1"/>
    <col min="15363" max="15374" width="11.5546875" style="131"/>
    <col min="15375" max="15375" width="17.33203125" style="131" bestFit="1" customWidth="1"/>
    <col min="15376" max="15376" width="2.88671875" style="131" customWidth="1"/>
    <col min="15377" max="15377" width="13.109375" style="131" bestFit="1" customWidth="1"/>
    <col min="15378" max="15617" width="11.5546875" style="131"/>
    <col min="15618" max="15618" width="36.33203125" style="131" customWidth="1"/>
    <col min="15619" max="15630" width="11.5546875" style="131"/>
    <col min="15631" max="15631" width="17.33203125" style="131" bestFit="1" customWidth="1"/>
    <col min="15632" max="15632" width="2.88671875" style="131" customWidth="1"/>
    <col min="15633" max="15633" width="13.109375" style="131" bestFit="1" customWidth="1"/>
    <col min="15634" max="15873" width="11.5546875" style="131"/>
    <col min="15874" max="15874" width="36.33203125" style="131" customWidth="1"/>
    <col min="15875" max="15886" width="11.5546875" style="131"/>
    <col min="15887" max="15887" width="17.33203125" style="131" bestFit="1" customWidth="1"/>
    <col min="15888" max="15888" width="2.88671875" style="131" customWidth="1"/>
    <col min="15889" max="15889" width="13.109375" style="131" bestFit="1" customWidth="1"/>
    <col min="15890" max="16129" width="11.5546875" style="131"/>
    <col min="16130" max="16130" width="36.33203125" style="131" customWidth="1"/>
    <col min="16131" max="16142" width="11.5546875" style="131"/>
    <col min="16143" max="16143" width="17.33203125" style="131" bestFit="1" customWidth="1"/>
    <col min="16144" max="16144" width="2.88671875" style="131" customWidth="1"/>
    <col min="16145" max="16145" width="13.109375" style="131" bestFit="1" customWidth="1"/>
    <col min="16146" max="16384" width="11.5546875" style="131"/>
  </cols>
  <sheetData>
    <row r="1" spans="2:18" ht="15.6" thickBot="1" x14ac:dyDescent="0.3">
      <c r="B1" s="127"/>
      <c r="Q1" s="130" t="s">
        <v>145</v>
      </c>
    </row>
    <row r="2" spans="2:18" s="135" customFormat="1" ht="21.6" thickBot="1" x14ac:dyDescent="0.3">
      <c r="B2" s="836" t="s">
        <v>195</v>
      </c>
      <c r="C2" s="837"/>
      <c r="D2" s="837"/>
      <c r="E2" s="837"/>
      <c r="F2" s="837"/>
      <c r="G2" s="837"/>
      <c r="H2" s="837"/>
      <c r="I2" s="837"/>
      <c r="J2" s="837"/>
      <c r="K2" s="837"/>
      <c r="L2" s="837"/>
      <c r="M2" s="837"/>
      <c r="N2" s="838"/>
      <c r="O2" s="134"/>
      <c r="Q2" s="136" t="s">
        <v>146</v>
      </c>
    </row>
    <row r="3" spans="2:18" ht="13.8" thickBot="1" x14ac:dyDescent="0.3">
      <c r="B3" s="137"/>
      <c r="C3" s="137"/>
      <c r="D3" s="137"/>
      <c r="E3" s="137"/>
      <c r="F3" s="137"/>
      <c r="G3" s="137"/>
      <c r="H3" s="137"/>
      <c r="I3" s="137"/>
      <c r="J3" s="137"/>
      <c r="K3" s="137"/>
      <c r="L3" s="137"/>
      <c r="M3" s="137"/>
      <c r="N3" s="137"/>
      <c r="O3" s="138"/>
    </row>
    <row r="4" spans="2:18" s="144" customFormat="1" ht="16.8" thickTop="1" thickBot="1" x14ac:dyDescent="0.3">
      <c r="B4" s="139"/>
      <c r="C4" s="140" t="s">
        <v>147</v>
      </c>
      <c r="D4" s="141" t="s">
        <v>148</v>
      </c>
      <c r="E4" s="141" t="s">
        <v>149</v>
      </c>
      <c r="F4" s="141" t="s">
        <v>150</v>
      </c>
      <c r="G4" s="141" t="s">
        <v>151</v>
      </c>
      <c r="H4" s="141" t="s">
        <v>152</v>
      </c>
      <c r="I4" s="141" t="s">
        <v>153</v>
      </c>
      <c r="J4" s="141" t="s">
        <v>154</v>
      </c>
      <c r="K4" s="141" t="s">
        <v>155</v>
      </c>
      <c r="L4" s="141" t="s">
        <v>156</v>
      </c>
      <c r="M4" s="141" t="s">
        <v>157</v>
      </c>
      <c r="N4" s="142" t="s">
        <v>158</v>
      </c>
      <c r="O4" s="143" t="s">
        <v>89</v>
      </c>
      <c r="Q4" s="133"/>
    </row>
    <row r="5" spans="2:18" s="150" customFormat="1" ht="13.8" thickTop="1" x14ac:dyDescent="0.25">
      <c r="B5" s="145" t="s">
        <v>196</v>
      </c>
      <c r="C5" s="146">
        <v>0</v>
      </c>
      <c r="D5" s="147">
        <v>1</v>
      </c>
      <c r="E5" s="147">
        <v>1</v>
      </c>
      <c r="F5" s="147">
        <v>1</v>
      </c>
      <c r="G5" s="147">
        <v>2</v>
      </c>
      <c r="H5" s="147">
        <v>2</v>
      </c>
      <c r="I5" s="147">
        <v>2</v>
      </c>
      <c r="J5" s="147">
        <v>3</v>
      </c>
      <c r="K5" s="147">
        <v>3</v>
      </c>
      <c r="L5" s="147">
        <v>3</v>
      </c>
      <c r="M5" s="147">
        <v>3</v>
      </c>
      <c r="N5" s="148">
        <v>3</v>
      </c>
      <c r="O5" s="149">
        <f>SUM(C5:N5)</f>
        <v>24</v>
      </c>
      <c r="Q5" s="151">
        <v>24</v>
      </c>
    </row>
    <row r="6" spans="2:18" s="159" customFormat="1" ht="15.6" x14ac:dyDescent="0.25">
      <c r="B6" s="152" t="s">
        <v>159</v>
      </c>
      <c r="C6" s="153">
        <v>0</v>
      </c>
      <c r="D6" s="154">
        <v>8586.0166666666682</v>
      </c>
      <c r="E6" s="154">
        <v>8586.0166666666682</v>
      </c>
      <c r="F6" s="154">
        <v>8586.0166666666682</v>
      </c>
      <c r="G6" s="154">
        <v>17172.033333333336</v>
      </c>
      <c r="H6" s="154">
        <v>17172.033333333336</v>
      </c>
      <c r="I6" s="154">
        <v>17172.033333333336</v>
      </c>
      <c r="J6" s="154">
        <v>25758.050000000003</v>
      </c>
      <c r="K6" s="154">
        <v>25758.050000000003</v>
      </c>
      <c r="L6" s="154">
        <v>25758.050000000003</v>
      </c>
      <c r="M6" s="154">
        <v>25758.050000000003</v>
      </c>
      <c r="N6" s="155">
        <v>25758.050000000003</v>
      </c>
      <c r="O6" s="156">
        <f>SUM(C6:N6)</f>
        <v>206064.40000000002</v>
      </c>
      <c r="P6" s="157"/>
      <c r="Q6" s="158">
        <v>206064.40000000002</v>
      </c>
      <c r="R6" s="157"/>
    </row>
    <row r="7" spans="2:18" s="150" customFormat="1" x14ac:dyDescent="0.25">
      <c r="B7" s="160" t="s">
        <v>197</v>
      </c>
      <c r="C7" s="161">
        <v>0</v>
      </c>
      <c r="D7" s="162">
        <v>0</v>
      </c>
      <c r="E7" s="162">
        <v>0</v>
      </c>
      <c r="F7" s="162">
        <v>1</v>
      </c>
      <c r="G7" s="162">
        <v>1</v>
      </c>
      <c r="H7" s="162">
        <v>2</v>
      </c>
      <c r="I7" s="162">
        <v>2</v>
      </c>
      <c r="J7" s="162">
        <v>2</v>
      </c>
      <c r="K7" s="162">
        <v>2</v>
      </c>
      <c r="L7" s="162">
        <v>3</v>
      </c>
      <c r="M7" s="162">
        <v>3</v>
      </c>
      <c r="N7" s="163">
        <v>3</v>
      </c>
      <c r="O7" s="164">
        <f>SUM(C7:N7)</f>
        <v>19</v>
      </c>
      <c r="P7" s="165"/>
      <c r="Q7" s="166">
        <v>19</v>
      </c>
    </row>
    <row r="8" spans="2:18" s="174" customFormat="1" x14ac:dyDescent="0.25">
      <c r="B8" s="167" t="s">
        <v>160</v>
      </c>
      <c r="C8" s="168">
        <v>0</v>
      </c>
      <c r="D8" s="169">
        <v>0</v>
      </c>
      <c r="E8" s="169">
        <v>0</v>
      </c>
      <c r="F8" s="169">
        <v>6708.333333333333</v>
      </c>
      <c r="G8" s="169">
        <v>6708.333333333333</v>
      </c>
      <c r="H8" s="169">
        <v>13416.666666666666</v>
      </c>
      <c r="I8" s="169">
        <v>13416.666666666666</v>
      </c>
      <c r="J8" s="169">
        <v>13416.666666666666</v>
      </c>
      <c r="K8" s="169">
        <v>13416.666666666666</v>
      </c>
      <c r="L8" s="169">
        <v>20125</v>
      </c>
      <c r="M8" s="169">
        <v>20125</v>
      </c>
      <c r="N8" s="170">
        <v>20125</v>
      </c>
      <c r="O8" s="171">
        <f>SUM(C8:N8)</f>
        <v>127458.33333333333</v>
      </c>
      <c r="P8" s="172"/>
      <c r="Q8" s="173" t="e">
        <f>#REF!</f>
        <v>#REF!</v>
      </c>
    </row>
    <row r="9" spans="2:18" s="174" customFormat="1" x14ac:dyDescent="0.25">
      <c r="B9" s="175" t="s">
        <v>161</v>
      </c>
      <c r="C9" s="176">
        <v>0</v>
      </c>
      <c r="D9" s="177">
        <v>0</v>
      </c>
      <c r="E9" s="177">
        <v>0</v>
      </c>
      <c r="F9" s="177">
        <v>7708.333333333333</v>
      </c>
      <c r="G9" s="177">
        <v>7708.333333333333</v>
      </c>
      <c r="H9" s="177">
        <v>15416.666666666666</v>
      </c>
      <c r="I9" s="177">
        <v>15416.666666666666</v>
      </c>
      <c r="J9" s="177">
        <v>15416.666666666666</v>
      </c>
      <c r="K9" s="177">
        <v>15416.666666666666</v>
      </c>
      <c r="L9" s="177">
        <v>23125</v>
      </c>
      <c r="M9" s="177">
        <v>23125</v>
      </c>
      <c r="N9" s="178">
        <v>23125</v>
      </c>
      <c r="O9" s="179">
        <f>SUM(C9:N9)</f>
        <v>146458.33333333331</v>
      </c>
      <c r="P9" s="172"/>
      <c r="Q9" s="173" t="e">
        <f>#REF!</f>
        <v>#REF!</v>
      </c>
    </row>
    <row r="10" spans="2:18" s="159" customFormat="1" ht="16.2" thickBot="1" x14ac:dyDescent="0.3">
      <c r="B10" s="180" t="s">
        <v>162</v>
      </c>
      <c r="C10" s="181">
        <v>0</v>
      </c>
      <c r="D10" s="182">
        <v>0</v>
      </c>
      <c r="E10" s="182">
        <v>0</v>
      </c>
      <c r="F10" s="182">
        <v>8586.0166666666682</v>
      </c>
      <c r="G10" s="182">
        <v>8586.0166666666682</v>
      </c>
      <c r="H10" s="182">
        <v>17172.033333333336</v>
      </c>
      <c r="I10" s="182">
        <v>17172.033333333336</v>
      </c>
      <c r="J10" s="182">
        <v>17172.033333333336</v>
      </c>
      <c r="K10" s="182">
        <v>17172.033333333336</v>
      </c>
      <c r="L10" s="182">
        <v>25758.050000000003</v>
      </c>
      <c r="M10" s="182">
        <v>25758.050000000003</v>
      </c>
      <c r="N10" s="183">
        <v>25758.050000000003</v>
      </c>
      <c r="O10" s="184">
        <v>163134.31666666671</v>
      </c>
      <c r="P10" s="157"/>
      <c r="Q10" s="173">
        <v>164851.52000000002</v>
      </c>
    </row>
    <row r="11" spans="2:18" s="190" customFormat="1" ht="14.4" thickTop="1" thickBot="1" x14ac:dyDescent="0.3">
      <c r="B11" s="185"/>
      <c r="C11" s="186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8"/>
      <c r="O11" s="189"/>
      <c r="Q11" s="133"/>
    </row>
    <row r="12" spans="2:18" s="197" customFormat="1" ht="16.2" thickTop="1" x14ac:dyDescent="0.25">
      <c r="B12" s="191" t="s">
        <v>163</v>
      </c>
      <c r="C12" s="192"/>
      <c r="D12" s="193"/>
      <c r="E12" s="193"/>
      <c r="F12" s="193"/>
      <c r="G12" s="193"/>
      <c r="H12" s="193"/>
      <c r="I12" s="193"/>
      <c r="J12" s="193"/>
      <c r="K12" s="193"/>
      <c r="L12" s="193"/>
      <c r="M12" s="193"/>
      <c r="N12" s="194"/>
      <c r="O12" s="195"/>
      <c r="P12" s="196"/>
      <c r="Q12" s="133"/>
    </row>
    <row r="13" spans="2:18" s="203" customFormat="1" x14ac:dyDescent="0.25">
      <c r="B13" s="198" t="s">
        <v>164</v>
      </c>
      <c r="C13" s="199"/>
      <c r="D13" s="200"/>
      <c r="E13" s="200"/>
      <c r="F13" s="200"/>
      <c r="G13" s="200"/>
      <c r="H13" s="200"/>
      <c r="I13" s="200"/>
      <c r="J13" s="200"/>
      <c r="K13" s="200"/>
      <c r="L13" s="200"/>
      <c r="M13" s="200"/>
      <c r="N13" s="201"/>
      <c r="O13" s="171"/>
      <c r="P13" s="202"/>
      <c r="Q13" s="133"/>
      <c r="R13" s="202"/>
    </row>
    <row r="14" spans="2:18" s="203" customFormat="1" x14ac:dyDescent="0.25">
      <c r="B14" s="204" t="s">
        <v>165</v>
      </c>
      <c r="C14" s="199"/>
      <c r="D14" s="200"/>
      <c r="E14" s="200"/>
      <c r="F14" s="200"/>
      <c r="G14" s="200"/>
      <c r="H14" s="200"/>
      <c r="I14" s="200"/>
      <c r="J14" s="200"/>
      <c r="K14" s="200"/>
      <c r="L14" s="200"/>
      <c r="M14" s="200"/>
      <c r="N14" s="201"/>
      <c r="O14" s="171"/>
      <c r="P14" s="202"/>
      <c r="Q14" s="133"/>
      <c r="R14" s="202"/>
    </row>
    <row r="15" spans="2:18" s="203" customFormat="1" x14ac:dyDescent="0.25">
      <c r="B15" s="205" t="s">
        <v>166</v>
      </c>
      <c r="C15" s="199">
        <f t="shared" ref="C15:N15" si="0">SUM(C6*30%)</f>
        <v>0</v>
      </c>
      <c r="D15" s="200">
        <f t="shared" si="0"/>
        <v>2575.8050000000003</v>
      </c>
      <c r="E15" s="200">
        <f t="shared" si="0"/>
        <v>2575.8050000000003</v>
      </c>
      <c r="F15" s="200">
        <f t="shared" si="0"/>
        <v>2575.8050000000003</v>
      </c>
      <c r="G15" s="200">
        <f t="shared" si="0"/>
        <v>5151.6100000000006</v>
      </c>
      <c r="H15" s="200">
        <f t="shared" si="0"/>
        <v>5151.6100000000006</v>
      </c>
      <c r="I15" s="200">
        <f t="shared" si="0"/>
        <v>5151.6100000000006</v>
      </c>
      <c r="J15" s="200">
        <f t="shared" si="0"/>
        <v>7727.4150000000009</v>
      </c>
      <c r="K15" s="200">
        <f t="shared" si="0"/>
        <v>7727.4150000000009</v>
      </c>
      <c r="L15" s="200">
        <f t="shared" si="0"/>
        <v>7727.4150000000009</v>
      </c>
      <c r="M15" s="200">
        <f t="shared" si="0"/>
        <v>7727.4150000000009</v>
      </c>
      <c r="N15" s="201">
        <f t="shared" si="0"/>
        <v>7727.4150000000009</v>
      </c>
      <c r="O15" s="171">
        <f>SUM(C15:N15)</f>
        <v>61819.320000000007</v>
      </c>
      <c r="Q15" s="133"/>
    </row>
    <row r="16" spans="2:18" s="203" customFormat="1" x14ac:dyDescent="0.25">
      <c r="B16" s="205" t="s">
        <v>167</v>
      </c>
      <c r="C16" s="199">
        <f t="shared" ref="C16:N16" si="1">SUM(C10*70%)</f>
        <v>0</v>
      </c>
      <c r="D16" s="200">
        <f t="shared" si="1"/>
        <v>0</v>
      </c>
      <c r="E16" s="200">
        <f t="shared" si="1"/>
        <v>0</v>
      </c>
      <c r="F16" s="200">
        <f t="shared" si="1"/>
        <v>6010.211666666667</v>
      </c>
      <c r="G16" s="200">
        <f t="shared" si="1"/>
        <v>6010.211666666667</v>
      </c>
      <c r="H16" s="200">
        <f t="shared" si="1"/>
        <v>12020.423333333334</v>
      </c>
      <c r="I16" s="200">
        <f t="shared" si="1"/>
        <v>12020.423333333334</v>
      </c>
      <c r="J16" s="200">
        <f t="shared" si="1"/>
        <v>12020.423333333334</v>
      </c>
      <c r="K16" s="200">
        <f t="shared" si="1"/>
        <v>12020.423333333334</v>
      </c>
      <c r="L16" s="200">
        <f t="shared" si="1"/>
        <v>18030.635000000002</v>
      </c>
      <c r="M16" s="200">
        <f t="shared" si="1"/>
        <v>18030.635000000002</v>
      </c>
      <c r="N16" s="201">
        <f t="shared" si="1"/>
        <v>18030.635000000002</v>
      </c>
      <c r="O16" s="171">
        <f>SUM(C16:N16)</f>
        <v>114194.0216666667</v>
      </c>
      <c r="P16" s="202"/>
      <c r="Q16" s="133"/>
      <c r="R16" s="202"/>
    </row>
    <row r="17" spans="2:18" s="203" customFormat="1" x14ac:dyDescent="0.25">
      <c r="B17" s="206" t="s">
        <v>168</v>
      </c>
      <c r="C17" s="207">
        <v>6576.5153999999993</v>
      </c>
      <c r="D17" s="208">
        <v>392.12467959866217</v>
      </c>
      <c r="E17" s="208">
        <v>392.12467959866217</v>
      </c>
      <c r="F17" s="208">
        <v>702.74706532887342</v>
      </c>
      <c r="G17" s="169">
        <v>751.91094492753575</v>
      </c>
      <c r="H17" s="208">
        <v>856.73333065774682</v>
      </c>
      <c r="I17" s="208">
        <v>650.93333065774709</v>
      </c>
      <c r="J17" s="208">
        <v>700.09721025640897</v>
      </c>
      <c r="K17" s="208">
        <v>700.09721025640897</v>
      </c>
      <c r="L17" s="208">
        <v>804.91959598662015</v>
      </c>
      <c r="M17" s="208">
        <v>804.91959598662015</v>
      </c>
      <c r="N17" s="209">
        <v>804.91959598662015</v>
      </c>
      <c r="O17" s="210">
        <f>SUM(C17:N17)</f>
        <v>14138.042639241903</v>
      </c>
      <c r="P17" s="202"/>
      <c r="Q17" s="133"/>
      <c r="R17" s="202"/>
    </row>
    <row r="18" spans="2:18" s="203" customFormat="1" x14ac:dyDescent="0.25">
      <c r="B18" s="198" t="s">
        <v>169</v>
      </c>
      <c r="C18" s="199"/>
      <c r="D18" s="200"/>
      <c r="E18" s="200"/>
      <c r="F18" s="200"/>
      <c r="G18" s="200"/>
      <c r="H18" s="200"/>
      <c r="I18" s="200"/>
      <c r="J18" s="200"/>
      <c r="K18" s="200"/>
      <c r="L18" s="200"/>
      <c r="M18" s="200"/>
      <c r="N18" s="201"/>
      <c r="O18" s="171"/>
      <c r="P18" s="202"/>
      <c r="Q18" s="133"/>
      <c r="R18" s="202"/>
    </row>
    <row r="19" spans="2:18" s="203" customFormat="1" x14ac:dyDescent="0.25">
      <c r="B19" s="205" t="s">
        <v>105</v>
      </c>
      <c r="C19" s="211">
        <v>10000</v>
      </c>
      <c r="D19" s="212"/>
      <c r="E19" s="212"/>
      <c r="F19" s="212"/>
      <c r="G19" s="212"/>
      <c r="H19" s="212"/>
      <c r="I19" s="212"/>
      <c r="J19" s="212"/>
      <c r="K19" s="212"/>
      <c r="L19" s="212"/>
      <c r="M19" s="212"/>
      <c r="N19" s="213"/>
      <c r="O19" s="171">
        <f>SUM(C19:N19)</f>
        <v>10000</v>
      </c>
      <c r="Q19" s="133"/>
    </row>
    <row r="20" spans="2:18" s="203" customFormat="1" x14ac:dyDescent="0.25">
      <c r="B20" s="214" t="s">
        <v>170</v>
      </c>
      <c r="C20" s="211">
        <v>5000</v>
      </c>
      <c r="D20" s="212"/>
      <c r="E20" s="212"/>
      <c r="F20" s="212"/>
      <c r="G20" s="212"/>
      <c r="H20" s="212"/>
      <c r="I20" s="212"/>
      <c r="J20" s="212"/>
      <c r="K20" s="212"/>
      <c r="L20" s="212"/>
      <c r="M20" s="212"/>
      <c r="N20" s="213"/>
      <c r="O20" s="171">
        <f>SUM(C20:N20)</f>
        <v>5000</v>
      </c>
      <c r="Q20" s="133"/>
    </row>
    <row r="21" spans="2:18" s="203" customFormat="1" x14ac:dyDescent="0.25">
      <c r="B21" s="205" t="s">
        <v>106</v>
      </c>
      <c r="C21" s="199">
        <v>34160.204599999997</v>
      </c>
      <c r="D21" s="200"/>
      <c r="E21" s="200"/>
      <c r="F21" s="200"/>
      <c r="G21" s="200"/>
      <c r="H21" s="200"/>
      <c r="I21" s="200"/>
      <c r="J21" s="200"/>
      <c r="K21" s="200"/>
      <c r="L21" s="200"/>
      <c r="M21" s="200"/>
      <c r="N21" s="201"/>
      <c r="O21" s="171">
        <f>SUM(C21:N21)</f>
        <v>34160.204599999997</v>
      </c>
      <c r="P21" s="202"/>
      <c r="Q21" s="133"/>
      <c r="R21" s="202"/>
    </row>
    <row r="22" spans="2:18" s="159" customFormat="1" ht="16.2" thickBot="1" x14ac:dyDescent="0.3">
      <c r="B22" s="180" t="s">
        <v>171</v>
      </c>
      <c r="C22" s="181">
        <f t="shared" ref="C22:N22" si="2">SUM(C12:C21)</f>
        <v>55736.72</v>
      </c>
      <c r="D22" s="182">
        <f t="shared" si="2"/>
        <v>2967.9296795986625</v>
      </c>
      <c r="E22" s="182">
        <f t="shared" si="2"/>
        <v>2967.9296795986625</v>
      </c>
      <c r="F22" s="182">
        <f t="shared" si="2"/>
        <v>9288.7637319955393</v>
      </c>
      <c r="G22" s="182">
        <f t="shared" si="2"/>
        <v>11913.732611594203</v>
      </c>
      <c r="H22" s="182">
        <f t="shared" si="2"/>
        <v>18028.766663991079</v>
      </c>
      <c r="I22" s="182">
        <f t="shared" si="2"/>
        <v>17822.966663991079</v>
      </c>
      <c r="J22" s="182">
        <f t="shared" si="2"/>
        <v>20447.935543589741</v>
      </c>
      <c r="K22" s="182">
        <f t="shared" si="2"/>
        <v>20447.935543589741</v>
      </c>
      <c r="L22" s="182">
        <f t="shared" si="2"/>
        <v>26562.969595986622</v>
      </c>
      <c r="M22" s="182">
        <f t="shared" si="2"/>
        <v>26562.969595986622</v>
      </c>
      <c r="N22" s="183">
        <f t="shared" si="2"/>
        <v>26562.969595986622</v>
      </c>
      <c r="O22" s="184">
        <f>SUM(O12:O21)</f>
        <v>239311.5889059086</v>
      </c>
      <c r="Q22" s="158">
        <f>SUM(C22:N22)</f>
        <v>239311.58890590855</v>
      </c>
    </row>
    <row r="23" spans="2:18" s="190" customFormat="1" ht="14.4" thickTop="1" thickBot="1" x14ac:dyDescent="0.3">
      <c r="B23" s="185"/>
      <c r="C23" s="186"/>
      <c r="D23" s="187"/>
      <c r="E23" s="187"/>
      <c r="F23" s="187"/>
      <c r="G23" s="187"/>
      <c r="H23" s="187"/>
      <c r="I23" s="187"/>
      <c r="J23" s="187"/>
      <c r="K23" s="187"/>
      <c r="L23" s="187"/>
      <c r="M23" s="187"/>
      <c r="N23" s="188"/>
      <c r="O23" s="189"/>
      <c r="Q23" s="133"/>
    </row>
    <row r="24" spans="2:18" s="219" customFormat="1" ht="16.2" thickTop="1" x14ac:dyDescent="0.25">
      <c r="B24" s="191" t="s">
        <v>172</v>
      </c>
      <c r="C24" s="215"/>
      <c r="D24" s="216"/>
      <c r="E24" s="216"/>
      <c r="F24" s="216"/>
      <c r="G24" s="216"/>
      <c r="H24" s="216"/>
      <c r="I24" s="216"/>
      <c r="J24" s="216"/>
      <c r="K24" s="216"/>
      <c r="L24" s="216"/>
      <c r="M24" s="216"/>
      <c r="N24" s="217"/>
      <c r="O24" s="218"/>
      <c r="Q24" s="133"/>
    </row>
    <row r="25" spans="2:18" s="203" customFormat="1" x14ac:dyDescent="0.25">
      <c r="B25" s="205" t="s">
        <v>173</v>
      </c>
      <c r="C25" s="199">
        <v>35454.044599999994</v>
      </c>
      <c r="D25" s="212"/>
      <c r="E25" s="200"/>
      <c r="F25" s="200">
        <v>1255.8</v>
      </c>
      <c r="G25" s="200">
        <v>1255.8</v>
      </c>
      <c r="H25" s="200">
        <v>1255.8</v>
      </c>
      <c r="I25" s="212"/>
      <c r="J25" s="212"/>
      <c r="K25" s="212"/>
      <c r="L25" s="212"/>
      <c r="M25" s="212"/>
      <c r="N25" s="213"/>
      <c r="O25" s="171">
        <f t="shared" ref="O25:O36" si="3">SUM(C25:N25)</f>
        <v>39221.444600000003</v>
      </c>
      <c r="P25" s="131"/>
      <c r="Q25" s="220">
        <v>39221.444599999995</v>
      </c>
      <c r="R25" s="131"/>
    </row>
    <row r="26" spans="2:18" ht="26.4" x14ac:dyDescent="0.25">
      <c r="B26" s="214" t="s">
        <v>174</v>
      </c>
      <c r="C26" s="199">
        <v>2583.3599999999997</v>
      </c>
      <c r="D26" s="212"/>
      <c r="E26" s="200"/>
      <c r="F26" s="200"/>
      <c r="G26" s="200"/>
      <c r="H26" s="200"/>
      <c r="I26" s="212"/>
      <c r="J26" s="212"/>
      <c r="K26" s="212"/>
      <c r="L26" s="212"/>
      <c r="M26" s="212"/>
      <c r="N26" s="213"/>
      <c r="O26" s="171">
        <f t="shared" si="3"/>
        <v>2583.3599999999997</v>
      </c>
      <c r="Q26" s="220">
        <v>2583.3599999999997</v>
      </c>
    </row>
    <row r="27" spans="2:18" x14ac:dyDescent="0.25">
      <c r="B27" s="205" t="s">
        <v>175</v>
      </c>
      <c r="C27" s="199">
        <v>0</v>
      </c>
      <c r="D27" s="200">
        <v>0</v>
      </c>
      <c r="E27" s="200">
        <v>0</v>
      </c>
      <c r="F27" s="200">
        <v>4813.8999999999996</v>
      </c>
      <c r="G27" s="200">
        <v>4813.8999999999996</v>
      </c>
      <c r="H27" s="200">
        <v>9627.7999999999993</v>
      </c>
      <c r="I27" s="200">
        <v>9627.7999999999993</v>
      </c>
      <c r="J27" s="200">
        <v>9627.7999999999993</v>
      </c>
      <c r="K27" s="200">
        <v>9627.7999999999993</v>
      </c>
      <c r="L27" s="200">
        <v>14441.699999999999</v>
      </c>
      <c r="M27" s="200">
        <v>14441.699999999999</v>
      </c>
      <c r="N27" s="201">
        <v>14441.699999999999</v>
      </c>
      <c r="O27" s="171">
        <f t="shared" si="3"/>
        <v>91464.099999999991</v>
      </c>
      <c r="Q27" s="220" t="e">
        <f>#REF!*(1+19.6%)</f>
        <v>#REF!</v>
      </c>
    </row>
    <row r="28" spans="2:18" ht="26.4" x14ac:dyDescent="0.25">
      <c r="B28" s="221" t="s">
        <v>176</v>
      </c>
      <c r="C28" s="207">
        <v>0</v>
      </c>
      <c r="D28" s="208">
        <v>300</v>
      </c>
      <c r="E28" s="208">
        <v>300</v>
      </c>
      <c r="F28" s="208">
        <v>300</v>
      </c>
      <c r="G28" s="208">
        <v>600</v>
      </c>
      <c r="H28" s="208">
        <v>600</v>
      </c>
      <c r="I28" s="208">
        <v>600</v>
      </c>
      <c r="J28" s="208">
        <v>900</v>
      </c>
      <c r="K28" s="208">
        <v>900</v>
      </c>
      <c r="L28" s="208">
        <v>900</v>
      </c>
      <c r="M28" s="208">
        <v>900</v>
      </c>
      <c r="N28" s="209">
        <v>900</v>
      </c>
      <c r="O28" s="210">
        <f t="shared" si="3"/>
        <v>7200</v>
      </c>
      <c r="Q28" s="220"/>
    </row>
    <row r="29" spans="2:18" ht="26.4" x14ac:dyDescent="0.25">
      <c r="B29" s="221" t="s">
        <v>177</v>
      </c>
      <c r="C29" s="207">
        <v>0</v>
      </c>
      <c r="D29" s="208">
        <v>0</v>
      </c>
      <c r="E29" s="208">
        <v>0</v>
      </c>
      <c r="F29" s="208">
        <v>700</v>
      </c>
      <c r="G29" s="208">
        <v>700</v>
      </c>
      <c r="H29" s="208">
        <v>1400</v>
      </c>
      <c r="I29" s="208">
        <v>1400</v>
      </c>
      <c r="J29" s="208">
        <v>1400</v>
      </c>
      <c r="K29" s="208">
        <v>1400</v>
      </c>
      <c r="L29" s="208">
        <v>2100</v>
      </c>
      <c r="M29" s="208">
        <v>2100</v>
      </c>
      <c r="N29" s="209">
        <v>2100</v>
      </c>
      <c r="O29" s="210">
        <f t="shared" si="3"/>
        <v>13300</v>
      </c>
      <c r="Q29" s="220"/>
    </row>
    <row r="30" spans="2:18" x14ac:dyDescent="0.25">
      <c r="B30" s="205" t="s">
        <v>178</v>
      </c>
      <c r="C30" s="199" t="e">
        <f>Q30/12</f>
        <v>#REF!</v>
      </c>
      <c r="D30" s="200" t="e">
        <f>Q30/12</f>
        <v>#REF!</v>
      </c>
      <c r="E30" s="200" t="e">
        <f>Q30/12</f>
        <v>#REF!</v>
      </c>
      <c r="F30" s="200" t="e">
        <f>Q30/12</f>
        <v>#REF!</v>
      </c>
      <c r="G30" s="200" t="e">
        <f>Q30/12</f>
        <v>#REF!</v>
      </c>
      <c r="H30" s="200" t="e">
        <f>Q30/12</f>
        <v>#REF!</v>
      </c>
      <c r="I30" s="200" t="e">
        <f>Q30/12</f>
        <v>#REF!</v>
      </c>
      <c r="J30" s="200" t="e">
        <f>Q30/12</f>
        <v>#REF!</v>
      </c>
      <c r="K30" s="200" t="e">
        <f>Q30/12</f>
        <v>#REF!</v>
      </c>
      <c r="L30" s="200" t="e">
        <f>Q30/12</f>
        <v>#REF!</v>
      </c>
      <c r="M30" s="200" t="e">
        <f>Q30/12</f>
        <v>#REF!</v>
      </c>
      <c r="N30" s="201" t="e">
        <f>Q30/12</f>
        <v>#REF!</v>
      </c>
      <c r="O30" s="171" t="e">
        <f t="shared" si="3"/>
        <v>#REF!</v>
      </c>
      <c r="Q30" s="220" t="e">
        <f>(#REF!-#REF!)*(1+19.6%)</f>
        <v>#REF!</v>
      </c>
    </row>
    <row r="31" spans="2:18" x14ac:dyDescent="0.25">
      <c r="B31" s="205" t="s">
        <v>179</v>
      </c>
      <c r="C31" s="168" t="e">
        <f>C8*#REF!/#REF!*(1+19.6%)</f>
        <v>#REF!</v>
      </c>
      <c r="D31" s="169" t="e">
        <f>D8*#REF!/#REF!*(1+19.6%)</f>
        <v>#REF!</v>
      </c>
      <c r="E31" s="169" t="e">
        <f>E8*#REF!/#REF!*(1+19.6%)</f>
        <v>#REF!</v>
      </c>
      <c r="F31" s="169" t="e">
        <f>F8*#REF!/#REF!*(1+19.6%)</f>
        <v>#REF!</v>
      </c>
      <c r="G31" s="169" t="e">
        <f>G8*#REF!/#REF!*(1+19.6%)</f>
        <v>#REF!</v>
      </c>
      <c r="H31" s="169" t="e">
        <f>H8*#REF!/#REF!*(1+19.6%)</f>
        <v>#REF!</v>
      </c>
      <c r="I31" s="169" t="e">
        <f>I8*#REF!/#REF!*(1+19.6%)</f>
        <v>#REF!</v>
      </c>
      <c r="J31" s="169" t="e">
        <f>J8*#REF!/#REF!*(1+19.6%)</f>
        <v>#REF!</v>
      </c>
      <c r="K31" s="169" t="e">
        <f>K8*#REF!/#REF!*(1+19.6%)</f>
        <v>#REF!</v>
      </c>
      <c r="L31" s="169" t="e">
        <f>L8*#REF!/#REF!*(1+19.6%)</f>
        <v>#REF!</v>
      </c>
      <c r="M31" s="169" t="e">
        <f>M8*#REF!/#REF!*(1+19.6%)</f>
        <v>#REF!</v>
      </c>
      <c r="N31" s="170" t="e">
        <f>N8*#REF!/#REF!*(1+19.6%)</f>
        <v>#REF!</v>
      </c>
      <c r="O31" s="171" t="e">
        <f t="shared" si="3"/>
        <v>#REF!</v>
      </c>
      <c r="Q31" s="220" t="e">
        <f>#REF!*(1+19.6%)</f>
        <v>#REF!</v>
      </c>
    </row>
    <row r="32" spans="2:18" x14ac:dyDescent="0.25">
      <c r="B32" s="205" t="s">
        <v>180</v>
      </c>
      <c r="C32" s="199">
        <f t="shared" ref="C32:N32" si="4">C8*3%*(1+19.6%)</f>
        <v>0</v>
      </c>
      <c r="D32" s="200">
        <f t="shared" si="4"/>
        <v>0</v>
      </c>
      <c r="E32" s="200">
        <f t="shared" si="4"/>
        <v>0</v>
      </c>
      <c r="F32" s="200">
        <f t="shared" si="4"/>
        <v>240.69499999999996</v>
      </c>
      <c r="G32" s="200">
        <f t="shared" si="4"/>
        <v>240.69499999999996</v>
      </c>
      <c r="H32" s="200">
        <f t="shared" si="4"/>
        <v>481.38999999999993</v>
      </c>
      <c r="I32" s="200">
        <f t="shared" si="4"/>
        <v>481.38999999999993</v>
      </c>
      <c r="J32" s="200">
        <f t="shared" si="4"/>
        <v>481.38999999999993</v>
      </c>
      <c r="K32" s="200">
        <f t="shared" si="4"/>
        <v>481.38999999999993</v>
      </c>
      <c r="L32" s="200">
        <f t="shared" si="4"/>
        <v>722.08499999999992</v>
      </c>
      <c r="M32" s="200">
        <f t="shared" si="4"/>
        <v>722.08499999999992</v>
      </c>
      <c r="N32" s="201">
        <f t="shared" si="4"/>
        <v>722.08499999999992</v>
      </c>
      <c r="O32" s="171">
        <f t="shared" si="3"/>
        <v>4573.2049999999999</v>
      </c>
      <c r="Q32" s="220" t="e">
        <f>#REF!*(1+19.6%)</f>
        <v>#REF!</v>
      </c>
    </row>
    <row r="33" spans="2:18" x14ac:dyDescent="0.25">
      <c r="B33" s="205" t="s">
        <v>103</v>
      </c>
      <c r="C33" s="168" t="e">
        <f t="shared" ref="C33:N33" si="5">$Q$33/$O$5*C5</f>
        <v>#REF!</v>
      </c>
      <c r="D33" s="169" t="e">
        <f t="shared" si="5"/>
        <v>#REF!</v>
      </c>
      <c r="E33" s="169" t="e">
        <f t="shared" si="5"/>
        <v>#REF!</v>
      </c>
      <c r="F33" s="169" t="e">
        <f t="shared" si="5"/>
        <v>#REF!</v>
      </c>
      <c r="G33" s="169" t="e">
        <f t="shared" si="5"/>
        <v>#REF!</v>
      </c>
      <c r="H33" s="169" t="e">
        <f t="shared" si="5"/>
        <v>#REF!</v>
      </c>
      <c r="I33" s="169" t="e">
        <f t="shared" si="5"/>
        <v>#REF!</v>
      </c>
      <c r="J33" s="169" t="e">
        <f t="shared" si="5"/>
        <v>#REF!</v>
      </c>
      <c r="K33" s="169" t="e">
        <f t="shared" si="5"/>
        <v>#REF!</v>
      </c>
      <c r="L33" s="169" t="e">
        <f t="shared" si="5"/>
        <v>#REF!</v>
      </c>
      <c r="M33" s="169" t="e">
        <f t="shared" si="5"/>
        <v>#REF!</v>
      </c>
      <c r="N33" s="170" t="e">
        <f t="shared" si="5"/>
        <v>#REF!</v>
      </c>
      <c r="O33" s="171" t="e">
        <f t="shared" si="3"/>
        <v>#REF!</v>
      </c>
      <c r="Q33" s="220" t="e">
        <f>#REF!</f>
        <v>#REF!</v>
      </c>
    </row>
    <row r="34" spans="2:18" x14ac:dyDescent="0.25">
      <c r="B34" s="205" t="s">
        <v>181</v>
      </c>
      <c r="C34" s="199">
        <v>629.11</v>
      </c>
      <c r="D34" s="200">
        <v>629.11</v>
      </c>
      <c r="E34" s="200">
        <v>629.11</v>
      </c>
      <c r="F34" s="200">
        <v>629.11</v>
      </c>
      <c r="G34" s="200">
        <v>629.11</v>
      </c>
      <c r="H34" s="200">
        <v>629.11</v>
      </c>
      <c r="I34" s="200">
        <v>629.11</v>
      </c>
      <c r="J34" s="200">
        <v>629.11</v>
      </c>
      <c r="K34" s="200">
        <v>629.11</v>
      </c>
      <c r="L34" s="200">
        <v>629.11</v>
      </c>
      <c r="M34" s="200">
        <v>629.11</v>
      </c>
      <c r="N34" s="201">
        <v>629.11</v>
      </c>
      <c r="O34" s="171">
        <f t="shared" si="3"/>
        <v>7549.3199999999988</v>
      </c>
      <c r="Q34" s="220">
        <v>7549.3199999999988</v>
      </c>
    </row>
    <row r="35" spans="2:18" x14ac:dyDescent="0.25">
      <c r="B35" s="221" t="s">
        <v>104</v>
      </c>
      <c r="C35" s="199" t="e">
        <f>$Q$35/12</f>
        <v>#REF!</v>
      </c>
      <c r="D35" s="200" t="e">
        <f t="shared" ref="D35:N35" si="6">$Q$35/12</f>
        <v>#REF!</v>
      </c>
      <c r="E35" s="200" t="e">
        <f t="shared" si="6"/>
        <v>#REF!</v>
      </c>
      <c r="F35" s="200" t="e">
        <f t="shared" si="6"/>
        <v>#REF!</v>
      </c>
      <c r="G35" s="200" t="e">
        <f t="shared" si="6"/>
        <v>#REF!</v>
      </c>
      <c r="H35" s="200" t="e">
        <f t="shared" si="6"/>
        <v>#REF!</v>
      </c>
      <c r="I35" s="200" t="e">
        <f t="shared" si="6"/>
        <v>#REF!</v>
      </c>
      <c r="J35" s="200" t="e">
        <f t="shared" si="6"/>
        <v>#REF!</v>
      </c>
      <c r="K35" s="200" t="e">
        <f t="shared" si="6"/>
        <v>#REF!</v>
      </c>
      <c r="L35" s="200" t="e">
        <f t="shared" si="6"/>
        <v>#REF!</v>
      </c>
      <c r="M35" s="200" t="e">
        <f t="shared" si="6"/>
        <v>#REF!</v>
      </c>
      <c r="N35" s="201" t="e">
        <f t="shared" si="6"/>
        <v>#REF!</v>
      </c>
      <c r="O35" s="171" t="e">
        <f t="shared" si="3"/>
        <v>#REF!</v>
      </c>
      <c r="Q35" s="220" t="e">
        <f>#REF!</f>
        <v>#REF!</v>
      </c>
    </row>
    <row r="36" spans="2:18" x14ac:dyDescent="0.25">
      <c r="B36" s="222" t="s">
        <v>182</v>
      </c>
      <c r="C36" s="199">
        <v>0</v>
      </c>
      <c r="D36" s="200">
        <v>0</v>
      </c>
      <c r="E36" s="200">
        <v>0</v>
      </c>
      <c r="F36" s="200">
        <v>0</v>
      </c>
      <c r="G36" s="200">
        <v>0</v>
      </c>
      <c r="H36" s="200">
        <v>0</v>
      </c>
      <c r="I36" s="200">
        <v>0</v>
      </c>
      <c r="J36" s="200">
        <v>0</v>
      </c>
      <c r="K36" s="200">
        <v>0</v>
      </c>
      <c r="L36" s="200">
        <v>0</v>
      </c>
      <c r="M36" s="200">
        <v>0</v>
      </c>
      <c r="N36" s="201">
        <v>0</v>
      </c>
      <c r="O36" s="171">
        <f t="shared" si="3"/>
        <v>0</v>
      </c>
      <c r="P36" s="202"/>
      <c r="Q36" s="220"/>
    </row>
    <row r="37" spans="2:18" s="203" customFormat="1" ht="16.2" thickBot="1" x14ac:dyDescent="0.3">
      <c r="B37" s="180" t="s">
        <v>183</v>
      </c>
      <c r="C37" s="181" t="e">
        <f t="shared" ref="C37:N37" si="7">SUM(C25:C36)</f>
        <v>#REF!</v>
      </c>
      <c r="D37" s="182" t="e">
        <f t="shared" si="7"/>
        <v>#REF!</v>
      </c>
      <c r="E37" s="182" t="e">
        <f t="shared" si="7"/>
        <v>#REF!</v>
      </c>
      <c r="F37" s="182" t="e">
        <f t="shared" si="7"/>
        <v>#REF!</v>
      </c>
      <c r="G37" s="182" t="e">
        <f t="shared" si="7"/>
        <v>#REF!</v>
      </c>
      <c r="H37" s="182" t="e">
        <f t="shared" si="7"/>
        <v>#REF!</v>
      </c>
      <c r="I37" s="182" t="e">
        <f t="shared" si="7"/>
        <v>#REF!</v>
      </c>
      <c r="J37" s="182" t="e">
        <f t="shared" si="7"/>
        <v>#REF!</v>
      </c>
      <c r="K37" s="182" t="e">
        <f t="shared" si="7"/>
        <v>#REF!</v>
      </c>
      <c r="L37" s="182" t="e">
        <f t="shared" si="7"/>
        <v>#REF!</v>
      </c>
      <c r="M37" s="182" t="e">
        <f t="shared" si="7"/>
        <v>#REF!</v>
      </c>
      <c r="N37" s="183" t="e">
        <f t="shared" si="7"/>
        <v>#REF!</v>
      </c>
      <c r="O37" s="184" t="e">
        <f>SUM(O25:O36)</f>
        <v>#REF!</v>
      </c>
      <c r="P37" s="219"/>
      <c r="Q37" s="133"/>
      <c r="R37" s="219"/>
    </row>
    <row r="38" spans="2:18" s="190" customFormat="1" ht="14.4" thickTop="1" thickBot="1" x14ac:dyDescent="0.3">
      <c r="B38" s="185"/>
      <c r="C38" s="186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8"/>
      <c r="O38" s="189"/>
      <c r="Q38" s="133"/>
    </row>
    <row r="39" spans="2:18" s="219" customFormat="1" ht="16.2" thickTop="1" x14ac:dyDescent="0.25">
      <c r="B39" s="191" t="s">
        <v>184</v>
      </c>
      <c r="C39" s="223" t="e">
        <f t="shared" ref="C39:N39" si="8">SUM(C22-C37)</f>
        <v>#REF!</v>
      </c>
      <c r="D39" s="224" t="e">
        <f t="shared" si="8"/>
        <v>#REF!</v>
      </c>
      <c r="E39" s="224" t="e">
        <f t="shared" si="8"/>
        <v>#REF!</v>
      </c>
      <c r="F39" s="224" t="e">
        <f t="shared" si="8"/>
        <v>#REF!</v>
      </c>
      <c r="G39" s="224" t="e">
        <f t="shared" si="8"/>
        <v>#REF!</v>
      </c>
      <c r="H39" s="224" t="e">
        <f t="shared" si="8"/>
        <v>#REF!</v>
      </c>
      <c r="I39" s="224" t="e">
        <f t="shared" si="8"/>
        <v>#REF!</v>
      </c>
      <c r="J39" s="224" t="e">
        <f t="shared" si="8"/>
        <v>#REF!</v>
      </c>
      <c r="K39" s="224" t="e">
        <f t="shared" si="8"/>
        <v>#REF!</v>
      </c>
      <c r="L39" s="224" t="e">
        <f t="shared" si="8"/>
        <v>#REF!</v>
      </c>
      <c r="M39" s="224" t="e">
        <f t="shared" si="8"/>
        <v>#REF!</v>
      </c>
      <c r="N39" s="225" t="e">
        <f t="shared" si="8"/>
        <v>#REF!</v>
      </c>
      <c r="O39" s="226" t="e">
        <f>ROUND(O22-O37,2)</f>
        <v>#REF!</v>
      </c>
      <c r="P39" s="227"/>
      <c r="Q39" s="220" t="e">
        <f>ROUND(SUM(C39:N39),2)</f>
        <v>#REF!</v>
      </c>
      <c r="R39" s="227"/>
    </row>
    <row r="40" spans="2:18" s="227" customFormat="1" ht="16.2" thickBot="1" x14ac:dyDescent="0.3">
      <c r="B40" s="180" t="s">
        <v>185</v>
      </c>
      <c r="C40" s="181" t="e">
        <f>SUM(C39)</f>
        <v>#REF!</v>
      </c>
      <c r="D40" s="182" t="e">
        <f>SUM(C40+D39)</f>
        <v>#REF!</v>
      </c>
      <c r="E40" s="182" t="e">
        <f t="shared" ref="E40:N40" si="9">SUM(D40+E39)</f>
        <v>#REF!</v>
      </c>
      <c r="F40" s="182" t="e">
        <f t="shared" si="9"/>
        <v>#REF!</v>
      </c>
      <c r="G40" s="182" t="e">
        <f t="shared" si="9"/>
        <v>#REF!</v>
      </c>
      <c r="H40" s="182" t="e">
        <f t="shared" si="9"/>
        <v>#REF!</v>
      </c>
      <c r="I40" s="182" t="e">
        <f t="shared" si="9"/>
        <v>#REF!</v>
      </c>
      <c r="J40" s="182" t="e">
        <f t="shared" si="9"/>
        <v>#REF!</v>
      </c>
      <c r="K40" s="182" t="e">
        <f t="shared" si="9"/>
        <v>#REF!</v>
      </c>
      <c r="L40" s="182" t="e">
        <f t="shared" si="9"/>
        <v>#REF!</v>
      </c>
      <c r="M40" s="182" t="e">
        <f t="shared" si="9"/>
        <v>#REF!</v>
      </c>
      <c r="N40" s="183" t="e">
        <f t="shared" si="9"/>
        <v>#REF!</v>
      </c>
      <c r="O40" s="228"/>
      <c r="P40" s="159"/>
      <c r="Q40" s="229"/>
      <c r="R40" s="159"/>
    </row>
    <row r="41" spans="2:18" s="159" customFormat="1" ht="16.2" thickTop="1" x14ac:dyDescent="0.25">
      <c r="B41" s="131"/>
      <c r="C41" s="131"/>
      <c r="D41" s="131"/>
      <c r="E41" s="131"/>
      <c r="F41" s="131"/>
      <c r="G41" s="131"/>
      <c r="H41" s="131"/>
      <c r="I41" s="131"/>
      <c r="J41" s="131"/>
      <c r="K41" s="131"/>
      <c r="L41" s="131"/>
      <c r="M41" s="131"/>
      <c r="N41" s="131"/>
      <c r="O41" s="132"/>
      <c r="P41" s="131"/>
      <c r="Q41" s="133"/>
      <c r="R41" s="131"/>
    </row>
    <row r="42" spans="2:18" x14ac:dyDescent="0.25">
      <c r="B42" s="230" t="s">
        <v>186</v>
      </c>
      <c r="C42" s="231"/>
      <c r="D42" s="231"/>
      <c r="E42" s="231"/>
      <c r="F42" s="231"/>
      <c r="G42" s="231"/>
      <c r="H42" s="231"/>
      <c r="I42" s="231"/>
      <c r="J42" s="231"/>
      <c r="K42" s="231"/>
      <c r="L42" s="231"/>
      <c r="M42" s="231"/>
      <c r="N42" s="231"/>
      <c r="O42" s="232"/>
    </row>
    <row r="44" spans="2:18" x14ac:dyDescent="0.25">
      <c r="B44" s="233" t="s">
        <v>187</v>
      </c>
      <c r="C44" s="234" t="e">
        <f t="shared" ref="C44:N44" si="10">SUM(C25:C32)/(1+19.6%)*19.6%</f>
        <v>#REF!</v>
      </c>
      <c r="D44" s="234" t="e">
        <f t="shared" si="10"/>
        <v>#REF!</v>
      </c>
      <c r="E44" s="234" t="e">
        <f t="shared" si="10"/>
        <v>#REF!</v>
      </c>
      <c r="F44" s="234" t="e">
        <f t="shared" si="10"/>
        <v>#REF!</v>
      </c>
      <c r="G44" s="234" t="e">
        <f t="shared" si="10"/>
        <v>#REF!</v>
      </c>
      <c r="H44" s="234" t="e">
        <f t="shared" si="10"/>
        <v>#REF!</v>
      </c>
      <c r="I44" s="234" t="e">
        <f t="shared" si="10"/>
        <v>#REF!</v>
      </c>
      <c r="J44" s="234" t="e">
        <f t="shared" si="10"/>
        <v>#REF!</v>
      </c>
      <c r="K44" s="234" t="e">
        <f t="shared" si="10"/>
        <v>#REF!</v>
      </c>
      <c r="L44" s="234" t="e">
        <f t="shared" si="10"/>
        <v>#REF!</v>
      </c>
      <c r="M44" s="234" t="e">
        <f t="shared" si="10"/>
        <v>#REF!</v>
      </c>
      <c r="N44" s="234" t="e">
        <f t="shared" si="10"/>
        <v>#REF!</v>
      </c>
      <c r="O44" s="234" t="e">
        <f>SUM(C44:N44)</f>
        <v>#REF!</v>
      </c>
    </row>
    <row r="45" spans="2:18" x14ac:dyDescent="0.25">
      <c r="B45" s="235" t="s">
        <v>188</v>
      </c>
      <c r="C45" s="236" t="e">
        <f>C44</f>
        <v>#REF!</v>
      </c>
      <c r="D45" s="236" t="e">
        <f>C45+D44</f>
        <v>#REF!</v>
      </c>
      <c r="E45" s="236" t="e">
        <f t="shared" ref="E45:N45" si="11">D45+E44</f>
        <v>#REF!</v>
      </c>
      <c r="F45" s="236" t="e">
        <f t="shared" si="11"/>
        <v>#REF!</v>
      </c>
      <c r="G45" s="236" t="e">
        <f t="shared" si="11"/>
        <v>#REF!</v>
      </c>
      <c r="H45" s="236" t="e">
        <f t="shared" si="11"/>
        <v>#REF!</v>
      </c>
      <c r="I45" s="236" t="e">
        <f t="shared" si="11"/>
        <v>#REF!</v>
      </c>
      <c r="J45" s="236" t="e">
        <f t="shared" si="11"/>
        <v>#REF!</v>
      </c>
      <c r="K45" s="236" t="e">
        <f t="shared" si="11"/>
        <v>#REF!</v>
      </c>
      <c r="L45" s="236" t="e">
        <f t="shared" si="11"/>
        <v>#REF!</v>
      </c>
      <c r="M45" s="236" t="e">
        <f t="shared" si="11"/>
        <v>#REF!</v>
      </c>
      <c r="N45" s="236" t="e">
        <f t="shared" si="11"/>
        <v>#REF!</v>
      </c>
      <c r="O45" s="237"/>
      <c r="P45" s="238"/>
      <c r="Q45" s="239"/>
      <c r="R45" s="238"/>
    </row>
    <row r="46" spans="2:18" s="238" customFormat="1" x14ac:dyDescent="0.25">
      <c r="B46" s="240">
        <v>0.12040000000000006</v>
      </c>
      <c r="C46" s="234">
        <v>0</v>
      </c>
      <c r="D46" s="234">
        <v>0</v>
      </c>
      <c r="E46" s="234">
        <v>0</v>
      </c>
      <c r="F46" s="234">
        <v>807.68333333333374</v>
      </c>
      <c r="G46" s="234">
        <v>807.68333333333374</v>
      </c>
      <c r="H46" s="234">
        <v>1615.3666666666675</v>
      </c>
      <c r="I46" s="234">
        <v>1615.3666666666675</v>
      </c>
      <c r="J46" s="234">
        <v>1615.3666666666675</v>
      </c>
      <c r="K46" s="234">
        <v>1615.3666666666675</v>
      </c>
      <c r="L46" s="234">
        <v>2423.0500000000011</v>
      </c>
      <c r="M46" s="234">
        <v>2423.0500000000011</v>
      </c>
      <c r="N46" s="234">
        <v>2423.0500000000011</v>
      </c>
      <c r="O46" s="234">
        <f>SUM(C46:N46)</f>
        <v>15345.983333333341</v>
      </c>
      <c r="P46" s="131"/>
      <c r="Q46" s="133"/>
      <c r="R46" s="131"/>
    </row>
    <row r="47" spans="2:18" s="238" customFormat="1" x14ac:dyDescent="0.25">
      <c r="B47" s="241" t="s">
        <v>189</v>
      </c>
      <c r="C47" s="234">
        <f t="shared" ref="C47:N47" si="12">(C9-C8)*7%</f>
        <v>0</v>
      </c>
      <c r="D47" s="234">
        <f t="shared" si="12"/>
        <v>0</v>
      </c>
      <c r="E47" s="234">
        <f t="shared" si="12"/>
        <v>0</v>
      </c>
      <c r="F47" s="234">
        <f t="shared" si="12"/>
        <v>70</v>
      </c>
      <c r="G47" s="234">
        <f t="shared" si="12"/>
        <v>70</v>
      </c>
      <c r="H47" s="234">
        <f t="shared" si="12"/>
        <v>140</v>
      </c>
      <c r="I47" s="234">
        <f t="shared" si="12"/>
        <v>140</v>
      </c>
      <c r="J47" s="234">
        <f t="shared" si="12"/>
        <v>140</v>
      </c>
      <c r="K47" s="234">
        <f t="shared" si="12"/>
        <v>140</v>
      </c>
      <c r="L47" s="234">
        <f t="shared" si="12"/>
        <v>210.00000000000003</v>
      </c>
      <c r="M47" s="234">
        <f t="shared" si="12"/>
        <v>210.00000000000003</v>
      </c>
      <c r="N47" s="234">
        <f t="shared" si="12"/>
        <v>210.00000000000003</v>
      </c>
      <c r="O47" s="234">
        <f>SUM(C47:N47)</f>
        <v>1330</v>
      </c>
      <c r="P47" s="131"/>
      <c r="Q47" s="133"/>
      <c r="R47" s="131"/>
    </row>
    <row r="48" spans="2:18" x14ac:dyDescent="0.25">
      <c r="B48" s="235" t="s">
        <v>190</v>
      </c>
      <c r="C48" s="236">
        <f>SUM(C46:C47)</f>
        <v>0</v>
      </c>
      <c r="D48" s="236">
        <f>C48+SUM(D46:D47)</f>
        <v>0</v>
      </c>
      <c r="E48" s="236">
        <f t="shared" ref="E48:N48" si="13">D48+SUM(E46:E47)</f>
        <v>0</v>
      </c>
      <c r="F48" s="236">
        <f t="shared" si="13"/>
        <v>877.68333333333374</v>
      </c>
      <c r="G48" s="236">
        <f t="shared" si="13"/>
        <v>1755.3666666666675</v>
      </c>
      <c r="H48" s="236">
        <f t="shared" si="13"/>
        <v>3510.7333333333349</v>
      </c>
      <c r="I48" s="236">
        <f>H48+SUM(I46:I47)</f>
        <v>5266.1000000000022</v>
      </c>
      <c r="J48" s="236">
        <f t="shared" si="13"/>
        <v>7021.4666666666699</v>
      </c>
      <c r="K48" s="236">
        <f t="shared" si="13"/>
        <v>8776.8333333333376</v>
      </c>
      <c r="L48" s="236">
        <f>K48+SUM(L46:L47)</f>
        <v>11409.883333333339</v>
      </c>
      <c r="M48" s="236">
        <f t="shared" si="13"/>
        <v>14042.93333333334</v>
      </c>
      <c r="N48" s="236">
        <f t="shared" si="13"/>
        <v>16675.983333333341</v>
      </c>
      <c r="O48" s="237"/>
    </row>
    <row r="50" spans="2:17" x14ac:dyDescent="0.25">
      <c r="B50" s="131" t="s">
        <v>191</v>
      </c>
      <c r="C50" s="131" t="s">
        <v>192</v>
      </c>
      <c r="O50" s="131"/>
      <c r="Q50" s="131"/>
    </row>
    <row r="51" spans="2:17" x14ac:dyDescent="0.25">
      <c r="B51" s="131" t="s">
        <v>193</v>
      </c>
      <c r="C51" s="131" t="s">
        <v>194</v>
      </c>
      <c r="O51" s="131"/>
      <c r="Q51" s="131"/>
    </row>
    <row r="54" spans="2:17" x14ac:dyDescent="0.25">
      <c r="E54" s="242"/>
      <c r="G54" s="243"/>
      <c r="O54" s="131"/>
      <c r="Q54" s="131"/>
    </row>
  </sheetData>
  <mergeCells count="1">
    <mergeCell ref="B2:N2"/>
  </mergeCells>
  <conditionalFormatting sqref="Q39 Q31:Q36">
    <cfRule type="cellIs" dxfId="12" priority="4" stopIfTrue="1" operator="notEqual">
      <formula>O31</formula>
    </cfRule>
  </conditionalFormatting>
  <conditionalFormatting sqref="Q30">
    <cfRule type="cellIs" dxfId="11" priority="8" stopIfTrue="1" operator="notEqual">
      <formula>$O$30</formula>
    </cfRule>
  </conditionalFormatting>
  <conditionalFormatting sqref="Q25">
    <cfRule type="cellIs" dxfId="10" priority="3" stopIfTrue="1" operator="notEqual">
      <formula>$O$25</formula>
    </cfRule>
  </conditionalFormatting>
  <conditionalFormatting sqref="Q26">
    <cfRule type="cellIs" dxfId="9" priority="6" stopIfTrue="1" operator="notEqual">
      <formula>$O$26</formula>
    </cfRule>
  </conditionalFormatting>
  <conditionalFormatting sqref="Q27:Q29">
    <cfRule type="cellIs" dxfId="8" priority="7" stopIfTrue="1" operator="notEqual">
      <formula>$O$27</formula>
    </cfRule>
  </conditionalFormatting>
  <conditionalFormatting sqref="Q7">
    <cfRule type="cellIs" dxfId="7" priority="2" stopIfTrue="1" operator="notEqual">
      <formula>$O$7</formula>
    </cfRule>
  </conditionalFormatting>
  <conditionalFormatting sqref="Q6">
    <cfRule type="cellIs" dxfId="6" priority="5" stopIfTrue="1" operator="notEqual">
      <formula>$O$6</formula>
    </cfRule>
  </conditionalFormatting>
  <conditionalFormatting sqref="Q5">
    <cfRule type="cellIs" dxfId="5" priority="1" stopIfTrue="1" operator="notEqual">
      <formula>$O$5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>
    <tabColor theme="1" tint="0.34998626667073579"/>
  </sheetPr>
  <dimension ref="A1:AH67"/>
  <sheetViews>
    <sheetView workbookViewId="0">
      <selection activeCell="X28" sqref="X28"/>
    </sheetView>
  </sheetViews>
  <sheetFormatPr baseColWidth="10" defaultRowHeight="13.2" x14ac:dyDescent="0.25"/>
  <cols>
    <col min="1" max="1" width="24.44140625" style="85" bestFit="1" customWidth="1"/>
    <col min="2" max="5" width="11.5546875" style="85"/>
    <col min="6" max="6" width="24.44140625" style="85" customWidth="1"/>
    <col min="7" max="10" width="11.5546875" style="85"/>
    <col min="11" max="11" width="31.5546875" style="85" bestFit="1" customWidth="1"/>
    <col min="12" max="19" width="11.5546875" style="85"/>
    <col min="20" max="20" width="26.44140625" style="85" customWidth="1"/>
    <col min="21" max="16384" width="11.5546875" style="85"/>
  </cols>
  <sheetData>
    <row r="1" spans="1:34" x14ac:dyDescent="0.25">
      <c r="A1" s="340" t="s">
        <v>434</v>
      </c>
      <c r="T1" s="340" t="s">
        <v>435</v>
      </c>
    </row>
    <row r="2" spans="1:34" ht="13.8" thickBot="1" x14ac:dyDescent="0.3">
      <c r="B2" s="312" t="s">
        <v>473</v>
      </c>
      <c r="G2" s="312" t="s">
        <v>474</v>
      </c>
      <c r="V2" s="841" t="str">
        <f>YEAR(U4)&amp;" - "&amp;YEAR(U4)+1</f>
        <v>2016 - 2017</v>
      </c>
      <c r="W2" s="842"/>
      <c r="X2" s="842"/>
      <c r="Y2" s="842"/>
      <c r="Z2" s="842"/>
      <c r="AA2" s="842"/>
      <c r="AB2" s="842"/>
      <c r="AC2" s="842"/>
      <c r="AD2" s="842"/>
      <c r="AE2" s="842"/>
      <c r="AF2" s="842"/>
      <c r="AG2" s="843"/>
    </row>
    <row r="3" spans="1:34" ht="20.399999999999999" x14ac:dyDescent="0.25">
      <c r="A3" s="839" t="s">
        <v>213</v>
      </c>
      <c r="B3" s="444" t="s">
        <v>215</v>
      </c>
      <c r="C3" s="441" t="s">
        <v>214</v>
      </c>
      <c r="D3" s="579" t="s">
        <v>217</v>
      </c>
      <c r="F3" s="839" t="s">
        <v>216</v>
      </c>
      <c r="G3" s="444" t="s">
        <v>215</v>
      </c>
      <c r="H3" s="441" t="s">
        <v>214</v>
      </c>
      <c r="I3" s="579" t="s">
        <v>217</v>
      </c>
      <c r="K3" s="340" t="s">
        <v>252</v>
      </c>
      <c r="T3" s="335"/>
      <c r="U3" s="499" t="s">
        <v>436</v>
      </c>
      <c r="V3" s="578" t="s">
        <v>147</v>
      </c>
      <c r="W3" s="500" t="s">
        <v>148</v>
      </c>
      <c r="X3" s="500" t="s">
        <v>149</v>
      </c>
      <c r="Y3" s="500" t="s">
        <v>150</v>
      </c>
      <c r="Z3" s="500" t="s">
        <v>151</v>
      </c>
      <c r="AA3" s="500" t="s">
        <v>152</v>
      </c>
      <c r="AB3" s="500" t="s">
        <v>153</v>
      </c>
      <c r="AC3" s="500" t="s">
        <v>154</v>
      </c>
      <c r="AD3" s="500" t="s">
        <v>155</v>
      </c>
      <c r="AE3" s="500" t="s">
        <v>156</v>
      </c>
      <c r="AF3" s="500" t="s">
        <v>157</v>
      </c>
      <c r="AG3" s="501" t="s">
        <v>158</v>
      </c>
      <c r="AH3" s="335"/>
    </row>
    <row r="4" spans="1:34" ht="13.8" thickBot="1" x14ac:dyDescent="0.3">
      <c r="A4" s="840"/>
      <c r="B4" s="445">
        <v>42551</v>
      </c>
      <c r="C4" s="442">
        <v>42185</v>
      </c>
      <c r="D4" s="443">
        <v>41820</v>
      </c>
      <c r="F4" s="840" t="s">
        <v>216</v>
      </c>
      <c r="G4" s="445">
        <f>B4</f>
        <v>42551</v>
      </c>
      <c r="H4" s="442">
        <f t="shared" ref="H4:I4" si="0">C4</f>
        <v>42185</v>
      </c>
      <c r="I4" s="443">
        <f t="shared" si="0"/>
        <v>41820</v>
      </c>
      <c r="L4" s="463">
        <f>G4</f>
        <v>42551</v>
      </c>
      <c r="M4" s="461" t="s">
        <v>251</v>
      </c>
      <c r="N4" s="463">
        <f>H4</f>
        <v>42185</v>
      </c>
      <c r="O4" s="461" t="s">
        <v>251</v>
      </c>
      <c r="P4" s="463">
        <f>I4</f>
        <v>41820</v>
      </c>
      <c r="Q4" s="462" t="s">
        <v>251</v>
      </c>
      <c r="T4" s="335"/>
      <c r="U4" s="502">
        <f>B4</f>
        <v>42551</v>
      </c>
      <c r="V4" s="503"/>
      <c r="W4" s="504"/>
      <c r="X4" s="504"/>
      <c r="Y4" s="504"/>
      <c r="Z4" s="504"/>
      <c r="AA4" s="504"/>
      <c r="AB4" s="504"/>
      <c r="AC4" s="504"/>
      <c r="AD4" s="504"/>
      <c r="AE4" s="504"/>
      <c r="AF4" s="504"/>
      <c r="AG4" s="505"/>
      <c r="AH4" s="335"/>
    </row>
    <row r="5" spans="1:34" x14ac:dyDescent="0.25">
      <c r="A5" s="437"/>
      <c r="B5" s="438"/>
      <c r="C5" s="439"/>
      <c r="D5" s="440"/>
      <c r="F5" s="437"/>
      <c r="G5" s="438"/>
      <c r="H5" s="439"/>
      <c r="I5" s="440"/>
      <c r="K5" s="466"/>
      <c r="L5" s="464"/>
      <c r="M5" s="465"/>
      <c r="N5" s="464"/>
      <c r="O5" s="465"/>
      <c r="P5" s="464"/>
      <c r="Q5" s="465"/>
      <c r="T5" s="506"/>
      <c r="U5" s="506"/>
      <c r="V5" s="507"/>
      <c r="W5" s="508"/>
      <c r="X5" s="508"/>
      <c r="Y5" s="508"/>
      <c r="Z5" s="508"/>
      <c r="AA5" s="508"/>
      <c r="AB5" s="508"/>
      <c r="AC5" s="508"/>
      <c r="AD5" s="508"/>
      <c r="AE5" s="508"/>
      <c r="AF5" s="508"/>
      <c r="AG5" s="509"/>
      <c r="AH5" s="335"/>
    </row>
    <row r="6" spans="1:34" x14ac:dyDescent="0.25">
      <c r="A6" s="315" t="s">
        <v>218</v>
      </c>
      <c r="B6" s="422">
        <v>24000</v>
      </c>
      <c r="C6" s="423">
        <v>22000</v>
      </c>
      <c r="D6" s="424">
        <v>35000</v>
      </c>
      <c r="F6" s="327" t="s">
        <v>40</v>
      </c>
      <c r="G6" s="422">
        <v>100000</v>
      </c>
      <c r="H6" s="423">
        <v>100000</v>
      </c>
      <c r="I6" s="424">
        <v>100000</v>
      </c>
      <c r="K6" s="326" t="str">
        <f>F11</f>
        <v xml:space="preserve">Capitaux propres </v>
      </c>
      <c r="L6" s="336">
        <f>G11</f>
        <v>680000</v>
      </c>
      <c r="M6" s="337">
        <f>L6/$L$9</f>
        <v>0.81165924635051745</v>
      </c>
      <c r="N6" s="336">
        <f>H11</f>
        <v>466034</v>
      </c>
      <c r="O6" s="337">
        <f>N6/$N$9</f>
        <v>0.66655701221169217</v>
      </c>
      <c r="P6" s="336">
        <f>I11</f>
        <v>288324</v>
      </c>
      <c r="Q6" s="337">
        <f>P6/$P$9</f>
        <v>0.50223749692986508</v>
      </c>
      <c r="T6" s="489" t="s">
        <v>253</v>
      </c>
      <c r="U6" s="510">
        <f>B15</f>
        <v>400700</v>
      </c>
      <c r="V6" s="510">
        <f>+V$26*V27/360</f>
        <v>441145.83333333331</v>
      </c>
      <c r="W6" s="511">
        <f t="shared" ref="W6:AG6" si="1">+W$26*W27/360</f>
        <v>443055.55555555556</v>
      </c>
      <c r="X6" s="511">
        <f t="shared" si="1"/>
        <v>440451.38888888888</v>
      </c>
      <c r="Y6" s="511">
        <f t="shared" si="1"/>
        <v>442187.5</v>
      </c>
      <c r="Z6" s="511">
        <f t="shared" si="1"/>
        <v>441840.27777777775</v>
      </c>
      <c r="AA6" s="511">
        <f t="shared" si="1"/>
        <v>442395.83333333331</v>
      </c>
      <c r="AB6" s="511">
        <f t="shared" si="1"/>
        <v>445000</v>
      </c>
      <c r="AC6" s="511">
        <f t="shared" si="1"/>
        <v>443090.27777777775</v>
      </c>
      <c r="AD6" s="511">
        <f t="shared" si="1"/>
        <v>445173.61111111112</v>
      </c>
      <c r="AE6" s="511">
        <f t="shared" si="1"/>
        <v>446979.16666666669</v>
      </c>
      <c r="AF6" s="511">
        <f t="shared" si="1"/>
        <v>449236.11111111112</v>
      </c>
      <c r="AG6" s="512">
        <f t="shared" si="1"/>
        <v>452708.33333333331</v>
      </c>
      <c r="AH6" s="335"/>
    </row>
    <row r="7" spans="1:34" x14ac:dyDescent="0.25">
      <c r="A7" s="315" t="s">
        <v>219</v>
      </c>
      <c r="B7" s="422">
        <v>24000</v>
      </c>
      <c r="C7" s="423">
        <v>20000</v>
      </c>
      <c r="D7" s="424">
        <v>20000</v>
      </c>
      <c r="F7" s="327" t="s">
        <v>232</v>
      </c>
      <c r="G7" s="422">
        <v>60000</v>
      </c>
      <c r="H7" s="423">
        <v>60000</v>
      </c>
      <c r="I7" s="424">
        <v>60000</v>
      </c>
      <c r="K7" s="326" t="s">
        <v>236</v>
      </c>
      <c r="L7" s="336">
        <f>G13</f>
        <v>5000</v>
      </c>
      <c r="M7" s="337">
        <f>L7/$L$9</f>
        <v>5.9680826937538048E-3</v>
      </c>
      <c r="N7" s="336">
        <f>H13</f>
        <v>2000</v>
      </c>
      <c r="O7" s="337">
        <f t="shared" ref="O7:O8" si="2">N7/$N$9</f>
        <v>2.8605509993334917E-3</v>
      </c>
      <c r="P7" s="336">
        <f>I13</f>
        <v>340</v>
      </c>
      <c r="Q7" s="337">
        <f t="shared" ref="Q7:Q8" si="3">P7/$P$9</f>
        <v>5.9225298260343962E-4</v>
      </c>
      <c r="T7" s="489" t="s">
        <v>437</v>
      </c>
      <c r="U7" s="510">
        <f>B17</f>
        <v>330400</v>
      </c>
      <c r="V7" s="510">
        <f>+V$26*V28/360*1.196</f>
        <v>474849.375</v>
      </c>
      <c r="W7" s="511">
        <f t="shared" ref="W7:AG7" si="4">+W$26*W28/360*1.196</f>
        <v>476905</v>
      </c>
      <c r="X7" s="511">
        <f t="shared" si="4"/>
        <v>474101.875</v>
      </c>
      <c r="Y7" s="511">
        <f t="shared" si="4"/>
        <v>475970.625</v>
      </c>
      <c r="Z7" s="511">
        <f t="shared" si="4"/>
        <v>475596.875</v>
      </c>
      <c r="AA7" s="511">
        <f t="shared" si="4"/>
        <v>476194.875</v>
      </c>
      <c r="AB7" s="511">
        <f t="shared" si="4"/>
        <v>478998</v>
      </c>
      <c r="AC7" s="511">
        <f t="shared" si="4"/>
        <v>476942.375</v>
      </c>
      <c r="AD7" s="511">
        <f t="shared" si="4"/>
        <v>479184.875</v>
      </c>
      <c r="AE7" s="511">
        <f t="shared" si="4"/>
        <v>481128.375</v>
      </c>
      <c r="AF7" s="511">
        <f t="shared" si="4"/>
        <v>483557.75</v>
      </c>
      <c r="AG7" s="512">
        <f t="shared" si="4"/>
        <v>487295.25</v>
      </c>
      <c r="AH7" s="335"/>
    </row>
    <row r="8" spans="1:34" x14ac:dyDescent="0.25">
      <c r="A8" s="315" t="s">
        <v>220</v>
      </c>
      <c r="B8" s="422">
        <v>70000</v>
      </c>
      <c r="C8" s="423">
        <v>36000</v>
      </c>
      <c r="D8" s="424"/>
      <c r="F8" s="327" t="s">
        <v>233</v>
      </c>
      <c r="G8" s="425">
        <f>+H8+H9</f>
        <v>306034</v>
      </c>
      <c r="H8" s="426">
        <f>+I8+I9</f>
        <v>128324</v>
      </c>
      <c r="I8" s="427">
        <v>-25000</v>
      </c>
      <c r="J8" s="312"/>
      <c r="K8" s="326" t="s">
        <v>246</v>
      </c>
      <c r="L8" s="336">
        <f>G15+G16-B21-B22</f>
        <v>152790</v>
      </c>
      <c r="M8" s="337">
        <f>L8/$L$9</f>
        <v>0.18237267095572876</v>
      </c>
      <c r="N8" s="336">
        <f>H15+H16-C21-C22</f>
        <v>231132</v>
      </c>
      <c r="O8" s="337">
        <f t="shared" si="2"/>
        <v>0.33058243678897431</v>
      </c>
      <c r="P8" s="336">
        <f>I15+I16-D21-D22</f>
        <v>285415</v>
      </c>
      <c r="Q8" s="337">
        <f t="shared" si="3"/>
        <v>0.49717025008753152</v>
      </c>
      <c r="T8" s="489" t="s">
        <v>240</v>
      </c>
      <c r="U8" s="510">
        <f>-G18</f>
        <v>-56400</v>
      </c>
      <c r="V8" s="510">
        <f>-V$26*V29/360*1.196</f>
        <v>-316566.25</v>
      </c>
      <c r="W8" s="511">
        <f t="shared" ref="W8:AG8" si="5">-W$26*W29/360*1.196</f>
        <v>-317936.66666666663</v>
      </c>
      <c r="X8" s="511">
        <f t="shared" si="5"/>
        <v>-316067.91666666663</v>
      </c>
      <c r="Y8" s="511">
        <f t="shared" si="5"/>
        <v>-317313.75</v>
      </c>
      <c r="Z8" s="511">
        <f t="shared" si="5"/>
        <v>-317064.58333333337</v>
      </c>
      <c r="AA8" s="511">
        <f t="shared" si="5"/>
        <v>-317463.25</v>
      </c>
      <c r="AB8" s="511">
        <f t="shared" si="5"/>
        <v>-319332</v>
      </c>
      <c r="AC8" s="511">
        <f t="shared" si="5"/>
        <v>-317961.58333333337</v>
      </c>
      <c r="AD8" s="511">
        <f t="shared" si="5"/>
        <v>-319456.58333333337</v>
      </c>
      <c r="AE8" s="511">
        <f t="shared" si="5"/>
        <v>-320752.25</v>
      </c>
      <c r="AF8" s="511">
        <f t="shared" si="5"/>
        <v>-322371.83333333337</v>
      </c>
      <c r="AG8" s="512">
        <f t="shared" si="5"/>
        <v>-324863.5</v>
      </c>
      <c r="AH8" s="335"/>
    </row>
    <row r="9" spans="1:34" x14ac:dyDescent="0.25">
      <c r="A9" s="316"/>
      <c r="B9" s="425"/>
      <c r="C9" s="426"/>
      <c r="D9" s="427"/>
      <c r="F9" s="328" t="s">
        <v>234</v>
      </c>
      <c r="G9" s="422">
        <v>213966</v>
      </c>
      <c r="H9" s="423">
        <v>177710</v>
      </c>
      <c r="I9" s="424">
        <v>153324</v>
      </c>
      <c r="K9" s="468" t="s">
        <v>247</v>
      </c>
      <c r="L9" s="469">
        <f>SUM(L6:L8)</f>
        <v>837790</v>
      </c>
      <c r="M9" s="467">
        <v>1</v>
      </c>
      <c r="N9" s="469">
        <f>SUM(N6:N8)</f>
        <v>699166</v>
      </c>
      <c r="O9" s="467">
        <v>1</v>
      </c>
      <c r="P9" s="469">
        <f>SUM(P6:P8)</f>
        <v>574079</v>
      </c>
      <c r="Q9" s="467">
        <v>1</v>
      </c>
      <c r="T9" s="489" t="s">
        <v>438</v>
      </c>
      <c r="U9" s="510">
        <f>SUM(B6:B8)</f>
        <v>118000</v>
      </c>
      <c r="V9" s="624">
        <v>65000</v>
      </c>
      <c r="W9" s="624">
        <v>0</v>
      </c>
      <c r="X9" s="624">
        <v>0</v>
      </c>
      <c r="Y9" s="624">
        <v>0</v>
      </c>
      <c r="Z9" s="624">
        <v>0</v>
      </c>
      <c r="AA9" s="624">
        <v>0</v>
      </c>
      <c r="AB9" s="624">
        <v>0</v>
      </c>
      <c r="AC9" s="624">
        <v>0</v>
      </c>
      <c r="AD9" s="624">
        <v>45001</v>
      </c>
      <c r="AE9" s="624">
        <v>0</v>
      </c>
      <c r="AF9" s="624">
        <v>0</v>
      </c>
      <c r="AG9" s="624">
        <v>0</v>
      </c>
      <c r="AH9" s="335"/>
    </row>
    <row r="10" spans="1:34" x14ac:dyDescent="0.25">
      <c r="A10" s="316"/>
      <c r="B10" s="425"/>
      <c r="C10" s="426"/>
      <c r="D10" s="427"/>
      <c r="F10" s="327"/>
      <c r="G10" s="425"/>
      <c r="H10" s="426"/>
      <c r="I10" s="427"/>
      <c r="K10" s="466"/>
      <c r="L10" s="464"/>
      <c r="M10" s="465"/>
      <c r="N10" s="464"/>
      <c r="O10" s="465"/>
      <c r="P10" s="464"/>
      <c r="Q10" s="465"/>
      <c r="T10" s="493" t="s">
        <v>439</v>
      </c>
      <c r="U10" s="510">
        <f>B16+B18+B24-G17-G19-G20-G24</f>
        <v>45090</v>
      </c>
      <c r="V10" s="510">
        <f>+V$26*V30/360</f>
        <v>88229.166666666672</v>
      </c>
      <c r="W10" s="511">
        <f t="shared" ref="W10:AG10" si="6">+W$26*W30/360</f>
        <v>88611.111111111109</v>
      </c>
      <c r="X10" s="511">
        <f t="shared" si="6"/>
        <v>88090.277777777781</v>
      </c>
      <c r="Y10" s="511">
        <f t="shared" si="6"/>
        <v>88437.5</v>
      </c>
      <c r="Z10" s="511">
        <f t="shared" si="6"/>
        <v>88368.055555555562</v>
      </c>
      <c r="AA10" s="511">
        <f t="shared" si="6"/>
        <v>88479.166666666672</v>
      </c>
      <c r="AB10" s="511">
        <f t="shared" si="6"/>
        <v>89000</v>
      </c>
      <c r="AC10" s="511">
        <f t="shared" si="6"/>
        <v>88618.055555555562</v>
      </c>
      <c r="AD10" s="511">
        <f t="shared" si="6"/>
        <v>89034.722222222219</v>
      </c>
      <c r="AE10" s="511">
        <f t="shared" si="6"/>
        <v>89395.833333333328</v>
      </c>
      <c r="AF10" s="511">
        <f t="shared" si="6"/>
        <v>89847.222222222219</v>
      </c>
      <c r="AG10" s="512">
        <f t="shared" si="6"/>
        <v>90541.666666666672</v>
      </c>
      <c r="AH10" s="335"/>
    </row>
    <row r="11" spans="1:34" x14ac:dyDescent="0.25">
      <c r="A11" s="317" t="s">
        <v>221</v>
      </c>
      <c r="B11" s="319">
        <f>SUM(B6:B8)</f>
        <v>118000</v>
      </c>
      <c r="C11" s="329">
        <f>SUM(C6:C8)</f>
        <v>78000</v>
      </c>
      <c r="D11" s="330">
        <f>SUM(D6:D8)</f>
        <v>55000</v>
      </c>
      <c r="F11" s="331" t="s">
        <v>235</v>
      </c>
      <c r="G11" s="332">
        <f>SUM(G6:G9)</f>
        <v>680000</v>
      </c>
      <c r="H11" s="329">
        <f>SUM(H6:H9)</f>
        <v>466034</v>
      </c>
      <c r="I11" s="330">
        <f>SUM(I6:I9)</f>
        <v>288324</v>
      </c>
      <c r="K11" s="326" t="str">
        <f t="shared" ref="K11:L13" si="7">A6</f>
        <v>Immobilisations incorporelles</v>
      </c>
      <c r="L11" s="336">
        <f t="shared" si="7"/>
        <v>24000</v>
      </c>
      <c r="M11" s="337">
        <f>L11/$L$15</f>
        <v>2.8646796930018262E-2</v>
      </c>
      <c r="N11" s="336">
        <f>C6</f>
        <v>22000</v>
      </c>
      <c r="O11" s="337">
        <f t="shared" ref="O11:O14" si="8">N11/$N$9</f>
        <v>3.146606099266841E-2</v>
      </c>
      <c r="P11" s="336">
        <f>D6</f>
        <v>35000</v>
      </c>
      <c r="Q11" s="337">
        <f t="shared" ref="Q11:Q14" si="9">P11/$P$9</f>
        <v>6.0967218797412896E-2</v>
      </c>
      <c r="T11" s="494" t="s">
        <v>440</v>
      </c>
      <c r="U11" s="513">
        <f>SUM(U6:U10)</f>
        <v>837790</v>
      </c>
      <c r="V11" s="513">
        <f>SUM(V6:V10)</f>
        <v>752658.12499999988</v>
      </c>
      <c r="W11" s="514">
        <f t="shared" ref="W11:AG11" si="10">SUM(W6:W10)</f>
        <v>690635</v>
      </c>
      <c r="X11" s="514">
        <f t="shared" si="10"/>
        <v>686575.625</v>
      </c>
      <c r="Y11" s="514">
        <f t="shared" si="10"/>
        <v>689281.875</v>
      </c>
      <c r="Z11" s="514">
        <f t="shared" si="10"/>
        <v>688740.625</v>
      </c>
      <c r="AA11" s="514">
        <f t="shared" si="10"/>
        <v>689606.62499999988</v>
      </c>
      <c r="AB11" s="514">
        <f t="shared" si="10"/>
        <v>693666</v>
      </c>
      <c r="AC11" s="514">
        <f t="shared" si="10"/>
        <v>690689.125</v>
      </c>
      <c r="AD11" s="514">
        <f t="shared" si="10"/>
        <v>738937.625</v>
      </c>
      <c r="AE11" s="514">
        <f t="shared" si="10"/>
        <v>696751.12500000012</v>
      </c>
      <c r="AF11" s="514">
        <f t="shared" si="10"/>
        <v>700269.25</v>
      </c>
      <c r="AG11" s="515">
        <f t="shared" si="10"/>
        <v>705681.74999999988</v>
      </c>
      <c r="AH11" s="335"/>
    </row>
    <row r="12" spans="1:34" x14ac:dyDescent="0.25">
      <c r="A12" s="318"/>
      <c r="B12" s="425"/>
      <c r="C12" s="426"/>
      <c r="D12" s="427"/>
      <c r="F12" s="327"/>
      <c r="G12" s="425"/>
      <c r="H12" s="426"/>
      <c r="I12" s="427"/>
      <c r="K12" s="326" t="str">
        <f t="shared" si="7"/>
        <v>Immobilisations corporelles</v>
      </c>
      <c r="L12" s="336">
        <f t="shared" si="7"/>
        <v>24000</v>
      </c>
      <c r="M12" s="337">
        <f>L12/$L$15</f>
        <v>2.8646796930018262E-2</v>
      </c>
      <c r="N12" s="336">
        <f>C7</f>
        <v>20000</v>
      </c>
      <c r="O12" s="337">
        <f t="shared" si="8"/>
        <v>2.8605509993334916E-2</v>
      </c>
      <c r="P12" s="336">
        <f>D7</f>
        <v>20000</v>
      </c>
      <c r="Q12" s="337">
        <f t="shared" si="9"/>
        <v>3.4838410741378799E-2</v>
      </c>
      <c r="T12" s="489"/>
      <c r="U12" s="489"/>
      <c r="V12" s="510"/>
      <c r="W12" s="511"/>
      <c r="X12" s="511"/>
      <c r="Y12" s="511"/>
      <c r="Z12" s="511"/>
      <c r="AA12" s="511"/>
      <c r="AB12" s="511"/>
      <c r="AC12" s="511"/>
      <c r="AD12" s="511"/>
      <c r="AE12" s="511"/>
      <c r="AF12" s="511"/>
      <c r="AG12" s="512"/>
      <c r="AH12" s="335"/>
    </row>
    <row r="13" spans="1:34" x14ac:dyDescent="0.25">
      <c r="A13" s="315"/>
      <c r="B13" s="425"/>
      <c r="C13" s="426"/>
      <c r="D13" s="427"/>
      <c r="F13" s="333" t="s">
        <v>236</v>
      </c>
      <c r="G13" s="422">
        <v>5000</v>
      </c>
      <c r="H13" s="423">
        <v>2000</v>
      </c>
      <c r="I13" s="424">
        <v>340</v>
      </c>
      <c r="K13" s="326" t="str">
        <f t="shared" si="7"/>
        <v xml:space="preserve">Immobilisations financières </v>
      </c>
      <c r="L13" s="336">
        <f t="shared" si="7"/>
        <v>70000</v>
      </c>
      <c r="M13" s="337">
        <f>L13/$L$15</f>
        <v>8.3553157712553269E-2</v>
      </c>
      <c r="N13" s="336">
        <f>C8</f>
        <v>36000</v>
      </c>
      <c r="O13" s="337">
        <f t="shared" si="8"/>
        <v>5.1489917988002849E-2</v>
      </c>
      <c r="P13" s="336">
        <f>D8</f>
        <v>0</v>
      </c>
      <c r="Q13" s="337">
        <f t="shared" si="9"/>
        <v>0</v>
      </c>
      <c r="T13" s="489" t="s">
        <v>441</v>
      </c>
      <c r="U13" s="516">
        <f>G11</f>
        <v>680000</v>
      </c>
      <c r="V13" s="624">
        <v>450000</v>
      </c>
      <c r="W13" s="624">
        <v>450000</v>
      </c>
      <c r="X13" s="624">
        <v>450000</v>
      </c>
      <c r="Y13" s="624">
        <v>450000</v>
      </c>
      <c r="Z13" s="624">
        <v>450000</v>
      </c>
      <c r="AA13" s="624">
        <v>450000</v>
      </c>
      <c r="AB13" s="624">
        <v>450000</v>
      </c>
      <c r="AC13" s="624">
        <v>450000</v>
      </c>
      <c r="AD13" s="624">
        <v>450000</v>
      </c>
      <c r="AE13" s="624">
        <v>450000</v>
      </c>
      <c r="AF13" s="624">
        <v>450000</v>
      </c>
      <c r="AG13" s="624">
        <v>450000</v>
      </c>
      <c r="AH13" s="335"/>
    </row>
    <row r="14" spans="1:34" x14ac:dyDescent="0.25">
      <c r="A14" s="327"/>
      <c r="B14" s="425"/>
      <c r="C14" s="426"/>
      <c r="D14" s="427"/>
      <c r="F14" s="334"/>
      <c r="G14" s="425"/>
      <c r="H14" s="426"/>
      <c r="I14" s="427"/>
      <c r="K14" s="326" t="s">
        <v>248</v>
      </c>
      <c r="L14" s="336">
        <f>SUM(B15:B18)+B24-SUM(G17:G24)</f>
        <v>719790</v>
      </c>
      <c r="M14" s="337">
        <f>L14/$L$15</f>
        <v>0.85915324842741025</v>
      </c>
      <c r="N14" s="336">
        <f>SUM(C15:C18)+C24-SUM(H17:H24)</f>
        <v>621166</v>
      </c>
      <c r="O14" s="337">
        <f t="shared" si="8"/>
        <v>0.8884385110259938</v>
      </c>
      <c r="P14" s="336">
        <f>SUM(D15:D18)+D24-SUM(I17:I24)</f>
        <v>519079</v>
      </c>
      <c r="Q14" s="337">
        <f t="shared" si="9"/>
        <v>0.90419437046120832</v>
      </c>
      <c r="T14" s="489" t="s">
        <v>238</v>
      </c>
      <c r="U14" s="517">
        <f>G15+G16-G30+G13-G30</f>
        <v>140000</v>
      </c>
      <c r="V14" s="624">
        <v>250000</v>
      </c>
      <c r="W14" s="624">
        <v>250000</v>
      </c>
      <c r="X14" s="624">
        <v>250000</v>
      </c>
      <c r="Y14" s="624">
        <v>250000</v>
      </c>
      <c r="Z14" s="624">
        <v>250000</v>
      </c>
      <c r="AA14" s="624">
        <v>250000</v>
      </c>
      <c r="AB14" s="624">
        <v>250000</v>
      </c>
      <c r="AC14" s="624">
        <v>250000</v>
      </c>
      <c r="AD14" s="624">
        <v>250000</v>
      </c>
      <c r="AE14" s="624">
        <v>250000</v>
      </c>
      <c r="AF14" s="624">
        <v>250000</v>
      </c>
      <c r="AG14" s="624">
        <v>250000</v>
      </c>
      <c r="AH14" s="335"/>
    </row>
    <row r="15" spans="1:34" ht="20.399999999999999" x14ac:dyDescent="0.25">
      <c r="A15" s="315" t="s">
        <v>222</v>
      </c>
      <c r="B15" s="422">
        <v>400700</v>
      </c>
      <c r="C15" s="423">
        <v>380657</v>
      </c>
      <c r="D15" s="424">
        <v>320675</v>
      </c>
      <c r="F15" s="315" t="s">
        <v>237</v>
      </c>
      <c r="G15" s="422">
        <v>15000</v>
      </c>
      <c r="H15" s="423">
        <v>24588</v>
      </c>
      <c r="I15" s="424">
        <v>35689</v>
      </c>
      <c r="K15" s="468" t="s">
        <v>249</v>
      </c>
      <c r="L15" s="469">
        <f>SUM(L11:L14)</f>
        <v>837790</v>
      </c>
      <c r="M15" s="467">
        <v>1</v>
      </c>
      <c r="N15" s="469">
        <f>SUM(N11:N14)</f>
        <v>699166</v>
      </c>
      <c r="O15" s="467">
        <v>1</v>
      </c>
      <c r="P15" s="469">
        <f>SUM(P11:P14)</f>
        <v>574079</v>
      </c>
      <c r="Q15" s="467">
        <v>1</v>
      </c>
      <c r="T15" s="495" t="s">
        <v>442</v>
      </c>
      <c r="U15" s="518">
        <f>SUM(U13:U14)</f>
        <v>820000</v>
      </c>
      <c r="V15" s="518">
        <f>SUM(V13:V14)</f>
        <v>700000</v>
      </c>
      <c r="W15" s="519">
        <f t="shared" ref="W15:AG15" si="11">SUM(W13:W14)</f>
        <v>700000</v>
      </c>
      <c r="X15" s="519">
        <f t="shared" si="11"/>
        <v>700000</v>
      </c>
      <c r="Y15" s="519">
        <f t="shared" si="11"/>
        <v>700000</v>
      </c>
      <c r="Z15" s="519">
        <f t="shared" si="11"/>
        <v>700000</v>
      </c>
      <c r="AA15" s="519">
        <f t="shared" si="11"/>
        <v>700000</v>
      </c>
      <c r="AB15" s="519">
        <f t="shared" si="11"/>
        <v>700000</v>
      </c>
      <c r="AC15" s="519">
        <f t="shared" si="11"/>
        <v>700000</v>
      </c>
      <c r="AD15" s="519">
        <f t="shared" si="11"/>
        <v>700000</v>
      </c>
      <c r="AE15" s="519">
        <f t="shared" si="11"/>
        <v>700000</v>
      </c>
      <c r="AF15" s="519">
        <f t="shared" si="11"/>
        <v>700000</v>
      </c>
      <c r="AG15" s="520">
        <f t="shared" si="11"/>
        <v>700000</v>
      </c>
      <c r="AH15" s="335"/>
    </row>
    <row r="16" spans="1:34" x14ac:dyDescent="0.25">
      <c r="A16" s="315" t="s">
        <v>223</v>
      </c>
      <c r="B16" s="422">
        <v>10300</v>
      </c>
      <c r="C16" s="423">
        <v>6170</v>
      </c>
      <c r="D16" s="424">
        <v>3940</v>
      </c>
      <c r="F16" s="321" t="s">
        <v>238</v>
      </c>
      <c r="G16" s="422">
        <v>150000</v>
      </c>
      <c r="H16" s="423">
        <v>221457</v>
      </c>
      <c r="I16" s="424">
        <v>255964</v>
      </c>
      <c r="T16" s="489" t="s">
        <v>443</v>
      </c>
      <c r="U16" s="496">
        <f>G30</f>
        <v>15000</v>
      </c>
      <c r="V16" s="624">
        <v>25675</v>
      </c>
      <c r="W16" s="624">
        <v>31000</v>
      </c>
      <c r="X16" s="624">
        <v>35000</v>
      </c>
      <c r="Y16" s="624">
        <v>28000</v>
      </c>
      <c r="Z16" s="624">
        <v>37000</v>
      </c>
      <c r="AA16" s="624">
        <v>26000</v>
      </c>
      <c r="AB16" s="624">
        <v>21000</v>
      </c>
      <c r="AC16" s="624">
        <v>36470</v>
      </c>
      <c r="AD16" s="624">
        <v>45600</v>
      </c>
      <c r="AE16" s="624">
        <v>34908</v>
      </c>
      <c r="AF16" s="624">
        <v>34500</v>
      </c>
      <c r="AG16" s="624">
        <v>24870</v>
      </c>
      <c r="AH16" s="335"/>
    </row>
    <row r="17" spans="1:34" ht="20.399999999999999" x14ac:dyDescent="0.25">
      <c r="A17" s="315" t="s">
        <v>224</v>
      </c>
      <c r="B17" s="422">
        <v>330400</v>
      </c>
      <c r="C17" s="423">
        <v>428234</v>
      </c>
      <c r="D17" s="424">
        <v>396543</v>
      </c>
      <c r="F17" s="315" t="s">
        <v>239</v>
      </c>
      <c r="G17" s="422">
        <v>333</v>
      </c>
      <c r="H17" s="423">
        <v>1164</v>
      </c>
      <c r="I17" s="424">
        <v>7848</v>
      </c>
      <c r="K17" s="335" t="s">
        <v>250</v>
      </c>
      <c r="L17" s="338">
        <f t="shared" ref="L17:Q17" si="12">L9-L15</f>
        <v>0</v>
      </c>
      <c r="M17" s="338">
        <f t="shared" si="12"/>
        <v>0</v>
      </c>
      <c r="N17" s="338">
        <f t="shared" si="12"/>
        <v>0</v>
      </c>
      <c r="O17" s="338">
        <f t="shared" si="12"/>
        <v>0</v>
      </c>
      <c r="P17" s="338">
        <f t="shared" si="12"/>
        <v>0</v>
      </c>
      <c r="Q17" s="338">
        <f t="shared" si="12"/>
        <v>0</v>
      </c>
      <c r="T17" s="494" t="s">
        <v>444</v>
      </c>
      <c r="U17" s="513">
        <f>SUM(U15:U16)</f>
        <v>835000</v>
      </c>
      <c r="V17" s="513">
        <f>SUM(V15:V16)</f>
        <v>725675</v>
      </c>
      <c r="W17" s="514">
        <f t="shared" ref="W17:AG17" si="13">SUM(W15:W16)</f>
        <v>731000</v>
      </c>
      <c r="X17" s="514">
        <f t="shared" si="13"/>
        <v>735000</v>
      </c>
      <c r="Y17" s="514">
        <f t="shared" si="13"/>
        <v>728000</v>
      </c>
      <c r="Z17" s="514">
        <f t="shared" si="13"/>
        <v>737000</v>
      </c>
      <c r="AA17" s="514">
        <f t="shared" si="13"/>
        <v>726000</v>
      </c>
      <c r="AB17" s="514">
        <f t="shared" si="13"/>
        <v>721000</v>
      </c>
      <c r="AC17" s="514">
        <f t="shared" si="13"/>
        <v>736470</v>
      </c>
      <c r="AD17" s="514">
        <f t="shared" si="13"/>
        <v>745600</v>
      </c>
      <c r="AE17" s="514">
        <f t="shared" si="13"/>
        <v>734908</v>
      </c>
      <c r="AF17" s="514">
        <f t="shared" si="13"/>
        <v>734500</v>
      </c>
      <c r="AG17" s="515">
        <f t="shared" si="13"/>
        <v>724870</v>
      </c>
      <c r="AH17" s="335"/>
    </row>
    <row r="18" spans="1:34" x14ac:dyDescent="0.25">
      <c r="A18" s="315" t="s">
        <v>225</v>
      </c>
      <c r="B18" s="422">
        <v>34000</v>
      </c>
      <c r="C18" s="423">
        <v>27840</v>
      </c>
      <c r="D18" s="424">
        <v>16679</v>
      </c>
      <c r="F18" s="321" t="s">
        <v>240</v>
      </c>
      <c r="G18" s="422">
        <v>56400</v>
      </c>
      <c r="H18" s="423">
        <v>220125</v>
      </c>
      <c r="I18" s="424">
        <v>202187</v>
      </c>
      <c r="T18" s="521"/>
      <c r="U18" s="521"/>
      <c r="V18" s="510"/>
      <c r="W18" s="511"/>
      <c r="X18" s="511"/>
      <c r="Y18" s="511"/>
      <c r="Z18" s="511"/>
      <c r="AA18" s="511"/>
      <c r="AB18" s="511"/>
      <c r="AC18" s="511"/>
      <c r="AD18" s="511"/>
      <c r="AE18" s="511"/>
      <c r="AF18" s="511"/>
      <c r="AG18" s="512"/>
      <c r="AH18" s="335"/>
    </row>
    <row r="19" spans="1:34" x14ac:dyDescent="0.25">
      <c r="A19" s="316"/>
      <c r="B19" s="425"/>
      <c r="C19" s="426"/>
      <c r="D19" s="427"/>
      <c r="F19" s="321" t="s">
        <v>241</v>
      </c>
      <c r="G19" s="422">
        <v>4456</v>
      </c>
      <c r="H19" s="423">
        <v>5689</v>
      </c>
      <c r="I19" s="424">
        <v>8789</v>
      </c>
      <c r="K19" s="340" t="s">
        <v>402</v>
      </c>
      <c r="T19" s="494" t="s">
        <v>445</v>
      </c>
      <c r="U19" s="513">
        <f>U17-U11</f>
        <v>-2790</v>
      </c>
      <c r="V19" s="513">
        <f>V17-V11</f>
        <v>-26983.124999999884</v>
      </c>
      <c r="W19" s="514">
        <f t="shared" ref="W19:AG19" si="14">W17-W11</f>
        <v>40365</v>
      </c>
      <c r="X19" s="514">
        <f t="shared" si="14"/>
        <v>48424.375</v>
      </c>
      <c r="Y19" s="514">
        <f t="shared" si="14"/>
        <v>38718.125</v>
      </c>
      <c r="Z19" s="514">
        <f t="shared" si="14"/>
        <v>48259.375</v>
      </c>
      <c r="AA19" s="514">
        <f t="shared" si="14"/>
        <v>36393.375000000116</v>
      </c>
      <c r="AB19" s="514">
        <f t="shared" si="14"/>
        <v>27334</v>
      </c>
      <c r="AC19" s="514">
        <f t="shared" si="14"/>
        <v>45780.875</v>
      </c>
      <c r="AD19" s="514">
        <f t="shared" si="14"/>
        <v>6662.375</v>
      </c>
      <c r="AE19" s="514">
        <f t="shared" si="14"/>
        <v>38156.874999999884</v>
      </c>
      <c r="AF19" s="514">
        <f t="shared" si="14"/>
        <v>34230.75</v>
      </c>
      <c r="AG19" s="515">
        <f t="shared" si="14"/>
        <v>19188.250000000116</v>
      </c>
      <c r="AH19" s="335"/>
    </row>
    <row r="20" spans="1:34" x14ac:dyDescent="0.25">
      <c r="A20" s="316"/>
      <c r="B20" s="425"/>
      <c r="C20" s="426"/>
      <c r="D20" s="427"/>
      <c r="F20" s="321" t="s">
        <v>242</v>
      </c>
      <c r="G20" s="422">
        <v>451</v>
      </c>
      <c r="H20" s="423">
        <v>402</v>
      </c>
      <c r="I20" s="424">
        <v>22</v>
      </c>
      <c r="T20" s="522"/>
      <c r="U20" s="522"/>
      <c r="V20" s="523"/>
      <c r="W20" s="524"/>
      <c r="X20" s="524"/>
      <c r="Y20" s="524"/>
      <c r="Z20" s="524"/>
      <c r="AA20" s="524"/>
      <c r="AB20" s="524"/>
      <c r="AC20" s="524"/>
      <c r="AD20" s="524"/>
      <c r="AE20" s="524"/>
      <c r="AF20" s="524"/>
      <c r="AG20" s="525"/>
      <c r="AH20" s="335"/>
    </row>
    <row r="21" spans="1:34" x14ac:dyDescent="0.25">
      <c r="A21" s="315" t="s">
        <v>226</v>
      </c>
      <c r="B21" s="422">
        <v>5000</v>
      </c>
      <c r="C21" s="423">
        <v>8568</v>
      </c>
      <c r="D21" s="424">
        <v>800</v>
      </c>
      <c r="F21" s="321"/>
      <c r="G21" s="425"/>
      <c r="H21" s="426"/>
      <c r="I21" s="427"/>
      <c r="K21" s="446" t="s">
        <v>403</v>
      </c>
      <c r="L21" s="447">
        <f>L4</f>
        <v>42551</v>
      </c>
      <c r="M21" s="448"/>
      <c r="N21" s="449">
        <f>N4</f>
        <v>42185</v>
      </c>
      <c r="O21" s="450"/>
      <c r="P21" s="447">
        <f>P4</f>
        <v>41820</v>
      </c>
      <c r="Q21" s="448"/>
      <c r="T21" s="335"/>
      <c r="U21" s="335"/>
      <c r="V21" s="335"/>
      <c r="W21" s="335"/>
      <c r="X21" s="335"/>
      <c r="Y21" s="335"/>
      <c r="Z21" s="335"/>
      <c r="AA21" s="335"/>
      <c r="AB21" s="335"/>
      <c r="AC21" s="335"/>
      <c r="AD21" s="335"/>
      <c r="AE21" s="335"/>
      <c r="AF21" s="335"/>
      <c r="AG21" s="335"/>
      <c r="AH21" s="335"/>
    </row>
    <row r="22" spans="1:34" x14ac:dyDescent="0.25">
      <c r="A22" s="315" t="s">
        <v>227</v>
      </c>
      <c r="B22" s="422">
        <v>7210</v>
      </c>
      <c r="C22" s="423">
        <v>6345</v>
      </c>
      <c r="D22" s="424">
        <v>5438</v>
      </c>
      <c r="F22" s="321"/>
      <c r="G22" s="425"/>
      <c r="H22" s="426"/>
      <c r="I22" s="427"/>
      <c r="K22" s="506"/>
      <c r="L22" s="526"/>
      <c r="M22" s="527"/>
      <c r="N22" s="528"/>
      <c r="O22" s="528"/>
      <c r="P22" s="526"/>
      <c r="Q22" s="527"/>
      <c r="T22" s="335"/>
      <c r="U22" s="335"/>
      <c r="V22" s="499" t="s">
        <v>147</v>
      </c>
      <c r="W22" s="529" t="s">
        <v>148</v>
      </c>
      <c r="X22" s="529" t="s">
        <v>149</v>
      </c>
      <c r="Y22" s="529" t="s">
        <v>150</v>
      </c>
      <c r="Z22" s="529" t="s">
        <v>151</v>
      </c>
      <c r="AA22" s="529" t="s">
        <v>152</v>
      </c>
      <c r="AB22" s="529" t="s">
        <v>153</v>
      </c>
      <c r="AC22" s="529" t="s">
        <v>154</v>
      </c>
      <c r="AD22" s="529" t="s">
        <v>155</v>
      </c>
      <c r="AE22" s="529" t="s">
        <v>156</v>
      </c>
      <c r="AF22" s="529" t="s">
        <v>157</v>
      </c>
      <c r="AG22" s="530" t="s">
        <v>158</v>
      </c>
      <c r="AH22" s="335"/>
    </row>
    <row r="23" spans="1:34" ht="20.399999999999999" x14ac:dyDescent="0.25">
      <c r="A23" s="327"/>
      <c r="B23" s="425"/>
      <c r="C23" s="426"/>
      <c r="D23" s="427"/>
      <c r="F23" s="322"/>
      <c r="G23" s="425"/>
      <c r="H23" s="426"/>
      <c r="I23" s="427"/>
      <c r="K23" s="531" t="s">
        <v>404</v>
      </c>
      <c r="L23" s="532"/>
      <c r="M23" s="533"/>
      <c r="N23" s="534"/>
      <c r="O23" s="534"/>
      <c r="P23" s="532"/>
      <c r="Q23" s="533"/>
      <c r="T23" s="335"/>
      <c r="U23" s="595" t="s">
        <v>446</v>
      </c>
      <c r="V23" s="499"/>
      <c r="W23" s="529"/>
      <c r="X23" s="529"/>
      <c r="Y23" s="529"/>
      <c r="Z23" s="529"/>
      <c r="AA23" s="529"/>
      <c r="AB23" s="529"/>
      <c r="AC23" s="529"/>
      <c r="AD23" s="529"/>
      <c r="AE23" s="529"/>
      <c r="AF23" s="529"/>
      <c r="AG23" s="530"/>
      <c r="AH23" s="335"/>
    </row>
    <row r="24" spans="1:34" x14ac:dyDescent="0.2">
      <c r="A24" s="315" t="s">
        <v>228</v>
      </c>
      <c r="B24" s="422">
        <v>6790</v>
      </c>
      <c r="C24" s="423">
        <v>5679</v>
      </c>
      <c r="D24" s="424">
        <v>657</v>
      </c>
      <c r="F24" s="321" t="s">
        <v>243</v>
      </c>
      <c r="G24" s="422">
        <v>760</v>
      </c>
      <c r="H24" s="423">
        <v>34</v>
      </c>
      <c r="I24" s="424">
        <v>569</v>
      </c>
      <c r="K24" s="521"/>
      <c r="L24" s="536"/>
      <c r="M24" s="533"/>
      <c r="N24" s="534"/>
      <c r="O24" s="534"/>
      <c r="P24" s="532"/>
      <c r="Q24" s="533"/>
      <c r="T24" s="506" t="s">
        <v>447</v>
      </c>
      <c r="U24" s="596">
        <f>SUM(V24:AG24)</f>
        <v>1579625</v>
      </c>
      <c r="V24" s="620">
        <v>137500</v>
      </c>
      <c r="W24" s="621">
        <v>140625</v>
      </c>
      <c r="X24" s="621">
        <v>139375</v>
      </c>
      <c r="Y24" s="621">
        <v>121875</v>
      </c>
      <c r="Z24" s="621">
        <v>138750</v>
      </c>
      <c r="AA24" s="621">
        <v>128000</v>
      </c>
      <c r="AB24" s="621">
        <v>128125</v>
      </c>
      <c r="AC24" s="621">
        <v>123750</v>
      </c>
      <c r="AD24" s="621">
        <v>130000</v>
      </c>
      <c r="AE24" s="621">
        <v>131000</v>
      </c>
      <c r="AF24" s="621">
        <v>120000</v>
      </c>
      <c r="AG24" s="622">
        <v>140625</v>
      </c>
      <c r="AH24" s="335"/>
    </row>
    <row r="25" spans="1:34" x14ac:dyDescent="0.2">
      <c r="A25" s="327"/>
      <c r="B25" s="425"/>
      <c r="C25" s="426"/>
      <c r="D25" s="427"/>
      <c r="F25" s="327"/>
      <c r="K25" s="537" t="s">
        <v>405</v>
      </c>
      <c r="L25" s="538">
        <f>L8</f>
        <v>152790</v>
      </c>
      <c r="M25" s="539">
        <f>L25/L26</f>
        <v>0.22469117647058823</v>
      </c>
      <c r="N25" s="538">
        <f>N8</f>
        <v>231132</v>
      </c>
      <c r="O25" s="540">
        <f>N25/N26</f>
        <v>0.49595523073423825</v>
      </c>
      <c r="P25" s="538">
        <f>P8</f>
        <v>285415</v>
      </c>
      <c r="Q25" s="539">
        <f>P25/P26</f>
        <v>0.98991065606747963</v>
      </c>
      <c r="T25" s="489" t="s">
        <v>417</v>
      </c>
      <c r="U25" s="498">
        <f>SUM(V25:AG25)</f>
        <v>1629750</v>
      </c>
      <c r="V25" s="623">
        <v>146000</v>
      </c>
      <c r="W25" s="624">
        <v>147500</v>
      </c>
      <c r="X25" s="624">
        <v>130000</v>
      </c>
      <c r="Y25" s="624">
        <v>128125</v>
      </c>
      <c r="Z25" s="624">
        <v>137500</v>
      </c>
      <c r="AA25" s="624">
        <v>130000</v>
      </c>
      <c r="AB25" s="624">
        <v>137500</v>
      </c>
      <c r="AC25" s="624">
        <v>116875</v>
      </c>
      <c r="AD25" s="624">
        <v>137500</v>
      </c>
      <c r="AE25" s="624">
        <v>137500</v>
      </c>
      <c r="AF25" s="624">
        <v>128125</v>
      </c>
      <c r="AG25" s="625">
        <v>153125</v>
      </c>
      <c r="AH25" s="335"/>
    </row>
    <row r="26" spans="1:34" x14ac:dyDescent="0.2">
      <c r="A26" s="317" t="s">
        <v>229</v>
      </c>
      <c r="B26" s="320">
        <f>SUM(B15:B24)</f>
        <v>794400</v>
      </c>
      <c r="C26" s="329">
        <f>SUM(C15:C24)</f>
        <v>863493</v>
      </c>
      <c r="D26" s="330">
        <f>SUM(D15:D24)</f>
        <v>744732</v>
      </c>
      <c r="F26" s="317" t="s">
        <v>244</v>
      </c>
      <c r="G26" s="320">
        <f>SUM(G15:G25)</f>
        <v>227400</v>
      </c>
      <c r="H26" s="323">
        <f>SUM(H15:H25)</f>
        <v>473459</v>
      </c>
      <c r="I26" s="324">
        <f>SUM(I15:I25)</f>
        <v>511068</v>
      </c>
      <c r="K26" s="521" t="s">
        <v>235</v>
      </c>
      <c r="L26" s="536">
        <f>L6</f>
        <v>680000</v>
      </c>
      <c r="M26" s="533"/>
      <c r="N26" s="536">
        <f>N6</f>
        <v>466034</v>
      </c>
      <c r="O26" s="541"/>
      <c r="P26" s="536">
        <f>P6</f>
        <v>288324</v>
      </c>
      <c r="Q26" s="533"/>
      <c r="T26" s="489" t="s">
        <v>448</v>
      </c>
      <c r="U26" s="453"/>
      <c r="V26" s="510">
        <f>$U$24-V24+V25</f>
        <v>1588125</v>
      </c>
      <c r="W26" s="511">
        <f t="shared" ref="W26:AG26" si="15">V26-W24+W25</f>
        <v>1595000</v>
      </c>
      <c r="X26" s="511">
        <f t="shared" si="15"/>
        <v>1585625</v>
      </c>
      <c r="Y26" s="511">
        <f>X26-Y24+Y25</f>
        <v>1591875</v>
      </c>
      <c r="Z26" s="511">
        <f t="shared" si="15"/>
        <v>1590625</v>
      </c>
      <c r="AA26" s="511">
        <f t="shared" si="15"/>
        <v>1592625</v>
      </c>
      <c r="AB26" s="511">
        <f t="shared" si="15"/>
        <v>1602000</v>
      </c>
      <c r="AC26" s="511">
        <f t="shared" si="15"/>
        <v>1595125</v>
      </c>
      <c r="AD26" s="511">
        <f t="shared" si="15"/>
        <v>1602625</v>
      </c>
      <c r="AE26" s="511">
        <f t="shared" si="15"/>
        <v>1609125</v>
      </c>
      <c r="AF26" s="511">
        <f t="shared" si="15"/>
        <v>1617250</v>
      </c>
      <c r="AG26" s="512">
        <f t="shared" si="15"/>
        <v>1629750</v>
      </c>
      <c r="AH26" s="335"/>
    </row>
    <row r="27" spans="1:34" ht="13.8" thickBot="1" x14ac:dyDescent="0.25">
      <c r="A27" s="327"/>
      <c r="F27" s="327"/>
      <c r="K27" s="521"/>
      <c r="L27" s="536"/>
      <c r="M27" s="542" t="str">
        <f>+IF(M25&lt;30%,"BON",IF(M25&lt;49%,"MOYEN",IF(M25&lt;80%,"FAIBLE","RISQUE")))</f>
        <v>BON</v>
      </c>
      <c r="N27" s="536"/>
      <c r="O27" s="541" t="str">
        <f>+IF(O25&lt;30%,"BON",IF(O25&lt;49%,"MOYEN",IF(O25&lt;80%,"FAIBLE","RISQUE")))</f>
        <v>FAIBLE</v>
      </c>
      <c r="P27" s="536"/>
      <c r="Q27" s="542" t="str">
        <f>+IF(Q25&lt;30%,"BON",IF(Q25&lt;49%,"MOYEN",IF(Q25&lt;80%,"FAIBLE","RISQUE")))</f>
        <v>RISQUE</v>
      </c>
      <c r="T27" s="489" t="s">
        <v>449</v>
      </c>
      <c r="U27" s="453"/>
      <c r="V27" s="626">
        <v>100</v>
      </c>
      <c r="W27" s="543">
        <f>V27</f>
        <v>100</v>
      </c>
      <c r="X27" s="543">
        <f t="shared" ref="X27:AG27" si="16">W27</f>
        <v>100</v>
      </c>
      <c r="Y27" s="543">
        <f t="shared" si="16"/>
        <v>100</v>
      </c>
      <c r="Z27" s="543">
        <f t="shared" si="16"/>
        <v>100</v>
      </c>
      <c r="AA27" s="543">
        <f t="shared" si="16"/>
        <v>100</v>
      </c>
      <c r="AB27" s="543">
        <f t="shared" si="16"/>
        <v>100</v>
      </c>
      <c r="AC27" s="543">
        <f t="shared" si="16"/>
        <v>100</v>
      </c>
      <c r="AD27" s="543">
        <f t="shared" si="16"/>
        <v>100</v>
      </c>
      <c r="AE27" s="543">
        <f t="shared" si="16"/>
        <v>100</v>
      </c>
      <c r="AF27" s="543">
        <f t="shared" si="16"/>
        <v>100</v>
      </c>
      <c r="AG27" s="544">
        <f t="shared" si="16"/>
        <v>100</v>
      </c>
      <c r="AH27" s="335"/>
    </row>
    <row r="28" spans="1:34" ht="30" customHeight="1" thickBot="1" x14ac:dyDescent="0.25">
      <c r="A28" s="435" t="s">
        <v>230</v>
      </c>
      <c r="B28" s="436">
        <f>B11+B26</f>
        <v>912400</v>
      </c>
      <c r="C28" s="433">
        <f>C11+C26</f>
        <v>941493</v>
      </c>
      <c r="D28" s="434">
        <f>D11+D26</f>
        <v>799732</v>
      </c>
      <c r="F28" s="431" t="s">
        <v>231</v>
      </c>
      <c r="G28" s="432">
        <f>+G26+G13+G11</f>
        <v>912400</v>
      </c>
      <c r="H28" s="433">
        <f>+H26+H13+H11</f>
        <v>941493</v>
      </c>
      <c r="I28" s="434">
        <f>+I26+I13+I11</f>
        <v>799732</v>
      </c>
      <c r="K28" s="521"/>
      <c r="L28" s="536"/>
      <c r="M28" s="533"/>
      <c r="N28" s="536"/>
      <c r="O28" s="534"/>
      <c r="P28" s="536"/>
      <c r="Q28" s="533"/>
      <c r="T28" s="489" t="s">
        <v>437</v>
      </c>
      <c r="U28" s="453"/>
      <c r="V28" s="627">
        <v>90</v>
      </c>
      <c r="W28" s="508">
        <f t="shared" ref="W28:AG30" si="17">V28</f>
        <v>90</v>
      </c>
      <c r="X28" s="508">
        <f t="shared" si="17"/>
        <v>90</v>
      </c>
      <c r="Y28" s="508">
        <f t="shared" si="17"/>
        <v>90</v>
      </c>
      <c r="Z28" s="508">
        <f t="shared" si="17"/>
        <v>90</v>
      </c>
      <c r="AA28" s="508">
        <f t="shared" si="17"/>
        <v>90</v>
      </c>
      <c r="AB28" s="508">
        <f t="shared" si="17"/>
        <v>90</v>
      </c>
      <c r="AC28" s="508">
        <f t="shared" si="17"/>
        <v>90</v>
      </c>
      <c r="AD28" s="508">
        <f t="shared" si="17"/>
        <v>90</v>
      </c>
      <c r="AE28" s="508">
        <f t="shared" si="17"/>
        <v>90</v>
      </c>
      <c r="AF28" s="508">
        <f t="shared" si="17"/>
        <v>90</v>
      </c>
      <c r="AG28" s="509">
        <f t="shared" si="17"/>
        <v>90</v>
      </c>
      <c r="AH28" s="335"/>
    </row>
    <row r="29" spans="1:34" x14ac:dyDescent="0.2">
      <c r="K29" s="531" t="s">
        <v>406</v>
      </c>
      <c r="L29" s="532"/>
      <c r="M29" s="533"/>
      <c r="N29" s="532"/>
      <c r="O29" s="534"/>
      <c r="P29" s="532"/>
      <c r="Q29" s="533"/>
      <c r="T29" s="489" t="s">
        <v>450</v>
      </c>
      <c r="U29" s="453"/>
      <c r="V29" s="627">
        <v>60</v>
      </c>
      <c r="W29" s="508">
        <f t="shared" si="17"/>
        <v>60</v>
      </c>
      <c r="X29" s="508">
        <f t="shared" si="17"/>
        <v>60</v>
      </c>
      <c r="Y29" s="508">
        <f t="shared" si="17"/>
        <v>60</v>
      </c>
      <c r="Z29" s="508">
        <f t="shared" si="17"/>
        <v>60</v>
      </c>
      <c r="AA29" s="508">
        <f t="shared" si="17"/>
        <v>60</v>
      </c>
      <c r="AB29" s="508">
        <f t="shared" si="17"/>
        <v>60</v>
      </c>
      <c r="AC29" s="508">
        <f t="shared" si="17"/>
        <v>60</v>
      </c>
      <c r="AD29" s="508">
        <f t="shared" si="17"/>
        <v>60</v>
      </c>
      <c r="AE29" s="508">
        <f t="shared" si="17"/>
        <v>60</v>
      </c>
      <c r="AF29" s="508">
        <f t="shared" si="17"/>
        <v>60</v>
      </c>
      <c r="AG29" s="509">
        <f t="shared" si="17"/>
        <v>60</v>
      </c>
      <c r="AH29" s="335"/>
    </row>
    <row r="30" spans="1:34" x14ac:dyDescent="0.2">
      <c r="F30" s="335" t="s">
        <v>245</v>
      </c>
      <c r="G30" s="428">
        <v>15000</v>
      </c>
      <c r="H30" s="429">
        <v>23588</v>
      </c>
      <c r="I30" s="430">
        <v>5689</v>
      </c>
      <c r="K30" s="521"/>
      <c r="L30" s="532"/>
      <c r="M30" s="533"/>
      <c r="N30" s="532"/>
      <c r="O30" s="534"/>
      <c r="P30" s="532"/>
      <c r="Q30" s="533"/>
      <c r="T30" s="493" t="s">
        <v>439</v>
      </c>
      <c r="U30" s="454"/>
      <c r="V30" s="628">
        <v>20</v>
      </c>
      <c r="W30" s="545">
        <f t="shared" si="17"/>
        <v>20</v>
      </c>
      <c r="X30" s="545">
        <f t="shared" si="17"/>
        <v>20</v>
      </c>
      <c r="Y30" s="545">
        <f t="shared" si="17"/>
        <v>20</v>
      </c>
      <c r="Z30" s="545">
        <f t="shared" si="17"/>
        <v>20</v>
      </c>
      <c r="AA30" s="545">
        <f t="shared" si="17"/>
        <v>20</v>
      </c>
      <c r="AB30" s="545">
        <f t="shared" si="17"/>
        <v>20</v>
      </c>
      <c r="AC30" s="545">
        <f t="shared" si="17"/>
        <v>20</v>
      </c>
      <c r="AD30" s="545">
        <f t="shared" si="17"/>
        <v>20</v>
      </c>
      <c r="AE30" s="545">
        <f t="shared" si="17"/>
        <v>20</v>
      </c>
      <c r="AF30" s="545">
        <f t="shared" si="17"/>
        <v>20</v>
      </c>
      <c r="AG30" s="546">
        <f t="shared" si="17"/>
        <v>20</v>
      </c>
      <c r="AH30" s="335"/>
    </row>
    <row r="31" spans="1:34" x14ac:dyDescent="0.25">
      <c r="K31" s="537" t="str">
        <f>K54</f>
        <v xml:space="preserve">Excédent Brut d'exploitation </v>
      </c>
      <c r="L31" s="538">
        <f>L54</f>
        <v>390000</v>
      </c>
      <c r="M31" s="547">
        <f>L31/L32</f>
        <v>97.5</v>
      </c>
      <c r="N31" s="538">
        <f>N54</f>
        <v>320000</v>
      </c>
      <c r="O31" s="548">
        <f>N31/N32</f>
        <v>35.555555555555557</v>
      </c>
      <c r="P31" s="538">
        <f>P54</f>
        <v>210000</v>
      </c>
      <c r="Q31" s="547">
        <f>P31/P32</f>
        <v>11.052631578947368</v>
      </c>
      <c r="T31" s="335"/>
      <c r="U31" s="335"/>
      <c r="V31" s="335"/>
      <c r="W31" s="335"/>
      <c r="X31" s="335"/>
      <c r="Y31" s="335"/>
      <c r="Z31" s="335"/>
      <c r="AA31" s="335"/>
      <c r="AB31" s="335"/>
      <c r="AC31" s="335"/>
      <c r="AD31" s="335"/>
      <c r="AE31" s="335"/>
      <c r="AF31" s="335"/>
      <c r="AG31" s="335"/>
      <c r="AH31" s="335"/>
    </row>
    <row r="32" spans="1:34" x14ac:dyDescent="0.25">
      <c r="K32" s="521" t="str">
        <f>K55</f>
        <v xml:space="preserve">Intérêt des emprunts </v>
      </c>
      <c r="L32" s="536">
        <f>L55</f>
        <v>4000</v>
      </c>
      <c r="M32" s="533"/>
      <c r="N32" s="536">
        <f>N55</f>
        <v>9000</v>
      </c>
      <c r="O32" s="534"/>
      <c r="P32" s="536">
        <f>P55</f>
        <v>19000</v>
      </c>
      <c r="Q32" s="533"/>
      <c r="T32" s="335"/>
      <c r="U32" s="335"/>
      <c r="V32" s="335"/>
      <c r="W32" s="335"/>
      <c r="X32" s="335"/>
      <c r="Y32" s="335"/>
      <c r="Z32" s="335"/>
      <c r="AA32" s="335"/>
      <c r="AB32" s="335"/>
      <c r="AC32" s="335"/>
      <c r="AD32" s="335"/>
      <c r="AE32" s="335"/>
      <c r="AF32" s="335"/>
      <c r="AG32" s="335"/>
      <c r="AH32" s="335"/>
    </row>
    <row r="33" spans="1:34" x14ac:dyDescent="0.25">
      <c r="A33" s="340" t="s">
        <v>420</v>
      </c>
      <c r="K33" s="521"/>
      <c r="L33" s="532"/>
      <c r="M33" s="542" t="str">
        <f>+IF(M31&gt;8,"BON",IF(M31&gt;4.99,"MOYEN",IF(M31&gt;1,"FAIBLE","RISQUE")))</f>
        <v>BON</v>
      </c>
      <c r="N33" s="532"/>
      <c r="O33" s="541" t="str">
        <f>+IF(O31&gt;8,"BON",IF(O31&gt;4.99,"MOYEN",IF(O31&gt;1,"FAIBLE","RISQUE")))</f>
        <v>BON</v>
      </c>
      <c r="P33" s="532"/>
      <c r="Q33" s="542" t="str">
        <f>+IF(Q31&gt;8,"BON",IF(Q31&gt;4.99,"MOYEN",IF(Q31&gt;1,"FAIBLE","RISQUE")))</f>
        <v>BON</v>
      </c>
      <c r="T33" s="335"/>
      <c r="U33" s="335"/>
      <c r="V33" s="335" t="s">
        <v>451</v>
      </c>
      <c r="W33" s="335"/>
      <c r="X33" s="335"/>
      <c r="Y33" s="335"/>
      <c r="Z33" s="335"/>
      <c r="AA33" s="335"/>
      <c r="AB33" s="335"/>
      <c r="AC33" s="335"/>
      <c r="AD33" s="335"/>
      <c r="AE33" s="335"/>
      <c r="AF33" s="335"/>
      <c r="AG33" s="335"/>
      <c r="AH33" s="335"/>
    </row>
    <row r="34" spans="1:34" x14ac:dyDescent="0.25">
      <c r="K34" s="531" t="s">
        <v>407</v>
      </c>
      <c r="L34" s="532"/>
      <c r="M34" s="533"/>
      <c r="N34" s="532"/>
      <c r="O34" s="534"/>
      <c r="P34" s="532"/>
      <c r="Q34" s="533"/>
    </row>
    <row r="35" spans="1:34" x14ac:dyDescent="0.2">
      <c r="A35" s="470" t="s">
        <v>248</v>
      </c>
      <c r="B35" s="475">
        <f>B4</f>
        <v>42551</v>
      </c>
      <c r="C35" s="476">
        <f t="shared" ref="C35:D35" si="18">C4</f>
        <v>42185</v>
      </c>
      <c r="D35" s="462">
        <f t="shared" si="18"/>
        <v>41820</v>
      </c>
      <c r="K35" s="521"/>
      <c r="L35" s="532"/>
      <c r="M35" s="533"/>
      <c r="N35" s="532"/>
      <c r="O35" s="534"/>
      <c r="P35" s="532"/>
      <c r="Q35" s="533"/>
      <c r="T35" s="339" t="s">
        <v>453</v>
      </c>
    </row>
    <row r="36" spans="1:34" x14ac:dyDescent="0.25">
      <c r="A36" s="471"/>
      <c r="B36" s="477"/>
      <c r="C36" s="478"/>
      <c r="D36" s="479"/>
      <c r="K36" s="537" t="str">
        <f>K60</f>
        <v>Capacité d'autofinancement (CAF)</v>
      </c>
      <c r="L36" s="538">
        <f>L60</f>
        <v>223466</v>
      </c>
      <c r="M36" s="539">
        <f>L36/L37</f>
        <v>1.4625695398913541</v>
      </c>
      <c r="N36" s="538">
        <f>N60</f>
        <v>187380</v>
      </c>
      <c r="O36" s="540">
        <f>N36/N37</f>
        <v>0.81070557084263539</v>
      </c>
      <c r="P36" s="538">
        <f>P60</f>
        <v>160924</v>
      </c>
      <c r="Q36" s="539">
        <f>P36/P37</f>
        <v>0.56382460627507314</v>
      </c>
      <c r="V36" s="844" t="str">
        <f>YEAR(U38)&amp;" - "&amp;YEAR(U38)+1</f>
        <v>2016 - 2017</v>
      </c>
      <c r="W36" s="845"/>
      <c r="X36" s="845"/>
      <c r="Y36" s="845"/>
      <c r="Z36" s="845"/>
      <c r="AA36" s="845"/>
      <c r="AB36" s="845"/>
      <c r="AC36" s="845"/>
      <c r="AD36" s="845"/>
      <c r="AE36" s="845"/>
      <c r="AF36" s="845"/>
      <c r="AG36" s="846"/>
    </row>
    <row r="37" spans="1:34" x14ac:dyDescent="0.2">
      <c r="A37" s="472" t="s">
        <v>421</v>
      </c>
      <c r="B37" s="477">
        <f>B15-C15</f>
        <v>20043</v>
      </c>
      <c r="C37" s="478">
        <f>C15-D15</f>
        <v>59982</v>
      </c>
      <c r="D37" s="479"/>
      <c r="E37" s="312" t="s">
        <v>452</v>
      </c>
      <c r="K37" s="521" t="str">
        <f>K25</f>
        <v>Emprunts et dettes financières</v>
      </c>
      <c r="L37" s="549">
        <f>L25</f>
        <v>152790</v>
      </c>
      <c r="M37" s="533"/>
      <c r="N37" s="549">
        <f>N25</f>
        <v>231132</v>
      </c>
      <c r="O37" s="534"/>
      <c r="P37" s="549">
        <f>P25</f>
        <v>285415</v>
      </c>
      <c r="Q37" s="533"/>
      <c r="T37" s="325"/>
      <c r="U37" s="580" t="s">
        <v>46</v>
      </c>
      <c r="V37" s="607" t="s">
        <v>147</v>
      </c>
      <c r="W37" s="608" t="s">
        <v>148</v>
      </c>
      <c r="X37" s="608" t="s">
        <v>149</v>
      </c>
      <c r="Y37" s="608" t="s">
        <v>150</v>
      </c>
      <c r="Z37" s="608" t="s">
        <v>151</v>
      </c>
      <c r="AA37" s="608" t="s">
        <v>152</v>
      </c>
      <c r="AB37" s="608" t="s">
        <v>153</v>
      </c>
      <c r="AC37" s="608" t="s">
        <v>154</v>
      </c>
      <c r="AD37" s="608" t="s">
        <v>155</v>
      </c>
      <c r="AE37" s="608" t="s">
        <v>156</v>
      </c>
      <c r="AF37" s="608" t="s">
        <v>157</v>
      </c>
      <c r="AG37" s="609" t="s">
        <v>158</v>
      </c>
    </row>
    <row r="38" spans="1:34" x14ac:dyDescent="0.2">
      <c r="A38" s="472" t="s">
        <v>422</v>
      </c>
      <c r="B38" s="477">
        <f>B16-C16</f>
        <v>4130</v>
      </c>
      <c r="C38" s="478">
        <f>C16-D16</f>
        <v>2230</v>
      </c>
      <c r="D38" s="479"/>
      <c r="K38" s="521"/>
      <c r="L38" s="532"/>
      <c r="M38" s="542" t="str">
        <f>+IF(M36&gt;55%,"BON",IF(M36&gt;6.9%,"MOYEN",IF(M36&gt;2%,"FAIBLE","RISQUE")))</f>
        <v>BON</v>
      </c>
      <c r="N38" s="532"/>
      <c r="O38" s="541" t="str">
        <f>+IF(O36&gt;55%,"BON",IF(O36&gt;6.9%,"MOYEN",IF(O36&gt;2%,"FAIBLE","RISQUE")))</f>
        <v>BON</v>
      </c>
      <c r="P38" s="532"/>
      <c r="Q38" s="542" t="str">
        <f>+IF(Q36&gt;55%,"BON",IF(Q36&gt;6.9%,"MOYEN",IF(Q36&gt;2%,"FAIBLE","RISQUE")))</f>
        <v>BON</v>
      </c>
      <c r="T38" s="581"/>
      <c r="U38" s="582">
        <f>B4</f>
        <v>42551</v>
      </c>
      <c r="V38" s="583"/>
      <c r="W38" s="584"/>
      <c r="X38" s="584"/>
      <c r="Y38" s="584"/>
      <c r="Z38" s="584"/>
      <c r="AA38" s="584"/>
      <c r="AB38" s="584"/>
      <c r="AC38" s="584"/>
      <c r="AD38" s="584"/>
      <c r="AE38" s="584"/>
      <c r="AF38" s="584"/>
      <c r="AG38" s="585"/>
    </row>
    <row r="39" spans="1:34" x14ac:dyDescent="0.2">
      <c r="A39" s="472" t="s">
        <v>423</v>
      </c>
      <c r="B39" s="477">
        <f t="shared" ref="B39:C40" si="19">B17-C17</f>
        <v>-97834</v>
      </c>
      <c r="C39" s="478">
        <f t="shared" si="19"/>
        <v>31691</v>
      </c>
      <c r="D39" s="479"/>
      <c r="K39" s="521"/>
      <c r="L39" s="532"/>
      <c r="M39" s="533"/>
      <c r="N39" s="532"/>
      <c r="O39" s="534"/>
      <c r="P39" s="532"/>
      <c r="Q39" s="533"/>
      <c r="T39" s="451"/>
      <c r="U39" s="451"/>
      <c r="V39" s="486"/>
      <c r="W39" s="487"/>
      <c r="X39" s="487"/>
      <c r="Y39" s="487"/>
      <c r="Z39" s="487"/>
      <c r="AA39" s="487"/>
      <c r="AB39" s="487"/>
      <c r="AC39" s="487"/>
      <c r="AD39" s="487"/>
      <c r="AE39" s="487"/>
      <c r="AF39" s="487"/>
      <c r="AG39" s="488"/>
    </row>
    <row r="40" spans="1:34" x14ac:dyDescent="0.2">
      <c r="A40" s="472" t="s">
        <v>424</v>
      </c>
      <c r="B40" s="477">
        <f t="shared" si="19"/>
        <v>6160</v>
      </c>
      <c r="C40" s="478">
        <f t="shared" si="19"/>
        <v>11161</v>
      </c>
      <c r="D40" s="479"/>
      <c r="K40" s="521"/>
      <c r="L40" s="532"/>
      <c r="M40" s="533"/>
      <c r="N40" s="532"/>
      <c r="O40" s="534"/>
      <c r="P40" s="532"/>
      <c r="Q40" s="533"/>
      <c r="T40" s="489" t="s">
        <v>253</v>
      </c>
      <c r="U40" s="610">
        <f>U6</f>
        <v>400700</v>
      </c>
      <c r="V40" s="611">
        <v>450000</v>
      </c>
      <c r="W40" s="612">
        <v>420000</v>
      </c>
      <c r="X40" s="612">
        <v>440000</v>
      </c>
      <c r="Y40" s="612">
        <v>450000</v>
      </c>
      <c r="Z40" s="612">
        <v>450000</v>
      </c>
      <c r="AA40" s="612">
        <v>430000</v>
      </c>
      <c r="AB40" s="612">
        <v>500000</v>
      </c>
      <c r="AC40" s="612">
        <v>390000</v>
      </c>
      <c r="AD40" s="612">
        <v>390000</v>
      </c>
      <c r="AE40" s="612">
        <v>370000</v>
      </c>
      <c r="AF40" s="612">
        <v>390000</v>
      </c>
      <c r="AG40" s="613">
        <v>440000</v>
      </c>
    </row>
    <row r="41" spans="1:34" x14ac:dyDescent="0.2">
      <c r="A41" s="472" t="s">
        <v>425</v>
      </c>
      <c r="B41" s="477">
        <f>B24-C24</f>
        <v>1111</v>
      </c>
      <c r="C41" s="478">
        <f>C24-D24</f>
        <v>5022</v>
      </c>
      <c r="D41" s="479"/>
      <c r="K41" s="521" t="s">
        <v>408</v>
      </c>
      <c r="L41" s="550">
        <f>L63/(L$62/360)</f>
        <v>88.309350866399143</v>
      </c>
      <c r="M41" s="551"/>
      <c r="N41" s="550">
        <f>N63/(N$62/360)</f>
        <v>86.752564690986773</v>
      </c>
      <c r="O41" s="552"/>
      <c r="P41" s="550">
        <f>P63/(P$62/360)</f>
        <v>82.459285714285713</v>
      </c>
      <c r="Q41" s="551"/>
      <c r="T41" s="489" t="s">
        <v>437</v>
      </c>
      <c r="U41" s="489">
        <f t="shared" ref="U41:U44" si="20">U7</f>
        <v>330400</v>
      </c>
      <c r="V41" s="611">
        <v>350000</v>
      </c>
      <c r="W41" s="612">
        <v>400000</v>
      </c>
      <c r="X41" s="612">
        <v>410000</v>
      </c>
      <c r="Y41" s="612">
        <v>400000</v>
      </c>
      <c r="Z41" s="612">
        <v>423000</v>
      </c>
      <c r="AA41" s="612">
        <v>400000</v>
      </c>
      <c r="AB41" s="612">
        <v>401000</v>
      </c>
      <c r="AC41" s="612">
        <v>385000</v>
      </c>
      <c r="AD41" s="612">
        <v>402000</v>
      </c>
      <c r="AE41" s="612">
        <v>405000</v>
      </c>
      <c r="AF41" s="612">
        <v>410000</v>
      </c>
      <c r="AG41" s="613">
        <v>402000</v>
      </c>
    </row>
    <row r="42" spans="1:34" x14ac:dyDescent="0.2">
      <c r="A42" s="473" t="s">
        <v>426</v>
      </c>
      <c r="B42" s="480">
        <f>SUM(B37:B41)</f>
        <v>-66390</v>
      </c>
      <c r="C42" s="481">
        <f>SUM(C37:C41)</f>
        <v>110086</v>
      </c>
      <c r="D42" s="482"/>
      <c r="K42" s="521"/>
      <c r="L42" s="550"/>
      <c r="M42" s="551"/>
      <c r="N42" s="550"/>
      <c r="O42" s="552"/>
      <c r="P42" s="550"/>
      <c r="Q42" s="551"/>
      <c r="T42" s="489" t="s">
        <v>240</v>
      </c>
      <c r="U42" s="489">
        <f t="shared" si="20"/>
        <v>-56400</v>
      </c>
      <c r="V42" s="611">
        <f>-250000</f>
        <v>-250000</v>
      </c>
      <c r="W42" s="612">
        <f>-265000</f>
        <v>-265000</v>
      </c>
      <c r="X42" s="612">
        <f>-270000</f>
        <v>-270000</v>
      </c>
      <c r="Y42" s="612">
        <f>-250000</f>
        <v>-250000</v>
      </c>
      <c r="Z42" s="612">
        <f>-260000</f>
        <v>-260000</v>
      </c>
      <c r="AA42" s="612">
        <f>-259000</f>
        <v>-259000</v>
      </c>
      <c r="AB42" s="612">
        <f>-224000</f>
        <v>-224000</v>
      </c>
      <c r="AC42" s="612">
        <f>-266000</f>
        <v>-266000</v>
      </c>
      <c r="AD42" s="612">
        <f>-251000</f>
        <v>-251000</v>
      </c>
      <c r="AE42" s="612">
        <f>-256000</f>
        <v>-256000</v>
      </c>
      <c r="AF42" s="612">
        <f>-270000</f>
        <v>-270000</v>
      </c>
      <c r="AG42" s="613">
        <f>-285000</f>
        <v>-285000</v>
      </c>
    </row>
    <row r="43" spans="1:34" x14ac:dyDescent="0.2">
      <c r="A43" s="472"/>
      <c r="B43" s="477"/>
      <c r="C43" s="478"/>
      <c r="D43" s="479"/>
      <c r="K43" s="521" t="s">
        <v>409</v>
      </c>
      <c r="L43" s="550">
        <f>L64/(L$62*1.196/360)</f>
        <v>60.883023117275286</v>
      </c>
      <c r="M43" s="551"/>
      <c r="N43" s="550">
        <f>N64/(N$62*1.196/360)</f>
        <v>81.601561269754399</v>
      </c>
      <c r="O43" s="552"/>
      <c r="P43" s="550">
        <f>P64/(P$62*1.196/360)</f>
        <v>85.257692307692309</v>
      </c>
      <c r="Q43" s="551"/>
      <c r="T43" s="489" t="s">
        <v>173</v>
      </c>
      <c r="U43" s="489">
        <f t="shared" si="20"/>
        <v>118000</v>
      </c>
      <c r="V43" s="611">
        <v>65000</v>
      </c>
      <c r="W43" s="612">
        <f>-W$29*W65/360</f>
        <v>0</v>
      </c>
      <c r="X43" s="612">
        <f>-X$29*X65/360</f>
        <v>0</v>
      </c>
      <c r="Y43" s="612">
        <f>-Y$29*Y65/360</f>
        <v>0</v>
      </c>
      <c r="Z43" s="612">
        <f>-Z$29*Z65/360</f>
        <v>0</v>
      </c>
      <c r="AA43" s="612">
        <v>7600</v>
      </c>
      <c r="AB43" s="612">
        <f>-AB$29*AB65/360</f>
        <v>0</v>
      </c>
      <c r="AC43" s="612">
        <f>-AC$29*AC65/360</f>
        <v>0</v>
      </c>
      <c r="AD43" s="612">
        <v>56000</v>
      </c>
      <c r="AE43" s="612">
        <f>-AE$29*AE65/360</f>
        <v>0</v>
      </c>
      <c r="AF43" s="612">
        <f>-AF$29*AF65/360</f>
        <v>0</v>
      </c>
      <c r="AG43" s="613">
        <f>-AG$29*AG65/360</f>
        <v>0</v>
      </c>
    </row>
    <row r="44" spans="1:34" x14ac:dyDescent="0.2">
      <c r="A44" s="472" t="s">
        <v>427</v>
      </c>
      <c r="B44" s="477">
        <f>G17-H17</f>
        <v>-831</v>
      </c>
      <c r="C44" s="478">
        <f>H17-I17</f>
        <v>-6684</v>
      </c>
      <c r="D44" s="479"/>
      <c r="K44" s="521"/>
      <c r="L44" s="550"/>
      <c r="M44" s="551"/>
      <c r="N44" s="550"/>
      <c r="O44" s="552"/>
      <c r="P44" s="550"/>
      <c r="Q44" s="551"/>
      <c r="T44" s="493" t="s">
        <v>439</v>
      </c>
      <c r="U44" s="489">
        <f t="shared" si="20"/>
        <v>45090</v>
      </c>
      <c r="V44" s="617">
        <f>90000</f>
        <v>90000</v>
      </c>
      <c r="W44" s="618">
        <f>88000</f>
        <v>88000</v>
      </c>
      <c r="X44" s="618">
        <v>86000</v>
      </c>
      <c r="Y44" s="618">
        <v>67000</v>
      </c>
      <c r="Z44" s="618">
        <v>51000</v>
      </c>
      <c r="AA44" s="618">
        <v>89000</v>
      </c>
      <c r="AB44" s="618">
        <v>10000</v>
      </c>
      <c r="AC44" s="618">
        <v>85000</v>
      </c>
      <c r="AD44" s="618">
        <v>46000</v>
      </c>
      <c r="AE44" s="618">
        <v>91000</v>
      </c>
      <c r="AF44" s="618">
        <v>65000</v>
      </c>
      <c r="AG44" s="619">
        <v>92000</v>
      </c>
    </row>
    <row r="45" spans="1:34" x14ac:dyDescent="0.2">
      <c r="A45" s="472" t="s">
        <v>428</v>
      </c>
      <c r="B45" s="477">
        <f t="shared" ref="B45:C47" si="21">G18-H18</f>
        <v>-163725</v>
      </c>
      <c r="C45" s="478">
        <f t="shared" si="21"/>
        <v>17938</v>
      </c>
      <c r="D45" s="479"/>
      <c r="K45" s="521" t="s">
        <v>410</v>
      </c>
      <c r="L45" s="550">
        <f>L65/(L$62*1.196/360)</f>
        <v>10.392864720987671</v>
      </c>
      <c r="M45" s="551"/>
      <c r="N45" s="550">
        <f>N65/(N$62*1.196/360)</f>
        <v>41.945627097579091</v>
      </c>
      <c r="O45" s="552"/>
      <c r="P45" s="550">
        <f>P65/(P$62*1.196/360)</f>
        <v>43.470688007644526</v>
      </c>
      <c r="Q45" s="551"/>
      <c r="T45" s="586" t="s">
        <v>440</v>
      </c>
      <c r="U45" s="587">
        <f>SUM(U40:U44)</f>
        <v>837790</v>
      </c>
      <c r="V45" s="587">
        <f>SUM(V40:V44)</f>
        <v>705000</v>
      </c>
      <c r="W45" s="588">
        <f t="shared" ref="W45:AG45" si="22">SUM(W40:W44)</f>
        <v>643000</v>
      </c>
      <c r="X45" s="588">
        <f t="shared" si="22"/>
        <v>666000</v>
      </c>
      <c r="Y45" s="588">
        <f t="shared" si="22"/>
        <v>667000</v>
      </c>
      <c r="Z45" s="588">
        <f t="shared" si="22"/>
        <v>664000</v>
      </c>
      <c r="AA45" s="588">
        <f t="shared" si="22"/>
        <v>667600</v>
      </c>
      <c r="AB45" s="588">
        <f t="shared" si="22"/>
        <v>687000</v>
      </c>
      <c r="AC45" s="588">
        <f t="shared" si="22"/>
        <v>594000</v>
      </c>
      <c r="AD45" s="588">
        <f t="shared" si="22"/>
        <v>643000</v>
      </c>
      <c r="AE45" s="588">
        <f t="shared" si="22"/>
        <v>610000</v>
      </c>
      <c r="AF45" s="588">
        <f t="shared" si="22"/>
        <v>595000</v>
      </c>
      <c r="AG45" s="589">
        <f t="shared" si="22"/>
        <v>649000</v>
      </c>
    </row>
    <row r="46" spans="1:34" x14ac:dyDescent="0.2">
      <c r="A46" s="472" t="s">
        <v>429</v>
      </c>
      <c r="B46" s="477">
        <f t="shared" si="21"/>
        <v>-1233</v>
      </c>
      <c r="C46" s="478">
        <f t="shared" si="21"/>
        <v>-3100</v>
      </c>
      <c r="D46" s="479"/>
      <c r="K46" s="535"/>
      <c r="L46" s="553"/>
      <c r="M46" s="554"/>
      <c r="N46" s="555"/>
      <c r="O46" s="555"/>
      <c r="P46" s="553"/>
      <c r="Q46" s="554"/>
      <c r="T46" s="489"/>
      <c r="U46" s="489"/>
      <c r="V46" s="490"/>
      <c r="W46" s="491"/>
      <c r="X46" s="491"/>
      <c r="Y46" s="491"/>
      <c r="Z46" s="491"/>
      <c r="AA46" s="491"/>
      <c r="AB46" s="491"/>
      <c r="AC46" s="491"/>
      <c r="AD46" s="491"/>
      <c r="AE46" s="491"/>
      <c r="AF46" s="491"/>
      <c r="AG46" s="492"/>
    </row>
    <row r="47" spans="1:34" x14ac:dyDescent="0.2">
      <c r="A47" s="472" t="s">
        <v>430</v>
      </c>
      <c r="B47" s="477">
        <f t="shared" si="21"/>
        <v>49</v>
      </c>
      <c r="C47" s="478">
        <f t="shared" si="21"/>
        <v>380</v>
      </c>
      <c r="D47" s="479"/>
      <c r="K47" s="534"/>
      <c r="L47" s="534"/>
      <c r="M47" s="534"/>
      <c r="N47" s="534"/>
      <c r="O47" s="534"/>
      <c r="P47" s="534"/>
      <c r="Q47" s="534"/>
      <c r="T47" s="489" t="s">
        <v>441</v>
      </c>
      <c r="U47" s="489">
        <f t="shared" ref="U47:U48" si="23">U13</f>
        <v>680000</v>
      </c>
      <c r="V47" s="611">
        <v>450000</v>
      </c>
      <c r="W47" s="612">
        <v>450000</v>
      </c>
      <c r="X47" s="612">
        <v>450000</v>
      </c>
      <c r="Y47" s="612">
        <v>450000</v>
      </c>
      <c r="Z47" s="612">
        <v>450000</v>
      </c>
      <c r="AA47" s="612">
        <v>450000</v>
      </c>
      <c r="AB47" s="612">
        <v>450000</v>
      </c>
      <c r="AC47" s="612">
        <v>450000</v>
      </c>
      <c r="AD47" s="612">
        <v>450000</v>
      </c>
      <c r="AE47" s="612">
        <v>450000</v>
      </c>
      <c r="AF47" s="612">
        <v>450000</v>
      </c>
      <c r="AG47" s="613">
        <v>450000</v>
      </c>
    </row>
    <row r="48" spans="1:34" x14ac:dyDescent="0.2">
      <c r="A48" s="472" t="str">
        <f>F24</f>
        <v xml:space="preserve">Produits constatés d'avance </v>
      </c>
      <c r="B48" s="477">
        <f>G24-H24</f>
        <v>726</v>
      </c>
      <c r="C48" s="478">
        <f>H24-I24</f>
        <v>-535</v>
      </c>
      <c r="D48" s="479"/>
      <c r="K48" s="534"/>
      <c r="L48" s="534"/>
      <c r="M48" s="534"/>
      <c r="N48" s="534"/>
      <c r="O48" s="534"/>
      <c r="P48" s="534"/>
      <c r="Q48" s="534"/>
      <c r="R48" s="534"/>
      <c r="S48" s="534"/>
      <c r="T48" s="489" t="s">
        <v>238</v>
      </c>
      <c r="U48" s="489">
        <f t="shared" si="23"/>
        <v>140000</v>
      </c>
      <c r="V48" s="611">
        <v>250000</v>
      </c>
      <c r="W48" s="612">
        <v>250000</v>
      </c>
      <c r="X48" s="612">
        <v>250000</v>
      </c>
      <c r="Y48" s="612">
        <v>250000</v>
      </c>
      <c r="Z48" s="612">
        <v>250000</v>
      </c>
      <c r="AA48" s="612">
        <v>250000</v>
      </c>
      <c r="AB48" s="612">
        <v>250000</v>
      </c>
      <c r="AC48" s="612">
        <v>250000</v>
      </c>
      <c r="AD48" s="612">
        <v>250000</v>
      </c>
      <c r="AE48" s="612">
        <v>250000</v>
      </c>
      <c r="AF48" s="612">
        <v>250000</v>
      </c>
      <c r="AG48" s="613">
        <v>250000</v>
      </c>
    </row>
    <row r="49" spans="1:33" x14ac:dyDescent="0.2">
      <c r="A49" s="473" t="s">
        <v>431</v>
      </c>
      <c r="B49" s="480">
        <f>SUM(B44:B48)</f>
        <v>-165014</v>
      </c>
      <c r="C49" s="481">
        <f>SUM(C44:C48)</f>
        <v>7999</v>
      </c>
      <c r="D49" s="482"/>
      <c r="K49" s="335"/>
      <c r="L49" s="335"/>
      <c r="M49" s="335"/>
      <c r="N49" s="335"/>
      <c r="O49" s="335"/>
      <c r="P49" s="335"/>
      <c r="Q49" s="335"/>
      <c r="R49" s="335"/>
      <c r="S49" s="335"/>
      <c r="T49" s="495" t="s">
        <v>442</v>
      </c>
      <c r="U49" s="590">
        <f>SUM(U47:U48)</f>
        <v>820000</v>
      </c>
      <c r="V49" s="590">
        <f>SUM(V47:V48)</f>
        <v>700000</v>
      </c>
      <c r="W49" s="591">
        <f t="shared" ref="W49:AG49" si="24">SUM(W47:W48)</f>
        <v>700000</v>
      </c>
      <c r="X49" s="591">
        <f t="shared" si="24"/>
        <v>700000</v>
      </c>
      <c r="Y49" s="591">
        <f t="shared" si="24"/>
        <v>700000</v>
      </c>
      <c r="Z49" s="591">
        <f t="shared" si="24"/>
        <v>700000</v>
      </c>
      <c r="AA49" s="591">
        <f t="shared" si="24"/>
        <v>700000</v>
      </c>
      <c r="AB49" s="591">
        <f t="shared" si="24"/>
        <v>700000</v>
      </c>
      <c r="AC49" s="591">
        <f t="shared" si="24"/>
        <v>700000</v>
      </c>
      <c r="AD49" s="591">
        <f t="shared" si="24"/>
        <v>700000</v>
      </c>
      <c r="AE49" s="591">
        <f t="shared" si="24"/>
        <v>700000</v>
      </c>
      <c r="AF49" s="591">
        <f t="shared" si="24"/>
        <v>700000</v>
      </c>
      <c r="AG49" s="592">
        <f t="shared" si="24"/>
        <v>700000</v>
      </c>
    </row>
    <row r="50" spans="1:33" x14ac:dyDescent="0.2">
      <c r="A50" s="472"/>
      <c r="B50" s="477"/>
      <c r="C50" s="478"/>
      <c r="D50" s="479"/>
      <c r="K50" s="335"/>
      <c r="L50" s="556"/>
      <c r="M50" s="557"/>
      <c r="N50" s="558"/>
      <c r="O50" s="557"/>
      <c r="P50" s="559"/>
      <c r="Q50" s="335"/>
      <c r="R50" s="335"/>
      <c r="S50" s="335"/>
      <c r="T50" s="489" t="s">
        <v>443</v>
      </c>
      <c r="U50" s="489">
        <f>U16</f>
        <v>15000</v>
      </c>
      <c r="V50" s="614">
        <v>46000</v>
      </c>
      <c r="W50" s="615">
        <v>31000</v>
      </c>
      <c r="X50" s="615">
        <v>56000</v>
      </c>
      <c r="Y50" s="615">
        <v>28000</v>
      </c>
      <c r="Z50" s="615">
        <v>37000</v>
      </c>
      <c r="AA50" s="615">
        <v>26000</v>
      </c>
      <c r="AB50" s="615">
        <v>21000</v>
      </c>
      <c r="AC50" s="615">
        <v>36470</v>
      </c>
      <c r="AD50" s="615">
        <v>45600</v>
      </c>
      <c r="AE50" s="615">
        <v>46000</v>
      </c>
      <c r="AF50" s="615">
        <v>34500</v>
      </c>
      <c r="AG50" s="616">
        <v>24870</v>
      </c>
    </row>
    <row r="51" spans="1:33" x14ac:dyDescent="0.2">
      <c r="A51" s="474" t="s">
        <v>432</v>
      </c>
      <c r="B51" s="483">
        <f>B42-B49</f>
        <v>98624</v>
      </c>
      <c r="C51" s="484">
        <f>C42-C49</f>
        <v>102087</v>
      </c>
      <c r="D51" s="485"/>
      <c r="K51" s="335"/>
      <c r="L51" s="455">
        <f>L4</f>
        <v>42551</v>
      </c>
      <c r="M51" s="456"/>
      <c r="N51" s="456">
        <f>N4</f>
        <v>42185</v>
      </c>
      <c r="O51" s="456"/>
      <c r="P51" s="457">
        <f>P4</f>
        <v>41820</v>
      </c>
      <c r="Q51" s="335"/>
      <c r="R51" s="335"/>
      <c r="S51" s="335"/>
      <c r="T51" s="586" t="s">
        <v>444</v>
      </c>
      <c r="U51" s="587">
        <f>SUM(U49:U50)</f>
        <v>835000</v>
      </c>
      <c r="V51" s="587">
        <f>SUM(V49:V50)</f>
        <v>746000</v>
      </c>
      <c r="W51" s="588">
        <f t="shared" ref="W51:AG51" si="25">SUM(W49:W50)</f>
        <v>731000</v>
      </c>
      <c r="X51" s="588">
        <f t="shared" si="25"/>
        <v>756000</v>
      </c>
      <c r="Y51" s="588">
        <f t="shared" si="25"/>
        <v>728000</v>
      </c>
      <c r="Z51" s="588">
        <f t="shared" si="25"/>
        <v>737000</v>
      </c>
      <c r="AA51" s="588">
        <f t="shared" si="25"/>
        <v>726000</v>
      </c>
      <c r="AB51" s="588">
        <f t="shared" si="25"/>
        <v>721000</v>
      </c>
      <c r="AC51" s="588">
        <f t="shared" si="25"/>
        <v>736470</v>
      </c>
      <c r="AD51" s="588">
        <f t="shared" si="25"/>
        <v>745600</v>
      </c>
      <c r="AE51" s="588">
        <f t="shared" si="25"/>
        <v>746000</v>
      </c>
      <c r="AF51" s="588">
        <f t="shared" si="25"/>
        <v>734500</v>
      </c>
      <c r="AG51" s="589">
        <f t="shared" si="25"/>
        <v>724870</v>
      </c>
    </row>
    <row r="52" spans="1:33" x14ac:dyDescent="0.2">
      <c r="A52" s="335"/>
      <c r="B52" s="335"/>
      <c r="C52" s="335"/>
      <c r="D52" s="335"/>
      <c r="K52" s="335"/>
      <c r="L52" s="560"/>
      <c r="M52" s="561"/>
      <c r="N52" s="561"/>
      <c r="O52" s="561"/>
      <c r="P52" s="562"/>
      <c r="Q52" s="335"/>
      <c r="R52" s="335"/>
      <c r="S52" s="335"/>
      <c r="T52" s="453"/>
      <c r="U52" s="453"/>
      <c r="V52" s="490"/>
      <c r="W52" s="491"/>
      <c r="X52" s="491"/>
      <c r="Y52" s="491"/>
      <c r="Z52" s="491"/>
      <c r="AA52" s="491"/>
      <c r="AB52" s="491"/>
      <c r="AC52" s="491"/>
      <c r="AD52" s="491"/>
      <c r="AE52" s="491"/>
      <c r="AF52" s="491"/>
      <c r="AG52" s="492"/>
    </row>
    <row r="53" spans="1:33" x14ac:dyDescent="0.2">
      <c r="A53" s="335" t="s">
        <v>433</v>
      </c>
      <c r="B53" s="563">
        <f>L14-N14</f>
        <v>98624</v>
      </c>
      <c r="C53" s="563">
        <f>N14-P14</f>
        <v>102087</v>
      </c>
      <c r="D53" s="563"/>
      <c r="K53" s="335"/>
      <c r="L53" s="338"/>
      <c r="M53" s="335"/>
      <c r="N53" s="335"/>
      <c r="O53" s="335"/>
      <c r="P53" s="335"/>
      <c r="Q53" s="335"/>
      <c r="R53" s="335"/>
      <c r="S53" s="335"/>
      <c r="T53" s="586" t="s">
        <v>445</v>
      </c>
      <c r="U53" s="587">
        <f>U51-U45</f>
        <v>-2790</v>
      </c>
      <c r="V53" s="587">
        <f>V51-V45</f>
        <v>41000</v>
      </c>
      <c r="W53" s="588">
        <f t="shared" ref="W53:AG53" si="26">W51-W45</f>
        <v>88000</v>
      </c>
      <c r="X53" s="588">
        <f t="shared" si="26"/>
        <v>90000</v>
      </c>
      <c r="Y53" s="588">
        <f t="shared" si="26"/>
        <v>61000</v>
      </c>
      <c r="Z53" s="588">
        <f t="shared" si="26"/>
        <v>73000</v>
      </c>
      <c r="AA53" s="588">
        <f t="shared" si="26"/>
        <v>58400</v>
      </c>
      <c r="AB53" s="588">
        <f t="shared" si="26"/>
        <v>34000</v>
      </c>
      <c r="AC53" s="588">
        <f t="shared" si="26"/>
        <v>142470</v>
      </c>
      <c r="AD53" s="588">
        <f t="shared" si="26"/>
        <v>102600</v>
      </c>
      <c r="AE53" s="588">
        <f t="shared" si="26"/>
        <v>136000</v>
      </c>
      <c r="AF53" s="588">
        <f t="shared" si="26"/>
        <v>139500</v>
      </c>
      <c r="AG53" s="589">
        <f t="shared" si="26"/>
        <v>75870</v>
      </c>
    </row>
    <row r="54" spans="1:33" x14ac:dyDescent="0.2">
      <c r="A54" s="335" t="s">
        <v>250</v>
      </c>
      <c r="B54" s="563">
        <f>+B51-B53</f>
        <v>0</v>
      </c>
      <c r="C54" s="563">
        <f>+C51-C53</f>
        <v>0</v>
      </c>
      <c r="D54" s="563"/>
      <c r="K54" s="459" t="s">
        <v>411</v>
      </c>
      <c r="L54" s="629">
        <v>390000</v>
      </c>
      <c r="M54" s="564"/>
      <c r="N54" s="637">
        <v>320000</v>
      </c>
      <c r="O54" s="564"/>
      <c r="P54" s="635">
        <v>210000</v>
      </c>
      <c r="Q54" s="335"/>
      <c r="R54" s="335"/>
      <c r="S54" s="335"/>
      <c r="T54" s="497"/>
      <c r="U54" s="497"/>
      <c r="V54" s="593"/>
      <c r="W54" s="593"/>
      <c r="X54" s="593"/>
      <c r="Y54" s="593"/>
      <c r="Z54" s="593"/>
      <c r="AA54" s="593"/>
      <c r="AB54" s="593"/>
      <c r="AC54" s="593"/>
      <c r="AD54" s="593"/>
      <c r="AE54" s="593"/>
      <c r="AF54" s="593"/>
      <c r="AG54" s="594"/>
    </row>
    <row r="55" spans="1:33" x14ac:dyDescent="0.2">
      <c r="K55" s="458" t="s">
        <v>412</v>
      </c>
      <c r="L55" s="630">
        <v>4000</v>
      </c>
      <c r="M55" s="565"/>
      <c r="N55" s="638">
        <v>9000</v>
      </c>
      <c r="O55" s="565"/>
      <c r="P55" s="636">
        <v>19000</v>
      </c>
      <c r="Q55" s="335"/>
      <c r="R55" s="335"/>
      <c r="S55" s="335"/>
      <c r="T55" s="325"/>
      <c r="U55" s="325"/>
      <c r="V55" s="325"/>
      <c r="W55" s="325"/>
      <c r="X55" s="325"/>
      <c r="Y55" s="325"/>
      <c r="Z55" s="325"/>
      <c r="AA55" s="325"/>
      <c r="AB55" s="325"/>
      <c r="AC55" s="325"/>
      <c r="AD55" s="325"/>
      <c r="AE55" s="325"/>
      <c r="AF55" s="325"/>
      <c r="AG55" s="325"/>
    </row>
    <row r="56" spans="1:33" x14ac:dyDescent="0.2">
      <c r="K56" s="335"/>
      <c r="L56" s="335"/>
      <c r="M56" s="566"/>
      <c r="N56" s="335"/>
      <c r="O56" s="566"/>
      <c r="P56" s="566"/>
      <c r="Q56" s="335"/>
      <c r="R56" s="335"/>
      <c r="S56" s="335"/>
      <c r="T56" s="325"/>
      <c r="U56" s="325"/>
      <c r="V56" s="325"/>
      <c r="W56" s="325"/>
      <c r="X56" s="325"/>
      <c r="Y56" s="325"/>
      <c r="Z56" s="325"/>
      <c r="AA56" s="325"/>
      <c r="AB56" s="325"/>
      <c r="AC56" s="325"/>
      <c r="AD56" s="325"/>
      <c r="AE56" s="325"/>
      <c r="AF56" s="325"/>
      <c r="AG56" s="325"/>
    </row>
    <row r="57" spans="1:33" ht="20.399999999999999" x14ac:dyDescent="0.2">
      <c r="K57" s="459" t="s">
        <v>413</v>
      </c>
      <c r="L57" s="567">
        <f>G9</f>
        <v>213966</v>
      </c>
      <c r="M57" s="568"/>
      <c r="N57" s="567">
        <f>H9</f>
        <v>177710</v>
      </c>
      <c r="O57" s="568"/>
      <c r="P57" s="567">
        <f>I9</f>
        <v>153324</v>
      </c>
      <c r="Q57" s="335"/>
      <c r="R57" s="335"/>
      <c r="S57" s="335"/>
      <c r="T57" s="325"/>
      <c r="U57" s="595" t="s">
        <v>446</v>
      </c>
      <c r="V57" s="325"/>
      <c r="W57" s="325"/>
      <c r="X57" s="325"/>
      <c r="Y57" s="325"/>
      <c r="Z57" s="325"/>
      <c r="AA57" s="325"/>
      <c r="AB57" s="325"/>
      <c r="AC57" s="325"/>
      <c r="AD57" s="325"/>
      <c r="AE57" s="325"/>
      <c r="AF57" s="325"/>
      <c r="AG57" s="325"/>
    </row>
    <row r="58" spans="1:33" ht="20.399999999999999" x14ac:dyDescent="0.2">
      <c r="K58" s="460" t="s">
        <v>414</v>
      </c>
      <c r="L58" s="631">
        <v>5000</v>
      </c>
      <c r="M58" s="569"/>
      <c r="N58" s="632">
        <v>4800</v>
      </c>
      <c r="O58" s="569"/>
      <c r="P58" s="633">
        <v>3500</v>
      </c>
      <c r="Q58" s="335"/>
      <c r="R58" s="335"/>
      <c r="S58" s="335"/>
      <c r="T58" s="452" t="s">
        <v>447</v>
      </c>
      <c r="U58" s="596">
        <f>SUM(V58:AG58)</f>
        <v>1579625</v>
      </c>
      <c r="V58" s="597">
        <f>V24</f>
        <v>137500</v>
      </c>
      <c r="W58" s="598">
        <f t="shared" ref="W58:AG58" si="27">W24</f>
        <v>140625</v>
      </c>
      <c r="X58" s="598">
        <f t="shared" si="27"/>
        <v>139375</v>
      </c>
      <c r="Y58" s="598">
        <f t="shared" si="27"/>
        <v>121875</v>
      </c>
      <c r="Z58" s="598">
        <f t="shared" si="27"/>
        <v>138750</v>
      </c>
      <c r="AA58" s="598">
        <f t="shared" si="27"/>
        <v>128000</v>
      </c>
      <c r="AB58" s="598">
        <f t="shared" si="27"/>
        <v>128125</v>
      </c>
      <c r="AC58" s="598">
        <f t="shared" si="27"/>
        <v>123750</v>
      </c>
      <c r="AD58" s="598">
        <f t="shared" si="27"/>
        <v>130000</v>
      </c>
      <c r="AE58" s="598">
        <f t="shared" si="27"/>
        <v>131000</v>
      </c>
      <c r="AF58" s="598">
        <f t="shared" si="27"/>
        <v>120000</v>
      </c>
      <c r="AG58" s="599">
        <f t="shared" si="27"/>
        <v>140625</v>
      </c>
    </row>
    <row r="59" spans="1:33" x14ac:dyDescent="0.2">
      <c r="K59" s="460" t="s">
        <v>415</v>
      </c>
      <c r="L59" s="631">
        <v>4500</v>
      </c>
      <c r="M59" s="569"/>
      <c r="N59" s="632">
        <v>4870</v>
      </c>
      <c r="O59" s="569"/>
      <c r="P59" s="633">
        <v>4100</v>
      </c>
      <c r="Q59" s="335"/>
      <c r="R59" s="335"/>
      <c r="S59" s="335"/>
      <c r="T59" s="472" t="s">
        <v>417</v>
      </c>
      <c r="U59" s="498">
        <f>SUM(V59:AG59)</f>
        <v>1633485</v>
      </c>
      <c r="V59" s="611">
        <v>149000</v>
      </c>
      <c r="W59" s="612">
        <v>157500</v>
      </c>
      <c r="X59" s="612">
        <v>131000</v>
      </c>
      <c r="Y59" s="612">
        <v>128000</v>
      </c>
      <c r="Z59" s="612">
        <v>137500</v>
      </c>
      <c r="AA59" s="612">
        <v>135000</v>
      </c>
      <c r="AB59" s="612">
        <v>137500</v>
      </c>
      <c r="AC59" s="612">
        <v>113875</v>
      </c>
      <c r="AD59" s="612">
        <v>127500</v>
      </c>
      <c r="AE59" s="612">
        <v>134500</v>
      </c>
      <c r="AF59" s="612">
        <v>128125</v>
      </c>
      <c r="AG59" s="613">
        <v>153985</v>
      </c>
    </row>
    <row r="60" spans="1:33" x14ac:dyDescent="0.2">
      <c r="K60" s="570" t="s">
        <v>416</v>
      </c>
      <c r="L60" s="571">
        <f>SUM(L57:L59)</f>
        <v>223466</v>
      </c>
      <c r="M60" s="572"/>
      <c r="N60" s="571">
        <f>SUM(N57:N59)</f>
        <v>187380</v>
      </c>
      <c r="O60" s="572"/>
      <c r="P60" s="573">
        <f>SUM(P57:P59)</f>
        <v>160924</v>
      </c>
      <c r="Q60" s="335"/>
      <c r="R60" s="335"/>
      <c r="S60" s="335"/>
      <c r="T60" s="472" t="s">
        <v>448</v>
      </c>
      <c r="U60" s="453"/>
      <c r="V60" s="490">
        <f>$U$58-V58+V59</f>
        <v>1591125</v>
      </c>
      <c r="W60" s="491">
        <f>V60-W58+W59</f>
        <v>1608000</v>
      </c>
      <c r="X60" s="491">
        <f t="shared" ref="X60:AG60" si="28">W60-X58+X59</f>
        <v>1599625</v>
      </c>
      <c r="Y60" s="491">
        <f t="shared" si="28"/>
        <v>1605750</v>
      </c>
      <c r="Z60" s="491">
        <f t="shared" si="28"/>
        <v>1604500</v>
      </c>
      <c r="AA60" s="491">
        <f t="shared" si="28"/>
        <v>1611500</v>
      </c>
      <c r="AB60" s="491">
        <f t="shared" si="28"/>
        <v>1620875</v>
      </c>
      <c r="AC60" s="491">
        <f t="shared" si="28"/>
        <v>1611000</v>
      </c>
      <c r="AD60" s="491">
        <f t="shared" si="28"/>
        <v>1608500</v>
      </c>
      <c r="AE60" s="491">
        <f t="shared" si="28"/>
        <v>1612000</v>
      </c>
      <c r="AF60" s="491">
        <f t="shared" si="28"/>
        <v>1620125</v>
      </c>
      <c r="AG60" s="492">
        <f t="shared" si="28"/>
        <v>1633485</v>
      </c>
    </row>
    <row r="61" spans="1:33" x14ac:dyDescent="0.2">
      <c r="K61" s="335"/>
      <c r="L61" s="335"/>
      <c r="M61" s="335"/>
      <c r="N61" s="335"/>
      <c r="O61" s="335"/>
      <c r="P61" s="335"/>
      <c r="Q61" s="335"/>
      <c r="R61" s="335"/>
      <c r="S61" s="335"/>
      <c r="T61" s="472" t="s">
        <v>449</v>
      </c>
      <c r="U61" s="453"/>
      <c r="V61" s="600">
        <f>+V40/$V$60*360</f>
        <v>101.81475371199623</v>
      </c>
      <c r="W61" s="601">
        <f t="shared" ref="W61:AG61" si="29">+W40/$V$60*360</f>
        <v>95.02710346452983</v>
      </c>
      <c r="X61" s="601">
        <f t="shared" si="29"/>
        <v>99.552203629507417</v>
      </c>
      <c r="Y61" s="601">
        <f t="shared" si="29"/>
        <v>101.81475371199623</v>
      </c>
      <c r="Z61" s="601">
        <f t="shared" si="29"/>
        <v>101.81475371199623</v>
      </c>
      <c r="AA61" s="601">
        <f t="shared" si="29"/>
        <v>97.289653547018617</v>
      </c>
      <c r="AB61" s="601">
        <f t="shared" si="29"/>
        <v>113.12750412444026</v>
      </c>
      <c r="AC61" s="601">
        <f t="shared" si="29"/>
        <v>88.239453217063399</v>
      </c>
      <c r="AD61" s="601">
        <f t="shared" si="29"/>
        <v>88.239453217063399</v>
      </c>
      <c r="AE61" s="601">
        <f t="shared" si="29"/>
        <v>83.714353052085798</v>
      </c>
      <c r="AF61" s="601">
        <f t="shared" si="29"/>
        <v>88.239453217063399</v>
      </c>
      <c r="AG61" s="602">
        <f t="shared" si="29"/>
        <v>99.552203629507417</v>
      </c>
    </row>
    <row r="62" spans="1:33" x14ac:dyDescent="0.2">
      <c r="K62" s="526" t="s">
        <v>417</v>
      </c>
      <c r="L62" s="558">
        <f>U59</f>
        <v>1633485</v>
      </c>
      <c r="M62" s="528"/>
      <c r="N62" s="558">
        <f>U58</f>
        <v>1579625</v>
      </c>
      <c r="O62" s="528"/>
      <c r="P62" s="634">
        <v>1400000</v>
      </c>
      <c r="Q62" s="335"/>
      <c r="R62" s="335"/>
      <c r="S62" s="335"/>
      <c r="T62" s="472" t="s">
        <v>437</v>
      </c>
      <c r="U62" s="453"/>
      <c r="V62" s="600">
        <f>+V41/($V$60*1.196)*360</f>
        <v>66.211749905608855</v>
      </c>
      <c r="W62" s="601">
        <f t="shared" ref="W62:AG62" si="30">+W41/($V$60*1.196)*360</f>
        <v>75.670571320695814</v>
      </c>
      <c r="X62" s="601">
        <f t="shared" si="30"/>
        <v>77.562335603713223</v>
      </c>
      <c r="Y62" s="601">
        <f t="shared" si="30"/>
        <v>75.670571320695814</v>
      </c>
      <c r="Z62" s="601">
        <f t="shared" si="30"/>
        <v>80.021629171635837</v>
      </c>
      <c r="AA62" s="601">
        <f t="shared" si="30"/>
        <v>75.670571320695814</v>
      </c>
      <c r="AB62" s="601">
        <f t="shared" si="30"/>
        <v>75.859747748997563</v>
      </c>
      <c r="AC62" s="601">
        <f t="shared" si="30"/>
        <v>72.832924896169729</v>
      </c>
      <c r="AD62" s="601">
        <f t="shared" si="30"/>
        <v>76.048924177299298</v>
      </c>
      <c r="AE62" s="601">
        <f t="shared" si="30"/>
        <v>76.616453462204518</v>
      </c>
      <c r="AF62" s="601">
        <f t="shared" si="30"/>
        <v>77.562335603713223</v>
      </c>
      <c r="AG62" s="602">
        <f t="shared" si="30"/>
        <v>76.048924177299298</v>
      </c>
    </row>
    <row r="63" spans="1:33" x14ac:dyDescent="0.2">
      <c r="K63" s="532" t="s">
        <v>253</v>
      </c>
      <c r="L63" s="574">
        <f>B15</f>
        <v>400700</v>
      </c>
      <c r="M63" s="534"/>
      <c r="N63" s="574">
        <f>C15</f>
        <v>380657</v>
      </c>
      <c r="O63" s="534"/>
      <c r="P63" s="575">
        <f>D15</f>
        <v>320675</v>
      </c>
      <c r="Q63" s="335"/>
      <c r="R63" s="335"/>
      <c r="S63" s="335"/>
      <c r="T63" s="472" t="s">
        <v>450</v>
      </c>
      <c r="U63" s="453"/>
      <c r="V63" s="600">
        <f>+V42/($V$60*1.196)*360</f>
        <v>-47.294107075434887</v>
      </c>
      <c r="W63" s="601">
        <f t="shared" ref="W63:AG63" si="31">+W42/($V$60*1.196)*360</f>
        <v>-50.131753499960986</v>
      </c>
      <c r="X63" s="601">
        <f t="shared" si="31"/>
        <v>-51.077635641469683</v>
      </c>
      <c r="Y63" s="601">
        <f t="shared" si="31"/>
        <v>-47.294107075434887</v>
      </c>
      <c r="Z63" s="601">
        <f t="shared" si="31"/>
        <v>-49.185871358452282</v>
      </c>
      <c r="AA63" s="601">
        <f t="shared" si="31"/>
        <v>-48.996694930150547</v>
      </c>
      <c r="AB63" s="601">
        <f t="shared" si="31"/>
        <v>-42.375519939589665</v>
      </c>
      <c r="AC63" s="601">
        <f t="shared" si="31"/>
        <v>-50.320929928262721</v>
      </c>
      <c r="AD63" s="601">
        <f t="shared" si="31"/>
        <v>-47.483283503736629</v>
      </c>
      <c r="AE63" s="601">
        <f t="shared" si="31"/>
        <v>-48.42916564524532</v>
      </c>
      <c r="AF63" s="601">
        <f t="shared" si="31"/>
        <v>-51.077635641469683</v>
      </c>
      <c r="AG63" s="602">
        <f t="shared" si="31"/>
        <v>-53.915282065995768</v>
      </c>
    </row>
    <row r="64" spans="1:33" x14ac:dyDescent="0.2">
      <c r="K64" s="532" t="s">
        <v>418</v>
      </c>
      <c r="L64" s="574">
        <f>B17</f>
        <v>330400</v>
      </c>
      <c r="M64" s="574"/>
      <c r="N64" s="574">
        <f>C17</f>
        <v>428234</v>
      </c>
      <c r="O64" s="574"/>
      <c r="P64" s="575">
        <f>D17</f>
        <v>396543</v>
      </c>
      <c r="Q64" s="335"/>
      <c r="R64" s="335"/>
      <c r="S64" s="335"/>
      <c r="T64" s="603" t="s">
        <v>439</v>
      </c>
      <c r="U64" s="454"/>
      <c r="V64" s="604">
        <f>+V44/$V$60*360</f>
        <v>20.362950742399246</v>
      </c>
      <c r="W64" s="605">
        <f t="shared" ref="W64:AG64" si="32">+W44/$V$60*360</f>
        <v>19.910440725901484</v>
      </c>
      <c r="X64" s="605">
        <f t="shared" si="32"/>
        <v>19.457930709403726</v>
      </c>
      <c r="Y64" s="605">
        <f t="shared" si="32"/>
        <v>15.159085552674993</v>
      </c>
      <c r="Z64" s="605">
        <f t="shared" si="32"/>
        <v>11.539005420692908</v>
      </c>
      <c r="AA64" s="605">
        <f t="shared" si="32"/>
        <v>20.136695734150365</v>
      </c>
      <c r="AB64" s="605">
        <f t="shared" si="32"/>
        <v>2.2625500824888052</v>
      </c>
      <c r="AC64" s="605">
        <f t="shared" si="32"/>
        <v>19.231675701154842</v>
      </c>
      <c r="AD64" s="605">
        <f t="shared" si="32"/>
        <v>10.407730379448504</v>
      </c>
      <c r="AE64" s="605">
        <f t="shared" si="32"/>
        <v>20.589205750648127</v>
      </c>
      <c r="AF64" s="605">
        <f t="shared" si="32"/>
        <v>14.706575536177233</v>
      </c>
      <c r="AG64" s="606">
        <f t="shared" si="32"/>
        <v>20.815460758897007</v>
      </c>
    </row>
    <row r="65" spans="11:19" x14ac:dyDescent="0.25">
      <c r="K65" s="553" t="s">
        <v>419</v>
      </c>
      <c r="L65" s="576">
        <f>G18</f>
        <v>56400</v>
      </c>
      <c r="M65" s="576"/>
      <c r="N65" s="576">
        <f>H18</f>
        <v>220125</v>
      </c>
      <c r="O65" s="576"/>
      <c r="P65" s="577">
        <f>I18</f>
        <v>202187</v>
      </c>
      <c r="Q65" s="335"/>
      <c r="R65" s="335"/>
      <c r="S65" s="335"/>
    </row>
    <row r="66" spans="11:19" x14ac:dyDescent="0.25">
      <c r="Q66" s="335"/>
      <c r="R66" s="335"/>
    </row>
    <row r="67" spans="11:19" x14ac:dyDescent="0.25">
      <c r="Q67" s="335"/>
      <c r="R67" s="335"/>
    </row>
  </sheetData>
  <mergeCells count="4">
    <mergeCell ref="A3:A4"/>
    <mergeCell ref="F3:F4"/>
    <mergeCell ref="V2:AG2"/>
    <mergeCell ref="V36:AG36"/>
  </mergeCells>
  <conditionalFormatting sqref="S38 M38 O38 Q38 S33 Q33 M33 O33 M27 O26:O27 Q27 S27">
    <cfRule type="cellIs" dxfId="4" priority="1" stopIfTrue="1" operator="equal">
      <formula>"BON"</formula>
    </cfRule>
    <cfRule type="cellIs" dxfId="3" priority="2" stopIfTrue="1" operator="equal">
      <formula>"RISQUE"</formula>
    </cfRule>
    <cfRule type="cellIs" dxfId="2" priority="3" stopIfTrue="1" operator="equal">
      <formula>"FAIBLE"</formula>
    </cfRule>
  </conditionalFormatting>
  <conditionalFormatting sqref="R27">
    <cfRule type="cellIs" dxfId="1" priority="4" stopIfTrue="1" operator="equal">
      <formula>"""""BON"""</formula>
    </cfRule>
    <cfRule type="cellIs" dxfId="0" priority="5" stopIfTrue="1" operator="equal">
      <formula>"""MOYEN"""</formula>
    </cfRule>
  </conditionalFormatting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theme="1" tint="0.34998626667073579"/>
  </sheetPr>
  <dimension ref="A1"/>
  <sheetViews>
    <sheetView workbookViewId="0">
      <selection activeCell="X28" sqref="X28"/>
    </sheetView>
  </sheetViews>
  <sheetFormatPr baseColWidth="10" defaultRowHeight="13.2" x14ac:dyDescent="0.25"/>
  <sheetData>
    <row r="1" spans="1:1" x14ac:dyDescent="0.25">
      <c r="A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tabColor theme="1" tint="0.34998626667073579"/>
  </sheetPr>
  <dimension ref="A1:N22"/>
  <sheetViews>
    <sheetView workbookViewId="0">
      <selection activeCell="X28" sqref="X28"/>
    </sheetView>
  </sheetViews>
  <sheetFormatPr baseColWidth="10" defaultRowHeight="10.199999999999999" x14ac:dyDescent="0.25"/>
  <cols>
    <col min="1" max="16384" width="11.5546875" style="2"/>
  </cols>
  <sheetData>
    <row r="1" spans="1:14" ht="15" thickBot="1" x14ac:dyDescent="0.35">
      <c r="B1" s="90"/>
      <c r="M1" s="813" t="s">
        <v>80</v>
      </c>
      <c r="N1" s="814"/>
    </row>
    <row r="2" spans="1:14" ht="21" thickBot="1" x14ac:dyDescent="0.3">
      <c r="A2" s="97" t="s">
        <v>76</v>
      </c>
      <c r="B2" s="95" t="s">
        <v>112</v>
      </c>
      <c r="C2" s="95" t="s">
        <v>5</v>
      </c>
      <c r="D2" s="95" t="s">
        <v>85</v>
      </c>
      <c r="E2" s="95" t="s">
        <v>100</v>
      </c>
      <c r="F2" s="95" t="s">
        <v>111</v>
      </c>
      <c r="G2" s="95" t="s">
        <v>110</v>
      </c>
      <c r="H2" s="95" t="s">
        <v>64</v>
      </c>
      <c r="I2" s="95" t="s">
        <v>118</v>
      </c>
      <c r="J2" s="95" t="s">
        <v>113</v>
      </c>
      <c r="K2" s="96" t="s">
        <v>68</v>
      </c>
      <c r="L2" s="89"/>
      <c r="M2" s="46" t="s">
        <v>72</v>
      </c>
      <c r="N2" s="47" t="s">
        <v>15</v>
      </c>
    </row>
    <row r="3" spans="1:14" x14ac:dyDescent="0.25">
      <c r="A3" s="847" t="s">
        <v>6</v>
      </c>
      <c r="B3" s="91" t="s">
        <v>38</v>
      </c>
      <c r="C3" s="91" t="s">
        <v>124</v>
      </c>
      <c r="D3" s="91" t="s">
        <v>86</v>
      </c>
      <c r="E3" s="91" t="s">
        <v>99</v>
      </c>
      <c r="F3" s="91" t="s">
        <v>11</v>
      </c>
      <c r="G3" s="91" t="s">
        <v>114</v>
      </c>
      <c r="H3" s="91" t="s">
        <v>117</v>
      </c>
      <c r="I3" s="91" t="s">
        <v>119</v>
      </c>
      <c r="J3" s="91" t="s">
        <v>131</v>
      </c>
      <c r="K3" s="92" t="s">
        <v>68</v>
      </c>
      <c r="M3" s="1" t="s">
        <v>69</v>
      </c>
      <c r="N3" s="2" t="s">
        <v>8</v>
      </c>
    </row>
    <row r="4" spans="1:14" x14ac:dyDescent="0.25">
      <c r="A4" s="848"/>
      <c r="B4" s="54" t="s">
        <v>48</v>
      </c>
      <c r="C4" s="54" t="s">
        <v>37</v>
      </c>
      <c r="D4" s="54" t="s">
        <v>87</v>
      </c>
      <c r="E4" s="54" t="s">
        <v>101</v>
      </c>
      <c r="F4" s="54" t="s">
        <v>47</v>
      </c>
      <c r="G4" s="54" t="s">
        <v>107</v>
      </c>
      <c r="H4" s="54" t="s">
        <v>32</v>
      </c>
      <c r="I4" s="54" t="s">
        <v>78</v>
      </c>
      <c r="J4" s="54" t="s">
        <v>127</v>
      </c>
      <c r="K4" s="20"/>
      <c r="M4" s="1" t="s">
        <v>51</v>
      </c>
      <c r="N4" s="2" t="s">
        <v>67</v>
      </c>
    </row>
    <row r="5" spans="1:14" x14ac:dyDescent="0.25">
      <c r="A5" s="848"/>
      <c r="B5" s="54" t="s">
        <v>14</v>
      </c>
      <c r="C5" s="54" t="s">
        <v>31</v>
      </c>
      <c r="D5" s="54" t="s">
        <v>88</v>
      </c>
      <c r="E5" s="54" t="s">
        <v>23</v>
      </c>
      <c r="F5" s="54" t="s">
        <v>42</v>
      </c>
      <c r="G5" s="125" t="s">
        <v>136</v>
      </c>
      <c r="H5" s="54"/>
      <c r="I5" s="54" t="s">
        <v>120</v>
      </c>
      <c r="J5" s="54" t="s">
        <v>129</v>
      </c>
      <c r="K5" s="20"/>
      <c r="M5" s="1" t="s">
        <v>13</v>
      </c>
      <c r="N5" s="2" t="s">
        <v>70</v>
      </c>
    </row>
    <row r="6" spans="1:14" x14ac:dyDescent="0.25">
      <c r="A6" s="848"/>
      <c r="B6" s="54" t="s">
        <v>97</v>
      </c>
      <c r="C6" s="54" t="s">
        <v>56</v>
      </c>
      <c r="D6" s="54"/>
      <c r="E6" s="54"/>
      <c r="F6" s="54" t="s">
        <v>3</v>
      </c>
      <c r="G6" s="54" t="s">
        <v>115</v>
      </c>
      <c r="H6" s="54"/>
      <c r="I6" s="54"/>
      <c r="J6" s="54" t="s">
        <v>7</v>
      </c>
      <c r="K6" s="20"/>
      <c r="M6" s="1" t="s">
        <v>53</v>
      </c>
      <c r="N6" s="2" t="s">
        <v>133</v>
      </c>
    </row>
    <row r="7" spans="1:14" x14ac:dyDescent="0.25">
      <c r="A7" s="848"/>
      <c r="B7" s="54" t="s">
        <v>36</v>
      </c>
      <c r="C7" s="54" t="s">
        <v>125</v>
      </c>
      <c r="D7" s="54"/>
      <c r="E7" s="54"/>
      <c r="F7" s="54" t="s">
        <v>109</v>
      </c>
      <c r="G7" s="54" t="s">
        <v>116</v>
      </c>
      <c r="H7" s="54"/>
      <c r="I7" s="54"/>
      <c r="J7" s="54" t="s">
        <v>128</v>
      </c>
      <c r="K7" s="20"/>
      <c r="M7" s="2" t="s">
        <v>52</v>
      </c>
      <c r="N7" s="2" t="s">
        <v>28</v>
      </c>
    </row>
    <row r="8" spans="1:14" x14ac:dyDescent="0.25">
      <c r="A8" s="848"/>
      <c r="B8" s="54" t="s">
        <v>121</v>
      </c>
      <c r="C8" s="54" t="s">
        <v>57</v>
      </c>
      <c r="D8" s="54"/>
      <c r="E8" s="54"/>
      <c r="F8" s="54" t="s">
        <v>108</v>
      </c>
      <c r="G8" s="54" t="s">
        <v>23</v>
      </c>
      <c r="H8" s="54"/>
      <c r="I8" s="54"/>
      <c r="J8" s="54" t="s">
        <v>126</v>
      </c>
      <c r="K8" s="20"/>
      <c r="M8" s="1" t="s">
        <v>203</v>
      </c>
      <c r="N8" s="2" t="s">
        <v>71</v>
      </c>
    </row>
    <row r="9" spans="1:14" x14ac:dyDescent="0.25">
      <c r="A9" s="848"/>
      <c r="B9" s="54" t="s">
        <v>122</v>
      </c>
      <c r="C9" s="54" t="s">
        <v>23</v>
      </c>
      <c r="D9" s="54"/>
      <c r="E9" s="54"/>
      <c r="F9" s="54" t="s">
        <v>45</v>
      </c>
      <c r="G9" s="54"/>
      <c r="H9" s="54"/>
      <c r="I9" s="54"/>
      <c r="J9" s="54" t="s">
        <v>75</v>
      </c>
      <c r="K9" s="20"/>
      <c r="M9" s="2" t="s">
        <v>134</v>
      </c>
      <c r="N9" s="98" t="s">
        <v>34</v>
      </c>
    </row>
    <row r="10" spans="1:14" x14ac:dyDescent="0.25">
      <c r="A10" s="848"/>
      <c r="B10" s="54" t="s">
        <v>123</v>
      </c>
      <c r="C10" s="54"/>
      <c r="D10" s="54"/>
      <c r="E10" s="54"/>
      <c r="F10" s="54" t="s">
        <v>130</v>
      </c>
      <c r="G10" s="54"/>
      <c r="H10" s="54"/>
      <c r="I10" s="54"/>
      <c r="J10" s="54"/>
      <c r="K10" s="20"/>
      <c r="M10" s="2" t="s">
        <v>130</v>
      </c>
    </row>
    <row r="11" spans="1:14" x14ac:dyDescent="0.25">
      <c r="A11" s="848"/>
      <c r="B11" s="54" t="s">
        <v>29</v>
      </c>
      <c r="C11" s="54"/>
      <c r="D11" s="54"/>
      <c r="E11" s="54"/>
      <c r="F11" s="54" t="s">
        <v>43</v>
      </c>
      <c r="G11" s="54"/>
      <c r="H11" s="54"/>
      <c r="I11" s="54"/>
      <c r="J11" s="54"/>
      <c r="K11" s="20"/>
      <c r="M11" s="2" t="s">
        <v>135</v>
      </c>
    </row>
    <row r="12" spans="1:14" x14ac:dyDescent="0.25">
      <c r="A12" s="848"/>
      <c r="B12" s="54" t="s">
        <v>92</v>
      </c>
      <c r="C12" s="54"/>
      <c r="D12" s="54"/>
      <c r="E12" s="54"/>
      <c r="F12" s="54" t="s">
        <v>25</v>
      </c>
      <c r="G12" s="54"/>
      <c r="H12" s="54"/>
      <c r="I12" s="54"/>
      <c r="J12" s="54"/>
      <c r="K12" s="20"/>
    </row>
    <row r="13" spans="1:14" x14ac:dyDescent="0.25">
      <c r="A13" s="848"/>
      <c r="B13" s="54" t="s">
        <v>30</v>
      </c>
      <c r="C13" s="54"/>
      <c r="D13" s="54"/>
      <c r="E13" s="54"/>
      <c r="F13" s="54" t="s">
        <v>44</v>
      </c>
      <c r="G13" s="54"/>
      <c r="H13" s="54"/>
      <c r="I13" s="54"/>
      <c r="J13" s="54"/>
      <c r="K13" s="20"/>
    </row>
    <row r="14" spans="1:14" x14ac:dyDescent="0.25">
      <c r="A14" s="848"/>
      <c r="B14" s="54" t="s">
        <v>31</v>
      </c>
      <c r="C14" s="54"/>
      <c r="D14" s="54"/>
      <c r="E14" s="54"/>
      <c r="F14" s="54"/>
      <c r="G14" s="54"/>
      <c r="H14" s="54"/>
      <c r="I14" s="54"/>
      <c r="J14" s="54"/>
      <c r="K14" s="20"/>
    </row>
    <row r="15" spans="1:14" x14ac:dyDescent="0.25">
      <c r="A15" s="848"/>
      <c r="B15" s="54" t="s">
        <v>9</v>
      </c>
      <c r="C15" s="54"/>
      <c r="D15" s="54"/>
      <c r="E15" s="54"/>
      <c r="F15" s="54"/>
      <c r="G15" s="54"/>
      <c r="H15" s="54"/>
      <c r="I15" s="54"/>
      <c r="J15" s="54"/>
      <c r="K15" s="20"/>
    </row>
    <row r="16" spans="1:14" x14ac:dyDescent="0.25">
      <c r="A16" s="848"/>
      <c r="B16" s="54"/>
      <c r="C16" s="54"/>
      <c r="D16" s="54"/>
      <c r="E16" s="54"/>
      <c r="F16" s="54"/>
      <c r="G16" s="54"/>
      <c r="H16" s="54"/>
      <c r="I16" s="54"/>
      <c r="J16" s="54"/>
      <c r="K16" s="20"/>
    </row>
    <row r="17" spans="1:11" x14ac:dyDescent="0.25">
      <c r="A17" s="848"/>
      <c r="B17" s="54"/>
      <c r="C17" s="54"/>
      <c r="D17" s="54"/>
      <c r="E17" s="54"/>
      <c r="F17" s="54"/>
      <c r="G17" s="54"/>
      <c r="H17" s="54"/>
      <c r="I17" s="54"/>
      <c r="J17" s="54"/>
      <c r="K17" s="20"/>
    </row>
    <row r="18" spans="1:11" x14ac:dyDescent="0.25">
      <c r="A18" s="848"/>
      <c r="B18" s="54"/>
      <c r="C18" s="54"/>
      <c r="D18" s="54"/>
      <c r="E18" s="54"/>
      <c r="F18" s="54"/>
      <c r="G18" s="54"/>
      <c r="H18" s="54"/>
      <c r="I18" s="54"/>
      <c r="J18" s="54"/>
      <c r="K18" s="20"/>
    </row>
    <row r="19" spans="1:11" x14ac:dyDescent="0.25">
      <c r="A19" s="848"/>
      <c r="B19" s="54"/>
      <c r="C19" s="54"/>
      <c r="D19" s="54"/>
      <c r="E19" s="54"/>
      <c r="F19" s="54"/>
      <c r="G19" s="54"/>
      <c r="H19" s="54"/>
      <c r="I19" s="54"/>
      <c r="J19" s="54"/>
      <c r="K19" s="20"/>
    </row>
    <row r="20" spans="1:11" x14ac:dyDescent="0.25">
      <c r="A20" s="848"/>
      <c r="B20" s="54"/>
      <c r="C20" s="54"/>
      <c r="D20" s="54"/>
      <c r="E20" s="54"/>
      <c r="F20" s="54"/>
      <c r="G20" s="54"/>
      <c r="H20" s="54"/>
      <c r="I20" s="54"/>
      <c r="J20" s="54"/>
      <c r="K20" s="20"/>
    </row>
    <row r="21" spans="1:11" x14ac:dyDescent="0.25">
      <c r="A21" s="848"/>
      <c r="B21" s="54"/>
      <c r="C21" s="54"/>
      <c r="D21" s="54"/>
      <c r="E21" s="54"/>
      <c r="F21" s="54"/>
      <c r="G21" s="54"/>
      <c r="H21" s="54"/>
      <c r="I21" s="54"/>
      <c r="J21" s="54"/>
      <c r="K21" s="20"/>
    </row>
    <row r="22" spans="1:11" ht="10.8" thickBot="1" x14ac:dyDescent="0.3">
      <c r="A22" s="849"/>
      <c r="B22" s="93"/>
      <c r="C22" s="93"/>
      <c r="D22" s="93"/>
      <c r="E22" s="93"/>
      <c r="F22" s="93"/>
      <c r="G22" s="93"/>
      <c r="H22" s="93"/>
      <c r="I22" s="93"/>
      <c r="J22" s="93"/>
      <c r="K22" s="94"/>
    </row>
  </sheetData>
  <mergeCells count="2">
    <mergeCell ref="M1:N1"/>
    <mergeCell ref="A3:A22"/>
  </mergeCells>
  <phoneticPr fontId="9" type="noConversion"/>
  <pageMargins left="0.75" right="0.75" top="1" bottom="1" header="0.4921259845" footer="0.4921259845"/>
  <pageSetup paperSize="9" orientation="portrait" horizontalDpi="200" verticalDpi="2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6</vt:i4>
      </vt:variant>
    </vt:vector>
  </HeadingPairs>
  <TitlesOfParts>
    <vt:vector size="14" baseType="lpstr">
      <vt:lpstr>Synthèse</vt:lpstr>
      <vt:lpstr>Clients</vt:lpstr>
      <vt:lpstr>Trésorerie</vt:lpstr>
      <vt:lpstr>Résultat</vt:lpstr>
      <vt:lpstr>Tréso mensuel</vt:lpstr>
      <vt:lpstr>Bilan</vt:lpstr>
      <vt:lpstr>Stocks</vt:lpstr>
      <vt:lpstr>Base de données</vt:lpstr>
      <vt:lpstr>catégorie_x</vt:lpstr>
      <vt:lpstr>Catégories</vt:lpstr>
      <vt:lpstr>Méthode_paiement</vt:lpstr>
      <vt:lpstr>Mode_paiement</vt:lpstr>
      <vt:lpstr>SIG</vt:lpstr>
      <vt:lpstr>Tableau_de_bord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Frédérik VARLET</dc:creator>
  <cp:lastModifiedBy>Frédérik VARLET</cp:lastModifiedBy>
  <cp:lastPrinted>2008-07-01T18:28:21Z</cp:lastPrinted>
  <dcterms:created xsi:type="dcterms:W3CDTF">2002-11-21T01:00:05Z</dcterms:created>
  <dcterms:modified xsi:type="dcterms:W3CDTF">2014-08-15T08:03:41Z</dcterms:modified>
</cp:coreProperties>
</file>