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6225"/>
  </bookViews>
  <sheets>
    <sheet name="Henri's Hotel" sheetId="1" r:id="rId1"/>
    <sheet name="Tables" sheetId="2" r:id="rId2"/>
    <sheet name="Hotel occupancy" sheetId="3" r:id="rId3"/>
  </sheets>
  <calcPr calcId="145621"/>
</workbook>
</file>

<file path=xl/calcChain.xml><?xml version="1.0" encoding="utf-8"?>
<calcChain xmlns="http://schemas.openxmlformats.org/spreadsheetml/2006/main">
  <c r="AB31" i="1" l="1"/>
  <c r="AF12" i="1"/>
  <c r="AF13" i="1"/>
  <c r="AF14" i="1"/>
  <c r="AF15" i="1"/>
  <c r="AF16" i="1"/>
  <c r="AF17" i="1"/>
  <c r="AF20" i="1"/>
  <c r="AF21" i="1"/>
  <c r="AF22" i="1"/>
  <c r="AF23" i="1"/>
  <c r="AF24" i="1"/>
  <c r="AF25" i="1"/>
  <c r="AF26" i="1"/>
  <c r="AF27" i="1"/>
  <c r="AF28" i="1"/>
  <c r="AF9" i="1"/>
  <c r="AF10" i="1"/>
  <c r="AF11" i="1"/>
  <c r="Y32" i="1"/>
  <c r="Z9" i="1" l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Y31" i="1"/>
  <c r="J31" i="1"/>
  <c r="X9" i="1"/>
  <c r="X28" i="1"/>
  <c r="I10" i="2"/>
  <c r="I9" i="2"/>
  <c r="I8" i="2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AA2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9" i="1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9" i="1"/>
  <c r="Y9" i="1" l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30" i="1" l="1"/>
  <c r="AF19" i="1" l="1"/>
  <c r="AF18" i="1"/>
</calcChain>
</file>

<file path=xl/sharedStrings.xml><?xml version="1.0" encoding="utf-8"?>
<sst xmlns="http://schemas.openxmlformats.org/spreadsheetml/2006/main" count="161" uniqueCount="70">
  <si>
    <t>Employees</t>
  </si>
  <si>
    <t>Monday</t>
  </si>
  <si>
    <t>Tuesday</t>
  </si>
  <si>
    <t>Wednesday</t>
  </si>
  <si>
    <t>Thursday</t>
  </si>
  <si>
    <t>Friday</t>
  </si>
  <si>
    <t>Saturday</t>
  </si>
  <si>
    <t>Sunday</t>
  </si>
  <si>
    <t>Department</t>
  </si>
  <si>
    <t>Position</t>
  </si>
  <si>
    <t>Basic Wage</t>
  </si>
  <si>
    <t>F&amp;B Sales</t>
  </si>
  <si>
    <t>Service charge</t>
  </si>
  <si>
    <t>Situation</t>
  </si>
  <si>
    <t>Employee 1</t>
  </si>
  <si>
    <t>Front Office</t>
  </si>
  <si>
    <t>Supervisor</t>
  </si>
  <si>
    <t>Married</t>
  </si>
  <si>
    <t>Employee 2</t>
  </si>
  <si>
    <t>Employee 3</t>
  </si>
  <si>
    <t>Employee 4</t>
  </si>
  <si>
    <t>Others</t>
  </si>
  <si>
    <t>Employee 5</t>
  </si>
  <si>
    <t>Worker</t>
  </si>
  <si>
    <t>Divorced/Widowed</t>
  </si>
  <si>
    <t>Employee 6</t>
  </si>
  <si>
    <t>Employee 7</t>
  </si>
  <si>
    <t>Manager</t>
  </si>
  <si>
    <t>Employee 8</t>
  </si>
  <si>
    <t>F&amp;B</t>
  </si>
  <si>
    <t>Employee 9</t>
  </si>
  <si>
    <t>Employee 10</t>
  </si>
  <si>
    <t>Employee 11</t>
  </si>
  <si>
    <t>Employee 12</t>
  </si>
  <si>
    <t>Single</t>
  </si>
  <si>
    <t>Employee 13</t>
  </si>
  <si>
    <t>Employee 14</t>
  </si>
  <si>
    <t>Employee 15</t>
  </si>
  <si>
    <t>Employee 16</t>
  </si>
  <si>
    <t>Employee 17</t>
  </si>
  <si>
    <t>Employee 18</t>
  </si>
  <si>
    <t>Employee 19</t>
  </si>
  <si>
    <t>Employee 20</t>
  </si>
  <si>
    <t>Hourly rate</t>
  </si>
  <si>
    <t>Basic wage</t>
  </si>
  <si>
    <t>Tax Free Allowance</t>
  </si>
  <si>
    <t>Housekeeping</t>
  </si>
  <si>
    <t>Start time</t>
  </si>
  <si>
    <t>End time</t>
  </si>
  <si>
    <t>Weekly working time</t>
  </si>
  <si>
    <t>Working week</t>
  </si>
  <si>
    <t>Standard</t>
  </si>
  <si>
    <t>Under 45</t>
  </si>
  <si>
    <t>Over 45 hours</t>
  </si>
  <si>
    <t>Ratio</t>
  </si>
  <si>
    <t>Week wage</t>
  </si>
  <si>
    <t>IF(X9&lt;=Tables!$F$8;Tables!$G$8*Sheet1!$AB$9;IF(Sheet1!X9&lt;=Tables!$F$9;((Sheet1!X9-Tables!$F$8)*Tables!G9+Tables!$F$8*Tables!$G$8);IF(Sheet1!X9&gt;Tables!$F$10;((Sheet1!X9-Tables!$F$10)*Tables!$G$10+(Tables!$F$10-Tables!$F$8)*Tables!$G$9+Tables!$F$8*Tables!$G$8)))))</t>
  </si>
  <si>
    <t>Number of children</t>
  </si>
  <si>
    <t>Tax free allowance (per child)</t>
  </si>
  <si>
    <t>Number of days worked</t>
  </si>
  <si>
    <t>Time cells per day</t>
  </si>
  <si>
    <t>Number of hours (from Monday to Saturday</t>
  </si>
  <si>
    <t>Number of hours (Sunday)</t>
  </si>
  <si>
    <t>Service charge (5%)</t>
  </si>
  <si>
    <t>Total F&amp;B workers hours</t>
  </si>
  <si>
    <t>F&amp;B workers hours</t>
  </si>
  <si>
    <t>Hotel occupancy</t>
  </si>
  <si>
    <t>Weeks in a year</t>
  </si>
  <si>
    <t>Labour costs</t>
  </si>
  <si>
    <t>AD9*Y9/"1:0"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</si>
</sst>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[$$-409]* #,##0.00_ ;_-[$$-409]* \-#,##0.00\ ;_-[$$-409]* &quot;-&quot;??_ ;_-@_ "/>
  </numFmts>
  <fonts count="5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  <fill>
      <patternFill patternType="solid">
        <fgColor rgb="FFC5D9F1"/>
        <bgColor rgb="FFC5D9F1"/>
      </patternFill>
    </fill>
    <fill>
      <patternFill patternType="solid">
        <fgColor rgb="FFFFFFFF"/>
        <bgColor rgb="FFFFFFFF"/>
      </patternFill>
    </fill>
    <fill>
      <patternFill patternType="solid">
        <fgColor rgb="FF963634"/>
        <bgColor rgb="FF963634"/>
      </patternFill>
    </fill>
    <fill>
      <patternFill patternType="solid">
        <fgColor rgb="FFDA9694"/>
        <bgColor rgb="FFDA9694"/>
      </patternFill>
    </fill>
    <fill>
      <patternFill patternType="solid">
        <fgColor theme="0"/>
        <bgColor rgb="FF4F81BD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double">
        <color indexed="64"/>
      </left>
      <right/>
      <top style="double">
        <color indexed="64"/>
      </top>
      <bottom style="thin">
        <color rgb="FF000000"/>
      </bottom>
      <diagonal/>
    </border>
    <border>
      <left/>
      <right style="double">
        <color indexed="64"/>
      </right>
      <top style="double">
        <color indexed="64"/>
      </top>
      <bottom style="thin">
        <color rgb="FF000000"/>
      </bottom>
      <diagonal/>
    </border>
    <border>
      <left style="double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indexed="64"/>
      </left>
      <right style="thin">
        <color rgb="FF000000"/>
      </right>
      <top style="thin">
        <color rgb="FF000000"/>
      </top>
      <bottom/>
      <diagonal/>
    </border>
    <border>
      <left style="double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rgb="FF00000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3" borderId="2" xfId="0" applyFill="1" applyBorder="1"/>
    <xf numFmtId="0" fontId="0" fillId="7" borderId="9" xfId="0" applyFill="1" applyBorder="1"/>
    <xf numFmtId="0" fontId="0" fillId="7" borderId="4" xfId="0" applyFill="1" applyBorder="1"/>
    <xf numFmtId="0" fontId="0" fillId="7" borderId="9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19" fontId="0" fillId="4" borderId="4" xfId="0" applyNumberFormat="1" applyFill="1" applyBorder="1" applyAlignment="1">
      <alignment horizontal="center"/>
    </xf>
    <xf numFmtId="46" fontId="0" fillId="4" borderId="3" xfId="0" applyNumberFormat="1" applyFill="1" applyBorder="1"/>
    <xf numFmtId="0" fontId="0" fillId="0" borderId="12" xfId="0" applyBorder="1"/>
    <xf numFmtId="0" fontId="3" fillId="8" borderId="1" xfId="0" applyFont="1" applyFill="1" applyBorder="1"/>
    <xf numFmtId="0" fontId="0" fillId="0" borderId="13" xfId="0" applyBorder="1"/>
    <xf numFmtId="0" fontId="0" fillId="0" borderId="14" xfId="0" applyBorder="1"/>
    <xf numFmtId="0" fontId="0" fillId="6" borderId="0" xfId="0" applyFill="1" applyBorder="1"/>
    <xf numFmtId="0" fontId="0" fillId="6" borderId="12" xfId="0" applyFill="1" applyBorder="1"/>
    <xf numFmtId="0" fontId="0" fillId="0" borderId="0" xfId="0" applyFill="1" applyBorder="1"/>
    <xf numFmtId="0" fontId="0" fillId="0" borderId="12" xfId="0" applyFill="1" applyBorder="1"/>
    <xf numFmtId="0" fontId="0" fillId="9" borderId="12" xfId="0" applyFill="1" applyBorder="1"/>
    <xf numFmtId="164" fontId="0" fillId="0" borderId="12" xfId="0" applyNumberFormat="1" applyBorder="1"/>
    <xf numFmtId="0" fontId="0" fillId="0" borderId="13" xfId="0" applyBorder="1" applyAlignment="1"/>
    <xf numFmtId="0" fontId="0" fillId="0" borderId="15" xfId="0" applyBorder="1" applyAlignment="1"/>
    <xf numFmtId="0" fontId="0" fillId="0" borderId="14" xfId="0" applyBorder="1" applyAlignment="1"/>
    <xf numFmtId="46" fontId="0" fillId="0" borderId="12" xfId="0" applyNumberFormat="1" applyBorder="1"/>
    <xf numFmtId="14" fontId="0" fillId="4" borderId="4" xfId="0" applyNumberFormat="1" applyFill="1" applyBorder="1" applyAlignment="1">
      <alignment horizontal="center"/>
    </xf>
    <xf numFmtId="0" fontId="0" fillId="3" borderId="0" xfId="0" applyFill="1" applyBorder="1"/>
    <xf numFmtId="0" fontId="0" fillId="3" borderId="12" xfId="0" applyFill="1" applyBorder="1"/>
    <xf numFmtId="0" fontId="0" fillId="4" borderId="16" xfId="0" applyNumberFormat="1" applyFill="1" applyBorder="1" applyAlignment="1">
      <alignment horizontal="center"/>
    </xf>
    <xf numFmtId="0" fontId="4" fillId="0" borderId="12" xfId="0" applyFont="1" applyBorder="1"/>
    <xf numFmtId="17" fontId="0" fillId="0" borderId="0" xfId="0" applyNumberFormat="1"/>
    <xf numFmtId="46" fontId="0" fillId="0" borderId="0" xfId="0" applyNumberFormat="1"/>
    <xf numFmtId="9" fontId="0" fillId="0" borderId="0" xfId="0" applyNumberFormat="1"/>
    <xf numFmtId="164" fontId="0" fillId="0" borderId="0" xfId="0" applyNumberFormat="1"/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0" xfId="0" applyNumberFormat="1" applyBorder="1"/>
    <xf numFmtId="9" fontId="0" fillId="0" borderId="12" xfId="1" applyFont="1" applyBorder="1"/>
    <xf numFmtId="46" fontId="0" fillId="7" borderId="2" xfId="0" applyNumberFormat="1" applyFill="1" applyBorder="1"/>
    <xf numFmtId="165" fontId="0" fillId="9" borderId="12" xfId="0" applyNumberFormat="1" applyFill="1" applyBorder="1"/>
    <xf numFmtId="46" fontId="0" fillId="10" borderId="3" xfId="0" applyNumberFormat="1" applyFill="1" applyBorder="1"/>
    <xf numFmtId="165" fontId="3" fillId="8" borderId="1" xfId="0" applyNumberFormat="1" applyFont="1" applyFill="1" applyBorder="1"/>
    <xf numFmtId="165" fontId="3" fillId="8" borderId="2" xfId="0" applyNumberFormat="1" applyFont="1" applyFill="1" applyBorder="1"/>
    <xf numFmtId="0" fontId="0" fillId="2" borderId="2" xfId="0" applyFill="1" applyBorder="1"/>
    <xf numFmtId="46" fontId="0" fillId="7" borderId="19" xfId="0" applyNumberFormat="1" applyFill="1" applyBorder="1"/>
    <xf numFmtId="19" fontId="0" fillId="7" borderId="19" xfId="0" applyNumberFormat="1" applyFill="1" applyBorder="1"/>
    <xf numFmtId="0" fontId="0" fillId="7" borderId="19" xfId="0" applyFill="1" applyBorder="1"/>
    <xf numFmtId="0" fontId="0" fillId="2" borderId="12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9" fontId="0" fillId="9" borderId="12" xfId="0" applyNumberFormat="1" applyFill="1" applyBorder="1"/>
  </cellXfs>
  <cellStyles count="2">
    <cellStyle name="Normal" xfId="0" builtinId="0" customBuiltin="1"/>
    <cellStyle name="Percent" xfId="1" builtinId="5"/>
  </cellStyles>
  <dxfs count="5">
    <dxf>
      <fill>
        <patternFill patternType="darkUp"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L56"/>
  <sheetViews>
    <sheetView tabSelected="1" topLeftCell="W4" workbookViewId="0">
      <selection activeCell="AD9" sqref="AD9"/>
    </sheetView>
  </sheetViews>
  <sheetFormatPr defaultRowHeight="15" x14ac:dyDescent="0.25"/>
  <cols>
    <col min="1" max="1" width="9.140625" customWidth="1"/>
    <col min="2" max="7" width="9.140625" hidden="1" customWidth="1"/>
    <col min="8" max="8" width="9.140625" customWidth="1"/>
    <col min="9" max="9" width="14.5703125" customWidth="1"/>
    <col min="10" max="10" width="16.140625" customWidth="1"/>
    <col min="11" max="23" width="12.7109375" customWidth="1"/>
    <col min="24" max="24" width="24.140625" customWidth="1"/>
    <col min="25" max="26" width="20.42578125" customWidth="1"/>
    <col min="27" max="29" width="15.5703125" customWidth="1"/>
    <col min="30" max="30" width="16.28515625" customWidth="1"/>
    <col min="31" max="31" width="20" customWidth="1"/>
    <col min="32" max="32" width="18.28515625" customWidth="1"/>
    <col min="33" max="34" width="9.140625" customWidth="1"/>
    <col min="35" max="36" width="18.85546875" customWidth="1"/>
    <col min="37" max="37" width="21.42578125" customWidth="1"/>
    <col min="38" max="38" width="12" customWidth="1"/>
  </cols>
  <sheetData>
    <row r="2" spans="9:38" x14ac:dyDescent="0.25">
      <c r="AA2">
        <f>12*24</f>
        <v>288</v>
      </c>
    </row>
    <row r="6" spans="9:38" ht="15.75" thickBot="1" x14ac:dyDescent="0.3">
      <c r="AD6" s="33"/>
    </row>
    <row r="7" spans="9:38" ht="15.75" thickTop="1" x14ac:dyDescent="0.25">
      <c r="I7" s="52" t="s">
        <v>0</v>
      </c>
      <c r="J7" s="54" t="s">
        <v>1</v>
      </c>
      <c r="K7" s="55"/>
      <c r="L7" s="54" t="s">
        <v>2</v>
      </c>
      <c r="M7" s="55"/>
      <c r="N7" s="54" t="s">
        <v>3</v>
      </c>
      <c r="O7" s="55"/>
      <c r="P7" s="54" t="s">
        <v>4</v>
      </c>
      <c r="Q7" s="55"/>
      <c r="R7" s="54" t="s">
        <v>5</v>
      </c>
      <c r="S7" s="55"/>
      <c r="T7" s="54" t="s">
        <v>6</v>
      </c>
      <c r="U7" s="55"/>
      <c r="V7" s="54" t="s">
        <v>7</v>
      </c>
      <c r="W7" s="55"/>
      <c r="X7" s="58" t="s">
        <v>59</v>
      </c>
      <c r="Y7" s="50" t="s">
        <v>49</v>
      </c>
      <c r="Z7" s="36" t="s">
        <v>65</v>
      </c>
      <c r="AA7" s="1" t="s">
        <v>8</v>
      </c>
      <c r="AB7" s="1" t="s">
        <v>9</v>
      </c>
      <c r="AC7" s="1" t="s">
        <v>10</v>
      </c>
      <c r="AD7" s="45" t="s">
        <v>43</v>
      </c>
      <c r="AE7" s="49" t="s">
        <v>55</v>
      </c>
      <c r="AF7" s="49" t="s">
        <v>63</v>
      </c>
      <c r="AG7" s="49"/>
      <c r="AH7" s="49"/>
      <c r="AI7" s="49" t="s">
        <v>13</v>
      </c>
      <c r="AJ7" s="49" t="s">
        <v>57</v>
      </c>
      <c r="AK7" s="49" t="s">
        <v>45</v>
      </c>
      <c r="AL7" s="49" t="s">
        <v>68</v>
      </c>
    </row>
    <row r="8" spans="9:38" x14ac:dyDescent="0.25">
      <c r="I8" s="53"/>
      <c r="J8" s="9" t="s">
        <v>47</v>
      </c>
      <c r="K8" s="10" t="s">
        <v>48</v>
      </c>
      <c r="L8" s="7" t="s">
        <v>47</v>
      </c>
      <c r="M8" s="8" t="s">
        <v>48</v>
      </c>
      <c r="N8" s="7" t="s">
        <v>47</v>
      </c>
      <c r="O8" s="8" t="s">
        <v>48</v>
      </c>
      <c r="P8" s="7" t="s">
        <v>47</v>
      </c>
      <c r="Q8" s="8" t="s">
        <v>48</v>
      </c>
      <c r="R8" s="7" t="s">
        <v>47</v>
      </c>
      <c r="S8" s="8" t="s">
        <v>48</v>
      </c>
      <c r="T8" s="7" t="s">
        <v>47</v>
      </c>
      <c r="U8" s="8" t="s">
        <v>48</v>
      </c>
      <c r="V8" s="7" t="s">
        <v>47</v>
      </c>
      <c r="W8" s="8" t="s">
        <v>48</v>
      </c>
      <c r="X8" s="59"/>
      <c r="Y8" s="51"/>
      <c r="Z8" s="37"/>
      <c r="AA8" s="5"/>
      <c r="AB8" s="5"/>
      <c r="AC8" s="5"/>
      <c r="AD8" s="40"/>
      <c r="AE8" s="46"/>
      <c r="AF8" s="47"/>
      <c r="AG8" s="48"/>
      <c r="AH8" s="48"/>
      <c r="AI8" s="48"/>
      <c r="AJ8" s="48"/>
      <c r="AK8" s="48"/>
    </row>
    <row r="9" spans="9:38" x14ac:dyDescent="0.25">
      <c r="I9" s="6" t="s">
        <v>14</v>
      </c>
      <c r="J9" s="11">
        <v>0.83333333333333304</v>
      </c>
      <c r="K9" s="11">
        <v>0.625</v>
      </c>
      <c r="L9" s="11">
        <v>0.875</v>
      </c>
      <c r="M9" s="11">
        <v>0.91666666666666663</v>
      </c>
      <c r="N9" s="11">
        <v>0.95833333333333304</v>
      </c>
      <c r="O9" s="11">
        <v>1</v>
      </c>
      <c r="P9" s="11">
        <v>1.0416666666666701</v>
      </c>
      <c r="Q9" s="11">
        <v>1.0833333333333299</v>
      </c>
      <c r="R9" s="11">
        <v>1.125</v>
      </c>
      <c r="S9" s="11">
        <v>1.1666666666666701</v>
      </c>
      <c r="T9" s="11"/>
      <c r="U9" s="11"/>
      <c r="V9" s="11"/>
      <c r="W9" s="11"/>
      <c r="X9" s="30">
        <f>IF(COUNTBLANK(J9:W9)&gt;=Tables!$B$34,COUNTA(J9:W9)/Tables!$B$34,"ERROR WORKING DAYS")</f>
        <v>5</v>
      </c>
      <c r="Y9" s="12">
        <f t="shared" ref="Y9:Y28" si="0">MOD(K9-J9,1)+MOD(M9-L9,1)+MOD(O9-N9,1)+MOD(Q9-P9,1)+MOD(S9-R9,1)+MOD(U9-T9,1)+MOD(W9-V9,1)</f>
        <v>0.95833333333333048</v>
      </c>
      <c r="Z9" s="42">
        <f>IF(AB9=Tables!$E$3,IF('Henri''s Hotel'!AA9=Tables!$A$4,'Henri''s Hotel'!Y9,0),0)</f>
        <v>0</v>
      </c>
      <c r="AA9" s="2" t="s">
        <v>46</v>
      </c>
      <c r="AB9" s="2" t="s">
        <v>16</v>
      </c>
      <c r="AC9" s="14">
        <f>INDEX(Tables!$F$3:$F$5,MATCH('Henri''s Hotel'!AB9,Tables!$E$3:$E$5,0))</f>
        <v>1.25</v>
      </c>
      <c r="AD9" s="43">
        <f>INDEX(Tables!$F$3:$F$5,MATCH('Henri''s Hotel'!AB9,Tables!$E$3:$E$5,0))*INDEX(Tables!$B$3:$B$6,MATCH('Henri''s Hotel'!AA9,Tables!$A$3:$A$6,0))</f>
        <v>8.75</v>
      </c>
      <c r="AE9" s="60"/>
      <c r="AF9" s="41">
        <f>IF(AB9=Tables!$E$3,IF('Henri''s Hotel'!AA9=Tables!$A$4,('Henri''s Hotel'!Y9/'Henri''s Hotel'!$Y$30)*'Henri''s Hotel'!$Y$31,0),0)</f>
        <v>0</v>
      </c>
      <c r="AG9" s="13"/>
      <c r="AH9" s="15"/>
      <c r="AI9" s="13" t="s">
        <v>34</v>
      </c>
      <c r="AJ9" s="16">
        <v>0</v>
      </c>
      <c r="AK9" s="16">
        <f>INDEX(Tables!$B$15:$B$17,MATCH('Henri''s Hotel'!AI9,Tables!$A$15:$A$17,0))+INDEX(Tables!$B$20:$B$32,MATCH('Henri''s Hotel'!AJ9,Tables!$A$20:$A$32,0))</f>
        <v>5000</v>
      </c>
    </row>
    <row r="10" spans="9:38" x14ac:dyDescent="0.25">
      <c r="I10" s="6" t="s">
        <v>18</v>
      </c>
      <c r="J10" s="11">
        <v>0.875</v>
      </c>
      <c r="K10" s="11">
        <v>0.66666666666666696</v>
      </c>
      <c r="L10" s="11">
        <v>0.91666666666666696</v>
      </c>
      <c r="M10" s="11">
        <v>0.95833333333333304</v>
      </c>
      <c r="N10" s="27">
        <v>1</v>
      </c>
      <c r="O10" s="11">
        <v>1.0416666666666701</v>
      </c>
      <c r="P10" s="11">
        <v>1.0833333333333399</v>
      </c>
      <c r="Q10" s="11">
        <v>0.625</v>
      </c>
      <c r="R10" s="11">
        <v>1.1666666666666701</v>
      </c>
      <c r="S10" s="11">
        <v>1.2083333333333399</v>
      </c>
      <c r="T10" s="11">
        <v>1.25</v>
      </c>
      <c r="U10" s="11">
        <v>0.70833333333333337</v>
      </c>
      <c r="V10" s="11"/>
      <c r="W10" s="11"/>
      <c r="X10" s="30">
        <f>IF(COUNTBLANK(J10:W10)&gt;=Tables!$B$34,COUNTA(J10:W10)/Tables!$B$34,"ERROR WORKING DAYS")</f>
        <v>6</v>
      </c>
      <c r="Y10" s="12">
        <f t="shared" si="0"/>
        <v>1.9166666666666665</v>
      </c>
      <c r="Z10" s="42">
        <f>IF(AB10=Tables!$E$3,IF('Henri''s Hotel'!AA10=Tables!$A$4,'Henri''s Hotel'!Y10,0),0)</f>
        <v>0</v>
      </c>
      <c r="AA10" s="2" t="s">
        <v>15</v>
      </c>
      <c r="AB10" s="2" t="s">
        <v>23</v>
      </c>
      <c r="AC10" s="14">
        <f>INDEX(Tables!$F$3:$F$5,MATCH('Henri''s Hotel'!AB10,Tables!$E$3:$E$5,0))</f>
        <v>1</v>
      </c>
      <c r="AD10" s="44">
        <f>INDEX(Tables!$F$3:$F$5,MATCH('Henri''s Hotel'!AB10,Tables!$E$3:$E$5,0))*INDEX(Tables!$B$3:$B$6,MATCH('Henri''s Hotel'!AA10,Tables!$A$3:$A$6,0))</f>
        <v>10</v>
      </c>
      <c r="AE10" s="41"/>
      <c r="AF10" s="41">
        <f>IF(AB10=Tables!$E$3,IF('Henri''s Hotel'!AA10=Tables!$A$4,('Henri''s Hotel'!Y10/'Henri''s Hotel'!$Y$30)*'Henri''s Hotel'!$Y$31,0),0)</f>
        <v>0</v>
      </c>
      <c r="AG10" s="13"/>
      <c r="AH10" s="13"/>
      <c r="AI10" s="13" t="s">
        <v>17</v>
      </c>
      <c r="AJ10" s="16">
        <v>1</v>
      </c>
      <c r="AK10" s="16">
        <f>INDEX(Tables!$B$15:$B$17,MATCH('Henri''s Hotel'!AI10,Tables!$A$15:$A$17,0))+INDEX(Tables!$B$20:$B$32,MATCH('Henri''s Hotel'!AJ10,Tables!$A$20:$A$32,0))</f>
        <v>7800</v>
      </c>
    </row>
    <row r="11" spans="9:38" x14ac:dyDescent="0.25">
      <c r="I11" s="6" t="s">
        <v>19</v>
      </c>
      <c r="J11" s="11">
        <v>0.91666666666666696</v>
      </c>
      <c r="K11" s="11">
        <v>0.70833333333333304</v>
      </c>
      <c r="L11" s="11"/>
      <c r="M11" s="11"/>
      <c r="N11" s="11">
        <v>4.1666666666666664E-2</v>
      </c>
      <c r="O11" s="11">
        <v>1.0833333333333299</v>
      </c>
      <c r="P11" s="11">
        <v>1.125</v>
      </c>
      <c r="Q11" s="11">
        <v>1.1666666666666601</v>
      </c>
      <c r="R11" s="11">
        <v>1.2083333333333299</v>
      </c>
      <c r="S11" s="11">
        <v>1.25</v>
      </c>
      <c r="T11" s="11"/>
      <c r="U11" s="11"/>
      <c r="V11" s="11">
        <v>1.375</v>
      </c>
      <c r="W11" s="11">
        <v>1.4166666666666601</v>
      </c>
      <c r="X11" s="30">
        <f>IF(COUNTBLANK(J11:W11)&gt;=Tables!$B$34,COUNTA(J11:W11)/Tables!$B$34,"ERROR WORKING DAYS")</f>
        <v>5</v>
      </c>
      <c r="Y11" s="12">
        <f t="shared" si="0"/>
        <v>0.95833333333331949</v>
      </c>
      <c r="Z11" s="42">
        <f>IF(AB11=Tables!$E$3,IF('Henri''s Hotel'!AA11=Tables!$A$4,'Henri''s Hotel'!Y11,0),0)</f>
        <v>0</v>
      </c>
      <c r="AA11" s="2" t="s">
        <v>29</v>
      </c>
      <c r="AB11" s="2" t="s">
        <v>16</v>
      </c>
      <c r="AC11" s="14">
        <f>INDEX(Tables!$F$3:$F$5,MATCH('Henri''s Hotel'!AB11,Tables!$E$3:$E$5,0))</f>
        <v>1.25</v>
      </c>
      <c r="AD11" s="44">
        <f>INDEX(Tables!$F$3:$F$5,MATCH('Henri''s Hotel'!AB11,Tables!$E$3:$E$5,0))*INDEX(Tables!$B$3:$B$6,MATCH('Henri''s Hotel'!AA11,Tables!$A$3:$A$6,0))</f>
        <v>10</v>
      </c>
      <c r="AE11" s="41"/>
      <c r="AF11" s="41">
        <f>IF(AB11=Tables!$E$3,IF('Henri''s Hotel'!AA11=Tables!$A$4,('Henri''s Hotel'!Y11/'Henri''s Hotel'!$Y$30)*'Henri''s Hotel'!$Y$31,0),0)</f>
        <v>0</v>
      </c>
      <c r="AG11" s="13"/>
      <c r="AH11" s="13"/>
      <c r="AI11" s="13" t="s">
        <v>17</v>
      </c>
      <c r="AJ11" s="16">
        <v>1</v>
      </c>
      <c r="AK11" s="16">
        <f>INDEX(Tables!$B$15:$B$17,MATCH('Henri''s Hotel'!AI11,Tables!$A$15:$A$17,0))+INDEX(Tables!$B$20:$B$32,MATCH('Henri''s Hotel'!AJ11,Tables!$A$20:$A$32,0))</f>
        <v>7800</v>
      </c>
    </row>
    <row r="12" spans="9:38" x14ac:dyDescent="0.25">
      <c r="I12" s="6" t="s">
        <v>20</v>
      </c>
      <c r="J12" s="11">
        <v>0.95833333333333304</v>
      </c>
      <c r="K12" s="11">
        <v>0.75</v>
      </c>
      <c r="L12" s="11"/>
      <c r="M12" s="11"/>
      <c r="N12" s="11">
        <v>8.3333333333333329E-2</v>
      </c>
      <c r="O12" s="11">
        <v>1.125</v>
      </c>
      <c r="P12" s="11">
        <v>1.1666666666666701</v>
      </c>
      <c r="Q12" s="11">
        <v>1.2083333333333299</v>
      </c>
      <c r="R12" s="11">
        <v>1.25</v>
      </c>
      <c r="S12" s="11">
        <v>1.2916666666666701</v>
      </c>
      <c r="T12" s="11">
        <v>1.3333333333333299</v>
      </c>
      <c r="U12" s="11">
        <v>1.375</v>
      </c>
      <c r="V12" s="11">
        <v>1.4166666666666701</v>
      </c>
      <c r="W12" s="11">
        <v>1.4583333333333299</v>
      </c>
      <c r="X12" s="30">
        <f>IF(COUNTBLANK(J12:W12)&gt;=Tables!$B$34,COUNTA(J12:W12)/Tables!$B$34,"ERROR WORKING DAYS")</f>
        <v>6</v>
      </c>
      <c r="Y12" s="12">
        <f t="shared" si="0"/>
        <v>0.99999999999999356</v>
      </c>
      <c r="Z12" s="42">
        <f>IF(AB12=Tables!$E$3,IF('Henri''s Hotel'!AA12=Tables!$A$4,'Henri''s Hotel'!Y12,0),0)</f>
        <v>0</v>
      </c>
      <c r="AA12" s="2" t="s">
        <v>15</v>
      </c>
      <c r="AB12" s="2" t="s">
        <v>23</v>
      </c>
      <c r="AC12" s="14">
        <f>INDEX(Tables!$F$3:$F$5,MATCH('Henri''s Hotel'!AB12,Tables!$E$3:$E$5,0))</f>
        <v>1</v>
      </c>
      <c r="AD12" s="44">
        <f>INDEX(Tables!$F$3:$F$5,MATCH('Henri''s Hotel'!AB12,Tables!$E$3:$E$5,0))*INDEX(Tables!$B$3:$B$6,MATCH('Henri''s Hotel'!AA12,Tables!$A$3:$A$6,0))</f>
        <v>10</v>
      </c>
      <c r="AE12" s="41"/>
      <c r="AF12" s="41">
        <f>IF(AB12=Tables!$E$3,IF('Henri''s Hotel'!AA12=Tables!$A$4,('Henri''s Hotel'!Y12/'Henri''s Hotel'!$Y$30)*'Henri''s Hotel'!$Y$31,0),0)</f>
        <v>0</v>
      </c>
      <c r="AG12" s="13"/>
      <c r="AH12" s="13"/>
      <c r="AI12" s="13" t="s">
        <v>17</v>
      </c>
      <c r="AJ12" s="16">
        <v>1</v>
      </c>
      <c r="AK12" s="16">
        <f>INDEX(Tables!$B$15:$B$17,MATCH('Henri''s Hotel'!AI12,Tables!$A$15:$A$17,0))+INDEX(Tables!$B$20:$B$32,MATCH('Henri''s Hotel'!AJ12,Tables!$A$20:$A$32,0))</f>
        <v>7800</v>
      </c>
    </row>
    <row r="13" spans="9:38" x14ac:dyDescent="0.25">
      <c r="I13" s="6" t="s">
        <v>22</v>
      </c>
      <c r="J13" s="11">
        <v>12</v>
      </c>
      <c r="K13" s="11">
        <v>0.79166666666666696</v>
      </c>
      <c r="L13" s="11">
        <v>4.1666666666666664E-2</v>
      </c>
      <c r="M13" s="11">
        <v>8.3333333333333329E-2</v>
      </c>
      <c r="N13" s="11"/>
      <c r="O13" s="11"/>
      <c r="P13" s="11">
        <v>1.2083333333333399</v>
      </c>
      <c r="Q13" s="11">
        <v>1.25</v>
      </c>
      <c r="R13" s="11">
        <v>1.2916666666666701</v>
      </c>
      <c r="S13" s="11">
        <v>1.3333333333333399</v>
      </c>
      <c r="T13" s="11">
        <v>1.375</v>
      </c>
      <c r="U13" s="11">
        <v>1.4166666666666701</v>
      </c>
      <c r="V13" s="11">
        <v>1.4583333333333399</v>
      </c>
      <c r="W13" s="11">
        <v>1.5</v>
      </c>
      <c r="X13" s="30">
        <f>IF(COUNTBLANK(J13:W13)&gt;=Tables!$B$34,COUNTA(J13:W13)/Tables!$B$34,"ERROR WORKING DAYS")</f>
        <v>6</v>
      </c>
      <c r="Y13" s="12">
        <f t="shared" si="0"/>
        <v>0.99999999999999456</v>
      </c>
      <c r="Z13" s="42">
        <f>IF(AB13=Tables!$E$3,IF('Henri''s Hotel'!AA13=Tables!$A$4,'Henri''s Hotel'!Y13,0),0)</f>
        <v>0</v>
      </c>
      <c r="AA13" s="2" t="s">
        <v>15</v>
      </c>
      <c r="AB13" s="2" t="s">
        <v>27</v>
      </c>
      <c r="AC13" s="14">
        <f>INDEX(Tables!$F$3:$F$5,MATCH('Henri''s Hotel'!AB13,Tables!$E$3:$E$5,0))</f>
        <v>1.5</v>
      </c>
      <c r="AD13" s="44">
        <f>INDEX(Tables!$F$3:$F$5,MATCH('Henri''s Hotel'!AB13,Tables!$E$3:$E$5,0))*INDEX(Tables!$B$3:$B$6,MATCH('Henri''s Hotel'!AA13,Tables!$A$3:$A$6,0))</f>
        <v>15</v>
      </c>
      <c r="AE13" s="41"/>
      <c r="AF13" s="41">
        <f>IF(AB13=Tables!$E$3,IF('Henri''s Hotel'!AA13=Tables!$A$4,('Henri''s Hotel'!Y13/'Henri''s Hotel'!$Y$30)*'Henri''s Hotel'!$Y$31,0),0)</f>
        <v>0</v>
      </c>
      <c r="AG13" s="13"/>
      <c r="AH13" s="13"/>
      <c r="AI13" s="13" t="s">
        <v>17</v>
      </c>
      <c r="AJ13" s="16">
        <v>1</v>
      </c>
      <c r="AK13" s="16">
        <f>INDEX(Tables!$B$15:$B$17,MATCH('Henri''s Hotel'!AI13,Tables!$A$15:$A$17,0))+INDEX(Tables!$B$20:$B$32,MATCH('Henri''s Hotel'!AJ13,Tables!$A$20:$A$32,0))</f>
        <v>7800</v>
      </c>
    </row>
    <row r="14" spans="9:38" x14ac:dyDescent="0.25">
      <c r="I14" s="6" t="s">
        <v>25</v>
      </c>
      <c r="J14" s="11">
        <v>4.1666666666666664E-2</v>
      </c>
      <c r="K14" s="11">
        <v>0.83333333333333304</v>
      </c>
      <c r="L14" s="11">
        <v>8.3333333333333329E-2</v>
      </c>
      <c r="M14" s="11">
        <v>0.125</v>
      </c>
      <c r="N14" s="11"/>
      <c r="O14" s="11"/>
      <c r="P14" s="11">
        <v>1.25</v>
      </c>
      <c r="Q14" s="11">
        <v>1.2916666666666601</v>
      </c>
      <c r="R14" s="11">
        <v>1.3333333333333299</v>
      </c>
      <c r="S14" s="11">
        <v>1.375</v>
      </c>
      <c r="T14" s="11">
        <v>1.4166666666666601</v>
      </c>
      <c r="U14" s="11">
        <v>1.4583333333333299</v>
      </c>
      <c r="V14" s="11">
        <v>1.5</v>
      </c>
      <c r="W14" s="11">
        <v>1.5416666666666601</v>
      </c>
      <c r="X14" s="30">
        <f>IF(COUNTBLANK(J14:W14)&gt;=Tables!$B$34,COUNTA(J14:W14)/Tables!$B$34,"ERROR WORKING DAYS")</f>
        <v>6</v>
      </c>
      <c r="Y14" s="12">
        <f t="shared" si="0"/>
        <v>0.99999999999999312</v>
      </c>
      <c r="Z14" s="42">
        <f>IF(AB14=Tables!$E$3,IF('Henri''s Hotel'!AA14=Tables!$A$4,'Henri''s Hotel'!Y14,0),0)</f>
        <v>0</v>
      </c>
      <c r="AA14" s="2" t="s">
        <v>15</v>
      </c>
      <c r="AB14" s="2" t="s">
        <v>27</v>
      </c>
      <c r="AC14" s="14">
        <f>INDEX(Tables!$F$3:$F$5,MATCH('Henri''s Hotel'!AB14,Tables!$E$3:$E$5,0))</f>
        <v>1.5</v>
      </c>
      <c r="AD14" s="44">
        <f>INDEX(Tables!$F$3:$F$5,MATCH('Henri''s Hotel'!AB14,Tables!$E$3:$E$5,0))*INDEX(Tables!$B$3:$B$6,MATCH('Henri''s Hotel'!AA14,Tables!$A$3:$A$6,0))</f>
        <v>15</v>
      </c>
      <c r="AE14" s="41"/>
      <c r="AF14" s="41">
        <f>IF(AB14=Tables!$E$3,IF('Henri''s Hotel'!AA14=Tables!$A$4,('Henri''s Hotel'!Y14/'Henri''s Hotel'!$Y$30)*'Henri''s Hotel'!$Y$31,0),0)</f>
        <v>0</v>
      </c>
      <c r="AG14" s="13"/>
      <c r="AH14" s="13"/>
      <c r="AI14" s="13" t="s">
        <v>17</v>
      </c>
      <c r="AJ14" s="16">
        <v>0</v>
      </c>
      <c r="AK14" s="16">
        <f>INDEX(Tables!$B$15:$B$17,MATCH('Henri''s Hotel'!AI14,Tables!$A$15:$A$17,0))+INDEX(Tables!$B$20:$B$32,MATCH('Henri''s Hotel'!AJ14,Tables!$A$20:$A$32,0))</f>
        <v>7000</v>
      </c>
    </row>
    <row r="15" spans="9:38" x14ac:dyDescent="0.25">
      <c r="I15" s="6" t="s">
        <v>26</v>
      </c>
      <c r="J15" s="11">
        <v>8.3333333333333329E-2</v>
      </c>
      <c r="K15" s="11">
        <v>0.875</v>
      </c>
      <c r="L15" s="11">
        <v>0.125</v>
      </c>
      <c r="M15" s="11">
        <v>0.16666666666666666</v>
      </c>
      <c r="N15" s="11">
        <v>0.20833333333333334</v>
      </c>
      <c r="O15" s="11">
        <v>1.25</v>
      </c>
      <c r="P15" s="11"/>
      <c r="Q15" s="11"/>
      <c r="R15" s="11">
        <v>1.375</v>
      </c>
      <c r="S15" s="11">
        <v>1.4166666666666701</v>
      </c>
      <c r="T15" s="11">
        <v>1.4583333333333299</v>
      </c>
      <c r="U15" s="11">
        <v>1.5</v>
      </c>
      <c r="V15" s="11">
        <v>1.5416666666666701</v>
      </c>
      <c r="W15" s="11">
        <v>1.5833333333333299</v>
      </c>
      <c r="X15" s="30">
        <f>IF(COUNTBLANK(J15:W15)&gt;=Tables!$B$34,COUNTA(J15:W15)/Tables!$B$34,"ERROR WORKING DAYS")</f>
        <v>6</v>
      </c>
      <c r="Y15" s="12">
        <f t="shared" si="0"/>
        <v>1</v>
      </c>
      <c r="Z15" s="42">
        <f>IF(AB15=Tables!$E$3,IF('Henri''s Hotel'!AA15=Tables!$A$4,'Henri''s Hotel'!Y15,0),0)</f>
        <v>0</v>
      </c>
      <c r="AA15" s="2" t="s">
        <v>15</v>
      </c>
      <c r="AB15" s="2" t="s">
        <v>27</v>
      </c>
      <c r="AC15" s="14">
        <f>INDEX(Tables!$F$3:$F$5,MATCH('Henri''s Hotel'!AB15,Tables!$E$3:$E$5,0))</f>
        <v>1.5</v>
      </c>
      <c r="AD15" s="44">
        <f>INDEX(Tables!$F$3:$F$5,MATCH('Henri''s Hotel'!AB15,Tables!$E$3:$E$5,0))*INDEX(Tables!$B$3:$B$6,MATCH('Henri''s Hotel'!AA15,Tables!$A$3:$A$6,0))</f>
        <v>15</v>
      </c>
      <c r="AE15" s="41"/>
      <c r="AF15" s="41">
        <f>IF(AB15=Tables!$E$3,IF('Henri''s Hotel'!AA15=Tables!$A$4,('Henri''s Hotel'!Y15/'Henri''s Hotel'!$Y$30)*'Henri''s Hotel'!$Y$31,0),0)</f>
        <v>0</v>
      </c>
      <c r="AG15" s="13"/>
      <c r="AH15" s="13"/>
      <c r="AI15" s="13" t="s">
        <v>34</v>
      </c>
      <c r="AJ15" s="16">
        <v>1</v>
      </c>
      <c r="AK15" s="16">
        <f>INDEX(Tables!$B$15:$B$17,MATCH('Henri''s Hotel'!AI15,Tables!$A$15:$A$17,0))+INDEX(Tables!$B$20:$B$32,MATCH('Henri''s Hotel'!AJ15,Tables!$A$20:$A$32,0))</f>
        <v>5800</v>
      </c>
    </row>
    <row r="16" spans="9:38" x14ac:dyDescent="0.25">
      <c r="I16" s="6" t="s">
        <v>28</v>
      </c>
      <c r="J16" s="11">
        <v>0.125</v>
      </c>
      <c r="K16" s="11">
        <v>0.91666666666666696</v>
      </c>
      <c r="L16" s="11">
        <v>0.16666666666666666</v>
      </c>
      <c r="M16" s="11">
        <v>0.20833333333333334</v>
      </c>
      <c r="N16" s="11">
        <v>0.25</v>
      </c>
      <c r="O16" s="11">
        <v>1.2916666666666701</v>
      </c>
      <c r="P16" s="11"/>
      <c r="Q16" s="11"/>
      <c r="R16" s="11">
        <v>1.4166666666666701</v>
      </c>
      <c r="S16" s="11">
        <v>1.4583333333333399</v>
      </c>
      <c r="T16" s="11">
        <v>1.5</v>
      </c>
      <c r="U16" s="11">
        <v>1.5416666666666701</v>
      </c>
      <c r="V16" s="11">
        <v>1.5833333333333399</v>
      </c>
      <c r="W16" s="11">
        <v>1.625</v>
      </c>
      <c r="X16" s="30">
        <f>IF(COUNTBLANK(J16:W16)&gt;=Tables!$B$34,COUNTA(J16:W16)/Tables!$B$34,"ERROR WORKING DAYS")</f>
        <v>6</v>
      </c>
      <c r="Y16" s="12">
        <f t="shared" si="0"/>
        <v>1.0000000000000038</v>
      </c>
      <c r="Z16" s="42">
        <f>IF(AB16=Tables!$E$3,IF('Henri''s Hotel'!AA16=Tables!$A$4,'Henri''s Hotel'!Y16,0),0)</f>
        <v>0</v>
      </c>
      <c r="AA16" s="2" t="s">
        <v>15</v>
      </c>
      <c r="AB16" s="2" t="s">
        <v>27</v>
      </c>
      <c r="AC16" s="14">
        <f>INDEX(Tables!$F$3:$F$5,MATCH('Henri''s Hotel'!AB16,Tables!$E$3:$E$5,0))</f>
        <v>1.5</v>
      </c>
      <c r="AD16" s="44">
        <f>INDEX(Tables!$F$3:$F$5,MATCH('Henri''s Hotel'!AB16,Tables!$E$3:$E$5,0))*INDEX(Tables!$B$3:$B$6,MATCH('Henri''s Hotel'!AA16,Tables!$A$3:$A$6,0))</f>
        <v>15</v>
      </c>
      <c r="AE16" s="41"/>
      <c r="AF16" s="41">
        <f>IF(AB16=Tables!$E$3,IF('Henri''s Hotel'!AA16=Tables!$A$4,('Henri''s Hotel'!Y16/'Henri''s Hotel'!$Y$30)*'Henri''s Hotel'!$Y$31,0),0)</f>
        <v>0</v>
      </c>
      <c r="AG16" s="13"/>
      <c r="AH16" s="13"/>
      <c r="AI16" s="13" t="s">
        <v>17</v>
      </c>
      <c r="AJ16" s="16">
        <v>1</v>
      </c>
      <c r="AK16" s="16">
        <f>INDEX(Tables!$B$15:$B$17,MATCH('Henri''s Hotel'!AI16,Tables!$A$15:$A$17,0))+INDEX(Tables!$B$20:$B$32,MATCH('Henri''s Hotel'!AJ16,Tables!$A$20:$A$32,0))</f>
        <v>7800</v>
      </c>
    </row>
    <row r="17" spans="9:37" x14ac:dyDescent="0.25">
      <c r="I17" s="6" t="s">
        <v>30</v>
      </c>
      <c r="J17" s="11">
        <v>0.16666666666666699</v>
      </c>
      <c r="K17" s="11">
        <v>0.95833333333333304</v>
      </c>
      <c r="L17" s="11">
        <v>0.20833333333333334</v>
      </c>
      <c r="M17" s="11">
        <v>0.25</v>
      </c>
      <c r="N17" s="11">
        <v>0.29166666666666669</v>
      </c>
      <c r="O17" s="11">
        <v>1.3333333333333299</v>
      </c>
      <c r="P17" s="11"/>
      <c r="Q17" s="11"/>
      <c r="R17" s="11">
        <v>1.4583333333333299</v>
      </c>
      <c r="S17" s="11">
        <v>1.5</v>
      </c>
      <c r="T17" s="11">
        <v>1.5416666666666601</v>
      </c>
      <c r="U17" s="11">
        <v>1.5833333333333299</v>
      </c>
      <c r="V17" s="11">
        <v>1.625</v>
      </c>
      <c r="W17" s="11">
        <v>1.6666666666666601</v>
      </c>
      <c r="X17" s="30">
        <f>IF(COUNTBLANK(J17:W17)&gt;=Tables!$B$34,COUNTA(J17:W17)/Tables!$B$34,"ERROR WORKING DAYS")</f>
        <v>6</v>
      </c>
      <c r="Y17" s="12">
        <f t="shared" si="0"/>
        <v>0.99999999999999589</v>
      </c>
      <c r="Z17" s="42">
        <f>IF(AB17=Tables!$E$3,IF('Henri''s Hotel'!AA17=Tables!$A$4,'Henri''s Hotel'!Y17,0),0)</f>
        <v>0</v>
      </c>
      <c r="AA17" s="2" t="s">
        <v>29</v>
      </c>
      <c r="AB17" s="2" t="s">
        <v>27</v>
      </c>
      <c r="AC17" s="14">
        <f>INDEX(Tables!$F$3:$F$5,MATCH('Henri''s Hotel'!AB17,Tables!$E$3:$E$5,0))</f>
        <v>1.5</v>
      </c>
      <c r="AD17" s="44">
        <f>INDEX(Tables!$F$3:$F$5,MATCH('Henri''s Hotel'!AB17,Tables!$E$3:$E$5,0))*INDEX(Tables!$B$3:$B$6,MATCH('Henri''s Hotel'!AA17,Tables!$A$3:$A$6,0))</f>
        <v>12</v>
      </c>
      <c r="AE17" s="41"/>
      <c r="AF17" s="41">
        <f>IF(AB17=Tables!$E$3,IF('Henri''s Hotel'!AA17=Tables!$A$4,('Henri''s Hotel'!Y17/'Henri''s Hotel'!$Y$30)*'Henri''s Hotel'!$Y$31,0),0)</f>
        <v>0</v>
      </c>
      <c r="AG17" s="13"/>
      <c r="AH17" s="13"/>
      <c r="AI17" s="13" t="s">
        <v>17</v>
      </c>
      <c r="AJ17" s="16">
        <v>3</v>
      </c>
      <c r="AK17" s="16">
        <f>INDEX(Tables!$B$15:$B$17,MATCH('Henri''s Hotel'!AI17,Tables!$A$15:$A$17,0))+INDEX(Tables!$B$20:$B$32,MATCH('Henri''s Hotel'!AJ17,Tables!$A$20:$A$32,0))</f>
        <v>9400</v>
      </c>
    </row>
    <row r="18" spans="9:37" x14ac:dyDescent="0.25">
      <c r="I18" s="6" t="s">
        <v>31</v>
      </c>
      <c r="J18" s="11">
        <v>0.20833333333333301</v>
      </c>
      <c r="K18" s="11">
        <v>12</v>
      </c>
      <c r="L18" s="11">
        <v>0.25</v>
      </c>
      <c r="M18" s="11">
        <v>0.29166666666666669</v>
      </c>
      <c r="N18" s="11">
        <v>0.33333333333333331</v>
      </c>
      <c r="O18" s="11">
        <v>1.375</v>
      </c>
      <c r="P18" s="11">
        <v>1.4166666666666701</v>
      </c>
      <c r="Q18" s="11">
        <v>1.4583333333333299</v>
      </c>
      <c r="R18" s="11"/>
      <c r="S18" s="11"/>
      <c r="T18" s="11">
        <v>1.5833333333333299</v>
      </c>
      <c r="U18" s="11">
        <v>1.625</v>
      </c>
      <c r="V18" s="11">
        <v>1.6666666666666701</v>
      </c>
      <c r="W18" s="11">
        <v>1.7083333333333299</v>
      </c>
      <c r="X18" s="30">
        <f>IF(COUNTBLANK(J18:W18)&gt;=Tables!$B$34,COUNTA(J18:W18)/Tables!$B$34,"ERROR WORKING DAYS")</f>
        <v>6</v>
      </c>
      <c r="Y18" s="12">
        <f t="shared" si="0"/>
        <v>0.99999999999999112</v>
      </c>
      <c r="Z18" s="42">
        <f>IF(AB18=Tables!$E$3,IF('Henri''s Hotel'!AA18=Tables!$A$4,'Henri''s Hotel'!Y18,0),0)</f>
        <v>0.99999999999999112</v>
      </c>
      <c r="AA18" s="2" t="s">
        <v>29</v>
      </c>
      <c r="AB18" s="2" t="s">
        <v>23</v>
      </c>
      <c r="AC18" s="14">
        <f>INDEX(Tables!$F$3:$F$5,MATCH('Henri''s Hotel'!AB18,Tables!$E$3:$E$5,0))</f>
        <v>1</v>
      </c>
      <c r="AD18" s="44">
        <f>INDEX(Tables!$F$3:$F$5,MATCH('Henri''s Hotel'!AB18,Tables!$E$3:$E$5,0))*INDEX(Tables!$B$3:$B$6,MATCH('Henri''s Hotel'!AA18,Tables!$A$3:$A$6,0))</f>
        <v>8</v>
      </c>
      <c r="AE18" s="41"/>
      <c r="AF18" s="41">
        <f>IF(AB18=Tables!$E$3,IF('Henri''s Hotel'!AA18=Tables!$A$4,('Henri''s Hotel'!Y18/'Henri''s Hotel'!$Y$30)*'Henri''s Hotel'!$Y$31,0),0)</f>
        <v>499.99999999999937</v>
      </c>
      <c r="AG18" s="13"/>
      <c r="AH18" s="13"/>
      <c r="AI18" s="13" t="s">
        <v>17</v>
      </c>
      <c r="AJ18" s="16">
        <v>1</v>
      </c>
      <c r="AK18" s="16">
        <f>INDEX(Tables!$B$15:$B$17,MATCH('Henri''s Hotel'!AI18,Tables!$A$15:$A$17,0))+INDEX(Tables!$B$20:$B$32,MATCH('Henri''s Hotel'!AJ18,Tables!$A$20:$A$32,0))</f>
        <v>7800</v>
      </c>
    </row>
    <row r="19" spans="9:37" x14ac:dyDescent="0.25">
      <c r="I19" s="6" t="s">
        <v>32</v>
      </c>
      <c r="J19" s="11">
        <v>0.25</v>
      </c>
      <c r="K19" s="11">
        <v>4.1666666666666664E-2</v>
      </c>
      <c r="L19" s="11">
        <v>0.29166666666666669</v>
      </c>
      <c r="M19" s="11">
        <v>0.33333333333333331</v>
      </c>
      <c r="N19" s="11">
        <v>0.375</v>
      </c>
      <c r="O19" s="11">
        <v>1.4166666666666701</v>
      </c>
      <c r="P19" s="11">
        <v>1.4583333333333399</v>
      </c>
      <c r="Q19" s="11">
        <v>1.5</v>
      </c>
      <c r="R19" s="11"/>
      <c r="S19" s="11"/>
      <c r="T19" s="11">
        <v>1.625</v>
      </c>
      <c r="U19" s="11">
        <v>1.6666666666666701</v>
      </c>
      <c r="V19" s="11">
        <v>1.7083333333333399</v>
      </c>
      <c r="W19" s="11">
        <v>1.75</v>
      </c>
      <c r="X19" s="30">
        <f>IF(COUNTBLANK(J19:W19)&gt;=Tables!$B$34,COUNTA(J19:W19)/Tables!$B$34,"ERROR WORKING DAYS")</f>
        <v>6</v>
      </c>
      <c r="Y19" s="12">
        <f t="shared" si="0"/>
        <v>0.99999999999999356</v>
      </c>
      <c r="Z19" s="42">
        <f>IF(AB19=Tables!$E$3,IF('Henri''s Hotel'!AA19=Tables!$A$4,'Henri''s Hotel'!Y19,0),0)</f>
        <v>0.99999999999999356</v>
      </c>
      <c r="AA19" s="2" t="s">
        <v>29</v>
      </c>
      <c r="AB19" s="2" t="s">
        <v>23</v>
      </c>
      <c r="AC19" s="14">
        <f>INDEX(Tables!$F$3:$F$5,MATCH('Henri''s Hotel'!AB19,Tables!$E$3:$E$5,0))</f>
        <v>1</v>
      </c>
      <c r="AD19" s="44">
        <f>INDEX(Tables!$F$3:$F$5,MATCH('Henri''s Hotel'!AB19,Tables!$E$3:$E$5,0))*INDEX(Tables!$B$3:$B$6,MATCH('Henri''s Hotel'!AA19,Tables!$A$3:$A$6,0))</f>
        <v>8</v>
      </c>
      <c r="AE19" s="41"/>
      <c r="AF19" s="41">
        <f>IF(AB19=Tables!$E$3,IF('Henri''s Hotel'!AA19=Tables!$A$4,('Henri''s Hotel'!Y19/'Henri''s Hotel'!$Y$30)*'Henri''s Hotel'!$Y$31,0),0)</f>
        <v>500.00000000000068</v>
      </c>
      <c r="AG19" s="13"/>
      <c r="AH19" s="13"/>
      <c r="AI19" s="13" t="s">
        <v>17</v>
      </c>
      <c r="AJ19" s="16">
        <v>1</v>
      </c>
      <c r="AK19" s="16">
        <f>INDEX(Tables!$B$15:$B$17,MATCH('Henri''s Hotel'!AI19,Tables!$A$15:$A$17,0))+INDEX(Tables!$B$20:$B$32,MATCH('Henri''s Hotel'!AJ19,Tables!$A$20:$A$32,0))</f>
        <v>7800</v>
      </c>
    </row>
    <row r="20" spans="9:37" x14ac:dyDescent="0.25">
      <c r="I20" s="6" t="s">
        <v>33</v>
      </c>
      <c r="J20" s="11">
        <v>0.29166666666666702</v>
      </c>
      <c r="K20" s="11">
        <v>0.25</v>
      </c>
      <c r="L20" s="11">
        <v>0.33333333333333331</v>
      </c>
      <c r="M20" s="11">
        <v>0.375</v>
      </c>
      <c r="N20" s="11">
        <v>0.41666666666666669</v>
      </c>
      <c r="O20" s="11">
        <v>1.4583333333333299</v>
      </c>
      <c r="P20" s="11">
        <v>1.5</v>
      </c>
      <c r="Q20" s="11">
        <v>1.5416666666666601</v>
      </c>
      <c r="R20" s="11"/>
      <c r="S20" s="11"/>
      <c r="T20" s="11">
        <v>1.6666666666666601</v>
      </c>
      <c r="U20" s="11">
        <v>1.7083333333333299</v>
      </c>
      <c r="V20" s="11">
        <v>1.75</v>
      </c>
      <c r="W20" s="11">
        <v>1.7916666666666601</v>
      </c>
      <c r="X20" s="30">
        <f>IF(COUNTBLANK(J20:W20)&gt;=Tables!$B$34,COUNTA(J20:W20)/Tables!$B$34,"ERROR WORKING DAYS")</f>
        <v>6</v>
      </c>
      <c r="Y20" s="12">
        <f t="shared" si="0"/>
        <v>1.166666666666653</v>
      </c>
      <c r="Z20" s="42">
        <f>IF(AB20=Tables!$E$3,IF('Henri''s Hotel'!AA20=Tables!$A$4,'Henri''s Hotel'!Y20,0),0)</f>
        <v>0</v>
      </c>
      <c r="AA20" s="2" t="s">
        <v>29</v>
      </c>
      <c r="AB20" s="2" t="s">
        <v>27</v>
      </c>
      <c r="AC20" s="14">
        <f>INDEX(Tables!$F$3:$F$5,MATCH('Henri''s Hotel'!AB20,Tables!$E$3:$E$5,0))</f>
        <v>1.5</v>
      </c>
      <c r="AD20" s="44">
        <f>INDEX(Tables!$F$3:$F$5,MATCH('Henri''s Hotel'!AB20,Tables!$E$3:$E$5,0))*INDEX(Tables!$B$3:$B$6,MATCH('Henri''s Hotel'!AA20,Tables!$A$3:$A$6,0))</f>
        <v>12</v>
      </c>
      <c r="AE20" s="41"/>
      <c r="AF20" s="41">
        <f>IF(AB20=Tables!$E$3,IF('Henri''s Hotel'!AA20=Tables!$A$4,('Henri''s Hotel'!Y20/'Henri''s Hotel'!$Y$30)*'Henri''s Hotel'!$Y$31,0),0)</f>
        <v>0</v>
      </c>
      <c r="AG20" s="13"/>
      <c r="AH20" s="13"/>
      <c r="AI20" s="13" t="s">
        <v>24</v>
      </c>
      <c r="AJ20" s="16">
        <v>6</v>
      </c>
      <c r="AK20" s="16">
        <f>INDEX(Tables!$B$15:$B$17,MATCH('Henri''s Hotel'!AI20,Tables!$A$15:$A$17,0))+INDEX(Tables!$B$20:$B$32,MATCH('Henri''s Hotel'!AJ20,Tables!$A$20:$A$32,0))</f>
        <v>10300</v>
      </c>
    </row>
    <row r="21" spans="9:37" x14ac:dyDescent="0.25">
      <c r="I21" s="6" t="s">
        <v>35</v>
      </c>
      <c r="J21" s="11">
        <v>0.33333333333333298</v>
      </c>
      <c r="K21" s="11">
        <v>0.125</v>
      </c>
      <c r="L21" s="11">
        <v>0.375</v>
      </c>
      <c r="M21" s="11">
        <v>0.41666666666666669</v>
      </c>
      <c r="N21" s="11">
        <v>0.45833333333333331</v>
      </c>
      <c r="O21" s="11">
        <v>1.5</v>
      </c>
      <c r="P21" s="11">
        <v>1.5416666666666701</v>
      </c>
      <c r="Q21" s="11">
        <v>1.5833333333333299</v>
      </c>
      <c r="R21" s="11">
        <v>1.625</v>
      </c>
      <c r="S21" s="11">
        <v>1.6666666666666701</v>
      </c>
      <c r="T21" s="11"/>
      <c r="U21" s="11"/>
      <c r="V21" s="11">
        <v>1.7916666666666701</v>
      </c>
      <c r="W21" s="11">
        <v>1.8333333333333299</v>
      </c>
      <c r="X21" s="30">
        <f>IF(COUNTBLANK(J21:W21)&gt;=Tables!$B$34,COUNTA(J21:W21)/Tables!$B$34,"ERROR WORKING DAYS")</f>
        <v>6</v>
      </c>
      <c r="Y21" s="12">
        <f t="shared" si="0"/>
        <v>0.99999999999999023</v>
      </c>
      <c r="Z21" s="42">
        <f>IF(AB21=Tables!$E$3,IF('Henri''s Hotel'!AA21=Tables!$A$4,'Henri''s Hotel'!Y21,0),0)</f>
        <v>0</v>
      </c>
      <c r="AA21" s="2" t="s">
        <v>29</v>
      </c>
      <c r="AB21" s="2" t="s">
        <v>27</v>
      </c>
      <c r="AC21" s="14">
        <f>INDEX(Tables!$F$3:$F$5,MATCH('Henri''s Hotel'!AB21,Tables!$E$3:$E$5,0))</f>
        <v>1.5</v>
      </c>
      <c r="AD21" s="44">
        <f>INDEX(Tables!$F$3:$F$5,MATCH('Henri''s Hotel'!AB21,Tables!$E$3:$E$5,0))*INDEX(Tables!$B$3:$B$6,MATCH('Henri''s Hotel'!AA21,Tables!$A$3:$A$6,0))</f>
        <v>12</v>
      </c>
      <c r="AE21" s="41"/>
      <c r="AF21" s="41">
        <f>IF(AB21=Tables!$E$3,IF('Henri''s Hotel'!AA21=Tables!$A$4,('Henri''s Hotel'!Y21/'Henri''s Hotel'!$Y$30)*'Henri''s Hotel'!$Y$31,0),0)</f>
        <v>0</v>
      </c>
      <c r="AG21" s="13"/>
      <c r="AH21" s="13"/>
      <c r="AI21" s="13" t="s">
        <v>17</v>
      </c>
      <c r="AJ21" s="16">
        <v>1</v>
      </c>
      <c r="AK21" s="16">
        <f>INDEX(Tables!$B$15:$B$17,MATCH('Henri''s Hotel'!AI21,Tables!$A$15:$A$17,0))+INDEX(Tables!$B$20:$B$32,MATCH('Henri''s Hotel'!AJ21,Tables!$A$20:$A$32,0))</f>
        <v>7800</v>
      </c>
    </row>
    <row r="22" spans="9:37" x14ac:dyDescent="0.25">
      <c r="I22" s="6" t="s">
        <v>36</v>
      </c>
      <c r="J22" s="11">
        <v>0.375</v>
      </c>
      <c r="K22" s="11">
        <v>0.16666666666666666</v>
      </c>
      <c r="L22" s="11">
        <v>0.41666666666666669</v>
      </c>
      <c r="M22" s="11">
        <v>0.45833333333333331</v>
      </c>
      <c r="N22" s="11">
        <v>0.5</v>
      </c>
      <c r="O22" s="11">
        <v>1.5416666666666701</v>
      </c>
      <c r="P22" s="11">
        <v>1.5833333333333399</v>
      </c>
      <c r="Q22" s="11">
        <v>1.625</v>
      </c>
      <c r="R22" s="11">
        <v>1.6666666666666701</v>
      </c>
      <c r="S22" s="11">
        <v>1.7083333333333399</v>
      </c>
      <c r="T22" s="11">
        <v>1.75</v>
      </c>
      <c r="U22" s="11">
        <v>1.7916666666666701</v>
      </c>
      <c r="V22" s="11"/>
      <c r="W22" s="11"/>
      <c r="X22" s="30">
        <f>IF(COUNTBLANK(J22:W22)&gt;=Tables!$B$34,COUNTA(J22:W22)/Tables!$B$34,"ERROR WORKING DAYS")</f>
        <v>6</v>
      </c>
      <c r="Y22" s="12">
        <f t="shared" si="0"/>
        <v>1.0000000000000033</v>
      </c>
      <c r="Z22" s="42">
        <f>IF(AB22=Tables!$E$3,IF('Henri''s Hotel'!AA22=Tables!$A$4,'Henri''s Hotel'!Y22,0),0)</f>
        <v>0</v>
      </c>
      <c r="AA22" s="2" t="s">
        <v>15</v>
      </c>
      <c r="AB22" s="2" t="s">
        <v>27</v>
      </c>
      <c r="AC22" s="14">
        <f>INDEX(Tables!$F$3:$F$5,MATCH('Henri''s Hotel'!AB22,Tables!$E$3:$E$5,0))</f>
        <v>1.5</v>
      </c>
      <c r="AD22" s="44">
        <f>INDEX(Tables!$F$3:$F$5,MATCH('Henri''s Hotel'!AB22,Tables!$E$3:$E$5,0))*INDEX(Tables!$B$3:$B$6,MATCH('Henri''s Hotel'!AA22,Tables!$A$3:$A$6,0))</f>
        <v>15</v>
      </c>
      <c r="AE22" s="41"/>
      <c r="AF22" s="41">
        <f>IF(AB22=Tables!$E$3,IF('Henri''s Hotel'!AA22=Tables!$A$4,('Henri''s Hotel'!Y22/'Henri''s Hotel'!$Y$30)*'Henri''s Hotel'!$Y$31,0),0)</f>
        <v>0</v>
      </c>
      <c r="AG22" s="13"/>
      <c r="AH22" s="13"/>
      <c r="AI22" s="13" t="s">
        <v>17</v>
      </c>
      <c r="AJ22" s="16">
        <v>1</v>
      </c>
      <c r="AK22" s="16">
        <f>INDEX(Tables!$B$15:$B$17,MATCH('Henri''s Hotel'!AI22,Tables!$A$15:$A$17,0))+INDEX(Tables!$B$20:$B$32,MATCH('Henri''s Hotel'!AJ22,Tables!$A$20:$A$32,0))</f>
        <v>7800</v>
      </c>
    </row>
    <row r="23" spans="9:37" x14ac:dyDescent="0.25">
      <c r="I23" s="6" t="s">
        <v>37</v>
      </c>
      <c r="J23" s="11">
        <v>0.41666666666666702</v>
      </c>
      <c r="K23" s="11">
        <v>0.20833333333333334</v>
      </c>
      <c r="L23" s="11">
        <v>0.45833333333333331</v>
      </c>
      <c r="M23" s="11">
        <v>0.5</v>
      </c>
      <c r="N23" s="11">
        <v>0.54166666666666663</v>
      </c>
      <c r="O23" s="11">
        <v>1.5833333333333299</v>
      </c>
      <c r="P23" s="11">
        <v>1.625</v>
      </c>
      <c r="Q23" s="11">
        <v>1.6666666666666601</v>
      </c>
      <c r="R23" s="11">
        <v>1.7083333333333299</v>
      </c>
      <c r="S23" s="11">
        <v>1.75</v>
      </c>
      <c r="T23" s="11">
        <v>1.7916666666666601</v>
      </c>
      <c r="U23" s="11">
        <v>1.8333333333333299</v>
      </c>
      <c r="V23" s="11"/>
      <c r="W23" s="11"/>
      <c r="X23" s="30">
        <f>IF(COUNTBLANK(J23:W23)&gt;=Tables!$B$34,COUNTA(J23:W23)/Tables!$B$34,"ERROR WORKING DAYS")</f>
        <v>6</v>
      </c>
      <c r="Y23" s="12">
        <f t="shared" si="0"/>
        <v>0.99999999999999645</v>
      </c>
      <c r="Z23" s="42">
        <f>IF(AB23=Tables!$E$3,IF('Henri''s Hotel'!AA23=Tables!$A$4,'Henri''s Hotel'!Y23,0),0)</f>
        <v>0</v>
      </c>
      <c r="AA23" s="2" t="s">
        <v>15</v>
      </c>
      <c r="AB23" s="2" t="s">
        <v>27</v>
      </c>
      <c r="AC23" s="14">
        <f>INDEX(Tables!$F$3:$F$5,MATCH('Henri''s Hotel'!AB23,Tables!$E$3:$E$5,0))</f>
        <v>1.5</v>
      </c>
      <c r="AD23" s="44">
        <f>INDEX(Tables!$F$3:$F$5,MATCH('Henri''s Hotel'!AB23,Tables!$E$3:$E$5,0))*INDEX(Tables!$B$3:$B$6,MATCH('Henri''s Hotel'!AA23,Tables!$A$3:$A$6,0))</f>
        <v>15</v>
      </c>
      <c r="AE23" s="41"/>
      <c r="AF23" s="41">
        <f>IF(AB23=Tables!$E$3,IF('Henri''s Hotel'!AA23=Tables!$A$4,('Henri''s Hotel'!Y23/'Henri''s Hotel'!$Y$30)*'Henri''s Hotel'!$Y$31,0),0)</f>
        <v>0</v>
      </c>
      <c r="AG23" s="13"/>
      <c r="AH23" s="13"/>
      <c r="AI23" s="13" t="s">
        <v>17</v>
      </c>
      <c r="AJ23" s="16">
        <v>1</v>
      </c>
      <c r="AK23" s="16">
        <f>INDEX(Tables!$B$15:$B$17,MATCH('Henri''s Hotel'!AI23,Tables!$A$15:$A$17,0))+INDEX(Tables!$B$20:$B$32,MATCH('Henri''s Hotel'!AJ23,Tables!$A$20:$A$32,0))</f>
        <v>7800</v>
      </c>
    </row>
    <row r="24" spans="9:37" x14ac:dyDescent="0.25">
      <c r="I24" s="6" t="s">
        <v>38</v>
      </c>
      <c r="J24" s="11">
        <v>0.45833333333333298</v>
      </c>
      <c r="K24" s="11">
        <v>0.25</v>
      </c>
      <c r="L24" s="11">
        <v>0.5</v>
      </c>
      <c r="M24" s="11">
        <v>0.54166666666666663</v>
      </c>
      <c r="N24" s="11">
        <v>0.58333333333333337</v>
      </c>
      <c r="O24" s="11">
        <v>1.625</v>
      </c>
      <c r="P24" s="11">
        <v>1.6666666666666701</v>
      </c>
      <c r="Q24" s="11">
        <v>1.7083333333333299</v>
      </c>
      <c r="R24" s="11">
        <v>1.75</v>
      </c>
      <c r="S24" s="11">
        <v>1.7916666666666701</v>
      </c>
      <c r="T24" s="11"/>
      <c r="U24" s="11"/>
      <c r="V24" s="11">
        <v>1.9166666666666701</v>
      </c>
      <c r="W24" s="11">
        <v>1.9583333333333299</v>
      </c>
      <c r="X24" s="30">
        <f>IF(COUNTBLANK(J24:W24)&gt;=Tables!$B$34,COUNTA(J24:W24)/Tables!$B$34,"ERROR WORKING DAYS")</f>
        <v>6</v>
      </c>
      <c r="Y24" s="12">
        <f t="shared" si="0"/>
        <v>0.9999999999999899</v>
      </c>
      <c r="Z24" s="42">
        <f>IF(AB24=Tables!$E$3,IF('Henri''s Hotel'!AA24=Tables!$A$4,'Henri''s Hotel'!Y24,0),0)</f>
        <v>0</v>
      </c>
      <c r="AA24" s="2" t="s">
        <v>15</v>
      </c>
      <c r="AB24" s="2" t="s">
        <v>27</v>
      </c>
      <c r="AC24" s="14">
        <f>INDEX(Tables!$F$3:$F$5,MATCH('Henri''s Hotel'!AB24,Tables!$E$3:$E$5,0))</f>
        <v>1.5</v>
      </c>
      <c r="AD24" s="44">
        <f>INDEX(Tables!$F$3:$F$5,MATCH('Henri''s Hotel'!AB24,Tables!$E$3:$E$5,0))*INDEX(Tables!$B$3:$B$6,MATCH('Henri''s Hotel'!AA24,Tables!$A$3:$A$6,0))</f>
        <v>15</v>
      </c>
      <c r="AE24" s="41"/>
      <c r="AF24" s="41">
        <f>IF(AB24=Tables!$E$3,IF('Henri''s Hotel'!AA24=Tables!$A$4,('Henri''s Hotel'!Y24/'Henri''s Hotel'!$Y$30)*'Henri''s Hotel'!$Y$31,0),0)</f>
        <v>0</v>
      </c>
      <c r="AG24" s="13"/>
      <c r="AH24" s="13"/>
      <c r="AI24" s="13" t="s">
        <v>17</v>
      </c>
      <c r="AJ24" s="16">
        <v>1</v>
      </c>
      <c r="AK24" s="16">
        <f>INDEX(Tables!$B$15:$B$17,MATCH('Henri''s Hotel'!AI24,Tables!$A$15:$A$17,0))+INDEX(Tables!$B$20:$B$32,MATCH('Henri''s Hotel'!AJ24,Tables!$A$20:$A$32,0))</f>
        <v>7800</v>
      </c>
    </row>
    <row r="25" spans="9:37" x14ac:dyDescent="0.25">
      <c r="I25" s="6" t="s">
        <v>39</v>
      </c>
      <c r="J25" s="11">
        <v>0.5</v>
      </c>
      <c r="K25" s="11">
        <v>0.29166666666666669</v>
      </c>
      <c r="L25" s="11">
        <v>0.54166666666666663</v>
      </c>
      <c r="M25" s="11">
        <v>0.58333333333333337</v>
      </c>
      <c r="N25" s="11">
        <v>0.625</v>
      </c>
      <c r="O25" s="11">
        <v>1.6666666666666701</v>
      </c>
      <c r="P25" s="11">
        <v>1.7083333333333399</v>
      </c>
      <c r="Q25" s="11">
        <v>1.75</v>
      </c>
      <c r="R25" s="11"/>
      <c r="S25" s="11"/>
      <c r="T25" s="11">
        <v>1.875</v>
      </c>
      <c r="U25" s="11">
        <v>1.9166666666666701</v>
      </c>
      <c r="V25" s="11">
        <v>1.9583333333333399</v>
      </c>
      <c r="W25" s="11">
        <v>2</v>
      </c>
      <c r="X25" s="30">
        <f>IF(COUNTBLANK(J25:W25)&gt;=Tables!$B$34,COUNTA(J25:W25)/Tables!$B$34,"ERROR WORKING DAYS")</f>
        <v>6</v>
      </c>
      <c r="Y25" s="12">
        <f t="shared" si="0"/>
        <v>0.99999999999999378</v>
      </c>
      <c r="Z25" s="42">
        <f>IF(AB25=Tables!$E$3,IF('Henri''s Hotel'!AA25=Tables!$A$4,'Henri''s Hotel'!Y25,0),0)</f>
        <v>0</v>
      </c>
      <c r="AA25" s="2" t="s">
        <v>15</v>
      </c>
      <c r="AB25" s="2" t="s">
        <v>27</v>
      </c>
      <c r="AC25" s="14">
        <f>INDEX(Tables!$F$3:$F$5,MATCH('Henri''s Hotel'!AB25,Tables!$E$3:$E$5,0))</f>
        <v>1.5</v>
      </c>
      <c r="AD25" s="44">
        <f>INDEX(Tables!$F$3:$F$5,MATCH('Henri''s Hotel'!AB25,Tables!$E$3:$E$5,0))*INDEX(Tables!$B$3:$B$6,MATCH('Henri''s Hotel'!AA25,Tables!$A$3:$A$6,0))</f>
        <v>15</v>
      </c>
      <c r="AE25" s="41"/>
      <c r="AF25" s="41">
        <f>IF(AB25=Tables!$E$3,IF('Henri''s Hotel'!AA25=Tables!$A$4,('Henri''s Hotel'!Y25/'Henri''s Hotel'!$Y$30)*'Henri''s Hotel'!$Y$31,0),0)</f>
        <v>0</v>
      </c>
      <c r="AG25" s="13"/>
      <c r="AH25" s="13"/>
      <c r="AI25" s="13" t="s">
        <v>17</v>
      </c>
      <c r="AJ25" s="16">
        <v>1</v>
      </c>
      <c r="AK25" s="16">
        <f>INDEX(Tables!$B$15:$B$17,MATCH('Henri''s Hotel'!AI25,Tables!$A$15:$A$17,0))+INDEX(Tables!$B$20:$B$32,MATCH('Henri''s Hotel'!AJ25,Tables!$A$20:$A$32,0))</f>
        <v>7800</v>
      </c>
    </row>
    <row r="26" spans="9:37" x14ac:dyDescent="0.25">
      <c r="I26" s="6" t="s">
        <v>40</v>
      </c>
      <c r="J26" s="11">
        <v>0.54166666666666696</v>
      </c>
      <c r="K26" s="11">
        <v>0.33333333333333331</v>
      </c>
      <c r="L26" s="11">
        <v>0.58333333333333337</v>
      </c>
      <c r="M26" s="11">
        <v>0.625</v>
      </c>
      <c r="N26" s="11">
        <v>0.66666666666666663</v>
      </c>
      <c r="O26" s="11">
        <v>1.7083333333333299</v>
      </c>
      <c r="P26" s="11">
        <v>1.75</v>
      </c>
      <c r="Q26" s="11">
        <v>1.7916666666666601</v>
      </c>
      <c r="R26" s="11"/>
      <c r="S26" s="11"/>
      <c r="T26" s="11">
        <v>1.9166666666666601</v>
      </c>
      <c r="U26" s="11">
        <v>1.9583333333333299</v>
      </c>
      <c r="V26" s="11">
        <v>2</v>
      </c>
      <c r="W26" s="11">
        <v>2.0416666666666599</v>
      </c>
      <c r="X26" s="30">
        <f>IF(COUNTBLANK(J26:W26)&gt;=Tables!$B$34,COUNTA(J26:W26)/Tables!$B$34,"ERROR WORKING DAYS")</f>
        <v>6</v>
      </c>
      <c r="Y26" s="12">
        <f t="shared" si="0"/>
        <v>0.99999999999998612</v>
      </c>
      <c r="Z26" s="42">
        <f>IF(AB26=Tables!$E$3,IF('Henri''s Hotel'!AA26=Tables!$A$4,'Henri''s Hotel'!Y26,0),0)</f>
        <v>0</v>
      </c>
      <c r="AA26" s="2" t="s">
        <v>15</v>
      </c>
      <c r="AB26" s="2" t="s">
        <v>27</v>
      </c>
      <c r="AC26" s="14">
        <f>INDEX(Tables!$F$3:$F$5,MATCH('Henri''s Hotel'!AB26,Tables!$E$3:$E$5,0))</f>
        <v>1.5</v>
      </c>
      <c r="AD26" s="44">
        <f>INDEX(Tables!$F$3:$F$5,MATCH('Henri''s Hotel'!AB26,Tables!$E$3:$E$5,0))*INDEX(Tables!$B$3:$B$6,MATCH('Henri''s Hotel'!AA26,Tables!$A$3:$A$6,0))</f>
        <v>15</v>
      </c>
      <c r="AE26" s="41"/>
      <c r="AF26" s="41">
        <f>IF(AB26=Tables!$E$3,IF('Henri''s Hotel'!AA26=Tables!$A$4,('Henri''s Hotel'!Y26/'Henri''s Hotel'!$Y$30)*'Henri''s Hotel'!$Y$31,0),0)</f>
        <v>0</v>
      </c>
      <c r="AG26" s="13"/>
      <c r="AH26" s="13"/>
      <c r="AI26" s="13" t="s">
        <v>17</v>
      </c>
      <c r="AJ26" s="16">
        <v>1</v>
      </c>
      <c r="AK26" s="16">
        <f>INDEX(Tables!$B$15:$B$17,MATCH('Henri''s Hotel'!AI26,Tables!$A$15:$A$17,0))+INDEX(Tables!$B$20:$B$32,MATCH('Henri''s Hotel'!AJ26,Tables!$A$20:$A$32,0))</f>
        <v>7800</v>
      </c>
    </row>
    <row r="27" spans="9:37" x14ac:dyDescent="0.25">
      <c r="I27" s="6" t="s">
        <v>41</v>
      </c>
      <c r="J27" s="11">
        <v>0.58333333333333304</v>
      </c>
      <c r="K27" s="11">
        <v>0.375</v>
      </c>
      <c r="L27" s="11">
        <v>0.625</v>
      </c>
      <c r="M27" s="11">
        <v>0.66666666666666663</v>
      </c>
      <c r="N27" s="11">
        <v>0.70833333333333337</v>
      </c>
      <c r="O27" s="11">
        <v>1.75</v>
      </c>
      <c r="P27" s="11">
        <v>1.7916666666666701</v>
      </c>
      <c r="Q27" s="11">
        <v>1.8333333333333299</v>
      </c>
      <c r="R27" s="11"/>
      <c r="S27" s="11"/>
      <c r="T27" s="11">
        <v>1.9583333333333299</v>
      </c>
      <c r="U27" s="11">
        <v>2</v>
      </c>
      <c r="V27" s="11">
        <v>2.0416666666666701</v>
      </c>
      <c r="W27" s="11">
        <v>2.0833333333333299</v>
      </c>
      <c r="X27" s="30">
        <f>IF(COUNTBLANK(J27:W27)&gt;=Tables!$B$34,COUNTA(J27:W27)/Tables!$B$34,"ERROR WORKING DAYS")</f>
        <v>6</v>
      </c>
      <c r="Y27" s="12">
        <f t="shared" si="0"/>
        <v>0.9999999999999899</v>
      </c>
      <c r="Z27" s="42">
        <f>IF(AB27=Tables!$E$3,IF('Henri''s Hotel'!AA27=Tables!$A$4,'Henri''s Hotel'!Y27,0),0)</f>
        <v>0</v>
      </c>
      <c r="AA27" s="2" t="s">
        <v>15</v>
      </c>
      <c r="AB27" s="2" t="s">
        <v>27</v>
      </c>
      <c r="AC27" s="14">
        <f>INDEX(Tables!$F$3:$F$5,MATCH('Henri''s Hotel'!AB27,Tables!$E$3:$E$5,0))</f>
        <v>1.5</v>
      </c>
      <c r="AD27" s="44">
        <f>INDEX(Tables!$F$3:$F$5,MATCH('Henri''s Hotel'!AB27,Tables!$E$3:$E$5,0))*INDEX(Tables!$B$3:$B$6,MATCH('Henri''s Hotel'!AA27,Tables!$A$3:$A$6,0))</f>
        <v>15</v>
      </c>
      <c r="AE27" s="41"/>
      <c r="AF27" s="41">
        <f>IF(AB27=Tables!$E$3,IF('Henri''s Hotel'!AA27=Tables!$A$4,('Henri''s Hotel'!Y27/'Henri''s Hotel'!$Y$30)*'Henri''s Hotel'!$Y$31,0),0)</f>
        <v>0</v>
      </c>
      <c r="AG27" s="13"/>
      <c r="AH27" s="13"/>
      <c r="AI27" s="13" t="s">
        <v>17</v>
      </c>
      <c r="AJ27" s="16">
        <v>1</v>
      </c>
      <c r="AK27" s="16">
        <f>INDEX(Tables!$B$15:$B$17,MATCH('Henri''s Hotel'!AI27,Tables!$A$15:$A$17,0))+INDEX(Tables!$B$20:$B$32,MATCH('Henri''s Hotel'!AJ27,Tables!$A$20:$A$32,0))</f>
        <v>7800</v>
      </c>
    </row>
    <row r="28" spans="9:37" x14ac:dyDescent="0.25">
      <c r="I28" s="6" t="s">
        <v>42</v>
      </c>
      <c r="J28" s="11">
        <v>0.625</v>
      </c>
      <c r="K28" s="11">
        <v>0.41666666666666669</v>
      </c>
      <c r="L28" s="11">
        <v>0.66666666666666663</v>
      </c>
      <c r="M28" s="11">
        <v>0.70833333333333337</v>
      </c>
      <c r="N28" s="11">
        <v>0.75</v>
      </c>
      <c r="O28" s="11">
        <v>1.7916666666666701</v>
      </c>
      <c r="P28" s="11">
        <v>1.8333333333333399</v>
      </c>
      <c r="Q28" s="11">
        <v>1.875</v>
      </c>
      <c r="R28" s="11"/>
      <c r="S28" s="11"/>
      <c r="T28" s="11">
        <v>2</v>
      </c>
      <c r="U28" s="11">
        <v>2.0416666666666701</v>
      </c>
      <c r="V28" s="11">
        <v>2.0833333333333401</v>
      </c>
      <c r="W28" s="11">
        <v>2.125</v>
      </c>
      <c r="X28" s="30">
        <f>IF(COUNTBLANK(J28:W28)&gt;=Tables!$B$34,COUNTA(J28:W28)/Tables!$B$34,"ERROR WORKING DAYS")</f>
        <v>6</v>
      </c>
      <c r="Y28" s="12">
        <f t="shared" si="0"/>
        <v>0.99999999999999356</v>
      </c>
      <c r="Z28" s="42">
        <f>IF(AB28=Tables!$E$3,IF('Henri''s Hotel'!AA28=Tables!$A$4,'Henri''s Hotel'!Y28,0),0)</f>
        <v>0</v>
      </c>
      <c r="AA28" s="2" t="s">
        <v>15</v>
      </c>
      <c r="AB28" s="2" t="s">
        <v>27</v>
      </c>
      <c r="AC28" s="14">
        <f>INDEX(Tables!$F$3:$F$5,MATCH('Henri''s Hotel'!AB28,Tables!$E$3:$E$5,0))</f>
        <v>1.5</v>
      </c>
      <c r="AD28" s="44">
        <f>INDEX(Tables!$F$3:$F$5,MATCH('Henri''s Hotel'!AB28,Tables!$E$3:$E$5,0))*INDEX(Tables!$B$3:$B$6,MATCH('Henri''s Hotel'!AA28,Tables!$A$3:$A$6,0))</f>
        <v>15</v>
      </c>
      <c r="AE28" s="41"/>
      <c r="AF28" s="41">
        <f>IF(AB28=Tables!$E$3,IF('Henri''s Hotel'!AA28=Tables!$A$4,('Henri''s Hotel'!Y28/'Henri''s Hotel'!$Y$30)*'Henri''s Hotel'!$Y$31,0),0)</f>
        <v>0</v>
      </c>
      <c r="AG28" s="13"/>
      <c r="AH28" s="13"/>
      <c r="AI28" s="13" t="s">
        <v>17</v>
      </c>
      <c r="AJ28" s="16">
        <v>1</v>
      </c>
      <c r="AK28" s="16">
        <f>INDEX(Tables!$B$15:$B$17,MATCH('Henri''s Hotel'!AI28,Tables!$A$15:$A$17,0))+INDEX(Tables!$B$20:$B$32,MATCH('Henri''s Hotel'!AJ28,Tables!$A$20:$A$32,0))</f>
        <v>7800</v>
      </c>
    </row>
    <row r="30" spans="9:37" x14ac:dyDescent="0.25">
      <c r="I30" s="29" t="s">
        <v>11</v>
      </c>
      <c r="J30" s="22">
        <v>100000</v>
      </c>
      <c r="X30" s="13" t="s">
        <v>64</v>
      </c>
      <c r="Y30" s="26">
        <f>SUM(Z9:Z29)</f>
        <v>1.9999999999999847</v>
      </c>
      <c r="Z30" s="38"/>
      <c r="AA30" s="33"/>
    </row>
    <row r="31" spans="9:37" x14ac:dyDescent="0.25">
      <c r="I31" s="29" t="s">
        <v>12</v>
      </c>
      <c r="J31" s="22">
        <f>J30*Tables!F14</f>
        <v>5000</v>
      </c>
      <c r="Y31" s="35">
        <f>(100/500)*J31</f>
        <v>1000</v>
      </c>
      <c r="Z31" s="35"/>
      <c r="AB31" t="e">
        <f>LOOKUP(AB9,Tables!$E$3:$E$5,MATCH(AA9,Tables!$A$3:$A$6,0))</f>
        <v>#N/A</v>
      </c>
    </row>
    <row r="32" spans="9:37" x14ac:dyDescent="0.25">
      <c r="Y32" t="e">
        <f>IF(AB9*AA9=Tables!$A$4*Tables!$E$3,+'Henri''s Hotel'!Y9,0)</f>
        <v>#VALUE!</v>
      </c>
    </row>
    <row r="33" spans="9:26" x14ac:dyDescent="0.25">
      <c r="I33" s="28"/>
    </row>
    <row r="35" spans="9:26" x14ac:dyDescent="0.25">
      <c r="I35" t="s">
        <v>56</v>
      </c>
    </row>
    <row r="37" spans="9:26" x14ac:dyDescent="0.25">
      <c r="Y37">
        <v>201.2499999999994</v>
      </c>
      <c r="Z37" t="s">
        <v>69</v>
      </c>
    </row>
    <row r="38" spans="9:26" x14ac:dyDescent="0.25">
      <c r="Y38">
        <v>240.00000000000077</v>
      </c>
    </row>
    <row r="39" spans="9:26" x14ac:dyDescent="0.25">
      <c r="Y39">
        <v>229.9999999999967</v>
      </c>
    </row>
    <row r="40" spans="9:26" x14ac:dyDescent="0.25">
      <c r="Y40">
        <v>239.99999999999847</v>
      </c>
    </row>
    <row r="41" spans="9:26" x14ac:dyDescent="0.25">
      <c r="Y41">
        <v>359.99999999999807</v>
      </c>
    </row>
    <row r="42" spans="9:26" x14ac:dyDescent="0.25">
      <c r="Y42">
        <v>359.99999999999756</v>
      </c>
    </row>
    <row r="43" spans="9:26" x14ac:dyDescent="0.25">
      <c r="Y43">
        <v>360</v>
      </c>
    </row>
    <row r="44" spans="9:26" x14ac:dyDescent="0.25">
      <c r="Y44">
        <v>360.00000000000136</v>
      </c>
    </row>
    <row r="45" spans="9:26" x14ac:dyDescent="0.25">
      <c r="Y45">
        <v>287.99999999999881</v>
      </c>
    </row>
    <row r="46" spans="9:26" x14ac:dyDescent="0.25">
      <c r="Y46">
        <v>191.99999999999829</v>
      </c>
    </row>
    <row r="47" spans="9:26" x14ac:dyDescent="0.25">
      <c r="Y47">
        <v>191.99999999999878</v>
      </c>
    </row>
    <row r="48" spans="9:26" x14ac:dyDescent="0.25">
      <c r="Y48">
        <v>335.99999999999608</v>
      </c>
    </row>
    <row r="49" spans="25:25" x14ac:dyDescent="0.25">
      <c r="Y49">
        <v>287.99999999999721</v>
      </c>
    </row>
    <row r="50" spans="25:25" x14ac:dyDescent="0.25">
      <c r="Y50">
        <v>360.00000000000119</v>
      </c>
    </row>
    <row r="51" spans="25:25" x14ac:dyDescent="0.25">
      <c r="Y51">
        <v>359.99999999999875</v>
      </c>
    </row>
    <row r="52" spans="25:25" x14ac:dyDescent="0.25">
      <c r="Y52">
        <v>359.99999999999642</v>
      </c>
    </row>
    <row r="53" spans="25:25" x14ac:dyDescent="0.25">
      <c r="Y53">
        <v>359.99999999999778</v>
      </c>
    </row>
    <row r="54" spans="25:25" x14ac:dyDescent="0.25">
      <c r="Y54">
        <v>359.99999999999505</v>
      </c>
    </row>
    <row r="55" spans="25:25" x14ac:dyDescent="0.25">
      <c r="Y55">
        <v>359.99999999999642</v>
      </c>
    </row>
    <row r="56" spans="25:25" x14ac:dyDescent="0.25">
      <c r="Y56">
        <v>359.99999999999773</v>
      </c>
    </row>
  </sheetData>
  <dataConsolidate/>
  <mergeCells count="10">
    <mergeCell ref="Y7:Y8"/>
    <mergeCell ref="I7:I8"/>
    <mergeCell ref="V7:W7"/>
    <mergeCell ref="T7:U7"/>
    <mergeCell ref="R7:S7"/>
    <mergeCell ref="P7:Q7"/>
    <mergeCell ref="N7:O7"/>
    <mergeCell ref="L7:M7"/>
    <mergeCell ref="J7:K7"/>
    <mergeCell ref="X7:X8"/>
  </mergeCells>
  <conditionalFormatting sqref="Y9:Z17 Y20:Z28 Y18:Y19">
    <cfRule type="dataBar" priority="14">
      <dataBar>
        <cfvo type="min"/>
        <cfvo type="max"/>
        <color theme="3" tint="0.79998168889431442"/>
      </dataBar>
      <extLst>
        <ext xmlns:x14="http://schemas.microsoft.com/office/spreadsheetml/2009/9/main" uri="{B025F937-C7B1-47D3-B67F-A62EFF666E3E}">
          <x14:id>{C0808594-B8B0-406E-ACC0-9C1C13B442FD}</x14:id>
        </ext>
      </extLst>
    </cfRule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{F395B7FE-8AEF-46F6-934C-7404FD4DAFB2}</x14:id>
        </ext>
      </extLst>
    </cfRule>
  </conditionalFormatting>
  <conditionalFormatting sqref="X9:X28">
    <cfRule type="cellIs" dxfId="4" priority="11" operator="equal">
      <formula>"ERROR"</formula>
    </cfRule>
    <cfRule type="containsText" dxfId="3" priority="12" operator="containsText" text="ERROR">
      <formula>NOT(ISERROR(SEARCH("ERROR",X9)))</formula>
    </cfRule>
    <cfRule type="containsText" dxfId="2" priority="13" operator="containsText" text="&quot;ERROR WORKING DAYS3">
      <formula>NOT(ISERROR(SEARCH("""ERROR WORKING DAYS3",X9)))</formula>
    </cfRule>
  </conditionalFormatting>
  <conditionalFormatting sqref="X9:X28">
    <cfRule type="cellIs" dxfId="1" priority="10" operator="equal">
      <formula>5.5</formula>
    </cfRule>
  </conditionalFormatting>
  <conditionalFormatting sqref="J9:W28">
    <cfRule type="cellIs" dxfId="0" priority="2" operator="equal">
      <formula>0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808594-B8B0-406E-ACC0-9C1C13B442F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395B7FE-8AEF-46F6-934C-7404FD4DA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Y9:Z17 Y20:Z28 Y18:Y19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Tables!$A$3:$A$6</xm:f>
          </x14:formula1>
          <xm:sqref>AA9:AA28</xm:sqref>
        </x14:dataValidation>
        <x14:dataValidation type="list" allowBlank="1" showInputMessage="1" showErrorMessage="1">
          <x14:formula1>
            <xm:f>Tables!$E$3:$E$5</xm:f>
          </x14:formula1>
          <xm:sqref>AB9:AB28</xm:sqref>
        </x14:dataValidation>
        <x14:dataValidation type="list" allowBlank="1" showInputMessage="1" showErrorMessage="1">
          <x14:formula1>
            <xm:f>Tables!$H$3:$H$5</xm:f>
          </x14:formula1>
          <xm:sqref>AI9:AI28</xm:sqref>
        </x14:dataValidation>
        <x14:dataValidation type="list" operator="greaterThan" allowBlank="1" showInputMessage="1" showErrorMessage="1">
          <x14:formula1>
            <xm:f>Tables!$A$20:$A$32</xm:f>
          </x14:formula1>
          <xm:sqref>AJ9:AJ28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7"/>
  <sheetViews>
    <sheetView workbookViewId="0">
      <selection activeCell="F17" sqref="F17"/>
    </sheetView>
  </sheetViews>
  <sheetFormatPr defaultRowHeight="15" x14ac:dyDescent="0.25"/>
  <cols>
    <col min="1" max="1" width="19.140625" customWidth="1"/>
    <col min="2" max="2" width="11" customWidth="1"/>
    <col min="3" max="4" width="9.140625" customWidth="1"/>
    <col min="5" max="5" width="16.5703125" customWidth="1"/>
    <col min="6" max="6" width="42" customWidth="1"/>
    <col min="7" max="7" width="9.140625" customWidth="1"/>
    <col min="8" max="8" width="25.5703125" customWidth="1"/>
    <col min="9" max="9" width="18.5703125" customWidth="1"/>
    <col min="10" max="10" width="9.140625" customWidth="1"/>
  </cols>
  <sheetData>
    <row r="2" spans="1:9" x14ac:dyDescent="0.25">
      <c r="A2" s="3" t="s">
        <v>8</v>
      </c>
      <c r="B2" s="3" t="s">
        <v>43</v>
      </c>
      <c r="E2" s="3" t="s">
        <v>9</v>
      </c>
      <c r="F2" s="3" t="s">
        <v>44</v>
      </c>
      <c r="H2" t="s">
        <v>13</v>
      </c>
      <c r="I2" t="s">
        <v>45</v>
      </c>
    </row>
    <row r="3" spans="1:9" x14ac:dyDescent="0.25">
      <c r="A3" s="4" t="s">
        <v>15</v>
      </c>
      <c r="B3" s="2">
        <v>10</v>
      </c>
      <c r="E3" s="4" t="s">
        <v>23</v>
      </c>
      <c r="F3" s="2">
        <v>1</v>
      </c>
      <c r="H3" t="s">
        <v>34</v>
      </c>
      <c r="I3">
        <v>5000</v>
      </c>
    </row>
    <row r="4" spans="1:9" x14ac:dyDescent="0.25">
      <c r="A4" s="4" t="s">
        <v>29</v>
      </c>
      <c r="B4" s="2">
        <v>8</v>
      </c>
      <c r="E4" s="4" t="s">
        <v>16</v>
      </c>
      <c r="F4" s="2">
        <v>1.25</v>
      </c>
      <c r="H4" t="s">
        <v>17</v>
      </c>
      <c r="I4">
        <v>7000</v>
      </c>
    </row>
    <row r="5" spans="1:9" x14ac:dyDescent="0.25">
      <c r="A5" s="4" t="s">
        <v>46</v>
      </c>
      <c r="B5" s="2">
        <v>7</v>
      </c>
      <c r="E5" s="4" t="s">
        <v>27</v>
      </c>
      <c r="F5" s="2">
        <v>1.5</v>
      </c>
      <c r="H5" t="s">
        <v>24</v>
      </c>
      <c r="I5">
        <v>5500</v>
      </c>
    </row>
    <row r="6" spans="1:9" x14ac:dyDescent="0.25">
      <c r="A6" s="4" t="s">
        <v>21</v>
      </c>
      <c r="B6" s="2">
        <v>6.5</v>
      </c>
    </row>
    <row r="7" spans="1:9" x14ac:dyDescent="0.25">
      <c r="E7" s="18" t="s">
        <v>50</v>
      </c>
      <c r="F7" s="21" t="s">
        <v>61</v>
      </c>
      <c r="G7" s="21" t="s">
        <v>54</v>
      </c>
      <c r="H7" s="21" t="s">
        <v>62</v>
      </c>
      <c r="I7" s="21" t="s">
        <v>54</v>
      </c>
    </row>
    <row r="8" spans="1:9" x14ac:dyDescent="0.25">
      <c r="E8" s="18" t="s">
        <v>51</v>
      </c>
      <c r="F8" s="13">
        <v>39</v>
      </c>
      <c r="G8" s="13">
        <v>1</v>
      </c>
      <c r="H8" s="13">
        <v>39</v>
      </c>
      <c r="I8" s="13">
        <f>G11*G8</f>
        <v>2</v>
      </c>
    </row>
    <row r="9" spans="1:9" x14ac:dyDescent="0.25">
      <c r="E9" s="18" t="s">
        <v>52</v>
      </c>
      <c r="F9" s="13">
        <v>45</v>
      </c>
      <c r="G9" s="13">
        <v>1.25</v>
      </c>
      <c r="H9" s="13">
        <v>45</v>
      </c>
      <c r="I9" s="13">
        <f>G9*G11</f>
        <v>2.5</v>
      </c>
    </row>
    <row r="10" spans="1:9" x14ac:dyDescent="0.25">
      <c r="E10" s="18" t="s">
        <v>53</v>
      </c>
      <c r="F10" s="20">
        <v>45</v>
      </c>
      <c r="G10" s="13">
        <v>1.5</v>
      </c>
      <c r="H10" s="20">
        <v>45</v>
      </c>
      <c r="I10" s="13">
        <f>G11*G10</f>
        <v>3</v>
      </c>
    </row>
    <row r="11" spans="1:9" x14ac:dyDescent="0.25">
      <c r="E11" s="18" t="s">
        <v>7</v>
      </c>
      <c r="F11" s="13"/>
      <c r="G11" s="20">
        <v>2</v>
      </c>
    </row>
    <row r="14" spans="1:9" x14ac:dyDescent="0.25">
      <c r="A14" s="56" t="s">
        <v>45</v>
      </c>
      <c r="B14" s="56"/>
      <c r="E14" s="17" t="s">
        <v>12</v>
      </c>
      <c r="F14" s="34">
        <v>0.05</v>
      </c>
    </row>
    <row r="15" spans="1:9" x14ac:dyDescent="0.25">
      <c r="A15" s="13" t="s">
        <v>34</v>
      </c>
      <c r="B15" s="13">
        <v>5000</v>
      </c>
    </row>
    <row r="16" spans="1:9" x14ac:dyDescent="0.25">
      <c r="A16" s="13" t="s">
        <v>17</v>
      </c>
      <c r="B16" s="13">
        <v>7000</v>
      </c>
      <c r="E16" s="13" t="s">
        <v>67</v>
      </c>
      <c r="F16" s="13">
        <v>50</v>
      </c>
    </row>
    <row r="17" spans="1:3" x14ac:dyDescent="0.25">
      <c r="A17" s="13" t="s">
        <v>24</v>
      </c>
      <c r="B17" s="13">
        <v>5500</v>
      </c>
    </row>
    <row r="18" spans="1:3" x14ac:dyDescent="0.25">
      <c r="A18" s="19"/>
      <c r="B18" s="19"/>
    </row>
    <row r="19" spans="1:3" x14ac:dyDescent="0.25">
      <c r="A19" s="57" t="s">
        <v>58</v>
      </c>
      <c r="B19" s="57"/>
      <c r="C19" s="13">
        <v>800</v>
      </c>
    </row>
    <row r="20" spans="1:3" x14ac:dyDescent="0.25">
      <c r="A20" s="23">
        <v>0</v>
      </c>
      <c r="B20" s="24">
        <f>$C$19*A20</f>
        <v>0</v>
      </c>
      <c r="C20" s="25"/>
    </row>
    <row r="21" spans="1:3" x14ac:dyDescent="0.25">
      <c r="A21" s="23">
        <v>1</v>
      </c>
      <c r="B21" s="24">
        <f t="shared" ref="B21:B32" si="0">$C$19*A21</f>
        <v>800</v>
      </c>
      <c r="C21" s="25"/>
    </row>
    <row r="22" spans="1:3" x14ac:dyDescent="0.25">
      <c r="A22" s="23">
        <v>2</v>
      </c>
      <c r="B22" s="24">
        <f t="shared" si="0"/>
        <v>1600</v>
      </c>
      <c r="C22" s="25"/>
    </row>
    <row r="23" spans="1:3" x14ac:dyDescent="0.25">
      <c r="A23" s="23">
        <v>3</v>
      </c>
      <c r="B23" s="24">
        <f t="shared" si="0"/>
        <v>2400</v>
      </c>
      <c r="C23" s="25"/>
    </row>
    <row r="24" spans="1:3" x14ac:dyDescent="0.25">
      <c r="A24" s="23">
        <v>4</v>
      </c>
      <c r="B24" s="24">
        <f t="shared" si="0"/>
        <v>3200</v>
      </c>
      <c r="C24" s="25"/>
    </row>
    <row r="25" spans="1:3" x14ac:dyDescent="0.25">
      <c r="A25" s="23">
        <v>5</v>
      </c>
      <c r="B25" s="24">
        <f t="shared" si="0"/>
        <v>4000</v>
      </c>
      <c r="C25" s="25"/>
    </row>
    <row r="26" spans="1:3" x14ac:dyDescent="0.25">
      <c r="A26" s="23">
        <v>6</v>
      </c>
      <c r="B26" s="24">
        <f t="shared" si="0"/>
        <v>4800</v>
      </c>
      <c r="C26" s="25"/>
    </row>
    <row r="27" spans="1:3" x14ac:dyDescent="0.25">
      <c r="A27" s="23">
        <v>7</v>
      </c>
      <c r="B27" s="24">
        <f t="shared" si="0"/>
        <v>5600</v>
      </c>
      <c r="C27" s="25"/>
    </row>
    <row r="28" spans="1:3" x14ac:dyDescent="0.25">
      <c r="A28" s="23">
        <v>8</v>
      </c>
      <c r="B28" s="24">
        <f t="shared" si="0"/>
        <v>6400</v>
      </c>
      <c r="C28" s="25"/>
    </row>
    <row r="29" spans="1:3" x14ac:dyDescent="0.25">
      <c r="A29" s="23">
        <v>9</v>
      </c>
      <c r="B29" s="24">
        <f t="shared" si="0"/>
        <v>7200</v>
      </c>
      <c r="C29" s="25"/>
    </row>
    <row r="30" spans="1:3" x14ac:dyDescent="0.25">
      <c r="A30" s="23">
        <v>10</v>
      </c>
      <c r="B30" s="24">
        <f t="shared" si="0"/>
        <v>8000</v>
      </c>
      <c r="C30" s="25"/>
    </row>
    <row r="31" spans="1:3" x14ac:dyDescent="0.25">
      <c r="A31" s="23">
        <v>11</v>
      </c>
      <c r="B31" s="24">
        <f t="shared" si="0"/>
        <v>8800</v>
      </c>
      <c r="C31" s="25"/>
    </row>
    <row r="32" spans="1:3" x14ac:dyDescent="0.25">
      <c r="A32" s="23">
        <v>12</v>
      </c>
      <c r="B32" s="24">
        <f t="shared" si="0"/>
        <v>9600</v>
      </c>
      <c r="C32" s="25"/>
    </row>
    <row r="34" spans="1:6" x14ac:dyDescent="0.25">
      <c r="A34" s="31" t="s">
        <v>60</v>
      </c>
      <c r="B34" s="31">
        <v>2</v>
      </c>
    </row>
    <row r="37" spans="1:6" x14ac:dyDescent="0.25">
      <c r="F37" s="32"/>
    </row>
  </sheetData>
  <mergeCells count="2">
    <mergeCell ref="A14:B14"/>
    <mergeCell ref="A19:B19"/>
  </mergeCells>
  <pageMargins left="0.70000000000000007" right="0.70000000000000007" top="0.75" bottom="0.75" header="0.30000000000000004" footer="0.3000000000000000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"/>
  <sheetViews>
    <sheetView workbookViewId="0">
      <selection activeCell="E11" sqref="E11"/>
    </sheetView>
  </sheetViews>
  <sheetFormatPr defaultRowHeight="15" x14ac:dyDescent="0.25"/>
  <cols>
    <col min="1" max="1" width="9.140625" customWidth="1"/>
    <col min="2" max="2" width="16.85546875" customWidth="1"/>
    <col min="5" max="5" width="11.5703125" customWidth="1"/>
  </cols>
  <sheetData>
    <row r="2" spans="2:9" x14ac:dyDescent="0.25">
      <c r="B2" s="13"/>
      <c r="C2" s="13" t="s">
        <v>1</v>
      </c>
      <c r="D2" s="13" t="s">
        <v>2</v>
      </c>
      <c r="E2" s="13" t="s">
        <v>3</v>
      </c>
      <c r="F2" s="13" t="s">
        <v>4</v>
      </c>
      <c r="G2" s="13" t="s">
        <v>5</v>
      </c>
      <c r="H2" s="13" t="s">
        <v>6</v>
      </c>
      <c r="I2" s="13" t="s">
        <v>7</v>
      </c>
    </row>
    <row r="3" spans="2:9" x14ac:dyDescent="0.25">
      <c r="B3" s="13" t="s">
        <v>66</v>
      </c>
      <c r="C3" s="39">
        <v>0.75</v>
      </c>
      <c r="D3" s="39">
        <v>0.76</v>
      </c>
      <c r="E3" s="39">
        <v>0.77</v>
      </c>
      <c r="F3" s="39">
        <v>0.78</v>
      </c>
      <c r="G3" s="39">
        <v>0.79</v>
      </c>
      <c r="H3" s="39">
        <v>0.8</v>
      </c>
      <c r="I3" s="39">
        <v>0.81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Henri's Hotel</vt:lpstr>
      <vt:lpstr>Tables</vt:lpstr>
      <vt:lpstr>Hotel occupancy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2013-10-24T18:15:58Z</dcterms:created>
  <dcterms:modified xsi:type="dcterms:W3CDTF">2013-10-31T12:45:24Z</dcterms:modified>
</cp:coreProperties>
</file>