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35" windowWidth="15570" windowHeight="6225"/>
  </bookViews>
  <sheets>
    <sheet name="Henri's Hotel" sheetId="1" r:id="rId1"/>
    <sheet name="Tables" sheetId="2" r:id="rId2"/>
    <sheet name="Hotel occupancy" sheetId="3" r:id="rId3"/>
  </sheets>
  <calcPr calcId="145621"/>
</workbook>
</file>

<file path=xl/calcChain.xml><?xml version="1.0" encoding="utf-8"?>
<calcChain xmlns="http://schemas.openxmlformats.org/spreadsheetml/2006/main">
  <c r="AP9" i="1" l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10" i="1"/>
  <c r="Y9" i="1"/>
  <c r="AM11" i="1"/>
  <c r="AM12" i="1"/>
  <c r="AM13" i="1"/>
  <c r="AM14" i="1"/>
  <c r="AM15" i="1"/>
  <c r="AM16" i="1"/>
  <c r="AM17" i="1"/>
  <c r="AM18" i="1"/>
  <c r="AM19" i="1"/>
  <c r="AM20" i="1"/>
  <c r="AM21" i="1"/>
  <c r="AM25" i="1"/>
  <c r="AM26" i="1"/>
  <c r="AM27" i="1"/>
  <c r="AM28" i="1"/>
  <c r="AM9" i="1"/>
  <c r="O31" i="1"/>
  <c r="AL11" i="1"/>
  <c r="AL12" i="1"/>
  <c r="AL19" i="1"/>
  <c r="AL18" i="1"/>
  <c r="M33" i="1"/>
  <c r="B10" i="3"/>
  <c r="M31" i="1" s="1"/>
  <c r="M32" i="1" s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9" i="1"/>
  <c r="AL17" i="1" l="1"/>
  <c r="AL15" i="1"/>
  <c r="AL20" i="1"/>
  <c r="AL24" i="1"/>
  <c r="AL28" i="1"/>
  <c r="AL16" i="1"/>
  <c r="AL25" i="1"/>
  <c r="AL13" i="1"/>
  <c r="AL22" i="1"/>
  <c r="AL26" i="1"/>
  <c r="AL14" i="1"/>
  <c r="AL27" i="1"/>
  <c r="AS10" i="1"/>
  <c r="AU10" i="1"/>
  <c r="AS11" i="1"/>
  <c r="AU11" i="1"/>
  <c r="AV11" i="1"/>
  <c r="AS12" i="1"/>
  <c r="AU12" i="1"/>
  <c r="AV12" i="1"/>
  <c r="AS13" i="1"/>
  <c r="AU13" i="1"/>
  <c r="AV13" i="1"/>
  <c r="AS14" i="1"/>
  <c r="AU14" i="1"/>
  <c r="AV14" i="1"/>
  <c r="AS15" i="1"/>
  <c r="AU15" i="1"/>
  <c r="AV15" i="1"/>
  <c r="AS16" i="1"/>
  <c r="AU16" i="1"/>
  <c r="AV16" i="1"/>
  <c r="AS17" i="1"/>
  <c r="AU17" i="1"/>
  <c r="AV17" i="1"/>
  <c r="AS18" i="1"/>
  <c r="AU18" i="1"/>
  <c r="AV18" i="1"/>
  <c r="AS19" i="1"/>
  <c r="AU19" i="1"/>
  <c r="AV19" i="1"/>
  <c r="AS20" i="1"/>
  <c r="AU20" i="1"/>
  <c r="AV20" i="1"/>
  <c r="AS21" i="1"/>
  <c r="AU21" i="1"/>
  <c r="AS22" i="1"/>
  <c r="AU22" i="1"/>
  <c r="AV22" i="1"/>
  <c r="AS23" i="1"/>
  <c r="AU23" i="1"/>
  <c r="AS24" i="1"/>
  <c r="AU24" i="1"/>
  <c r="AV24" i="1"/>
  <c r="AS25" i="1"/>
  <c r="AU25" i="1"/>
  <c r="AV25" i="1"/>
  <c r="AS26" i="1"/>
  <c r="AU26" i="1"/>
  <c r="AV26" i="1"/>
  <c r="AS27" i="1"/>
  <c r="AU27" i="1"/>
  <c r="AV27" i="1"/>
  <c r="AS28" i="1"/>
  <c r="AU28" i="1"/>
  <c r="AV28" i="1"/>
  <c r="AU9" i="1"/>
  <c r="AD9" i="1"/>
  <c r="AS9" i="1"/>
  <c r="AT9" i="1" l="1"/>
  <c r="D10" i="2"/>
  <c r="D9" i="2"/>
  <c r="AL9" i="1" l="1"/>
  <c r="AV9" i="1"/>
  <c r="AW9" i="1" s="1"/>
  <c r="AE9" i="1"/>
  <c r="AF12" i="1"/>
  <c r="AO12" i="1" s="1"/>
  <c r="AF13" i="1"/>
  <c r="AO13" i="1" s="1"/>
  <c r="AF14" i="1"/>
  <c r="AO14" i="1" s="1"/>
  <c r="AF11" i="1"/>
  <c r="AO11" i="1" s="1"/>
  <c r="AF10" i="1"/>
  <c r="AF25" i="1"/>
  <c r="AO25" i="1" s="1"/>
  <c r="AF26" i="1"/>
  <c r="AO26" i="1" s="1"/>
  <c r="AF27" i="1"/>
  <c r="AO27" i="1" s="1"/>
  <c r="AF28" i="1"/>
  <c r="AO28" i="1" s="1"/>
  <c r="AF15" i="1"/>
  <c r="AO15" i="1" s="1"/>
  <c r="AF16" i="1"/>
  <c r="AO16" i="1" s="1"/>
  <c r="AF17" i="1"/>
  <c r="AO17" i="1" s="1"/>
  <c r="AF20" i="1"/>
  <c r="AO20" i="1" s="1"/>
  <c r="AF21" i="1"/>
  <c r="AO21" i="1" s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4" i="1"/>
  <c r="Z25" i="1"/>
  <c r="Z26" i="1"/>
  <c r="Z27" i="1"/>
  <c r="Z28" i="1"/>
  <c r="AF9" i="1"/>
  <c r="J31" i="1"/>
  <c r="Y31" i="1" s="1"/>
  <c r="X9" i="1"/>
  <c r="X28" i="1"/>
  <c r="I10" i="2"/>
  <c r="I9" i="2"/>
  <c r="I8" i="2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AA2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9" i="1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AD10" i="1"/>
  <c r="AT10" i="1" s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9" i="1"/>
  <c r="AO9" i="1" l="1"/>
  <c r="AT28" i="1"/>
  <c r="AE28" i="1"/>
  <c r="AW28" i="1"/>
  <c r="AE24" i="1"/>
  <c r="AT24" i="1"/>
  <c r="AW24" i="1"/>
  <c r="AT20" i="1"/>
  <c r="AE20" i="1"/>
  <c r="AW20" i="1"/>
  <c r="AE16" i="1"/>
  <c r="AT16" i="1"/>
  <c r="AW16" i="1"/>
  <c r="AT12" i="1"/>
  <c r="AE12" i="1"/>
  <c r="AW12" i="1"/>
  <c r="AE27" i="1"/>
  <c r="AT27" i="1"/>
  <c r="AW27" i="1"/>
  <c r="AT23" i="1"/>
  <c r="AE19" i="1"/>
  <c r="AW19" i="1"/>
  <c r="AT19" i="1"/>
  <c r="AE15" i="1"/>
  <c r="AW15" i="1"/>
  <c r="AT15" i="1"/>
  <c r="AE11" i="1"/>
  <c r="AT11" i="1"/>
  <c r="AW11" i="1"/>
  <c r="AE26" i="1"/>
  <c r="AT26" i="1"/>
  <c r="AW26" i="1"/>
  <c r="AE22" i="1"/>
  <c r="AT22" i="1"/>
  <c r="AW22" i="1"/>
  <c r="AE18" i="1"/>
  <c r="AT18" i="1"/>
  <c r="AW18" i="1"/>
  <c r="AE14" i="1"/>
  <c r="AT14" i="1"/>
  <c r="AW14" i="1"/>
  <c r="AT25" i="1"/>
  <c r="AW25" i="1"/>
  <c r="AE25" i="1"/>
  <c r="AE21" i="1"/>
  <c r="AT21" i="1"/>
  <c r="AT17" i="1"/>
  <c r="AW17" i="1"/>
  <c r="AE17" i="1"/>
  <c r="AW13" i="1"/>
  <c r="AE13" i="1"/>
  <c r="AT13" i="1"/>
  <c r="Y10" i="1"/>
  <c r="AL10" i="1" s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AE23" i="1" s="1"/>
  <c r="Y24" i="1"/>
  <c r="Y25" i="1"/>
  <c r="Y26" i="1"/>
  <c r="Y27" i="1"/>
  <c r="Y28" i="1"/>
  <c r="AL23" i="1" l="1"/>
  <c r="AV23" i="1"/>
  <c r="AW23" i="1" s="1"/>
  <c r="Z23" i="1"/>
  <c r="AM22" i="1"/>
  <c r="AM23" i="1"/>
  <c r="AM24" i="1"/>
  <c r="AV21" i="1"/>
  <c r="AW21" i="1" s="1"/>
  <c r="AL21" i="1"/>
  <c r="AV10" i="1"/>
  <c r="AW10" i="1" s="1"/>
  <c r="AE10" i="1"/>
  <c r="Y30" i="1"/>
  <c r="AF22" i="1" s="1"/>
  <c r="AO22" i="1" s="1"/>
  <c r="AM10" i="1" l="1"/>
  <c r="AM29" i="1" s="1"/>
  <c r="AF24" i="1"/>
  <c r="AO24" i="1" s="1"/>
  <c r="AF23" i="1"/>
  <c r="AO23" i="1" s="1"/>
  <c r="AF19" i="1"/>
  <c r="AO19" i="1" s="1"/>
  <c r="AF18" i="1"/>
  <c r="AO18" i="1" s="1"/>
  <c r="AN11" i="1" l="1"/>
  <c r="AN24" i="1"/>
  <c r="AN12" i="1"/>
  <c r="AN18" i="1"/>
  <c r="AN23" i="1"/>
  <c r="AN22" i="1"/>
  <c r="AN27" i="1"/>
  <c r="AN21" i="1"/>
  <c r="AN28" i="1"/>
  <c r="AN16" i="1"/>
  <c r="AN20" i="1"/>
  <c r="AN10" i="1"/>
  <c r="AN15" i="1"/>
  <c r="AN25" i="1"/>
  <c r="AN13" i="1"/>
  <c r="AN17" i="1"/>
  <c r="AN26" i="1"/>
  <c r="AN14" i="1"/>
  <c r="AN19" i="1"/>
  <c r="AN9" i="1"/>
  <c r="AO10" i="1"/>
</calcChain>
</file>

<file path=xl/sharedStrings.xml><?xml version="1.0" encoding="utf-8"?>
<sst xmlns="http://schemas.openxmlformats.org/spreadsheetml/2006/main" count="186" uniqueCount="95">
  <si>
    <t>Employees</t>
  </si>
  <si>
    <t>Monday</t>
  </si>
  <si>
    <t>Tuesday</t>
  </si>
  <si>
    <t>Wednesday</t>
  </si>
  <si>
    <t>Thursday</t>
  </si>
  <si>
    <t>Friday</t>
  </si>
  <si>
    <t>Saturday</t>
  </si>
  <si>
    <t>Sunday</t>
  </si>
  <si>
    <t>Department</t>
  </si>
  <si>
    <t>Position</t>
  </si>
  <si>
    <t>Basic Wage</t>
  </si>
  <si>
    <t>F&amp;B Sales</t>
  </si>
  <si>
    <t>Service charge</t>
  </si>
  <si>
    <t>Situation</t>
  </si>
  <si>
    <t>Employee 1</t>
  </si>
  <si>
    <t>Front Office</t>
  </si>
  <si>
    <t>Supervisor</t>
  </si>
  <si>
    <t>Married</t>
  </si>
  <si>
    <t>Employee 2</t>
  </si>
  <si>
    <t>Employee 3</t>
  </si>
  <si>
    <t>Employee 4</t>
  </si>
  <si>
    <t>Others</t>
  </si>
  <si>
    <t>Employee 5</t>
  </si>
  <si>
    <t>Worker</t>
  </si>
  <si>
    <t>Divorced/Widowed</t>
  </si>
  <si>
    <t>Employee 6</t>
  </si>
  <si>
    <t>Employee 7</t>
  </si>
  <si>
    <t>Manager</t>
  </si>
  <si>
    <t>Employee 8</t>
  </si>
  <si>
    <t>F&amp;B</t>
  </si>
  <si>
    <t>Employee 9</t>
  </si>
  <si>
    <t>Employee 10</t>
  </si>
  <si>
    <t>Employee 11</t>
  </si>
  <si>
    <t>Employee 12</t>
  </si>
  <si>
    <t>Single</t>
  </si>
  <si>
    <t>Employee 13</t>
  </si>
  <si>
    <t>Employee 14</t>
  </si>
  <si>
    <t>Employee 15</t>
  </si>
  <si>
    <t>Employee 16</t>
  </si>
  <si>
    <t>Employee 17</t>
  </si>
  <si>
    <t>Employee 18</t>
  </si>
  <si>
    <t>Employee 19</t>
  </si>
  <si>
    <t>Employee 20</t>
  </si>
  <si>
    <t>Hourly rate</t>
  </si>
  <si>
    <t>Basic wage</t>
  </si>
  <si>
    <t>Tax Free Allowance</t>
  </si>
  <si>
    <t>Housekeeping</t>
  </si>
  <si>
    <t>Start time</t>
  </si>
  <si>
    <t>End time</t>
  </si>
  <si>
    <t>Weekly working time</t>
  </si>
  <si>
    <t>Working week</t>
  </si>
  <si>
    <t>Standard</t>
  </si>
  <si>
    <t>Under 45</t>
  </si>
  <si>
    <t>Over 45 hours</t>
  </si>
  <si>
    <t>Ratio</t>
  </si>
  <si>
    <t>Week wage</t>
  </si>
  <si>
    <t>IF(X9&lt;=Tables!$F$8;Tables!$G$8*Sheet1!$AB$9;IF(Sheet1!X9&lt;=Tables!$F$9;((Sheet1!X9-Tables!$F$8)*Tables!G9+Tables!$F$8*Tables!$G$8);IF(Sheet1!X9&gt;Tables!$F$10;((Sheet1!X9-Tables!$F$10)*Tables!$G$10+(Tables!$F$10-Tables!$F$8)*Tables!$G$9+Tables!$F$8*Tables!$G$8)))))</t>
  </si>
  <si>
    <t>Number of children</t>
  </si>
  <si>
    <t>Tax free allowance (per child)</t>
  </si>
  <si>
    <t>Number of days worked</t>
  </si>
  <si>
    <t>Time cells per day</t>
  </si>
  <si>
    <t>Number of hours (from Monday to Saturday</t>
  </si>
  <si>
    <t>Number of hours (Sunday)</t>
  </si>
  <si>
    <t>Service charge (5%)</t>
  </si>
  <si>
    <t>Total F&amp;B workers hours</t>
  </si>
  <si>
    <t>F&amp;B workers hours</t>
  </si>
  <si>
    <t>Hotel occupancy</t>
  </si>
  <si>
    <t>Weeks in a year</t>
  </si>
  <si>
    <t>AD9*Y9/"1:0"</t>
  </si>
  <si>
    <t>heures hors dimanche</t>
  </si>
  <si>
    <t>ratio semaine</t>
  </si>
  <si>
    <t>wage sem</t>
  </si>
  <si>
    <t>heures dimanche</t>
  </si>
  <si>
    <t>ratio dimanche</t>
  </si>
  <si>
    <t>wage dimanche</t>
  </si>
  <si>
    <t>Number of hours in a day</t>
  </si>
  <si>
    <t>Gross wage</t>
  </si>
  <si>
    <t>Hotel Sales</t>
  </si>
  <si>
    <t>Bonus managers</t>
  </si>
  <si>
    <t>Bonus managers (%)</t>
  </si>
  <si>
    <t>Bonus managers ($)</t>
  </si>
  <si>
    <t>Under 50%</t>
  </si>
  <si>
    <t>Under 70%</t>
  </si>
  <si>
    <t>Under 90%</t>
  </si>
  <si>
    <t>Over 90%</t>
  </si>
  <si>
    <t>Lowest occ rate/week</t>
  </si>
  <si>
    <t>Total Managers</t>
  </si>
  <si>
    <t>Bonus per manager</t>
  </si>
  <si>
    <t>Total Sales</t>
  </si>
  <si>
    <t>Labour cost bonus</t>
  </si>
  <si>
    <t>Labour costs workers</t>
  </si>
  <si>
    <t>Total labour costs workers</t>
  </si>
  <si>
    <t>Labour cost workers</t>
  </si>
  <si>
    <t>Labour cost to get bonus</t>
  </si>
  <si>
    <t>Taxable Income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</si>
</sst>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_-[$$-409]* #,##0.00_ ;_-[$$-409]* \-#,##0.00\ ;_-[$$-409]* &quot;-&quot;??_ ;_-@_ "/>
    <numFmt numFmtId="166" formatCode="0.000%"/>
  </numFmts>
  <fonts count="5" x14ac:knownFonts="1"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4F81BD"/>
        <bgColor rgb="FF4F81BD"/>
      </patternFill>
    </fill>
    <fill>
      <patternFill patternType="solid">
        <fgColor rgb="FFC5D9F1"/>
        <bgColor rgb="FFC5D9F1"/>
      </patternFill>
    </fill>
    <fill>
      <patternFill patternType="solid">
        <fgColor rgb="FFFFFFFF"/>
        <bgColor rgb="FFFFFFFF"/>
      </patternFill>
    </fill>
    <fill>
      <patternFill patternType="solid">
        <fgColor rgb="FF963634"/>
        <bgColor rgb="FF963634"/>
      </patternFill>
    </fill>
    <fill>
      <patternFill patternType="solid">
        <fgColor rgb="FFDA9694"/>
        <bgColor rgb="FFDA9694"/>
      </patternFill>
    </fill>
    <fill>
      <patternFill patternType="solid">
        <fgColor theme="0"/>
        <bgColor rgb="FF4F81BD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7558519241921"/>
        <bgColor rgb="FFFFFFFF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uble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double">
        <color indexed="64"/>
      </left>
      <right/>
      <top style="double">
        <color indexed="64"/>
      </top>
      <bottom style="thin">
        <color rgb="FF000000"/>
      </bottom>
      <diagonal/>
    </border>
    <border>
      <left/>
      <right style="double">
        <color indexed="64"/>
      </right>
      <top style="double">
        <color indexed="64"/>
      </top>
      <bottom style="thin">
        <color rgb="FF000000"/>
      </bottom>
      <diagonal/>
    </border>
    <border>
      <left style="double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indexed="64"/>
      </left>
      <right style="thin">
        <color rgb="FF000000"/>
      </right>
      <top style="thin">
        <color rgb="FF000000"/>
      </top>
      <bottom/>
      <diagonal/>
    </border>
    <border>
      <left style="double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72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3" borderId="2" xfId="0" applyFill="1" applyBorder="1"/>
    <xf numFmtId="0" fontId="0" fillId="7" borderId="9" xfId="0" applyFill="1" applyBorder="1"/>
    <xf numFmtId="0" fontId="0" fillId="7" borderId="4" xfId="0" applyFill="1" applyBorder="1"/>
    <xf numFmtId="0" fontId="0" fillId="7" borderId="9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19" fontId="0" fillId="4" borderId="4" xfId="0" applyNumberFormat="1" applyFill="1" applyBorder="1" applyAlignment="1">
      <alignment horizontal="center"/>
    </xf>
    <xf numFmtId="46" fontId="0" fillId="4" borderId="3" xfId="0" applyNumberFormat="1" applyFill="1" applyBorder="1"/>
    <xf numFmtId="0" fontId="0" fillId="0" borderId="12" xfId="0" applyBorder="1"/>
    <xf numFmtId="0" fontId="3" fillId="8" borderId="1" xfId="0" applyFont="1" applyFill="1" applyBorder="1"/>
    <xf numFmtId="0" fontId="0" fillId="0" borderId="13" xfId="0" applyBorder="1"/>
    <xf numFmtId="0" fontId="0" fillId="0" borderId="14" xfId="0" applyBorder="1"/>
    <xf numFmtId="0" fontId="0" fillId="6" borderId="0" xfId="0" applyFill="1" applyBorder="1"/>
    <xf numFmtId="0" fontId="0" fillId="6" borderId="12" xfId="0" applyFill="1" applyBorder="1"/>
    <xf numFmtId="0" fontId="0" fillId="0" borderId="0" xfId="0" applyFill="1" applyBorder="1"/>
    <xf numFmtId="0" fontId="0" fillId="0" borderId="12" xfId="0" applyFill="1" applyBorder="1"/>
    <xf numFmtId="0" fontId="0" fillId="9" borderId="12" xfId="0" applyFill="1" applyBorder="1"/>
    <xf numFmtId="164" fontId="0" fillId="0" borderId="12" xfId="0" applyNumberFormat="1" applyBorder="1"/>
    <xf numFmtId="0" fontId="0" fillId="0" borderId="13" xfId="0" applyBorder="1" applyAlignment="1"/>
    <xf numFmtId="0" fontId="0" fillId="0" borderId="15" xfId="0" applyBorder="1" applyAlignment="1"/>
    <xf numFmtId="0" fontId="0" fillId="0" borderId="14" xfId="0" applyBorder="1" applyAlignment="1"/>
    <xf numFmtId="46" fontId="0" fillId="0" borderId="12" xfId="0" applyNumberFormat="1" applyBorder="1"/>
    <xf numFmtId="14" fontId="0" fillId="4" borderId="4" xfId="0" applyNumberFormat="1" applyFill="1" applyBorder="1" applyAlignment="1">
      <alignment horizontal="center"/>
    </xf>
    <xf numFmtId="0" fontId="0" fillId="3" borderId="0" xfId="0" applyFill="1" applyBorder="1"/>
    <xf numFmtId="0" fontId="0" fillId="3" borderId="12" xfId="0" applyFill="1" applyBorder="1"/>
    <xf numFmtId="0" fontId="0" fillId="2" borderId="0" xfId="0" applyFill="1" applyBorder="1" applyAlignment="1">
      <alignment horizontal="center"/>
    </xf>
    <xf numFmtId="0" fontId="0" fillId="7" borderId="16" xfId="0" applyFill="1" applyBorder="1"/>
    <xf numFmtId="0" fontId="0" fillId="4" borderId="17" xfId="0" applyNumberFormat="1" applyFill="1" applyBorder="1" applyAlignment="1">
      <alignment horizontal="center"/>
    </xf>
    <xf numFmtId="0" fontId="4" fillId="0" borderId="12" xfId="0" applyFont="1" applyBorder="1"/>
    <xf numFmtId="17" fontId="0" fillId="0" borderId="0" xfId="0" applyNumberFormat="1"/>
    <xf numFmtId="46" fontId="0" fillId="0" borderId="0" xfId="0" applyNumberFormat="1"/>
    <xf numFmtId="9" fontId="0" fillId="0" borderId="0" xfId="0" applyNumberFormat="1"/>
    <xf numFmtId="164" fontId="0" fillId="0" borderId="0" xfId="0" applyNumberFormat="1"/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0" borderId="0" xfId="0" applyNumberFormat="1" applyBorder="1"/>
    <xf numFmtId="9" fontId="0" fillId="0" borderId="12" xfId="1" applyFont="1" applyBorder="1"/>
    <xf numFmtId="46" fontId="0" fillId="7" borderId="2" xfId="0" applyNumberFormat="1" applyFill="1" applyBorder="1"/>
    <xf numFmtId="165" fontId="0" fillId="9" borderId="12" xfId="0" applyNumberFormat="1" applyFill="1" applyBorder="1"/>
    <xf numFmtId="46" fontId="0" fillId="10" borderId="3" xfId="0" applyNumberFormat="1" applyFill="1" applyBorder="1"/>
    <xf numFmtId="165" fontId="3" fillId="8" borderId="1" xfId="0" applyNumberFormat="1" applyFont="1" applyFill="1" applyBorder="1"/>
    <xf numFmtId="165" fontId="3" fillId="8" borderId="2" xfId="0" applyNumberFormat="1" applyFont="1" applyFill="1" applyBorder="1"/>
    <xf numFmtId="0" fontId="0" fillId="2" borderId="2" xfId="0" applyFill="1" applyBorder="1"/>
    <xf numFmtId="46" fontId="0" fillId="7" borderId="20" xfId="0" applyNumberFormat="1" applyFill="1" applyBorder="1"/>
    <xf numFmtId="19" fontId="0" fillId="7" borderId="20" xfId="0" applyNumberFormat="1" applyFill="1" applyBorder="1"/>
    <xf numFmtId="0" fontId="0" fillId="7" borderId="20" xfId="0" applyFill="1" applyBorder="1"/>
    <xf numFmtId="0" fontId="0" fillId="2" borderId="12" xfId="0" applyFill="1" applyBorder="1"/>
    <xf numFmtId="0" fontId="0" fillId="0" borderId="12" xfId="0" applyNumberFormat="1" applyBorder="1"/>
    <xf numFmtId="0" fontId="0" fillId="0" borderId="0" xfId="0" applyNumberFormat="1"/>
    <xf numFmtId="165" fontId="0" fillId="0" borderId="0" xfId="0" applyNumberFormat="1"/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2" borderId="0" xfId="0" applyFill="1" applyBorder="1"/>
    <xf numFmtId="165" fontId="0" fillId="11" borderId="12" xfId="0" applyNumberFormat="1" applyFill="1" applyBorder="1"/>
    <xf numFmtId="165" fontId="0" fillId="0" borderId="12" xfId="0" applyNumberFormat="1" applyBorder="1"/>
    <xf numFmtId="0" fontId="0" fillId="7" borderId="12" xfId="0" applyFill="1" applyBorder="1"/>
    <xf numFmtId="9" fontId="0" fillId="0" borderId="12" xfId="0" applyNumberFormat="1" applyBorder="1"/>
    <xf numFmtId="166" fontId="0" fillId="0" borderId="12" xfId="0" applyNumberFormat="1" applyBorder="1"/>
    <xf numFmtId="10" fontId="0" fillId="0" borderId="12" xfId="0" applyNumberFormat="1" applyBorder="1"/>
    <xf numFmtId="166" fontId="0" fillId="0" borderId="12" xfId="1" applyNumberFormat="1" applyFont="1" applyBorder="1"/>
    <xf numFmtId="10" fontId="0" fillId="0" borderId="0" xfId="0" applyNumberFormat="1"/>
  </cellXfs>
  <cellStyles count="2">
    <cellStyle name="Normal" xfId="0" builtinId="0" customBuiltin="1"/>
    <cellStyle name="Percent" xfId="1" builtinId="5"/>
  </cellStyles>
  <dxfs count="25">
    <dxf>
      <fill>
        <patternFill patternType="darkUp">
          <bgColor theme="0" tint="-0.34998626667073579"/>
        </patternFill>
      </fill>
    </dxf>
    <dxf>
      <fill>
        <patternFill patternType="darkUp">
          <bgColor theme="0" tint="-0.34998626667073579"/>
        </patternFill>
      </fill>
    </dxf>
    <dxf>
      <fill>
        <patternFill patternType="darkUp">
          <bgColor theme="0" tint="-0.34998626667073579"/>
        </patternFill>
      </fill>
    </dxf>
    <dxf>
      <fill>
        <patternFill patternType="darkUp"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</dxf>
    <dxf>
      <fill>
        <patternFill patternType="darkUp"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</dxf>
    <dxf>
      <fill>
        <patternFill patternType="darkUp">
          <bgColor theme="0" tint="-0.34998626667073579"/>
        </patternFill>
      </fill>
    </dxf>
    <dxf>
      <fill>
        <patternFill patternType="darkUp">
          <bgColor theme="0" tint="-0.34998626667073579"/>
        </patternFill>
      </fill>
    </dxf>
    <dxf>
      <fill>
        <patternFill patternType="darkUp">
          <bgColor theme="0" tint="-0.34998626667073579"/>
        </patternFill>
      </fill>
    </dxf>
    <dxf>
      <fill>
        <patternFill patternType="darkUp">
          <bgColor theme="0" tint="-0.34998626667073579"/>
        </patternFill>
      </fill>
    </dxf>
    <dxf>
      <fill>
        <patternFill patternType="darkUp">
          <bgColor theme="0" tint="-0.34998626667073579"/>
        </patternFill>
      </fill>
    </dxf>
    <dxf>
      <fill>
        <patternFill patternType="darkUp">
          <bgColor theme="0" tint="-0.34998626667073579"/>
        </patternFill>
      </fill>
    </dxf>
    <dxf>
      <fill>
        <patternFill patternType="darkUp">
          <bgColor theme="0" tint="-0.34998626667073579"/>
        </patternFill>
      </fill>
    </dxf>
    <dxf>
      <fill>
        <patternFill patternType="darkUp"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19050</xdr:colOff>
      <xdr:row>30</xdr:row>
      <xdr:rowOff>19050</xdr:rowOff>
    </xdr:from>
    <xdr:to>
      <xdr:col>41</xdr:col>
      <xdr:colOff>123825</xdr:colOff>
      <xdr:row>33</xdr:row>
      <xdr:rowOff>0</xdr:rowOff>
    </xdr:to>
    <xdr:sp macro="" textlink="">
      <xdr:nvSpPr>
        <xdr:cNvPr id="2" name="TextBox 1"/>
        <xdr:cNvSpPr txBox="1"/>
      </xdr:nvSpPr>
      <xdr:spPr>
        <a:xfrm>
          <a:off x="30660975" y="5753100"/>
          <a:ext cx="2524125" cy="552450"/>
        </a:xfrm>
        <a:prstGeom prst="rect">
          <a:avLst/>
        </a:prstGeom>
        <a:ln/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Ne prend pas en compte si TO en dessous de 50%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W57"/>
  <sheetViews>
    <sheetView tabSelected="1" topLeftCell="AI1" workbookViewId="0">
      <selection activeCell="AQ9" sqref="AQ9"/>
    </sheetView>
  </sheetViews>
  <sheetFormatPr defaultColWidth="8.85546875" defaultRowHeight="15" x14ac:dyDescent="0.25"/>
  <cols>
    <col min="1" max="1" width="9.140625" customWidth="1"/>
    <col min="2" max="7" width="9.140625" hidden="1" customWidth="1"/>
    <col min="8" max="8" width="9.140625" customWidth="1"/>
    <col min="9" max="9" width="14.5703125" customWidth="1"/>
    <col min="10" max="10" width="16.140625" customWidth="1"/>
    <col min="11" max="11" width="12.7109375" customWidth="1"/>
    <col min="12" max="12" width="15.140625" customWidth="1"/>
    <col min="13" max="13" width="14.5703125" customWidth="1"/>
    <col min="14" max="14" width="12.7109375" customWidth="1"/>
    <col min="15" max="15" width="14.7109375" bestFit="1" customWidth="1"/>
    <col min="16" max="16" width="19.7109375" bestFit="1" customWidth="1"/>
    <col min="17" max="22" width="12.7109375" customWidth="1"/>
    <col min="23" max="23" width="16.5703125" customWidth="1"/>
    <col min="24" max="24" width="24.140625" customWidth="1"/>
    <col min="25" max="26" width="20.42578125" customWidth="1"/>
    <col min="27" max="29" width="15.5703125" customWidth="1"/>
    <col min="30" max="30" width="16.28515625" customWidth="1"/>
    <col min="31" max="31" width="20" customWidth="1"/>
    <col min="32" max="32" width="13.42578125" customWidth="1"/>
    <col min="33" max="33" width="11.28515625" bestFit="1" customWidth="1"/>
    <col min="34" max="34" width="9.140625" customWidth="1"/>
    <col min="35" max="36" width="18.85546875" customWidth="1"/>
    <col min="37" max="40" width="21.42578125" customWidth="1"/>
    <col min="41" max="41" width="14.85546875" customWidth="1"/>
    <col min="42" max="43" width="12" customWidth="1"/>
    <col min="44" max="44" width="21.42578125" customWidth="1"/>
    <col min="45" max="45" width="13.85546875" customWidth="1"/>
    <col min="47" max="47" width="11.28515625" bestFit="1" customWidth="1"/>
  </cols>
  <sheetData>
    <row r="2" spans="9:49" x14ac:dyDescent="0.25">
      <c r="AA2">
        <f>12*24</f>
        <v>288</v>
      </c>
    </row>
    <row r="5" spans="9:49" x14ac:dyDescent="0.25">
      <c r="X5" s="53"/>
    </row>
    <row r="6" spans="9:49" ht="15.75" thickBot="1" x14ac:dyDescent="0.3">
      <c r="AD6" s="35"/>
    </row>
    <row r="7" spans="9:49" ht="15.75" thickTop="1" x14ac:dyDescent="0.25">
      <c r="I7" s="57" t="s">
        <v>0</v>
      </c>
      <c r="J7" s="59" t="s">
        <v>1</v>
      </c>
      <c r="K7" s="60"/>
      <c r="L7" s="59" t="s">
        <v>2</v>
      </c>
      <c r="M7" s="60"/>
      <c r="N7" s="59" t="s">
        <v>3</v>
      </c>
      <c r="O7" s="60"/>
      <c r="P7" s="59" t="s">
        <v>4</v>
      </c>
      <c r="Q7" s="60"/>
      <c r="R7" s="59" t="s">
        <v>5</v>
      </c>
      <c r="S7" s="60"/>
      <c r="T7" s="59" t="s">
        <v>6</v>
      </c>
      <c r="U7" s="60"/>
      <c r="V7" s="59" t="s">
        <v>7</v>
      </c>
      <c r="W7" s="60"/>
      <c r="X7" s="30" t="s">
        <v>59</v>
      </c>
      <c r="Y7" s="55" t="s">
        <v>49</v>
      </c>
      <c r="Z7" s="38" t="s">
        <v>65</v>
      </c>
      <c r="AA7" s="1" t="s">
        <v>8</v>
      </c>
      <c r="AB7" s="1" t="s">
        <v>9</v>
      </c>
      <c r="AC7" s="1" t="s">
        <v>10</v>
      </c>
      <c r="AD7" s="47" t="s">
        <v>43</v>
      </c>
      <c r="AE7" s="51" t="s">
        <v>55</v>
      </c>
      <c r="AF7" s="51" t="s">
        <v>63</v>
      </c>
      <c r="AG7" s="51"/>
      <c r="AH7" s="51"/>
      <c r="AI7" s="51" t="s">
        <v>13</v>
      </c>
      <c r="AJ7" s="51" t="s">
        <v>57</v>
      </c>
      <c r="AK7" s="51" t="s">
        <v>45</v>
      </c>
      <c r="AL7" s="51" t="s">
        <v>78</v>
      </c>
      <c r="AM7" s="51" t="s">
        <v>92</v>
      </c>
      <c r="AN7" s="51" t="s">
        <v>89</v>
      </c>
      <c r="AO7" s="51" t="s">
        <v>76</v>
      </c>
      <c r="AP7" s="63" t="s">
        <v>94</v>
      </c>
      <c r="AQ7" s="63"/>
    </row>
    <row r="8" spans="9:49" x14ac:dyDescent="0.25">
      <c r="I8" s="58"/>
      <c r="J8" s="9" t="s">
        <v>47</v>
      </c>
      <c r="K8" s="10" t="s">
        <v>48</v>
      </c>
      <c r="L8" s="7" t="s">
        <v>47</v>
      </c>
      <c r="M8" s="8" t="s">
        <v>48</v>
      </c>
      <c r="N8" s="7" t="s">
        <v>47</v>
      </c>
      <c r="O8" s="8" t="s">
        <v>48</v>
      </c>
      <c r="P8" s="7" t="s">
        <v>47</v>
      </c>
      <c r="Q8" s="8" t="s">
        <v>48</v>
      </c>
      <c r="R8" s="7" t="s">
        <v>47</v>
      </c>
      <c r="S8" s="8" t="s">
        <v>48</v>
      </c>
      <c r="T8" s="7" t="s">
        <v>47</v>
      </c>
      <c r="U8" s="8" t="s">
        <v>48</v>
      </c>
      <c r="V8" s="7" t="s">
        <v>47</v>
      </c>
      <c r="W8" s="8" t="s">
        <v>48</v>
      </c>
      <c r="X8" s="31"/>
      <c r="Y8" s="56"/>
      <c r="Z8" s="39"/>
      <c r="AA8" s="5"/>
      <c r="AB8" s="5"/>
      <c r="AC8" s="5"/>
      <c r="AD8" s="42"/>
      <c r="AE8" s="48"/>
      <c r="AF8" s="49"/>
      <c r="AG8" s="50"/>
      <c r="AH8" s="50"/>
      <c r="AI8" s="50"/>
      <c r="AJ8" s="50"/>
      <c r="AK8" s="50"/>
      <c r="AL8" s="66"/>
      <c r="AM8" s="66"/>
      <c r="AN8" s="66"/>
      <c r="AO8" s="13"/>
      <c r="AR8" t="s">
        <v>69</v>
      </c>
      <c r="AS8" t="s">
        <v>70</v>
      </c>
      <c r="AT8" t="s">
        <v>71</v>
      </c>
      <c r="AU8" t="s">
        <v>72</v>
      </c>
      <c r="AV8" t="s">
        <v>73</v>
      </c>
      <c r="AW8" t="s">
        <v>74</v>
      </c>
    </row>
    <row r="9" spans="9:49" x14ac:dyDescent="0.25">
      <c r="I9" s="6" t="s">
        <v>14</v>
      </c>
      <c r="J9" s="11">
        <v>0.83333333333333304</v>
      </c>
      <c r="K9" s="11">
        <v>0.625</v>
      </c>
      <c r="L9" s="11">
        <v>0.875</v>
      </c>
      <c r="M9" s="11">
        <v>0.16666666666666666</v>
      </c>
      <c r="N9" s="11">
        <v>0.95833333333333304</v>
      </c>
      <c r="O9" s="11">
        <v>1</v>
      </c>
      <c r="P9" s="11">
        <v>1.0416666666666701</v>
      </c>
      <c r="Q9" s="11">
        <v>1.0833333333333299</v>
      </c>
      <c r="R9" s="11">
        <v>1.125</v>
      </c>
      <c r="S9" s="11">
        <v>1.5</v>
      </c>
      <c r="T9" s="11"/>
      <c r="U9" s="11"/>
      <c r="V9" s="11"/>
      <c r="W9" s="11"/>
      <c r="X9" s="32">
        <f>IF(COUNTBLANK(J9:W9)&gt;=Tables!$B$34,COUNTA(J9:W9)/Tables!$B$34,"ERROR WORKING DAYS")</f>
        <v>5</v>
      </c>
      <c r="Y9" s="12">
        <f>MOD(K9-J9,1)+MOD(M9-L9,1)+MOD(O9-N9,1)+MOD(Q9-P9,1)+MOD(S9-R9,1)+MOD(U9-T9,1)+MOD(W9-V9,1)</f>
        <v>1.5416666666666603</v>
      </c>
      <c r="Z9" s="44">
        <f>IF(AB9=Tables!$E$3,IF('Henri''s Hotel'!AA9=Tables!$A$4,'Henri''s Hotel'!Y9,0),0)</f>
        <v>0</v>
      </c>
      <c r="AA9" s="2" t="s">
        <v>46</v>
      </c>
      <c r="AB9" s="2" t="s">
        <v>16</v>
      </c>
      <c r="AC9" s="14">
        <f>INDEX(Tables!$F$3:$F$5,MATCH('Henri''s Hotel'!AB9,Tables!$E$3:$E$5,0))</f>
        <v>1.25</v>
      </c>
      <c r="AD9" s="45">
        <f>INDEX(Tables!$F$3:$F$5,MATCH('Henri''s Hotel'!AB9,Tables!$E$3:$E$5,0))*INDEX(Tables!$B$3:$B$6,MATCH('Henri''s Hotel'!AA9,Tables!$A$3:$A$6,0))</f>
        <v>8.75</v>
      </c>
      <c r="AE9" s="64">
        <f>INDEX(Tables!$G$8:$G$10,MATCH(MOD(K9-J9,1)+MOD(M9-L9,1)+MOD(O9-N9,1)+MOD(Q9-P9,1)+MOD(S9-R9,1)+MOD(U9-T9,1),Tables!$D$8:$D$10,1))*AD9*(MOD(K9-J9,1)+MOD(M9-L9,1)+MOD(O9-N9,1)+MOD(Q9-P9,1)+MOD(S9-R9,1)+MOD(U9-T9,1))*24+INDEX(Tables!$I$8:$I$10,MATCH(Y9,Tables!$D$8:$D$10,1))*(MOD(W9-V9,1)*24)*AD9</f>
        <v>323.74999999999864</v>
      </c>
      <c r="AF9" s="43">
        <f>IF(AB9=Tables!$E$3,IF('Henri''s Hotel'!AA9=Tables!$A$4,('Henri''s Hotel'!Y9/'Henri''s Hotel'!$Y$30)*'Henri''s Hotel'!$Y$31),0)</f>
        <v>0</v>
      </c>
      <c r="AG9" s="52"/>
      <c r="AH9" s="15"/>
      <c r="AI9" s="13" t="s">
        <v>34</v>
      </c>
      <c r="AJ9" s="16">
        <v>0</v>
      </c>
      <c r="AK9" s="16">
        <f>INDEX(Tables!$B$15:$B$17,MATCH('Henri''s Hotel'!AI9,Tables!$A$15:$A$17,0))+INDEX(Tables!$B$20:$B$32,MATCH('Henri''s Hotel'!AJ9,Tables!$A$20:$A$32,0))</f>
        <v>5000</v>
      </c>
      <c r="AL9" s="65">
        <f>IF(Y9&gt;0,IF(AB9=Tables!$E$5,'Henri''s Hotel'!$M$32/'Henri''s Hotel'!$M$33,))</f>
        <v>0</v>
      </c>
      <c r="AM9" s="65">
        <f>IF(AB9=Tables!$E$3,'Henri''s Hotel'!AE9,)</f>
        <v>0</v>
      </c>
      <c r="AN9" s="65">
        <f>IF($AM$29&lt;'Hotel occupancy'!$B$13,IF('Henri''s Hotel'!AB9=Tables!$E$5,200,0),)</f>
        <v>0</v>
      </c>
      <c r="AO9" s="65">
        <f>(AE9+AF9+AL9+AM9)*Tables!$F$16</f>
        <v>16187.499999999931</v>
      </c>
      <c r="AP9" s="54">
        <f>IF(AO9-AK9&gt;0,AO9-AK9,0)</f>
        <v>11187.499999999931</v>
      </c>
      <c r="AR9" s="53">
        <f>(MOD(K9-J9,1)+MOD(M9-L9,1)+MOD(O9-N9,1)+MOD(Q9-P9,1)+MOD(S9-R9,1)+MOD(U9-T9,1))*Tables!$F$17</f>
        <v>36.999999999999844</v>
      </c>
      <c r="AS9">
        <f>INDEX(Tables!$G$8:$G$10,MATCH(MOD(K9-J9,1)+MOD(M9-L9,1)+MOD(O9-N9,1)+MOD(Q9-P9,1)+MOD(S9-R9,1)+MOD(U9-T9,1),Tables!$D$8:$D$10,1))</f>
        <v>1</v>
      </c>
      <c r="AT9" s="54">
        <f>AR9*AS9*AD9</f>
        <v>323.74999999999864</v>
      </c>
      <c r="AU9" s="53">
        <f>MOD(W9-V9,1)*24</f>
        <v>0</v>
      </c>
      <c r="AV9">
        <f>INDEX(Tables!$I$8:$I$10,MATCH(Y9,Tables!$D$8:$D$10,1))</f>
        <v>2</v>
      </c>
      <c r="AW9" s="54">
        <f>AU9*AV9*AD9</f>
        <v>0</v>
      </c>
    </row>
    <row r="10" spans="9:49" x14ac:dyDescent="0.25">
      <c r="I10" s="6" t="s">
        <v>18</v>
      </c>
      <c r="J10" s="11">
        <v>0.875</v>
      </c>
      <c r="K10" s="11">
        <v>0.66666666666666696</v>
      </c>
      <c r="L10" s="11">
        <v>0.91666666666666696</v>
      </c>
      <c r="M10" s="11">
        <v>0.95833333333333304</v>
      </c>
      <c r="N10" s="27">
        <v>1</v>
      </c>
      <c r="O10" s="11">
        <v>1.0416666666666701</v>
      </c>
      <c r="P10" s="11">
        <v>1.0833333333333399</v>
      </c>
      <c r="Q10" s="11">
        <v>0.625</v>
      </c>
      <c r="R10" s="11"/>
      <c r="S10" s="11"/>
      <c r="T10" s="11">
        <v>1.25</v>
      </c>
      <c r="U10" s="11">
        <v>0.70833333333333337</v>
      </c>
      <c r="V10" s="11">
        <v>1.4166666666666701</v>
      </c>
      <c r="W10" s="11">
        <v>11</v>
      </c>
      <c r="X10" s="32">
        <f>IF(COUNTBLANK(J10:W10)&gt;=Tables!$B$34,COUNTA(J10:W10)/Tables!$B$34,"ERROR WORKING DAYS")</f>
        <v>6</v>
      </c>
      <c r="Y10" s="12">
        <f t="shared" ref="Y10:Y28" si="0">MOD(K10-J10,1)+MOD(M10-L10,1)+MOD(O10-N10,1)+MOD(Q10-P10,1)+MOD(S10-R10,1)+MOD(U10-T10,1)+MOD(W10-V10,1)</f>
        <v>2.4583333333333268</v>
      </c>
      <c r="Z10" s="44">
        <f>IF(AB10=Tables!$E$3,IF('Henri''s Hotel'!AA10=Tables!$A$4,'Henri''s Hotel'!Y10,0),0)</f>
        <v>0</v>
      </c>
      <c r="AA10" s="2" t="s">
        <v>15</v>
      </c>
      <c r="AB10" s="2" t="s">
        <v>23</v>
      </c>
      <c r="AC10" s="14">
        <f>INDEX(Tables!$F$3:$F$5,MATCH('Henri''s Hotel'!AB10,Tables!$E$3:$E$5,0))</f>
        <v>1</v>
      </c>
      <c r="AD10" s="46">
        <f>INDEX(Tables!$F$3:$F$5,MATCH('Henri''s Hotel'!AB10,Tables!$E$3:$E$5,0))*INDEX(Tables!$B$3:$B$6,MATCH('Henri''s Hotel'!AA10,Tables!$A$3:$A$6,0))</f>
        <v>10</v>
      </c>
      <c r="AE10" s="64">
        <f>INDEX(Tables!$G$8:$G$10,MATCH(MOD(K10-J10,1)+MOD(M10-L10,1)+MOD(O10-N10,1)+MOD(Q10-P10,1)+MOD(S10-R10,1)+MOD(U10-T10,1),Tables!$D$8:$D$10,1))*AD10*(MOD(K10-J10,1)+MOD(M10-L10,1)+MOD(O10-N10,1)+MOD(Q10-P10,1)+MOD(S10-R10,1)+MOD(U10-T10,1))*24+INDEX(Tables!$I$8:$I$10,MATCH(Y10,Tables!$D$8:$D$10,1))*(MOD(W10-V10,1)*24)*AD10</f>
        <v>982.49999999999682</v>
      </c>
      <c r="AF10" s="43">
        <f>IF(AB10=Tables!$E$3,IF('Henri''s Hotel'!AA10=Tables!$A$4,('Henri''s Hotel'!Y10/'Henri''s Hotel'!$Y$30)*'Henri''s Hotel'!$Y$31),0)*0</f>
        <v>0</v>
      </c>
      <c r="AG10" s="13"/>
      <c r="AH10" s="13"/>
      <c r="AI10" s="13" t="s">
        <v>17</v>
      </c>
      <c r="AJ10" s="16">
        <v>1</v>
      </c>
      <c r="AK10" s="16">
        <f>INDEX(Tables!$B$15:$B$17,MATCH('Henri''s Hotel'!AI10,Tables!$A$15:$A$17,0))+INDEX(Tables!$B$20:$B$32,MATCH('Henri''s Hotel'!AJ10,Tables!$A$20:$A$32,0))</f>
        <v>7800</v>
      </c>
      <c r="AL10" s="65">
        <f>IF(Y10&gt;0,IF(AB10=Tables!$E$5,'Henri''s Hotel'!$M$32/'Henri''s Hotel'!$M$33,))</f>
        <v>0</v>
      </c>
      <c r="AM10" s="65">
        <f>IF(AB10=Tables!$E$3,'Henri''s Hotel'!AE10,)</f>
        <v>982.49999999999682</v>
      </c>
      <c r="AN10" s="65">
        <f>IF($AM$29&lt;'Hotel occupancy'!$B$13,IF('Henri''s Hotel'!AB10=Tables!$E$5,200,0),)</f>
        <v>0</v>
      </c>
      <c r="AO10" s="65">
        <f>(AE10+AF10+AL10+AM10)*Tables!$F$16</f>
        <v>98249.99999999968</v>
      </c>
      <c r="AP10" s="54">
        <f>IF(AO10-AK10&gt;0,AO10-AK10,0)</f>
        <v>90449.99999999968</v>
      </c>
      <c r="AR10" s="53">
        <f>(MOD(K10-J10,1)+MOD(M10-L10,1)+MOD(O10-N10,1)+MOD(Q10-P10,1)+MOD(S10-R10,1)+MOD(U10-T10,1))*Tables!$F$17</f>
        <v>44.999999999999915</v>
      </c>
      <c r="AS10">
        <f>INDEX(Tables!$G$8:$G$10,MATCH(MOD(K10-J10,1)+MOD(M10-L10,1)+MOD(O10-N10,1)+MOD(Q10-P10,1)+MOD(S10-R10,1)+MOD(U10-T10,1),Tables!$D$8:$D$10,1))</f>
        <v>1.25</v>
      </c>
      <c r="AT10" s="54">
        <f t="shared" ref="AT10:AT28" si="1">AR10*AS10*AD10</f>
        <v>562.49999999999898</v>
      </c>
      <c r="AU10" s="53">
        <f t="shared" ref="AU10:AU28" si="2">MOD(W10-V10,1)*24</f>
        <v>13.999999999999929</v>
      </c>
      <c r="AV10">
        <f>INDEX(Tables!$I$8:$I$10,MATCH(Y10,Tables!$D$8:$D$10,1))</f>
        <v>3</v>
      </c>
      <c r="AW10" s="54">
        <f t="shared" ref="AW10:AW28" si="3">AU10*AV10*AD10</f>
        <v>419.99999999999784</v>
      </c>
    </row>
    <row r="11" spans="9:49" x14ac:dyDescent="0.25">
      <c r="I11" s="6" t="s">
        <v>19</v>
      </c>
      <c r="J11" s="11">
        <v>0.91666666666666696</v>
      </c>
      <c r="K11" s="11">
        <v>0.70833333333333304</v>
      </c>
      <c r="L11" s="11"/>
      <c r="M11" s="11"/>
      <c r="N11" s="11">
        <v>4.1666666666666664E-2</v>
      </c>
      <c r="O11" s="11">
        <v>1.0833333333333299</v>
      </c>
      <c r="P11" s="11">
        <v>1.125</v>
      </c>
      <c r="Q11" s="11">
        <v>1.1666666666666601</v>
      </c>
      <c r="R11" s="11">
        <v>1.2083333333333299</v>
      </c>
      <c r="S11" s="11">
        <v>1.25</v>
      </c>
      <c r="T11" s="11"/>
      <c r="U11" s="11"/>
      <c r="V11" s="11">
        <v>1.375</v>
      </c>
      <c r="W11" s="11">
        <v>1.4166666666666601</v>
      </c>
      <c r="X11" s="32">
        <f>IF(COUNTBLANK(J11:W11)&gt;=Tables!$B$34,COUNTA(J11:W11)/Tables!$B$34,"ERROR WORKING DAYS")</f>
        <v>5</v>
      </c>
      <c r="Y11" s="12">
        <f t="shared" si="0"/>
        <v>0.95833333333331949</v>
      </c>
      <c r="Z11" s="44">
        <f>IF(AB11=Tables!$E$3,IF('Henri''s Hotel'!AA11=Tables!$A$4,'Henri''s Hotel'!Y11,0),0)</f>
        <v>0</v>
      </c>
      <c r="AA11" s="2" t="s">
        <v>29</v>
      </c>
      <c r="AB11" s="2" t="s">
        <v>16</v>
      </c>
      <c r="AC11" s="14">
        <f>INDEX(Tables!$F$3:$F$5,MATCH('Henri''s Hotel'!AB11,Tables!$E$3:$E$5,0))</f>
        <v>1.25</v>
      </c>
      <c r="AD11" s="46">
        <f>INDEX(Tables!$F$3:$F$5,MATCH('Henri''s Hotel'!AB11,Tables!$E$3:$E$5,0))*INDEX(Tables!$B$3:$B$6,MATCH('Henri''s Hotel'!AA11,Tables!$A$3:$A$6,0))</f>
        <v>10</v>
      </c>
      <c r="AE11" s="64">
        <f>INDEX(Tables!$G$8:$G$10,MATCH(MOD(K11-J11,1)+MOD(M11-L11,1)+MOD(O11-N11,1)+MOD(Q11-P11,1)+MOD(S11-R11,1)+MOD(U11-T11,1),Tables!$D$8:$D$10,1))*AD11*(MOD(K11-J11,1)+MOD(M11-L11,1)+MOD(O11-N11,1)+MOD(Q11-P11,1)+MOD(S11-R11,1)+MOD(U11-T11,1))*24+INDEX(Tables!$I$8:$I$10,MATCH(Y11,Tables!$D$8:$D$10,1))*(MOD(W11-V11,1)*24)*AD11</f>
        <v>239.99999999999508</v>
      </c>
      <c r="AF11" s="43">
        <f>IF(AB11=Tables!$E$3,IF('Henri''s Hotel'!AA11=Tables!$A$4,('Henri''s Hotel'!Y11/'Henri''s Hotel'!$Y$30)*'Henri''s Hotel'!$Y$31),0)</f>
        <v>0</v>
      </c>
      <c r="AG11" s="13"/>
      <c r="AH11" s="13"/>
      <c r="AI11" s="13" t="s">
        <v>17</v>
      </c>
      <c r="AJ11" s="16">
        <v>1</v>
      </c>
      <c r="AK11" s="16">
        <f>INDEX(Tables!$B$15:$B$17,MATCH('Henri''s Hotel'!AI11,Tables!$A$15:$A$17,0))+INDEX(Tables!$B$20:$B$32,MATCH('Henri''s Hotel'!AJ11,Tables!$A$20:$A$32,0))</f>
        <v>7800</v>
      </c>
      <c r="AL11" s="65">
        <f>IF(Y11&gt;0,IF(AB11=Tables!$E$5,'Henri''s Hotel'!$M$32/'Henri''s Hotel'!$M$33,))</f>
        <v>0</v>
      </c>
      <c r="AM11" s="65">
        <f>IF(AB11=Tables!$E$3,'Henri''s Hotel'!AE11,)</f>
        <v>0</v>
      </c>
      <c r="AN11" s="65">
        <f>IF($AM$29&lt;'Hotel occupancy'!$B$13,IF('Henri''s Hotel'!AB11=Tables!$E$5,200,0),)</f>
        <v>0</v>
      </c>
      <c r="AO11" s="65">
        <f>(AE11+AF11+AL11+AM11)*Tables!$F$16</f>
        <v>11999.999999999754</v>
      </c>
      <c r="AP11" s="54">
        <f t="shared" ref="AP11:AP28" si="4">IF(AO11-AK11&gt;0,AO11-AK11,0)</f>
        <v>4199.9999999997544</v>
      </c>
      <c r="AR11" s="53">
        <f>(MOD(K11-J11,1)+MOD(M11-L11,1)+MOD(O11-N11,1)+MOD(Q11-P11,1)+MOD(S11-R11,1)+MOD(U11-T11,1))*Tables!$F$17</f>
        <v>21.999999999999826</v>
      </c>
      <c r="AS11">
        <f>INDEX(Tables!$G$8:$G$10,MATCH(MOD(K11-J11,1)+MOD(M11-L11,1)+MOD(O11-N11,1)+MOD(Q11-P11,1)+MOD(S11-R11,1)+MOD(U11-T11,1),Tables!$D$8:$D$10,1))</f>
        <v>1</v>
      </c>
      <c r="AT11" s="54">
        <f t="shared" si="1"/>
        <v>219.99999999999827</v>
      </c>
      <c r="AU11" s="53">
        <f t="shared" si="2"/>
        <v>0.9999999999998419</v>
      </c>
      <c r="AV11">
        <f>INDEX(Tables!$I$8:$I$10,MATCH(Y11,Tables!$D$8:$D$10,1))</f>
        <v>2</v>
      </c>
      <c r="AW11" s="54">
        <f t="shared" si="3"/>
        <v>19.999999999996838</v>
      </c>
    </row>
    <row r="12" spans="9:49" x14ac:dyDescent="0.25">
      <c r="I12" s="6" t="s">
        <v>20</v>
      </c>
      <c r="J12" s="11">
        <v>0.95833333333333304</v>
      </c>
      <c r="K12" s="11">
        <v>0.75</v>
      </c>
      <c r="L12" s="11"/>
      <c r="M12" s="11"/>
      <c r="N12" s="11">
        <v>8.3333333333333329E-2</v>
      </c>
      <c r="O12" s="11">
        <v>1.125</v>
      </c>
      <c r="P12" s="11">
        <v>1.1666666666666701</v>
      </c>
      <c r="Q12" s="11">
        <v>1.2083333333333299</v>
      </c>
      <c r="R12" s="11">
        <v>1.25</v>
      </c>
      <c r="S12" s="11">
        <v>1.2916666666666701</v>
      </c>
      <c r="T12" s="11">
        <v>1.3333333333333299</v>
      </c>
      <c r="U12" s="11">
        <v>1.375</v>
      </c>
      <c r="V12" s="11">
        <v>1.4166666666666701</v>
      </c>
      <c r="W12" s="11">
        <v>1.4583333333333299</v>
      </c>
      <c r="X12" s="32">
        <f>IF(COUNTBLANK(J12:W12)&gt;=Tables!$B$34,COUNTA(J12:W12)/Tables!$B$34,"ERROR WORKING DAYS")</f>
        <v>6</v>
      </c>
      <c r="Y12" s="12">
        <f t="shared" si="0"/>
        <v>0.99999999999999356</v>
      </c>
      <c r="Z12" s="44">
        <f>IF(AB12=Tables!$E$3,IF('Henri''s Hotel'!AA12=Tables!$A$4,'Henri''s Hotel'!Y12,0),0)</f>
        <v>0</v>
      </c>
      <c r="AA12" s="2" t="s">
        <v>15</v>
      </c>
      <c r="AB12" s="2" t="s">
        <v>23</v>
      </c>
      <c r="AC12" s="14">
        <f>INDEX(Tables!$F$3:$F$5,MATCH('Henri''s Hotel'!AB12,Tables!$E$3:$E$5,0))</f>
        <v>1</v>
      </c>
      <c r="AD12" s="46">
        <f>INDEX(Tables!$F$3:$F$5,MATCH('Henri''s Hotel'!AB12,Tables!$E$3:$E$5,0))*INDEX(Tables!$B$3:$B$6,MATCH('Henri''s Hotel'!AA12,Tables!$A$3:$A$6,0))</f>
        <v>10</v>
      </c>
      <c r="AE12" s="64">
        <f>INDEX(Tables!$G$8:$G$10,MATCH(MOD(K12-J12,1)+MOD(M12-L12,1)+MOD(O12-N12,1)+MOD(Q12-P12,1)+MOD(S12-R12,1)+MOD(U12-T12,1),Tables!$D$8:$D$10,1))*AD12*(MOD(K12-J12,1)+MOD(M12-L12,1)+MOD(O12-N12,1)+MOD(Q12-P12,1)+MOD(S12-R12,1)+MOD(U12-T12,1))*24+INDEX(Tables!$I$8:$I$10,MATCH(Y12,Tables!$D$8:$D$10,1))*(MOD(W12-V12,1)*24)*AD12</f>
        <v>249.99999999999685</v>
      </c>
      <c r="AF12" s="43" t="b">
        <f>IF(AB12=Tables!$E$3,IF('Henri''s Hotel'!AA12=Tables!$A$4,('Henri''s Hotel'!Y12/'Henri''s Hotel'!$Y$30)*'Henri''s Hotel'!$Y$31),0)</f>
        <v>0</v>
      </c>
      <c r="AG12" s="13"/>
      <c r="AH12" s="13"/>
      <c r="AI12" s="13" t="s">
        <v>17</v>
      </c>
      <c r="AJ12" s="16">
        <v>1</v>
      </c>
      <c r="AK12" s="16">
        <f>INDEX(Tables!$B$15:$B$17,MATCH('Henri''s Hotel'!AI12,Tables!$A$15:$A$17,0))+INDEX(Tables!$B$20:$B$32,MATCH('Henri''s Hotel'!AJ12,Tables!$A$20:$A$32,0))</f>
        <v>7800</v>
      </c>
      <c r="AL12" s="65">
        <f>IF(Y12&gt;0,IF(AB12=Tables!$E$5,'Henri''s Hotel'!$M$32/'Henri''s Hotel'!$M$33,))</f>
        <v>0</v>
      </c>
      <c r="AM12" s="65">
        <f>IF(AB12=Tables!$E$3,'Henri''s Hotel'!AE12,)</f>
        <v>249.99999999999685</v>
      </c>
      <c r="AN12" s="65">
        <f>IF($AM$29&lt;'Hotel occupancy'!$B$13,IF('Henri''s Hotel'!AB12=Tables!$E$5,200,0),)</f>
        <v>0</v>
      </c>
      <c r="AO12" s="65">
        <f>(AE12+AF12+AL12+AM12)*Tables!$F$16</f>
        <v>24999.999999999683</v>
      </c>
      <c r="AP12" s="54">
        <f t="shared" si="4"/>
        <v>17199.999999999683</v>
      </c>
      <c r="AR12" s="53">
        <f>(MOD(K12-J12,1)+MOD(M12-L12,1)+MOD(O12-N12,1)+MOD(Q12-P12,1)+MOD(S12-R12,1)+MOD(U12-T12,1))*Tables!$F$17</f>
        <v>23.000000000000007</v>
      </c>
      <c r="AS12">
        <f>INDEX(Tables!$G$8:$G$10,MATCH(MOD(K12-J12,1)+MOD(M12-L12,1)+MOD(O12-N12,1)+MOD(Q12-P12,1)+MOD(S12-R12,1)+MOD(U12-T12,1),Tables!$D$8:$D$10,1))</f>
        <v>1</v>
      </c>
      <c r="AT12" s="54">
        <f t="shared" si="1"/>
        <v>230.00000000000006</v>
      </c>
      <c r="AU12" s="53">
        <f t="shared" si="2"/>
        <v>0.99999999999983658</v>
      </c>
      <c r="AV12">
        <f>INDEX(Tables!$I$8:$I$10,MATCH(Y12,Tables!$D$8:$D$10,1))</f>
        <v>2</v>
      </c>
      <c r="AW12" s="54">
        <f t="shared" si="3"/>
        <v>19.999999999996732</v>
      </c>
    </row>
    <row r="13" spans="9:49" x14ac:dyDescent="0.25">
      <c r="I13" s="6" t="s">
        <v>22</v>
      </c>
      <c r="J13" s="11">
        <v>12</v>
      </c>
      <c r="K13" s="11">
        <v>0.79166666666666696</v>
      </c>
      <c r="L13" s="11">
        <v>4.1666666666666664E-2</v>
      </c>
      <c r="M13" s="11">
        <v>8.3333333333333329E-2</v>
      </c>
      <c r="N13" s="11"/>
      <c r="O13" s="11"/>
      <c r="P13" s="11">
        <v>1.2083333333333399</v>
      </c>
      <c r="Q13" s="11">
        <v>1.25</v>
      </c>
      <c r="R13" s="11">
        <v>1.2916666666666701</v>
      </c>
      <c r="S13" s="11">
        <v>1.3333333333333399</v>
      </c>
      <c r="T13" s="11">
        <v>1.375</v>
      </c>
      <c r="U13" s="11">
        <v>1.4166666666666701</v>
      </c>
      <c r="V13" s="11">
        <v>1.4583333333333399</v>
      </c>
      <c r="W13" s="11">
        <v>1.5</v>
      </c>
      <c r="X13" s="32">
        <f>IF(COUNTBLANK(J13:W13)&gt;=Tables!$B$34,COUNTA(J13:W13)/Tables!$B$34,"ERROR WORKING DAYS")</f>
        <v>6</v>
      </c>
      <c r="Y13" s="12">
        <f t="shared" si="0"/>
        <v>0.99999999999999456</v>
      </c>
      <c r="Z13" s="44">
        <f>IF(AB13=Tables!$E$3,IF('Henri''s Hotel'!AA13=Tables!$A$4,'Henri''s Hotel'!Y13,0),0)</f>
        <v>0</v>
      </c>
      <c r="AA13" s="2" t="s">
        <v>15</v>
      </c>
      <c r="AB13" s="2" t="s">
        <v>27</v>
      </c>
      <c r="AC13" s="14">
        <f>INDEX(Tables!$F$3:$F$5,MATCH('Henri''s Hotel'!AB13,Tables!$E$3:$E$5,0))</f>
        <v>1.5</v>
      </c>
      <c r="AD13" s="46">
        <f>INDEX(Tables!$F$3:$F$5,MATCH('Henri''s Hotel'!AB13,Tables!$E$3:$E$5,0))*INDEX(Tables!$B$3:$B$6,MATCH('Henri''s Hotel'!AA13,Tables!$A$3:$A$6,0))</f>
        <v>15</v>
      </c>
      <c r="AE13" s="64">
        <f>INDEX(Tables!$G$8:$G$10,MATCH(MOD(K13-J13,1)+MOD(M13-L13,1)+MOD(O13-N13,1)+MOD(Q13-P13,1)+MOD(S13-R13,1)+MOD(U13-T13,1),Tables!$D$8:$D$10,1))*AD13*(MOD(K13-J13,1)+MOD(M13-L13,1)+MOD(O13-N13,1)+MOD(Q13-P13,1)+MOD(S13-R13,1)+MOD(U13-T13,1))*24+INDEX(Tables!$I$8:$I$10,MATCH(Y13,Tables!$D$8:$D$10,1))*(MOD(W13-V13,1)*24)*AD13</f>
        <v>374.99999999999574</v>
      </c>
      <c r="AF13" s="43">
        <f>IF(AB13=Tables!$E$3,IF('Henri''s Hotel'!AA13=Tables!$A$4,('Henri''s Hotel'!Y13/'Henri''s Hotel'!$Y$30)*'Henri''s Hotel'!$Y$31),0)</f>
        <v>0</v>
      </c>
      <c r="AG13" s="13"/>
      <c r="AH13" s="13"/>
      <c r="AI13" s="13" t="s">
        <v>17</v>
      </c>
      <c r="AJ13" s="16">
        <v>1</v>
      </c>
      <c r="AK13" s="16">
        <f>INDEX(Tables!$B$15:$B$17,MATCH('Henri''s Hotel'!AI13,Tables!$A$15:$A$17,0))+INDEX(Tables!$B$20:$B$32,MATCH('Henri''s Hotel'!AJ13,Tables!$A$20:$A$32,0))</f>
        <v>7800</v>
      </c>
      <c r="AL13" s="65">
        <f>IF(Y13&gt;0,IF(AB13=Tables!$E$5,'Henri''s Hotel'!$M$32/'Henri''s Hotel'!$M$33,))</f>
        <v>2.2727272727272728E-2</v>
      </c>
      <c r="AM13" s="65">
        <f>IF(AB13=Tables!$E$3,'Henri''s Hotel'!AE13,)</f>
        <v>0</v>
      </c>
      <c r="AN13" s="65">
        <f>IF($AM$29&lt;'Hotel occupancy'!$B$13,IF('Henri''s Hotel'!AB13=Tables!$E$5,200,0),)</f>
        <v>0</v>
      </c>
      <c r="AO13" s="65">
        <f>(AE13+AF13+AL13+AM13)*Tables!$F$16</f>
        <v>18751.136363636149</v>
      </c>
      <c r="AP13" s="54">
        <f t="shared" si="4"/>
        <v>10951.136363636149</v>
      </c>
      <c r="AR13" s="53">
        <f>(MOD(K13-J13,1)+MOD(M13-L13,1)+MOD(O13-N13,1)+MOD(Q13-P13,1)+MOD(S13-R13,1)+MOD(U13-T13,1))*Tables!$F$17</f>
        <v>23.000000000000028</v>
      </c>
      <c r="AS13">
        <f>INDEX(Tables!$G$8:$G$10,MATCH(MOD(K13-J13,1)+MOD(M13-L13,1)+MOD(O13-N13,1)+MOD(Q13-P13,1)+MOD(S13-R13,1)+MOD(U13-T13,1),Tables!$D$8:$D$10,1))</f>
        <v>1</v>
      </c>
      <c r="AT13" s="54">
        <f t="shared" si="1"/>
        <v>345.00000000000045</v>
      </c>
      <c r="AU13" s="53">
        <f t="shared" si="2"/>
        <v>0.9999999999998419</v>
      </c>
      <c r="AV13">
        <f>INDEX(Tables!$I$8:$I$10,MATCH(Y13,Tables!$D$8:$D$10,1))</f>
        <v>2</v>
      </c>
      <c r="AW13" s="54">
        <f t="shared" si="3"/>
        <v>29.999999999995257</v>
      </c>
    </row>
    <row r="14" spans="9:49" x14ac:dyDescent="0.25">
      <c r="I14" s="6" t="s">
        <v>25</v>
      </c>
      <c r="J14" s="11">
        <v>4.1666666666666664E-2</v>
      </c>
      <c r="K14" s="11">
        <v>0.83333333333333304</v>
      </c>
      <c r="L14" s="11">
        <v>8.3333333333333329E-2</v>
      </c>
      <c r="M14" s="11">
        <v>0.125</v>
      </c>
      <c r="N14" s="11"/>
      <c r="O14" s="11"/>
      <c r="P14" s="11">
        <v>1.25</v>
      </c>
      <c r="Q14" s="11">
        <v>1.2916666666666601</v>
      </c>
      <c r="R14" s="11">
        <v>1.3333333333333299</v>
      </c>
      <c r="S14" s="11">
        <v>1.375</v>
      </c>
      <c r="T14" s="11">
        <v>1.4166666666666601</v>
      </c>
      <c r="U14" s="11">
        <v>1.4583333333333299</v>
      </c>
      <c r="V14" s="11">
        <v>1.5</v>
      </c>
      <c r="W14" s="11">
        <v>1.5416666666666601</v>
      </c>
      <c r="X14" s="32">
        <f>IF(COUNTBLANK(J14:W14)&gt;=Tables!$B$34,COUNTA(J14:W14)/Tables!$B$34,"ERROR WORKING DAYS")</f>
        <v>6</v>
      </c>
      <c r="Y14" s="12">
        <f t="shared" si="0"/>
        <v>0.99999999999999312</v>
      </c>
      <c r="Z14" s="44">
        <f>IF(AB14=Tables!$E$3,IF('Henri''s Hotel'!AA14=Tables!$A$4,'Henri''s Hotel'!Y14,0),0)</f>
        <v>0</v>
      </c>
      <c r="AA14" s="2" t="s">
        <v>15</v>
      </c>
      <c r="AB14" s="2" t="s">
        <v>27</v>
      </c>
      <c r="AC14" s="14">
        <f>INDEX(Tables!$F$3:$F$5,MATCH('Henri''s Hotel'!AB14,Tables!$E$3:$E$5,0))</f>
        <v>1.5</v>
      </c>
      <c r="AD14" s="46">
        <f>INDEX(Tables!$F$3:$F$5,MATCH('Henri''s Hotel'!AB14,Tables!$E$3:$E$5,0))*INDEX(Tables!$B$3:$B$6,MATCH('Henri''s Hotel'!AA14,Tables!$A$3:$A$6,0))</f>
        <v>15</v>
      </c>
      <c r="AE14" s="64">
        <f>INDEX(Tables!$G$8:$G$10,MATCH(MOD(K14-J14,1)+MOD(M14-L14,1)+MOD(O14-N14,1)+MOD(Q14-P14,1)+MOD(S14-R14,1)+MOD(U14-T14,1),Tables!$D$8:$D$10,1))*AD14*(MOD(K14-J14,1)+MOD(M14-L14,1)+MOD(O14-N14,1)+MOD(Q14-P14,1)+MOD(S14-R14,1)+MOD(U14-T14,1))*24+INDEX(Tables!$I$8:$I$10,MATCH(Y14,Tables!$D$8:$D$10,1))*(MOD(W14-V14,1)*24)*AD14</f>
        <v>374.99999999999517</v>
      </c>
      <c r="AF14" s="43">
        <f>IF(AB14=Tables!$E$3,IF('Henri''s Hotel'!AA14=Tables!$A$4,('Henri''s Hotel'!Y14/'Henri''s Hotel'!$Y$30)*'Henri''s Hotel'!$Y$31),0)</f>
        <v>0</v>
      </c>
      <c r="AG14" s="13"/>
      <c r="AH14" s="13"/>
      <c r="AI14" s="13" t="s">
        <v>17</v>
      </c>
      <c r="AJ14" s="16">
        <v>0</v>
      </c>
      <c r="AK14" s="16">
        <f>INDEX(Tables!$B$15:$B$17,MATCH('Henri''s Hotel'!AI14,Tables!$A$15:$A$17,0))+INDEX(Tables!$B$20:$B$32,MATCH('Henri''s Hotel'!AJ14,Tables!$A$20:$A$32,0))</f>
        <v>7000</v>
      </c>
      <c r="AL14" s="65">
        <f>IF(Y14&gt;0,IF(AB14=Tables!$E$5,'Henri''s Hotel'!$M$32/'Henri''s Hotel'!$M$33,))</f>
        <v>2.2727272727272728E-2</v>
      </c>
      <c r="AM14" s="65">
        <f>IF(AB14=Tables!$E$3,'Henri''s Hotel'!AE14,)</f>
        <v>0</v>
      </c>
      <c r="AN14" s="65">
        <f>IF($AM$29&lt;'Hotel occupancy'!$B$13,IF('Henri''s Hotel'!AB14=Tables!$E$5,200,0),)</f>
        <v>0</v>
      </c>
      <c r="AO14" s="65">
        <f>(AE14+AF14+AL14+AM14)*Tables!$F$16</f>
        <v>18751.13636363612</v>
      </c>
      <c r="AP14" s="54">
        <f t="shared" si="4"/>
        <v>11751.13636363612</v>
      </c>
      <c r="AR14" s="53">
        <f>(MOD(K14-J14,1)+MOD(M14-L14,1)+MOD(O14-N14,1)+MOD(Q14-P14,1)+MOD(S14-R14,1)+MOD(U14-T14,1))*Tables!$F$17</f>
        <v>22.999999999999993</v>
      </c>
      <c r="AS14">
        <f>INDEX(Tables!$G$8:$G$10,MATCH(MOD(K14-J14,1)+MOD(M14-L14,1)+MOD(O14-N14,1)+MOD(Q14-P14,1)+MOD(S14-R14,1)+MOD(U14-T14,1),Tables!$D$8:$D$10,1))</f>
        <v>1</v>
      </c>
      <c r="AT14" s="54">
        <f t="shared" si="1"/>
        <v>344.99999999999989</v>
      </c>
      <c r="AU14" s="53">
        <f t="shared" si="2"/>
        <v>0.9999999999998419</v>
      </c>
      <c r="AV14">
        <f>INDEX(Tables!$I$8:$I$10,MATCH(Y14,Tables!$D$8:$D$10,1))</f>
        <v>2</v>
      </c>
      <c r="AW14" s="54">
        <f t="shared" si="3"/>
        <v>29.999999999995257</v>
      </c>
    </row>
    <row r="15" spans="9:49" x14ac:dyDescent="0.25">
      <c r="I15" s="6" t="s">
        <v>26</v>
      </c>
      <c r="J15" s="11">
        <v>8.3333333333333329E-2</v>
      </c>
      <c r="K15" s="11">
        <v>0.875</v>
      </c>
      <c r="L15" s="11">
        <v>0.125</v>
      </c>
      <c r="M15" s="11">
        <v>0.16666666666666666</v>
      </c>
      <c r="N15" s="11">
        <v>0.20833333333333334</v>
      </c>
      <c r="O15" s="11">
        <v>1.25</v>
      </c>
      <c r="P15" s="11"/>
      <c r="Q15" s="11"/>
      <c r="R15" s="11">
        <v>1.375</v>
      </c>
      <c r="S15" s="11">
        <v>1.4166666666666701</v>
      </c>
      <c r="T15" s="11">
        <v>1.4583333333333299</v>
      </c>
      <c r="U15" s="11">
        <v>1.5</v>
      </c>
      <c r="V15" s="11">
        <v>1.5416666666666701</v>
      </c>
      <c r="W15" s="11">
        <v>1.5833333333333299</v>
      </c>
      <c r="X15" s="32">
        <f>IF(COUNTBLANK(J15:W15)&gt;=Tables!$B$34,COUNTA(J15:W15)/Tables!$B$34,"ERROR WORKING DAYS")</f>
        <v>6</v>
      </c>
      <c r="Y15" s="12">
        <f t="shared" si="0"/>
        <v>1</v>
      </c>
      <c r="Z15" s="44">
        <f>IF(AB15=Tables!$E$3,IF('Henri''s Hotel'!AA15=Tables!$A$4,'Henri''s Hotel'!Y15,0),0)</f>
        <v>0</v>
      </c>
      <c r="AA15" s="2" t="s">
        <v>15</v>
      </c>
      <c r="AB15" s="2" t="s">
        <v>27</v>
      </c>
      <c r="AC15" s="14">
        <f>INDEX(Tables!$F$3:$F$5,MATCH('Henri''s Hotel'!AB15,Tables!$E$3:$E$5,0))</f>
        <v>1.5</v>
      </c>
      <c r="AD15" s="46">
        <f>INDEX(Tables!$F$3:$F$5,MATCH('Henri''s Hotel'!AB15,Tables!$E$3:$E$5,0))*INDEX(Tables!$B$3:$B$6,MATCH('Henri''s Hotel'!AA15,Tables!$A$3:$A$6,0))</f>
        <v>15</v>
      </c>
      <c r="AE15" s="64">
        <f>INDEX(Tables!$G$8:$G$10,MATCH(MOD(K15-J15,1)+MOD(M15-L15,1)+MOD(O15-N15,1)+MOD(Q15-P15,1)+MOD(S15-R15,1)+MOD(U15-T15,1),Tables!$D$8:$D$10,1))*AD15*(MOD(K15-J15,1)+MOD(M15-L15,1)+MOD(O15-N15,1)+MOD(Q15-P15,1)+MOD(S15-R15,1)+MOD(U15-T15,1))*24+INDEX(Tables!$I$8:$I$10,MATCH(Y15,Tables!$D$8:$D$10,1))*(MOD(W15-V15,1)*24)*AD15</f>
        <v>374.99999999999761</v>
      </c>
      <c r="AF15" s="43">
        <f>IF(AB15=Tables!$E$3,IF('Henri''s Hotel'!AA15=Tables!$A$4,('Henri''s Hotel'!Y15/'Henri''s Hotel'!$Y$30)*'Henri''s Hotel'!$Y$31),0)</f>
        <v>0</v>
      </c>
      <c r="AG15" s="13"/>
      <c r="AH15" s="13"/>
      <c r="AI15" s="13" t="s">
        <v>34</v>
      </c>
      <c r="AJ15" s="16">
        <v>1</v>
      </c>
      <c r="AK15" s="16">
        <f>INDEX(Tables!$B$15:$B$17,MATCH('Henri''s Hotel'!AI15,Tables!$A$15:$A$17,0))+INDEX(Tables!$B$20:$B$32,MATCH('Henri''s Hotel'!AJ15,Tables!$A$20:$A$32,0))</f>
        <v>5800</v>
      </c>
      <c r="AL15" s="65">
        <f>IF(Y15&gt;0,IF(AB15=Tables!$E$5,'Henri''s Hotel'!$M$32/'Henri''s Hotel'!$M$33,))</f>
        <v>2.2727272727272728E-2</v>
      </c>
      <c r="AM15" s="65">
        <f>IF(AB15=Tables!$E$3,'Henri''s Hotel'!AE15,)</f>
        <v>0</v>
      </c>
      <c r="AN15" s="65">
        <f>IF($AM$29&lt;'Hotel occupancy'!$B$13,IF('Henri''s Hotel'!AB15=Tables!$E$5,200,0),)</f>
        <v>0</v>
      </c>
      <c r="AO15" s="65">
        <f>(AE15+AF15+AL15+AM15)*Tables!$F$16</f>
        <v>18751.136363636244</v>
      </c>
      <c r="AP15" s="54">
        <f t="shared" si="4"/>
        <v>12951.136363636244</v>
      </c>
      <c r="AR15" s="53">
        <f>(MOD(K15-J15,1)+MOD(M15-L15,1)+MOD(O15-N15,1)+MOD(Q15-P15,1)+MOD(S15-R15,1)+MOD(U15-T15,1))*Tables!$F$17</f>
        <v>23.000000000000163</v>
      </c>
      <c r="AS15">
        <f>INDEX(Tables!$G$8:$G$10,MATCH(MOD(K15-J15,1)+MOD(M15-L15,1)+MOD(O15-N15,1)+MOD(Q15-P15,1)+MOD(S15-R15,1)+MOD(U15-T15,1),Tables!$D$8:$D$10,1))</f>
        <v>1</v>
      </c>
      <c r="AT15" s="54">
        <f t="shared" si="1"/>
        <v>345.00000000000244</v>
      </c>
      <c r="AU15" s="53">
        <f t="shared" si="2"/>
        <v>0.99999999999983658</v>
      </c>
      <c r="AV15">
        <f>INDEX(Tables!$I$8:$I$10,MATCH(Y15,Tables!$D$8:$D$10,1))</f>
        <v>2</v>
      </c>
      <c r="AW15" s="54">
        <f t="shared" si="3"/>
        <v>29.999999999995097</v>
      </c>
    </row>
    <row r="16" spans="9:49" x14ac:dyDescent="0.25">
      <c r="I16" s="6" t="s">
        <v>28</v>
      </c>
      <c r="J16" s="11">
        <v>0.125</v>
      </c>
      <c r="K16" s="11">
        <v>0.91666666666666696</v>
      </c>
      <c r="L16" s="11">
        <v>0.16666666666666666</v>
      </c>
      <c r="M16" s="11">
        <v>0.20833333333333334</v>
      </c>
      <c r="N16" s="11">
        <v>0.25</v>
      </c>
      <c r="O16" s="11">
        <v>1.2916666666666701</v>
      </c>
      <c r="P16" s="11"/>
      <c r="Q16" s="11"/>
      <c r="R16" s="11">
        <v>1.4166666666666701</v>
      </c>
      <c r="S16" s="11">
        <v>1.4583333333333399</v>
      </c>
      <c r="T16" s="11">
        <v>1.5</v>
      </c>
      <c r="U16" s="11">
        <v>1.5416666666666701</v>
      </c>
      <c r="V16" s="11">
        <v>1.5833333333333399</v>
      </c>
      <c r="W16" s="11">
        <v>1.625</v>
      </c>
      <c r="X16" s="32">
        <f>IF(COUNTBLANK(J16:W16)&gt;=Tables!$B$34,COUNTA(J16:W16)/Tables!$B$34,"ERROR WORKING DAYS")</f>
        <v>6</v>
      </c>
      <c r="Y16" s="12">
        <f t="shared" si="0"/>
        <v>1.0000000000000038</v>
      </c>
      <c r="Z16" s="44">
        <f>IF(AB16=Tables!$E$3,IF('Henri''s Hotel'!AA16=Tables!$A$4,'Henri''s Hotel'!Y16,0),0)</f>
        <v>0</v>
      </c>
      <c r="AA16" s="2" t="s">
        <v>15</v>
      </c>
      <c r="AB16" s="2" t="s">
        <v>27</v>
      </c>
      <c r="AC16" s="14">
        <f>INDEX(Tables!$F$3:$F$5,MATCH('Henri''s Hotel'!AB16,Tables!$E$3:$E$5,0))</f>
        <v>1.5</v>
      </c>
      <c r="AD16" s="46">
        <f>INDEX(Tables!$F$3:$F$5,MATCH('Henri''s Hotel'!AB16,Tables!$E$3:$E$5,0))*INDEX(Tables!$B$3:$B$6,MATCH('Henri''s Hotel'!AA16,Tables!$A$3:$A$6,0))</f>
        <v>15</v>
      </c>
      <c r="AE16" s="64">
        <f>INDEX(Tables!$G$8:$G$10,MATCH(MOD(K16-J16,1)+MOD(M16-L16,1)+MOD(O16-N16,1)+MOD(Q16-P16,1)+MOD(S16-R16,1)+MOD(U16-T16,1),Tables!$D$8:$D$10,1))*AD16*(MOD(K16-J16,1)+MOD(M16-L16,1)+MOD(O16-N16,1)+MOD(Q16-P16,1)+MOD(S16-R16,1)+MOD(U16-T16,1))*24+INDEX(Tables!$I$8:$I$10,MATCH(Y16,Tables!$D$8:$D$10,1))*(MOD(W16-V16,1)*24)*AD16</f>
        <v>374.99999999999903</v>
      </c>
      <c r="AF16" s="43">
        <f>IF(AB16=Tables!$E$3,IF('Henri''s Hotel'!AA16=Tables!$A$4,('Henri''s Hotel'!Y16/'Henri''s Hotel'!$Y$30)*'Henri''s Hotel'!$Y$31),0)</f>
        <v>0</v>
      </c>
      <c r="AG16" s="13"/>
      <c r="AH16" s="13"/>
      <c r="AI16" s="13" t="s">
        <v>17</v>
      </c>
      <c r="AJ16" s="16">
        <v>1</v>
      </c>
      <c r="AK16" s="16">
        <f>INDEX(Tables!$B$15:$B$17,MATCH('Henri''s Hotel'!AI16,Tables!$A$15:$A$17,0))+INDEX(Tables!$B$20:$B$32,MATCH('Henri''s Hotel'!AJ16,Tables!$A$20:$A$32,0))</f>
        <v>7800</v>
      </c>
      <c r="AL16" s="65">
        <f>IF(Y16&gt;0,IF(AB16=Tables!$E$5,'Henri''s Hotel'!$M$32/'Henri''s Hotel'!$M$33,))</f>
        <v>2.2727272727272728E-2</v>
      </c>
      <c r="AM16" s="65">
        <f>IF(AB16=Tables!$E$3,'Henri''s Hotel'!AE16,)</f>
        <v>0</v>
      </c>
      <c r="AN16" s="65">
        <f>IF($AM$29&lt;'Hotel occupancy'!$B$13,IF('Henri''s Hotel'!AB16=Tables!$E$5,200,0),)</f>
        <v>0</v>
      </c>
      <c r="AO16" s="65">
        <f>(AE16+AF16+AL16+AM16)*Tables!$F$16</f>
        <v>18751.136363636313</v>
      </c>
      <c r="AP16" s="54">
        <f t="shared" si="4"/>
        <v>10951.136363636313</v>
      </c>
      <c r="AR16" s="53">
        <f>(MOD(K16-J16,1)+MOD(M16-L16,1)+MOD(O16-N16,1)+MOD(Q16-P16,1)+MOD(S16-R16,1)+MOD(U16-T16,1))*Tables!$F$17</f>
        <v>23.000000000000249</v>
      </c>
      <c r="AS16">
        <f>INDEX(Tables!$G$8:$G$10,MATCH(MOD(K16-J16,1)+MOD(M16-L16,1)+MOD(O16-N16,1)+MOD(Q16-P16,1)+MOD(S16-R16,1)+MOD(U16-T16,1),Tables!$D$8:$D$10,1))</f>
        <v>1</v>
      </c>
      <c r="AT16" s="54">
        <f t="shared" si="1"/>
        <v>345.00000000000375</v>
      </c>
      <c r="AU16" s="53">
        <f t="shared" si="2"/>
        <v>0.9999999999998419</v>
      </c>
      <c r="AV16">
        <f>INDEX(Tables!$I$8:$I$10,MATCH(Y16,Tables!$D$8:$D$10,1))</f>
        <v>2</v>
      </c>
      <c r="AW16" s="54">
        <f t="shared" si="3"/>
        <v>29.999999999995257</v>
      </c>
    </row>
    <row r="17" spans="9:49" x14ac:dyDescent="0.25">
      <c r="I17" s="6" t="s">
        <v>30</v>
      </c>
      <c r="J17" s="11">
        <v>0.16666666666666699</v>
      </c>
      <c r="K17" s="11">
        <v>0.95833333333333304</v>
      </c>
      <c r="L17" s="11">
        <v>0.20833333333333334</v>
      </c>
      <c r="M17" s="11">
        <v>0.25</v>
      </c>
      <c r="N17" s="11">
        <v>0.29166666666666669</v>
      </c>
      <c r="O17" s="11">
        <v>1.3333333333333299</v>
      </c>
      <c r="P17" s="11"/>
      <c r="Q17" s="11"/>
      <c r="R17" s="11">
        <v>1.4583333333333299</v>
      </c>
      <c r="S17" s="11">
        <v>1.5</v>
      </c>
      <c r="T17" s="11">
        <v>1.5416666666666601</v>
      </c>
      <c r="U17" s="11">
        <v>1.5833333333333299</v>
      </c>
      <c r="V17" s="11">
        <v>1.625</v>
      </c>
      <c r="W17" s="11">
        <v>1.6666666666666601</v>
      </c>
      <c r="X17" s="32">
        <f>IF(COUNTBLANK(J17:W17)&gt;=Tables!$B$34,COUNTA(J17:W17)/Tables!$B$34,"ERROR WORKING DAYS")</f>
        <v>6</v>
      </c>
      <c r="Y17" s="12">
        <f t="shared" si="0"/>
        <v>0.99999999999999589</v>
      </c>
      <c r="Z17" s="44">
        <f>IF(AB17=Tables!$E$3,IF('Henri''s Hotel'!AA17=Tables!$A$4,'Henri''s Hotel'!Y17,0),0)</f>
        <v>0</v>
      </c>
      <c r="AA17" s="2" t="s">
        <v>29</v>
      </c>
      <c r="AB17" s="2" t="s">
        <v>27</v>
      </c>
      <c r="AC17" s="14">
        <f>INDEX(Tables!$F$3:$F$5,MATCH('Henri''s Hotel'!AB17,Tables!$E$3:$E$5,0))</f>
        <v>1.5</v>
      </c>
      <c r="AD17" s="46">
        <f>INDEX(Tables!$F$3:$F$5,MATCH('Henri''s Hotel'!AB17,Tables!$E$3:$E$5,0))*INDEX(Tables!$B$3:$B$6,MATCH('Henri''s Hotel'!AA17,Tables!$A$3:$A$6,0))</f>
        <v>12</v>
      </c>
      <c r="AE17" s="64">
        <f>INDEX(Tables!$G$8:$G$10,MATCH(MOD(K17-J17,1)+MOD(M17-L17,1)+MOD(O17-N17,1)+MOD(Q17-P17,1)+MOD(S17-R17,1)+MOD(U17-T17,1),Tables!$D$8:$D$10,1))*AD17*(MOD(K17-J17,1)+MOD(M17-L17,1)+MOD(O17-N17,1)+MOD(Q17-P17,1)+MOD(S17-R17,1)+MOD(U17-T17,1))*24+INDEX(Tables!$I$8:$I$10,MATCH(Y17,Tables!$D$8:$D$10,1))*(MOD(W17-V17,1)*24)*AD17</f>
        <v>299.99999999999693</v>
      </c>
      <c r="AF17" s="43">
        <f>IF(AB17=Tables!$E$3,IF('Henri''s Hotel'!AA17=Tables!$A$4,('Henri''s Hotel'!Y17/'Henri''s Hotel'!$Y$30)*'Henri''s Hotel'!$Y$31),0)</f>
        <v>0</v>
      </c>
      <c r="AG17" s="13"/>
      <c r="AH17" s="13"/>
      <c r="AI17" s="13" t="s">
        <v>17</v>
      </c>
      <c r="AJ17" s="16">
        <v>3</v>
      </c>
      <c r="AK17" s="16">
        <f>INDEX(Tables!$B$15:$B$17,MATCH('Henri''s Hotel'!AI17,Tables!$A$15:$A$17,0))+INDEX(Tables!$B$20:$B$32,MATCH('Henri''s Hotel'!AJ17,Tables!$A$20:$A$32,0))</f>
        <v>9400</v>
      </c>
      <c r="AL17" s="65">
        <f>IF(Y17&gt;0,IF(AB17=Tables!$E$5,'Henri''s Hotel'!$M$32/'Henri''s Hotel'!$M$33,))</f>
        <v>2.2727272727272728E-2</v>
      </c>
      <c r="AM17" s="65">
        <f>IF(AB17=Tables!$E$3,'Henri''s Hotel'!AE17,)</f>
        <v>0</v>
      </c>
      <c r="AN17" s="65">
        <f>IF($AM$29&lt;'Hotel occupancy'!$B$13,IF('Henri''s Hotel'!AB17=Tables!$E$5,200,0),)</f>
        <v>0</v>
      </c>
      <c r="AO17" s="65">
        <f>(AE17+AF17+AL17+AM17)*Tables!$F$16</f>
        <v>15001.136363636209</v>
      </c>
      <c r="AP17" s="54">
        <f t="shared" si="4"/>
        <v>5601.1363636362094</v>
      </c>
      <c r="AR17" s="53">
        <f>(MOD(K17-J17,1)+MOD(M17-L17,1)+MOD(O17-N17,1)+MOD(Q17-P17,1)+MOD(S17-R17,1)+MOD(U17-T17,1))*Tables!$F$17</f>
        <v>23.00000000000006</v>
      </c>
      <c r="AS17">
        <f>INDEX(Tables!$G$8:$G$10,MATCH(MOD(K17-J17,1)+MOD(M17-L17,1)+MOD(O17-N17,1)+MOD(Q17-P17,1)+MOD(S17-R17,1)+MOD(U17-T17,1),Tables!$D$8:$D$10,1))</f>
        <v>1</v>
      </c>
      <c r="AT17" s="54">
        <f t="shared" si="1"/>
        <v>276.00000000000074</v>
      </c>
      <c r="AU17" s="53">
        <f t="shared" si="2"/>
        <v>0.9999999999998419</v>
      </c>
      <c r="AV17">
        <f>INDEX(Tables!$I$8:$I$10,MATCH(Y17,Tables!$D$8:$D$10,1))</f>
        <v>2</v>
      </c>
      <c r="AW17" s="54">
        <f t="shared" si="3"/>
        <v>23.999999999996206</v>
      </c>
    </row>
    <row r="18" spans="9:49" x14ac:dyDescent="0.25">
      <c r="I18" s="6" t="s">
        <v>31</v>
      </c>
      <c r="J18" s="11">
        <v>0.20833333333333301</v>
      </c>
      <c r="K18" s="11">
        <v>12</v>
      </c>
      <c r="L18" s="11">
        <v>0.25</v>
      </c>
      <c r="M18" s="11">
        <v>0.29166666666666669</v>
      </c>
      <c r="N18" s="11">
        <v>0.33333333333333331</v>
      </c>
      <c r="O18" s="11">
        <v>1.375</v>
      </c>
      <c r="P18" s="11">
        <v>1.4166666666666701</v>
      </c>
      <c r="Q18" s="11">
        <v>1.4583333333333299</v>
      </c>
      <c r="R18" s="11"/>
      <c r="S18" s="11"/>
      <c r="T18" s="11">
        <v>1.5833333333333299</v>
      </c>
      <c r="U18" s="11">
        <v>1.625</v>
      </c>
      <c r="V18" s="11">
        <v>1.6666666666666701</v>
      </c>
      <c r="W18" s="11">
        <v>1.7083333333333299</v>
      </c>
      <c r="X18" s="32">
        <f>IF(COUNTBLANK(J18:W18)&gt;=Tables!$B$34,COUNTA(J18:W18)/Tables!$B$34,"ERROR WORKING DAYS")</f>
        <v>6</v>
      </c>
      <c r="Y18" s="12">
        <f t="shared" si="0"/>
        <v>0.99999999999999112</v>
      </c>
      <c r="Z18" s="44">
        <f>IF(AB18=Tables!$E$3,IF('Henri''s Hotel'!AA18=Tables!$A$4,'Henri''s Hotel'!Y18,0),0)</f>
        <v>0.99999999999999112</v>
      </c>
      <c r="AA18" s="2" t="s">
        <v>29</v>
      </c>
      <c r="AB18" s="2" t="s">
        <v>23</v>
      </c>
      <c r="AC18" s="14">
        <f>INDEX(Tables!$F$3:$F$5,MATCH('Henri''s Hotel'!AB18,Tables!$E$3:$E$5,0))</f>
        <v>1</v>
      </c>
      <c r="AD18" s="46">
        <f>INDEX(Tables!$F$3:$F$5,MATCH('Henri''s Hotel'!AB18,Tables!$E$3:$E$5,0))*INDEX(Tables!$B$3:$B$6,MATCH('Henri''s Hotel'!AA18,Tables!$A$3:$A$6,0))</f>
        <v>8</v>
      </c>
      <c r="AE18" s="64">
        <f>INDEX(Tables!$G$8:$G$10,MATCH(MOD(K18-J18,1)+MOD(M18-L18,1)+MOD(O18-N18,1)+MOD(Q18-P18,1)+MOD(S18-R18,1)+MOD(U18-T18,1),Tables!$D$8:$D$10,1))*AD18*(MOD(K18-J18,1)+MOD(M18-L18,1)+MOD(O18-N18,1)+MOD(Q18-P18,1)+MOD(S18-R18,1)+MOD(U18-T18,1))*24+INDEX(Tables!$I$8:$I$10,MATCH(Y18,Tables!$D$8:$D$10,1))*(MOD(W18-V18,1)*24)*AD18</f>
        <v>199.99999999999699</v>
      </c>
      <c r="AF18" s="43">
        <f>IF(AB18=Tables!$E$3,IF('Henri''s Hotel'!AA18=Tables!$A$4,('Henri''s Hotel'!Y18/'Henri''s Hotel'!$Y$30)*'Henri''s Hotel'!$Y$31),0)</f>
        <v>1.9999999999999927</v>
      </c>
      <c r="AG18" s="13"/>
      <c r="AH18" s="13"/>
      <c r="AI18" s="13" t="s">
        <v>17</v>
      </c>
      <c r="AJ18" s="16">
        <v>1</v>
      </c>
      <c r="AK18" s="16">
        <f>INDEX(Tables!$B$15:$B$17,MATCH('Henri''s Hotel'!AI18,Tables!$A$15:$A$17,0))+INDEX(Tables!$B$20:$B$32,MATCH('Henri''s Hotel'!AJ18,Tables!$A$20:$A$32,0))</f>
        <v>7800</v>
      </c>
      <c r="AL18" s="65">
        <f>IF(Y18&gt;0,IF(AB18=Tables!$E$5,'Henri''s Hotel'!$M$32/'Henri''s Hotel'!$M$33,))</f>
        <v>0</v>
      </c>
      <c r="AM18" s="65">
        <f>IF(AB18=Tables!$E$3,'Henri''s Hotel'!AE18,)</f>
        <v>199.99999999999699</v>
      </c>
      <c r="AN18" s="65">
        <f>IF($AM$29&lt;'Hotel occupancy'!$B$13,IF('Henri''s Hotel'!AB18=Tables!$E$5,200,0),)</f>
        <v>0</v>
      </c>
      <c r="AO18" s="65">
        <f>(AE18+AF18+AL18+AM18)*Tables!$F$16</f>
        <v>20099.999999999698</v>
      </c>
      <c r="AP18" s="54">
        <f t="shared" si="4"/>
        <v>12299.999999999698</v>
      </c>
      <c r="AR18" s="53">
        <f>(MOD(K18-J18,1)+MOD(M18-L18,1)+MOD(O18-N18,1)+MOD(Q18-P18,1)+MOD(S18-R18,1)+MOD(U18-T18,1))*Tables!$F$17</f>
        <v>22.99999999999995</v>
      </c>
      <c r="AS18">
        <f>INDEX(Tables!$G$8:$G$10,MATCH(MOD(K18-J18,1)+MOD(M18-L18,1)+MOD(O18-N18,1)+MOD(Q18-P18,1)+MOD(S18-R18,1)+MOD(U18-T18,1),Tables!$D$8:$D$10,1))</f>
        <v>1</v>
      </c>
      <c r="AT18" s="54">
        <f t="shared" si="1"/>
        <v>183.9999999999996</v>
      </c>
      <c r="AU18" s="53">
        <f t="shared" si="2"/>
        <v>0.99999999999983658</v>
      </c>
      <c r="AV18">
        <f>INDEX(Tables!$I$8:$I$10,MATCH(Y18,Tables!$D$8:$D$10,1))</f>
        <v>2</v>
      </c>
      <c r="AW18" s="54">
        <f t="shared" si="3"/>
        <v>15.999999999997385</v>
      </c>
    </row>
    <row r="19" spans="9:49" x14ac:dyDescent="0.25">
      <c r="I19" s="6" t="s">
        <v>32</v>
      </c>
      <c r="J19" s="11">
        <v>0.25</v>
      </c>
      <c r="K19" s="11">
        <v>4.1666666666666664E-2</v>
      </c>
      <c r="L19" s="11">
        <v>0.29166666666666669</v>
      </c>
      <c r="M19" s="11">
        <v>0.33333333333333331</v>
      </c>
      <c r="N19" s="11">
        <v>0.375</v>
      </c>
      <c r="O19" s="11">
        <v>1.4166666666666701</v>
      </c>
      <c r="P19" s="11">
        <v>1.4583333333333399</v>
      </c>
      <c r="Q19" s="11">
        <v>1.5</v>
      </c>
      <c r="R19" s="11"/>
      <c r="S19" s="11"/>
      <c r="T19" s="11">
        <v>1.625</v>
      </c>
      <c r="U19" s="11">
        <v>1.6666666666666701</v>
      </c>
      <c r="V19" s="11">
        <v>1.7083333333333399</v>
      </c>
      <c r="W19" s="11">
        <v>1.75</v>
      </c>
      <c r="X19" s="32">
        <f>IF(COUNTBLANK(J19:W19)&gt;=Tables!$B$34,COUNTA(J19:W19)/Tables!$B$34,"ERROR WORKING DAYS")</f>
        <v>6</v>
      </c>
      <c r="Y19" s="12">
        <f t="shared" si="0"/>
        <v>0.99999999999999356</v>
      </c>
      <c r="Z19" s="44">
        <f>IF(AB19=Tables!$E$3,IF('Henri''s Hotel'!AA19=Tables!$A$4,'Henri''s Hotel'!Y19,0),0)</f>
        <v>0.99999999999999356</v>
      </c>
      <c r="AA19" s="2" t="s">
        <v>29</v>
      </c>
      <c r="AB19" s="2" t="s">
        <v>23</v>
      </c>
      <c r="AC19" s="14">
        <f>INDEX(Tables!$F$3:$F$5,MATCH('Henri''s Hotel'!AB19,Tables!$E$3:$E$5,0))</f>
        <v>1</v>
      </c>
      <c r="AD19" s="46">
        <f>INDEX(Tables!$F$3:$F$5,MATCH('Henri''s Hotel'!AB19,Tables!$E$3:$E$5,0))*INDEX(Tables!$B$3:$B$6,MATCH('Henri''s Hotel'!AA19,Tables!$A$3:$A$6,0))</f>
        <v>8</v>
      </c>
      <c r="AE19" s="64">
        <f>INDEX(Tables!$G$8:$G$10,MATCH(MOD(K19-J19,1)+MOD(M19-L19,1)+MOD(O19-N19,1)+MOD(Q19-P19,1)+MOD(S19-R19,1)+MOD(U19-T19,1),Tables!$D$8:$D$10,1))*AD19*(MOD(K19-J19,1)+MOD(M19-L19,1)+MOD(O19-N19,1)+MOD(Q19-P19,1)+MOD(S19-R19,1)+MOD(U19-T19,1))*24+INDEX(Tables!$I$8:$I$10,MATCH(Y19,Tables!$D$8:$D$10,1))*(MOD(W19-V19,1)*24)*AD19</f>
        <v>199.9999999999975</v>
      </c>
      <c r="AF19" s="43">
        <f>IF(AB19=Tables!$E$3,IF('Henri''s Hotel'!AA19=Tables!$A$4,('Henri''s Hotel'!Y19/'Henri''s Hotel'!$Y$30)*'Henri''s Hotel'!$Y$31),0)</f>
        <v>1.9999999999999973</v>
      </c>
      <c r="AG19" s="13"/>
      <c r="AH19" s="13"/>
      <c r="AI19" s="13" t="s">
        <v>17</v>
      </c>
      <c r="AJ19" s="16">
        <v>1</v>
      </c>
      <c r="AK19" s="16">
        <f>INDEX(Tables!$B$15:$B$17,MATCH('Henri''s Hotel'!AI19,Tables!$A$15:$A$17,0))+INDEX(Tables!$B$20:$B$32,MATCH('Henri''s Hotel'!AJ19,Tables!$A$20:$A$32,0))</f>
        <v>7800</v>
      </c>
      <c r="AL19" s="65">
        <f>IF(Y19&gt;0,IF(AB19=Tables!$E$5,'Henri''s Hotel'!$M$32/'Henri''s Hotel'!$M$33,))</f>
        <v>0</v>
      </c>
      <c r="AM19" s="65">
        <f>IF(AB19=Tables!$E$3,'Henri''s Hotel'!AE19,)</f>
        <v>199.9999999999975</v>
      </c>
      <c r="AN19" s="65">
        <f>IF($AM$29&lt;'Hotel occupancy'!$B$13,IF('Henri''s Hotel'!AB19=Tables!$E$5,200,0),)</f>
        <v>0</v>
      </c>
      <c r="AO19" s="65">
        <f>(AE19+AF19+AL19+AM19)*Tables!$F$16</f>
        <v>20099.999999999749</v>
      </c>
      <c r="AP19" s="54">
        <f t="shared" si="4"/>
        <v>12299.999999999749</v>
      </c>
      <c r="AR19" s="53">
        <f>(MOD(K19-J19,1)+MOD(M19-L19,1)+MOD(O19-N19,1)+MOD(Q19-P19,1)+MOD(S19-R19,1)+MOD(U19-T19,1))*Tables!$F$17</f>
        <v>23.000000000000004</v>
      </c>
      <c r="AS19">
        <f>INDEX(Tables!$G$8:$G$10,MATCH(MOD(K19-J19,1)+MOD(M19-L19,1)+MOD(O19-N19,1)+MOD(Q19-P19,1)+MOD(S19-R19,1)+MOD(U19-T19,1),Tables!$D$8:$D$10,1))</f>
        <v>1</v>
      </c>
      <c r="AT19" s="54">
        <f t="shared" si="1"/>
        <v>184.00000000000003</v>
      </c>
      <c r="AU19" s="53">
        <f t="shared" si="2"/>
        <v>0.9999999999998419</v>
      </c>
      <c r="AV19">
        <f>INDEX(Tables!$I$8:$I$10,MATCH(Y19,Tables!$D$8:$D$10,1))</f>
        <v>2</v>
      </c>
      <c r="AW19" s="54">
        <f t="shared" si="3"/>
        <v>15.99999999999747</v>
      </c>
    </row>
    <row r="20" spans="9:49" x14ac:dyDescent="0.25">
      <c r="I20" s="6" t="s">
        <v>33</v>
      </c>
      <c r="J20" s="11">
        <v>0.29166666666666702</v>
      </c>
      <c r="K20" s="11">
        <v>0.25</v>
      </c>
      <c r="L20" s="11">
        <v>0.33333333333333331</v>
      </c>
      <c r="M20" s="11">
        <v>0.375</v>
      </c>
      <c r="N20" s="11">
        <v>0.41666666666666669</v>
      </c>
      <c r="O20" s="11">
        <v>1.4583333333333299</v>
      </c>
      <c r="P20" s="11">
        <v>1.5</v>
      </c>
      <c r="Q20" s="11">
        <v>1.5416666666666601</v>
      </c>
      <c r="R20" s="11"/>
      <c r="S20" s="11"/>
      <c r="T20" s="11">
        <v>1.6666666666666601</v>
      </c>
      <c r="U20" s="11">
        <v>1.7083333333333299</v>
      </c>
      <c r="V20" s="11">
        <v>1.75</v>
      </c>
      <c r="W20" s="11">
        <v>1.7916666666666601</v>
      </c>
      <c r="X20" s="32">
        <f>IF(COUNTBLANK(J20:W20)&gt;=Tables!$B$34,COUNTA(J20:W20)/Tables!$B$34,"ERROR WORKING DAYS")</f>
        <v>6</v>
      </c>
      <c r="Y20" s="12">
        <f t="shared" si="0"/>
        <v>1.166666666666653</v>
      </c>
      <c r="Z20" s="44">
        <f>IF(AB20=Tables!$E$3,IF('Henri''s Hotel'!AA20=Tables!$A$4,'Henri''s Hotel'!Y20,0),0)</f>
        <v>0</v>
      </c>
      <c r="AA20" s="2" t="s">
        <v>29</v>
      </c>
      <c r="AB20" s="2" t="s">
        <v>27</v>
      </c>
      <c r="AC20" s="14">
        <f>INDEX(Tables!$F$3:$F$5,MATCH('Henri''s Hotel'!AB20,Tables!$E$3:$E$5,0))</f>
        <v>1.5</v>
      </c>
      <c r="AD20" s="46">
        <f>INDEX(Tables!$F$3:$F$5,MATCH('Henri''s Hotel'!AB20,Tables!$E$3:$E$5,0))*INDEX(Tables!$B$3:$B$6,MATCH('Henri''s Hotel'!AA20,Tables!$A$3:$A$6,0))</f>
        <v>12</v>
      </c>
      <c r="AE20" s="64">
        <f>INDEX(Tables!$G$8:$G$10,MATCH(MOD(K20-J20,1)+MOD(M20-L20,1)+MOD(O20-N20,1)+MOD(Q20-P20,1)+MOD(S20-R20,1)+MOD(U20-T20,1),Tables!$D$8:$D$10,1))*AD20*(MOD(K20-J20,1)+MOD(M20-L20,1)+MOD(O20-N20,1)+MOD(Q20-P20,1)+MOD(S20-R20,1)+MOD(U20-T20,1))*24+INDEX(Tables!$I$8:$I$10,MATCH(Y20,Tables!$D$8:$D$10,1))*(MOD(W20-V20,1)*24)*AD20</f>
        <v>347.99999999999415</v>
      </c>
      <c r="AF20" s="43">
        <f>IF(AB20=Tables!$E$3,IF('Henri''s Hotel'!AA20=Tables!$A$4,('Henri''s Hotel'!Y20/'Henri''s Hotel'!$Y$30)*'Henri''s Hotel'!$Y$31),0)</f>
        <v>0</v>
      </c>
      <c r="AG20" s="13"/>
      <c r="AH20" s="13"/>
      <c r="AI20" s="13" t="s">
        <v>24</v>
      </c>
      <c r="AJ20" s="16">
        <v>6</v>
      </c>
      <c r="AK20" s="16">
        <f>INDEX(Tables!$B$15:$B$17,MATCH('Henri''s Hotel'!AI20,Tables!$A$15:$A$17,0))+INDEX(Tables!$B$20:$B$32,MATCH('Henri''s Hotel'!AJ20,Tables!$A$20:$A$32,0))</f>
        <v>10300</v>
      </c>
      <c r="AL20" s="65">
        <f>IF(Y20&gt;0,IF(AB20=Tables!$E$5,'Henri''s Hotel'!$M$32/'Henri''s Hotel'!$M$33,))</f>
        <v>2.2727272727272728E-2</v>
      </c>
      <c r="AM20" s="65">
        <f>IF(AB20=Tables!$E$3,'Henri''s Hotel'!AE20,)</f>
        <v>0</v>
      </c>
      <c r="AN20" s="65">
        <f>IF($AM$29&lt;'Hotel occupancy'!$B$13,IF('Henri''s Hotel'!AB20=Tables!$E$5,200,0),)</f>
        <v>0</v>
      </c>
      <c r="AO20" s="65">
        <f>(AE20+AF20+AL20+AM20)*Tables!$F$16</f>
        <v>17401.136363636069</v>
      </c>
      <c r="AP20" s="54">
        <f t="shared" si="4"/>
        <v>7101.1363636360693</v>
      </c>
      <c r="AR20" s="53">
        <f>(MOD(K20-J20,1)+MOD(M20-L20,1)+MOD(O20-N20,1)+MOD(Q20-P20,1)+MOD(S20-R20,1)+MOD(U20-T20,1))*Tables!$F$17</f>
        <v>26.999999999999829</v>
      </c>
      <c r="AS20">
        <f>INDEX(Tables!$G$8:$G$10,MATCH(MOD(K20-J20,1)+MOD(M20-L20,1)+MOD(O20-N20,1)+MOD(Q20-P20,1)+MOD(S20-R20,1)+MOD(U20-T20,1),Tables!$D$8:$D$10,1))</f>
        <v>1</v>
      </c>
      <c r="AT20" s="54">
        <f t="shared" si="1"/>
        <v>323.99999999999795</v>
      </c>
      <c r="AU20" s="53">
        <f t="shared" si="2"/>
        <v>0.9999999999998419</v>
      </c>
      <c r="AV20">
        <f>INDEX(Tables!$I$8:$I$10,MATCH(Y20,Tables!$D$8:$D$10,1))</f>
        <v>2</v>
      </c>
      <c r="AW20" s="54">
        <f t="shared" si="3"/>
        <v>23.999999999996206</v>
      </c>
    </row>
    <row r="21" spans="9:49" x14ac:dyDescent="0.25">
      <c r="I21" s="6" t="s">
        <v>35</v>
      </c>
      <c r="J21" s="11">
        <v>0.33333333333333298</v>
      </c>
      <c r="K21" s="11">
        <v>0.125</v>
      </c>
      <c r="L21" s="11">
        <v>0.41666666666666669</v>
      </c>
      <c r="M21" s="11">
        <v>0.58333333333333337</v>
      </c>
      <c r="N21" s="11">
        <v>0.45833333333333331</v>
      </c>
      <c r="O21" s="11">
        <v>1.875</v>
      </c>
      <c r="P21" s="11">
        <v>1.5416666666666701</v>
      </c>
      <c r="Q21" s="11">
        <v>1.8333333333333299</v>
      </c>
      <c r="R21" s="11">
        <v>1.625</v>
      </c>
      <c r="S21" s="11">
        <v>1.7916666666666701</v>
      </c>
      <c r="T21" s="11"/>
      <c r="U21" s="11"/>
      <c r="V21" s="11">
        <v>1.7916666666666701</v>
      </c>
      <c r="W21" s="11">
        <v>1.875</v>
      </c>
      <c r="X21" s="32">
        <f>IF(COUNTBLANK(J21:W21)&gt;=Tables!$B$34,COUNTA(J21:W21)/Tables!$B$34,"ERROR WORKING DAYS")</f>
        <v>6</v>
      </c>
      <c r="Y21" s="12">
        <f t="shared" si="0"/>
        <v>1.9166666666666603</v>
      </c>
      <c r="Z21" s="44">
        <f>IF(AB21=Tables!$E$3,IF('Henri''s Hotel'!AA21=Tables!$A$4,'Henri''s Hotel'!Y21,0),0)</f>
        <v>0</v>
      </c>
      <c r="AA21" s="2" t="s">
        <v>46</v>
      </c>
      <c r="AB21" s="2" t="s">
        <v>27</v>
      </c>
      <c r="AC21" s="14">
        <f>INDEX(Tables!$F$3:$F$5,MATCH('Henri''s Hotel'!AB21,Tables!$E$3:$E$5,0))</f>
        <v>1.5</v>
      </c>
      <c r="AD21" s="46">
        <f>INDEX(Tables!$F$3:$F$5,MATCH('Henri''s Hotel'!AB21,Tables!$E$3:$E$5,0))*INDEX(Tables!$B$3:$B$6,MATCH('Henri''s Hotel'!AA21,Tables!$A$3:$A$6,0))</f>
        <v>10.5</v>
      </c>
      <c r="AE21" s="64">
        <f>INDEX(Tables!$G$8:$G$10,MATCH(MOD(K21-J21,1)+MOD(M21-L21,1)+MOD(O21-N21,1)+MOD(Q21-P21,1)+MOD(S21-R21,1)+MOD(U21-T21,1),Tables!$D$8:$D$10,1))*AD21*(MOD(K21-J21,1)+MOD(M21-L21,1)+MOD(O21-N21,1)+MOD(Q21-P21,1)+MOD(S21-R21,1)+MOD(U21-T21,1))*24+INDEX(Tables!$I$8:$I$10,MATCH(Y21,Tables!$D$8:$D$10,1))*(MOD(W21-V21,1)*24)*AD21</f>
        <v>640.49999999999648</v>
      </c>
      <c r="AF21" s="43">
        <f>IF(AB21=Tables!$E$3,IF('Henri''s Hotel'!AA21=Tables!$A$4,('Henri''s Hotel'!Y21/'Henri''s Hotel'!$Y$30)*'Henri''s Hotel'!$Y$31),0)</f>
        <v>0</v>
      </c>
      <c r="AG21" s="13"/>
      <c r="AH21" s="13"/>
      <c r="AI21" s="13" t="s">
        <v>24</v>
      </c>
      <c r="AJ21" s="16">
        <v>4</v>
      </c>
      <c r="AK21" s="16">
        <f>INDEX(Tables!$B$15:$B$17,MATCH('Henri''s Hotel'!AI21,Tables!$A$15:$A$17,0))+INDEX(Tables!$B$20:$B$32,MATCH('Henri''s Hotel'!AJ21,Tables!$A$20:$A$32,0))</f>
        <v>8700</v>
      </c>
      <c r="AL21" s="65">
        <f>IF(Y21&gt;0,IF(AB21=Tables!$E$5,'Henri''s Hotel'!$M$32/'Henri''s Hotel'!$M$33,))</f>
        <v>2.2727272727272728E-2</v>
      </c>
      <c r="AM21" s="65">
        <f>IF(AB21=Tables!$E$3,'Henri''s Hotel'!AE21,)</f>
        <v>0</v>
      </c>
      <c r="AN21" s="65">
        <f>IF($AM$29&lt;'Hotel occupancy'!$B$13,IF('Henri''s Hotel'!AB21=Tables!$E$5,200,0),)</f>
        <v>0</v>
      </c>
      <c r="AO21" s="65">
        <f>(AE21+AF21+AL21+AM21)*Tables!$F$16</f>
        <v>32026.136363636186</v>
      </c>
      <c r="AP21" s="54">
        <f t="shared" si="4"/>
        <v>23326.136363636186</v>
      </c>
      <c r="AR21" s="53">
        <f>(MOD(K21-J21,1)+MOD(M21-L21,1)+MOD(O21-N21,1)+MOD(Q21-P21,1)+MOD(S21-R21,1)+MOD(U21-T21,1))*Tables!$F$17</f>
        <v>43.999999999999929</v>
      </c>
      <c r="AS21">
        <f>INDEX(Tables!$G$8:$G$10,MATCH(MOD(K21-J21,1)+MOD(M21-L21,1)+MOD(O21-N21,1)+MOD(Q21-P21,1)+MOD(S21-R21,1)+MOD(U21-T21,1),Tables!$D$8:$D$10,1))</f>
        <v>1.25</v>
      </c>
      <c r="AT21" s="54">
        <f t="shared" si="1"/>
        <v>577.49999999999909</v>
      </c>
      <c r="AU21" s="53">
        <f t="shared" si="2"/>
        <v>1.9999999999999183</v>
      </c>
      <c r="AV21">
        <f>INDEX(Tables!$I$8:$I$10,MATCH(Y21,Tables!$D$8:$D$10,1))</f>
        <v>3</v>
      </c>
      <c r="AW21" s="54">
        <f t="shared" si="3"/>
        <v>62.999999999997428</v>
      </c>
    </row>
    <row r="22" spans="9:49" x14ac:dyDescent="0.25">
      <c r="I22" s="6" t="s">
        <v>36</v>
      </c>
      <c r="J22" s="11">
        <v>0.375</v>
      </c>
      <c r="K22" s="11">
        <v>0.16666666666666666</v>
      </c>
      <c r="L22" s="11">
        <v>0.41666666666666669</v>
      </c>
      <c r="M22" s="11">
        <v>0.45833333333333331</v>
      </c>
      <c r="N22" s="11">
        <v>0.5</v>
      </c>
      <c r="O22" s="11">
        <v>1.5416666666666701</v>
      </c>
      <c r="P22" s="11">
        <v>1.5833333333333399</v>
      </c>
      <c r="Q22" s="11">
        <v>1.625</v>
      </c>
      <c r="R22" s="11">
        <v>1.6666666666666701</v>
      </c>
      <c r="S22" s="11">
        <v>1.7083333333333399</v>
      </c>
      <c r="T22" s="11">
        <v>1.75</v>
      </c>
      <c r="U22" s="11">
        <v>1.7916666666666701</v>
      </c>
      <c r="V22" s="11"/>
      <c r="W22" s="11"/>
      <c r="X22" s="32">
        <f>IF(COUNTBLANK(J22:W22)&gt;=Tables!$B$34,COUNTA(J22:W22)/Tables!$B$34,"ERROR WORKING DAYS")</f>
        <v>6</v>
      </c>
      <c r="Y22" s="12">
        <f t="shared" si="0"/>
        <v>1.0000000000000033</v>
      </c>
      <c r="Z22" s="44">
        <f>IF(AB22=Tables!$E$3,IF('Henri''s Hotel'!AA22=Tables!$A$4,'Henri''s Hotel'!Y22,0),0)</f>
        <v>1.0000000000000033</v>
      </c>
      <c r="AA22" s="2" t="s">
        <v>29</v>
      </c>
      <c r="AB22" s="2" t="s">
        <v>23</v>
      </c>
      <c r="AC22" s="14">
        <f>INDEX(Tables!$F$3:$F$5,MATCH('Henri''s Hotel'!AB22,Tables!$E$3:$E$5,0))</f>
        <v>1</v>
      </c>
      <c r="AD22" s="46">
        <f>INDEX(Tables!$F$3:$F$5,MATCH('Henri''s Hotel'!AB22,Tables!$E$3:$E$5,0))*INDEX(Tables!$B$3:$B$6,MATCH('Henri''s Hotel'!AA22,Tables!$A$3:$A$6,0))</f>
        <v>8</v>
      </c>
      <c r="AE22" s="64">
        <f>INDEX(Tables!$G$8:$G$10,MATCH(MOD(K22-J22,1)+MOD(M22-L22,1)+MOD(O22-N22,1)+MOD(Q22-P22,1)+MOD(S22-R22,1)+MOD(U22-T22,1),Tables!$D$8:$D$10,1))*AD22*(MOD(K22-J22,1)+MOD(M22-L22,1)+MOD(O22-N22,1)+MOD(Q22-P22,1)+MOD(S22-R22,1)+MOD(U22-T22,1))*24+INDEX(Tables!$I$8:$I$10,MATCH(Y22,Tables!$D$8:$D$10,1))*(MOD(W22-V22,1)*24)*AD22</f>
        <v>192.00000000000063</v>
      </c>
      <c r="AF22" s="43">
        <f>IF(AB22=Tables!$E$3,IF('Henri''s Hotel'!AA22=Tables!$A$4,('Henri''s Hotel'!Y22/'Henri''s Hotel'!$Y$30)*'Henri''s Hotel'!$Y$31),0)</f>
        <v>2.0000000000000169</v>
      </c>
      <c r="AG22" s="13"/>
      <c r="AH22" s="13"/>
      <c r="AI22" s="13" t="s">
        <v>17</v>
      </c>
      <c r="AJ22" s="16">
        <v>1</v>
      </c>
      <c r="AK22" s="16">
        <f>INDEX(Tables!$B$15:$B$17,MATCH('Henri''s Hotel'!AI22,Tables!$A$15:$A$17,0))+INDEX(Tables!$B$20:$B$32,MATCH('Henri''s Hotel'!AJ22,Tables!$A$20:$A$32,0))</f>
        <v>7800</v>
      </c>
      <c r="AL22" s="65">
        <f>IF(Y22&gt;0,IF(AB22=Tables!$E$5,'Henri''s Hotel'!$M$32/'Henri''s Hotel'!$M$33,))</f>
        <v>0</v>
      </c>
      <c r="AM22" s="65">
        <f>IF(AB22=Tables!$E$3,'Henri''s Hotel'!AE22,)</f>
        <v>192.00000000000063</v>
      </c>
      <c r="AN22" s="65">
        <f>IF($AM$29&lt;'Hotel occupancy'!$B$13,IF('Henri''s Hotel'!AB22=Tables!$E$5,200,0),)</f>
        <v>0</v>
      </c>
      <c r="AO22" s="65">
        <f>(AE22+AF22+AL22+AM22)*Tables!$F$16</f>
        <v>19300.000000000062</v>
      </c>
      <c r="AP22" s="54">
        <f t="shared" si="4"/>
        <v>11500.000000000062</v>
      </c>
      <c r="AR22" s="53">
        <f>(MOD(K22-J22,1)+MOD(M22-L22,1)+MOD(O22-N22,1)+MOD(Q22-P22,1)+MOD(S22-R22,1)+MOD(U22-T22,1))*Tables!$F$17</f>
        <v>24.000000000000078</v>
      </c>
      <c r="AS22">
        <f>INDEX(Tables!$G$8:$G$10,MATCH(MOD(K22-J22,1)+MOD(M22-L22,1)+MOD(O22-N22,1)+MOD(Q22-P22,1)+MOD(S22-R22,1)+MOD(U22-T22,1),Tables!$D$8:$D$10,1))</f>
        <v>1</v>
      </c>
      <c r="AT22" s="54">
        <f t="shared" si="1"/>
        <v>192.00000000000063</v>
      </c>
      <c r="AU22" s="53">
        <f t="shared" si="2"/>
        <v>0</v>
      </c>
      <c r="AV22">
        <f>INDEX(Tables!$I$8:$I$10,MATCH(Y22,Tables!$D$8:$D$10,1))</f>
        <v>2</v>
      </c>
      <c r="AW22" s="54">
        <f t="shared" si="3"/>
        <v>0</v>
      </c>
    </row>
    <row r="23" spans="9:49" x14ac:dyDescent="0.25">
      <c r="I23" s="6" t="s">
        <v>37</v>
      </c>
      <c r="J23" s="11">
        <v>0.41666666666666702</v>
      </c>
      <c r="K23" s="11">
        <v>0.20833333333333334</v>
      </c>
      <c r="L23" s="11">
        <v>0.45833333333333331</v>
      </c>
      <c r="M23" s="11">
        <v>0.5</v>
      </c>
      <c r="N23" s="11">
        <v>0.54166666666666663</v>
      </c>
      <c r="O23" s="11">
        <v>1.5833333333333299</v>
      </c>
      <c r="P23" s="11">
        <v>1.625</v>
      </c>
      <c r="Q23" s="11">
        <v>1.6666666666666601</v>
      </c>
      <c r="R23" s="11">
        <v>1.7083333333333299</v>
      </c>
      <c r="S23" s="11">
        <v>1.75</v>
      </c>
      <c r="T23" s="11">
        <v>1.7916666666666601</v>
      </c>
      <c r="U23" s="11">
        <v>1.8333333333333299</v>
      </c>
      <c r="V23" s="11"/>
      <c r="W23" s="11"/>
      <c r="X23" s="32">
        <f>IF(COUNTBLANK(J23:W23)&gt;=Tables!$B$34,COUNTA(J23:W23)/Tables!$B$34,"ERROR WORKING DAYS")</f>
        <v>6</v>
      </c>
      <c r="Y23" s="12">
        <f t="shared" si="0"/>
        <v>0.99999999999999645</v>
      </c>
      <c r="Z23" s="44">
        <f>IF(AB23=Tables!$E$3,IF('Henri''s Hotel'!AA23=Tables!$A$4,'Henri''s Hotel'!Y23,0),0)</f>
        <v>0.99999999999999645</v>
      </c>
      <c r="AA23" s="2" t="s">
        <v>29</v>
      </c>
      <c r="AB23" s="2" t="s">
        <v>23</v>
      </c>
      <c r="AC23" s="14">
        <f>INDEX(Tables!$F$3:$F$5,MATCH('Henri''s Hotel'!AB23,Tables!$E$3:$E$5,0))</f>
        <v>1</v>
      </c>
      <c r="AD23" s="46">
        <f>INDEX(Tables!$F$3:$F$5,MATCH('Henri''s Hotel'!AB23,Tables!$E$3:$E$5,0))*INDEX(Tables!$B$3:$B$6,MATCH('Henri''s Hotel'!AA23,Tables!$A$3:$A$6,0))</f>
        <v>8</v>
      </c>
      <c r="AE23" s="64">
        <f>INDEX(Tables!$G$8:$G$10,MATCH(MOD(K23-J23,1)+MOD(M23-L23,1)+MOD(O23-N23,1)+MOD(Q23-P23,1)+MOD(S23-R23,1)+MOD(U23-T23,1),Tables!$D$8:$D$10,1))*AD23*(MOD(K23-J23,1)+MOD(M23-L23,1)+MOD(O23-N23,1)+MOD(Q23-P23,1)+MOD(S23-R23,1)+MOD(U23-T23,1))*24+INDEX(Tables!$I$8:$I$10,MATCH(Y23,Tables!$D$8:$D$10,1))*(MOD(W23-V23,1)*24)*AD23</f>
        <v>191.99999999999932</v>
      </c>
      <c r="AF23" s="43">
        <f>IF(AB23=Tables!$E$3,IF('Henri''s Hotel'!AA23=Tables!$A$4,('Henri''s Hotel'!Y23/'Henri''s Hotel'!$Y$30)*'Henri''s Hotel'!$Y$31),0)</f>
        <v>2.0000000000000031</v>
      </c>
      <c r="AG23" s="13"/>
      <c r="AH23" s="13"/>
      <c r="AI23" s="13" t="s">
        <v>17</v>
      </c>
      <c r="AJ23" s="16">
        <v>1</v>
      </c>
      <c r="AK23" s="16">
        <f>INDEX(Tables!$B$15:$B$17,MATCH('Henri''s Hotel'!AI23,Tables!$A$15:$A$17,0))+INDEX(Tables!$B$20:$B$32,MATCH('Henri''s Hotel'!AJ23,Tables!$A$20:$A$32,0))</f>
        <v>7800</v>
      </c>
      <c r="AL23" s="65">
        <f>IF(Y23&gt;0,IF(AB23=Tables!$E$5,'Henri''s Hotel'!$M$32/'Henri''s Hotel'!$M$33,))</f>
        <v>0</v>
      </c>
      <c r="AM23" s="65">
        <f>IF(AB23=Tables!$E$3,'Henri''s Hotel'!AE23,)</f>
        <v>191.99999999999932</v>
      </c>
      <c r="AN23" s="65">
        <f>IF($AM$29&lt;'Hotel occupancy'!$B$13,IF('Henri''s Hotel'!AB23=Tables!$E$5,200,0),)</f>
        <v>0</v>
      </c>
      <c r="AO23" s="65">
        <f>(AE23+AF23+AL23+AM23)*Tables!$F$16</f>
        <v>19299.999999999931</v>
      </c>
      <c r="AP23" s="54">
        <f t="shared" si="4"/>
        <v>11499.999999999931</v>
      </c>
      <c r="AR23" s="53">
        <f>(MOD(K23-J23,1)+MOD(M23-L23,1)+MOD(O23-N23,1)+MOD(Q23-P23,1)+MOD(S23-R23,1)+MOD(U23-T23,1))*Tables!$F$17</f>
        <v>23.999999999999915</v>
      </c>
      <c r="AS23">
        <f>INDEX(Tables!$G$8:$G$10,MATCH(MOD(K23-J23,1)+MOD(M23-L23,1)+MOD(O23-N23,1)+MOD(Q23-P23,1)+MOD(S23-R23,1)+MOD(U23-T23,1),Tables!$D$8:$D$10,1))</f>
        <v>1</v>
      </c>
      <c r="AT23" s="54">
        <f t="shared" si="1"/>
        <v>191.99999999999932</v>
      </c>
      <c r="AU23" s="53">
        <f t="shared" si="2"/>
        <v>0</v>
      </c>
      <c r="AV23">
        <f>INDEX(Tables!$I$8:$I$10,MATCH(Y23,Tables!$D$8:$D$10,1))</f>
        <v>2</v>
      </c>
      <c r="AW23" s="54">
        <f t="shared" si="3"/>
        <v>0</v>
      </c>
    </row>
    <row r="24" spans="9:49" x14ac:dyDescent="0.25">
      <c r="I24" s="6" t="s">
        <v>38</v>
      </c>
      <c r="J24" s="11">
        <v>0.45833333333333298</v>
      </c>
      <c r="K24" s="11">
        <v>0.25</v>
      </c>
      <c r="L24" s="11">
        <v>0.5</v>
      </c>
      <c r="M24" s="11">
        <v>0.54166666666666663</v>
      </c>
      <c r="N24" s="11">
        <v>0.58333333333333337</v>
      </c>
      <c r="O24" s="11">
        <v>1.625</v>
      </c>
      <c r="P24" s="11">
        <v>1.6666666666666701</v>
      </c>
      <c r="Q24" s="11">
        <v>1.7083333333333299</v>
      </c>
      <c r="R24" s="11">
        <v>1.75</v>
      </c>
      <c r="S24" s="11">
        <v>1.7916666666666701</v>
      </c>
      <c r="T24" s="11"/>
      <c r="U24" s="11"/>
      <c r="V24" s="11">
        <v>1.9166666666666701</v>
      </c>
      <c r="W24" s="11">
        <v>1.9583333333333299</v>
      </c>
      <c r="X24" s="32">
        <f>IF(COUNTBLANK(J24:W24)&gt;=Tables!$B$34,COUNTA(J24:W24)/Tables!$B$34,"ERROR WORKING DAYS")</f>
        <v>6</v>
      </c>
      <c r="Y24" s="12">
        <f t="shared" si="0"/>
        <v>0.9999999999999899</v>
      </c>
      <c r="Z24" s="44">
        <f>IF(AB24=Tables!$E$3,IF('Henri''s Hotel'!AA24=Tables!$A$4,'Henri''s Hotel'!Y24,0),0)</f>
        <v>0.9999999999999899</v>
      </c>
      <c r="AA24" s="2" t="s">
        <v>29</v>
      </c>
      <c r="AB24" s="2" t="s">
        <v>23</v>
      </c>
      <c r="AC24" s="14">
        <f>INDEX(Tables!$F$3:$F$5,MATCH('Henri''s Hotel'!AB24,Tables!$E$3:$E$5,0))</f>
        <v>1</v>
      </c>
      <c r="AD24" s="46">
        <f>INDEX(Tables!$F$3:$F$5,MATCH('Henri''s Hotel'!AB24,Tables!$E$3:$E$5,0))*INDEX(Tables!$B$3:$B$6,MATCH('Henri''s Hotel'!AA24,Tables!$A$3:$A$6,0))</f>
        <v>8</v>
      </c>
      <c r="AE24" s="64">
        <f>INDEX(Tables!$G$8:$G$10,MATCH(MOD(K24-J24,1)+MOD(M24-L24,1)+MOD(O24-N24,1)+MOD(Q24-P24,1)+MOD(S24-R24,1)+MOD(U24-T24,1),Tables!$D$8:$D$10,1))*AD24*(MOD(K24-J24,1)+MOD(M24-L24,1)+MOD(O24-N24,1)+MOD(Q24-P24,1)+MOD(S24-R24,1)+MOD(U24-T24,1))*24+INDEX(Tables!$I$8:$I$10,MATCH(Y24,Tables!$D$8:$D$10,1))*(MOD(W24-V24,1)*24)*AD24</f>
        <v>199.99999999999676</v>
      </c>
      <c r="AF24" s="43">
        <f>IF(AB24=Tables!$E$3,IF('Henri''s Hotel'!AA24=Tables!$A$4,('Henri''s Hotel'!Y24/'Henri''s Hotel'!$Y$30)*'Henri''s Hotel'!$Y$31),0)</f>
        <v>1.9999999999999902</v>
      </c>
      <c r="AG24" s="13"/>
      <c r="AH24" s="13"/>
      <c r="AI24" s="13" t="s">
        <v>17</v>
      </c>
      <c r="AJ24" s="16">
        <v>1</v>
      </c>
      <c r="AK24" s="16">
        <f>INDEX(Tables!$B$15:$B$17,MATCH('Henri''s Hotel'!AI24,Tables!$A$15:$A$17,0))+INDEX(Tables!$B$20:$B$32,MATCH('Henri''s Hotel'!AJ24,Tables!$A$20:$A$32,0))</f>
        <v>7800</v>
      </c>
      <c r="AL24" s="65">
        <f>IF(Y24&gt;0,IF(AB24=Tables!$E$5,'Henri''s Hotel'!$M$32/'Henri''s Hotel'!$M$33,))</f>
        <v>0</v>
      </c>
      <c r="AM24" s="65">
        <f>IF(AB24=Tables!$E$3,'Henri''s Hotel'!AE24,)</f>
        <v>199.99999999999676</v>
      </c>
      <c r="AN24" s="65">
        <f>IF($AM$29&lt;'Hotel occupancy'!$B$13,IF('Henri''s Hotel'!AB24=Tables!$E$5,200,0),)</f>
        <v>0</v>
      </c>
      <c r="AO24" s="65">
        <f>(AE24+AF24+AL24+AM24)*Tables!$F$16</f>
        <v>20099.999999999676</v>
      </c>
      <c r="AP24" s="54">
        <f t="shared" si="4"/>
        <v>12299.999999999676</v>
      </c>
      <c r="AR24" s="53">
        <f>(MOD(K24-J24,1)+MOD(M24-L24,1)+MOD(O24-N24,1)+MOD(Q24-P24,1)+MOD(S24-R24,1)+MOD(U24-T24,1))*Tables!$F$17</f>
        <v>22.999999999999922</v>
      </c>
      <c r="AS24">
        <f>INDEX(Tables!$G$8:$G$10,MATCH(MOD(K24-J24,1)+MOD(M24-L24,1)+MOD(O24-N24,1)+MOD(Q24-P24,1)+MOD(S24-R24,1)+MOD(U24-T24,1),Tables!$D$8:$D$10,1))</f>
        <v>1</v>
      </c>
      <c r="AT24" s="54">
        <f t="shared" si="1"/>
        <v>183.99999999999937</v>
      </c>
      <c r="AU24" s="53">
        <f t="shared" si="2"/>
        <v>0.99999999999983658</v>
      </c>
      <c r="AV24">
        <f>INDEX(Tables!$I$8:$I$10,MATCH(Y24,Tables!$D$8:$D$10,1))</f>
        <v>2</v>
      </c>
      <c r="AW24" s="54">
        <f t="shared" si="3"/>
        <v>15.999999999997385</v>
      </c>
    </row>
    <row r="25" spans="9:49" x14ac:dyDescent="0.25">
      <c r="I25" s="6" t="s">
        <v>39</v>
      </c>
      <c r="J25" s="11">
        <v>0.5</v>
      </c>
      <c r="K25" s="11">
        <v>0.29166666666666669</v>
      </c>
      <c r="L25" s="11">
        <v>0.54166666666666663</v>
      </c>
      <c r="M25" s="11">
        <v>0.58333333333333337</v>
      </c>
      <c r="N25" s="11">
        <v>0.625</v>
      </c>
      <c r="O25" s="11">
        <v>1.6666666666666701</v>
      </c>
      <c r="P25" s="11">
        <v>1.7083333333333399</v>
      </c>
      <c r="Q25" s="11">
        <v>1.75</v>
      </c>
      <c r="R25" s="11"/>
      <c r="S25" s="11"/>
      <c r="T25" s="11">
        <v>1.875</v>
      </c>
      <c r="U25" s="11">
        <v>1.9166666666666701</v>
      </c>
      <c r="V25" s="11">
        <v>1.9583333333333399</v>
      </c>
      <c r="W25" s="11">
        <v>2</v>
      </c>
      <c r="X25" s="32">
        <f>IF(COUNTBLANK(J25:W25)&gt;=Tables!$B$34,COUNTA(J25:W25)/Tables!$B$34,"ERROR WORKING DAYS")</f>
        <v>6</v>
      </c>
      <c r="Y25" s="12">
        <f t="shared" si="0"/>
        <v>0.99999999999999378</v>
      </c>
      <c r="Z25" s="44">
        <f>IF(AB25=Tables!$E$3,IF('Henri''s Hotel'!AA25=Tables!$A$4,'Henri''s Hotel'!Y25,0),0)</f>
        <v>0</v>
      </c>
      <c r="AA25" s="2" t="s">
        <v>15</v>
      </c>
      <c r="AB25" s="2" t="s">
        <v>27</v>
      </c>
      <c r="AC25" s="14">
        <f>INDEX(Tables!$F$3:$F$5,MATCH('Henri''s Hotel'!AB25,Tables!$E$3:$E$5,0))</f>
        <v>1.5</v>
      </c>
      <c r="AD25" s="46">
        <f>INDEX(Tables!$F$3:$F$5,MATCH('Henri''s Hotel'!AB25,Tables!$E$3:$E$5,0))*INDEX(Tables!$B$3:$B$6,MATCH('Henri''s Hotel'!AA25,Tables!$A$3:$A$6,0))</f>
        <v>15</v>
      </c>
      <c r="AE25" s="64">
        <f>INDEX(Tables!$G$8:$G$10,MATCH(MOD(K25-J25,1)+MOD(M25-L25,1)+MOD(O25-N25,1)+MOD(Q25-P25,1)+MOD(S25-R25,1)+MOD(U25-T25,1),Tables!$D$8:$D$10,1))*AD25*(MOD(K25-J25,1)+MOD(M25-L25,1)+MOD(O25-N25,1)+MOD(Q25-P25,1)+MOD(S25-R25,1)+MOD(U25-T25,1))*24+INDEX(Tables!$I$8:$I$10,MATCH(Y25,Tables!$D$8:$D$10,1))*(MOD(W25-V25,1)*24)*AD25</f>
        <v>374.9999999999954</v>
      </c>
      <c r="AF25" s="43">
        <f>IF(AB25=Tables!$E$3,IF('Henri''s Hotel'!AA25=Tables!$A$4,('Henri''s Hotel'!Y25/'Henri''s Hotel'!$Y$30)*'Henri''s Hotel'!$Y$31),0)</f>
        <v>0</v>
      </c>
      <c r="AG25" s="13"/>
      <c r="AH25" s="13"/>
      <c r="AI25" s="13" t="s">
        <v>17</v>
      </c>
      <c r="AJ25" s="16">
        <v>1</v>
      </c>
      <c r="AK25" s="16">
        <f>INDEX(Tables!$B$15:$B$17,MATCH('Henri''s Hotel'!AI25,Tables!$A$15:$A$17,0))+INDEX(Tables!$B$20:$B$32,MATCH('Henri''s Hotel'!AJ25,Tables!$A$20:$A$32,0))</f>
        <v>7800</v>
      </c>
      <c r="AL25" s="65">
        <f>IF(Y25&gt;0,IF(AB25=Tables!$E$5,'Henri''s Hotel'!$M$32/'Henri''s Hotel'!$M$33,))</f>
        <v>2.2727272727272728E-2</v>
      </c>
      <c r="AM25" s="65">
        <f>IF(AB25=Tables!$E$3,'Henri''s Hotel'!AE25,)</f>
        <v>0</v>
      </c>
      <c r="AN25" s="65">
        <f>IF($AM$29&lt;'Hotel occupancy'!$B$13,IF('Henri''s Hotel'!AB25=Tables!$E$5,200,0),)</f>
        <v>0</v>
      </c>
      <c r="AO25" s="65">
        <f>(AE25+AF25+AL25+AM25)*Tables!$F$16</f>
        <v>18751.136363636131</v>
      </c>
      <c r="AP25" s="54">
        <f t="shared" si="4"/>
        <v>10951.136363636131</v>
      </c>
      <c r="AR25" s="53">
        <f>(MOD(K25-J25,1)+MOD(M25-L25,1)+MOD(O25-N25,1)+MOD(Q25-P25,1)+MOD(S25-R25,1)+MOD(U25-T25,1))*Tables!$F$17</f>
        <v>23.000000000000007</v>
      </c>
      <c r="AS25">
        <f>INDEX(Tables!$G$8:$G$10,MATCH(MOD(K25-J25,1)+MOD(M25-L25,1)+MOD(O25-N25,1)+MOD(Q25-P25,1)+MOD(S25-R25,1)+MOD(U25-T25,1),Tables!$D$8:$D$10,1))</f>
        <v>1</v>
      </c>
      <c r="AT25" s="54">
        <f t="shared" si="1"/>
        <v>345.00000000000011</v>
      </c>
      <c r="AU25" s="53">
        <f t="shared" si="2"/>
        <v>0.9999999999998419</v>
      </c>
      <c r="AV25">
        <f>INDEX(Tables!$I$8:$I$10,MATCH(Y25,Tables!$D$8:$D$10,1))</f>
        <v>2</v>
      </c>
      <c r="AW25" s="54">
        <f t="shared" si="3"/>
        <v>29.999999999995257</v>
      </c>
    </row>
    <row r="26" spans="9:49" x14ac:dyDescent="0.25">
      <c r="I26" s="6" t="s">
        <v>40</v>
      </c>
      <c r="J26" s="11">
        <v>0.54166666666666696</v>
      </c>
      <c r="K26" s="11">
        <v>0.33333333333333331</v>
      </c>
      <c r="L26" s="11">
        <v>0.58333333333333337</v>
      </c>
      <c r="M26" s="11">
        <v>0.625</v>
      </c>
      <c r="N26" s="11">
        <v>0.66666666666666663</v>
      </c>
      <c r="O26" s="11">
        <v>1.7083333333333299</v>
      </c>
      <c r="P26" s="11">
        <v>1.75</v>
      </c>
      <c r="Q26" s="11">
        <v>1.7916666666666601</v>
      </c>
      <c r="R26" s="11"/>
      <c r="S26" s="11"/>
      <c r="T26" s="11">
        <v>1.9166666666666601</v>
      </c>
      <c r="U26" s="11">
        <v>1.9583333333333299</v>
      </c>
      <c r="V26" s="11">
        <v>2</v>
      </c>
      <c r="W26" s="11">
        <v>2.0416666666666599</v>
      </c>
      <c r="X26" s="32">
        <f>IF(COUNTBLANK(J26:W26)&gt;=Tables!$B$34,COUNTA(J26:W26)/Tables!$B$34,"ERROR WORKING DAYS")</f>
        <v>6</v>
      </c>
      <c r="Y26" s="12">
        <f t="shared" si="0"/>
        <v>0.99999999999998612</v>
      </c>
      <c r="Z26" s="44">
        <f>IF(AB26=Tables!$E$3,IF('Henri''s Hotel'!AA26=Tables!$A$4,'Henri''s Hotel'!Y26,0),0)</f>
        <v>0</v>
      </c>
      <c r="AA26" s="2" t="s">
        <v>15</v>
      </c>
      <c r="AB26" s="2" t="s">
        <v>27</v>
      </c>
      <c r="AC26" s="14">
        <f>INDEX(Tables!$F$3:$F$5,MATCH('Henri''s Hotel'!AB26,Tables!$E$3:$E$5,0))</f>
        <v>1.5</v>
      </c>
      <c r="AD26" s="46">
        <f>INDEX(Tables!$F$3:$F$5,MATCH('Henri''s Hotel'!AB26,Tables!$E$3:$E$5,0))*INDEX(Tables!$B$3:$B$6,MATCH('Henri''s Hotel'!AA26,Tables!$A$3:$A$6,0))</f>
        <v>15</v>
      </c>
      <c r="AE26" s="64">
        <f>INDEX(Tables!$G$8:$G$10,MATCH(MOD(K26-J26,1)+MOD(M26-L26,1)+MOD(O26-N26,1)+MOD(Q26-P26,1)+MOD(S26-R26,1)+MOD(U26-T26,1),Tables!$D$8:$D$10,1))*AD26*(MOD(K26-J26,1)+MOD(M26-L26,1)+MOD(O26-N26,1)+MOD(Q26-P26,1)+MOD(S26-R26,1)+MOD(U26-T26,1))*24+INDEX(Tables!$I$8:$I$10,MATCH(Y26,Tables!$D$8:$D$10,1))*(MOD(W26-V26,1)*24)*AD26</f>
        <v>374.99999999999255</v>
      </c>
      <c r="AF26" s="43">
        <f>IF(AB26=Tables!$E$3,IF('Henri''s Hotel'!AA26=Tables!$A$4,('Henri''s Hotel'!Y26/'Henri''s Hotel'!$Y$30)*'Henri''s Hotel'!$Y$31),0)</f>
        <v>0</v>
      </c>
      <c r="AG26" s="13"/>
      <c r="AH26" s="13"/>
      <c r="AI26" s="13" t="s">
        <v>17</v>
      </c>
      <c r="AJ26" s="16">
        <v>1</v>
      </c>
      <c r="AK26" s="16">
        <f>INDEX(Tables!$B$15:$B$17,MATCH('Henri''s Hotel'!AI26,Tables!$A$15:$A$17,0))+INDEX(Tables!$B$20:$B$32,MATCH('Henri''s Hotel'!AJ26,Tables!$A$20:$A$32,0))</f>
        <v>7800</v>
      </c>
      <c r="AL26" s="65">
        <f>IF(Y26&gt;0,IF(AB26=Tables!$E$5,'Henri''s Hotel'!$M$32/'Henri''s Hotel'!$M$33,))</f>
        <v>2.2727272727272728E-2</v>
      </c>
      <c r="AM26" s="65">
        <f>IF(AB26=Tables!$E$3,'Henri''s Hotel'!AE26,)</f>
        <v>0</v>
      </c>
      <c r="AN26" s="65">
        <f>IF($AM$29&lt;'Hotel occupancy'!$B$13,IF('Henri''s Hotel'!AB26=Tables!$E$5,200,0),)</f>
        <v>0</v>
      </c>
      <c r="AO26" s="65">
        <f>(AE26+AF26+AL26+AM26)*Tables!$F$16</f>
        <v>18751.136363635989</v>
      </c>
      <c r="AP26" s="54">
        <f t="shared" si="4"/>
        <v>10951.136363635989</v>
      </c>
      <c r="AR26" s="53">
        <f>(MOD(K26-J26,1)+MOD(M26-L26,1)+MOD(O26-N26,1)+MOD(Q26-P26,1)+MOD(S26-R26,1)+MOD(U26-T26,1))*Tables!$F$17</f>
        <v>22.999999999999829</v>
      </c>
      <c r="AS26">
        <f>INDEX(Tables!$G$8:$G$10,MATCH(MOD(K26-J26,1)+MOD(M26-L26,1)+MOD(O26-N26,1)+MOD(Q26-P26,1)+MOD(S26-R26,1)+MOD(U26-T26,1),Tables!$D$8:$D$10,1))</f>
        <v>1</v>
      </c>
      <c r="AT26" s="54">
        <f t="shared" si="1"/>
        <v>344.99999999999744</v>
      </c>
      <c r="AU26" s="53">
        <f t="shared" si="2"/>
        <v>0.99999999999983658</v>
      </c>
      <c r="AV26">
        <f>INDEX(Tables!$I$8:$I$10,MATCH(Y26,Tables!$D$8:$D$10,1))</f>
        <v>2</v>
      </c>
      <c r="AW26" s="54">
        <f t="shared" si="3"/>
        <v>29.999999999995097</v>
      </c>
    </row>
    <row r="27" spans="9:49" x14ac:dyDescent="0.25">
      <c r="I27" s="6" t="s">
        <v>41</v>
      </c>
      <c r="J27" s="11">
        <v>0.58333333333333304</v>
      </c>
      <c r="K27" s="11">
        <v>0.375</v>
      </c>
      <c r="L27" s="11">
        <v>0.625</v>
      </c>
      <c r="M27" s="11">
        <v>0.66666666666666663</v>
      </c>
      <c r="N27" s="11">
        <v>0.70833333333333337</v>
      </c>
      <c r="O27" s="11">
        <v>1.75</v>
      </c>
      <c r="P27" s="11">
        <v>1.7916666666666701</v>
      </c>
      <c r="Q27" s="11">
        <v>1.8333333333333299</v>
      </c>
      <c r="R27" s="11"/>
      <c r="S27" s="11"/>
      <c r="T27" s="11">
        <v>1.9583333333333299</v>
      </c>
      <c r="U27" s="11">
        <v>2</v>
      </c>
      <c r="V27" s="11">
        <v>2.0416666666666701</v>
      </c>
      <c r="W27" s="11">
        <v>2.0833333333333299</v>
      </c>
      <c r="X27" s="32">
        <f>IF(COUNTBLANK(J27:W27)&gt;=Tables!$B$34,COUNTA(J27:W27)/Tables!$B$34,"ERROR WORKING DAYS")</f>
        <v>6</v>
      </c>
      <c r="Y27" s="12">
        <f t="shared" si="0"/>
        <v>0.9999999999999899</v>
      </c>
      <c r="Z27" s="44">
        <f>IF(AB27=Tables!$E$3,IF('Henri''s Hotel'!AA27=Tables!$A$4,'Henri''s Hotel'!Y27,0),0)</f>
        <v>0</v>
      </c>
      <c r="AA27" s="2" t="s">
        <v>15</v>
      </c>
      <c r="AB27" s="2" t="s">
        <v>27</v>
      </c>
      <c r="AC27" s="14">
        <f>INDEX(Tables!$F$3:$F$5,MATCH('Henri''s Hotel'!AB27,Tables!$E$3:$E$5,0))</f>
        <v>1.5</v>
      </c>
      <c r="AD27" s="46">
        <f>INDEX(Tables!$F$3:$F$5,MATCH('Henri''s Hotel'!AB27,Tables!$E$3:$E$5,0))*INDEX(Tables!$B$3:$B$6,MATCH('Henri''s Hotel'!AA27,Tables!$A$3:$A$6,0))</f>
        <v>15</v>
      </c>
      <c r="AE27" s="64">
        <f>INDEX(Tables!$G$8:$G$10,MATCH(MOD(K27-J27,1)+MOD(M27-L27,1)+MOD(O27-N27,1)+MOD(Q27-P27,1)+MOD(S27-R27,1)+MOD(U27-T27,1),Tables!$D$8:$D$10,1))*AD27*(MOD(K27-J27,1)+MOD(M27-L27,1)+MOD(O27-N27,1)+MOD(Q27-P27,1)+MOD(S27-R27,1)+MOD(U27-T27,1))*24+INDEX(Tables!$I$8:$I$10,MATCH(Y27,Tables!$D$8:$D$10,1))*(MOD(W27-V27,1)*24)*AD27</f>
        <v>374.99999999999392</v>
      </c>
      <c r="AF27" s="43">
        <f>IF(AB27=Tables!$E$3,IF('Henri''s Hotel'!AA27=Tables!$A$4,('Henri''s Hotel'!Y27/'Henri''s Hotel'!$Y$30)*'Henri''s Hotel'!$Y$31),0)</f>
        <v>0</v>
      </c>
      <c r="AG27" s="13"/>
      <c r="AH27" s="13"/>
      <c r="AI27" s="13" t="s">
        <v>17</v>
      </c>
      <c r="AJ27" s="16">
        <v>1</v>
      </c>
      <c r="AK27" s="16">
        <f>INDEX(Tables!$B$15:$B$17,MATCH('Henri''s Hotel'!AI27,Tables!$A$15:$A$17,0))+INDEX(Tables!$B$20:$B$32,MATCH('Henri''s Hotel'!AJ27,Tables!$A$20:$A$32,0))</f>
        <v>7800</v>
      </c>
      <c r="AL27" s="65">
        <f>IF(Y27&gt;0,IF(AB27=Tables!$E$5,'Henri''s Hotel'!$M$32/'Henri''s Hotel'!$M$33,))</f>
        <v>2.2727272727272728E-2</v>
      </c>
      <c r="AM27" s="65">
        <f>IF(AB27=Tables!$E$3,'Henri''s Hotel'!AE27,)</f>
        <v>0</v>
      </c>
      <c r="AN27" s="65">
        <f>IF($AM$29&lt;'Hotel occupancy'!$B$13,IF('Henri''s Hotel'!AB27=Tables!$E$5,200,0),)</f>
        <v>0</v>
      </c>
      <c r="AO27" s="65">
        <f>(AE27+AF27+AL27+AM27)*Tables!$F$16</f>
        <v>18751.136363636058</v>
      </c>
      <c r="AP27" s="54">
        <f t="shared" si="4"/>
        <v>10951.136363636058</v>
      </c>
      <c r="AR27" s="53">
        <f>(MOD(K27-J27,1)+MOD(M27-L27,1)+MOD(O27-N27,1)+MOD(Q27-P27,1)+MOD(S27-R27,1)+MOD(U27-T27,1))*Tables!$F$17</f>
        <v>22.999999999999922</v>
      </c>
      <c r="AS27">
        <f>INDEX(Tables!$G$8:$G$10,MATCH(MOD(K27-J27,1)+MOD(M27-L27,1)+MOD(O27-N27,1)+MOD(Q27-P27,1)+MOD(S27-R27,1)+MOD(U27-T27,1),Tables!$D$8:$D$10,1))</f>
        <v>1</v>
      </c>
      <c r="AT27" s="54">
        <f t="shared" si="1"/>
        <v>344.99999999999881</v>
      </c>
      <c r="AU27" s="53">
        <f t="shared" si="2"/>
        <v>0.99999999999983658</v>
      </c>
      <c r="AV27">
        <f>INDEX(Tables!$I$8:$I$10,MATCH(Y27,Tables!$D$8:$D$10,1))</f>
        <v>2</v>
      </c>
      <c r="AW27" s="54">
        <f t="shared" si="3"/>
        <v>29.999999999995097</v>
      </c>
    </row>
    <row r="28" spans="9:49" x14ac:dyDescent="0.25">
      <c r="I28" s="6" t="s">
        <v>42</v>
      </c>
      <c r="J28" s="11">
        <v>0.625</v>
      </c>
      <c r="K28" s="11">
        <v>0.41666666666666669</v>
      </c>
      <c r="L28" s="11">
        <v>0.66666666666666663</v>
      </c>
      <c r="M28" s="11">
        <v>0.70833333333333337</v>
      </c>
      <c r="N28" s="11">
        <v>0.75</v>
      </c>
      <c r="O28" s="11">
        <v>1.7916666666666701</v>
      </c>
      <c r="P28" s="11">
        <v>1.8333333333333399</v>
      </c>
      <c r="Q28" s="11">
        <v>1.875</v>
      </c>
      <c r="R28" s="11"/>
      <c r="S28" s="11"/>
      <c r="T28" s="11">
        <v>2</v>
      </c>
      <c r="U28" s="11">
        <v>2.0416666666666701</v>
      </c>
      <c r="V28" s="11">
        <v>2.0833333333333401</v>
      </c>
      <c r="W28" s="11">
        <v>2.125</v>
      </c>
      <c r="X28" s="32">
        <f>IF(COUNTBLANK(J28:W28)&gt;=Tables!$B$34,COUNTA(J28:W28)/Tables!$B$34,"ERROR WORKING DAYS")</f>
        <v>6</v>
      </c>
      <c r="Y28" s="12">
        <f t="shared" si="0"/>
        <v>0.99999999999999356</v>
      </c>
      <c r="Z28" s="44">
        <f>IF(AB28=Tables!$E$3,IF('Henri''s Hotel'!AA28=Tables!$A$4,'Henri''s Hotel'!Y28,0),0)</f>
        <v>0</v>
      </c>
      <c r="AA28" s="2" t="s">
        <v>15</v>
      </c>
      <c r="AB28" s="2" t="s">
        <v>27</v>
      </c>
      <c r="AC28" s="14">
        <f>INDEX(Tables!$F$3:$F$5,MATCH('Henri''s Hotel'!AB28,Tables!$E$3:$E$5,0))</f>
        <v>1.5</v>
      </c>
      <c r="AD28" s="46">
        <f>INDEX(Tables!$F$3:$F$5,MATCH('Henri''s Hotel'!AB28,Tables!$E$3:$E$5,0))*INDEX(Tables!$B$3:$B$6,MATCH('Henri''s Hotel'!AA28,Tables!$A$3:$A$6,0))</f>
        <v>15</v>
      </c>
      <c r="AE28" s="64">
        <f>INDEX(Tables!$G$8:$G$10,MATCH(MOD(K28-J28,1)+MOD(M28-L28,1)+MOD(O28-N28,1)+MOD(Q28-P28,1)+MOD(S28-R28,1)+MOD(U28-T28,1),Tables!$D$8:$D$10,1))*AD28*(MOD(K28-J28,1)+MOD(M28-L28,1)+MOD(O28-N28,1)+MOD(Q28-P28,1)+MOD(S28-R28,1)+MOD(U28-T28,1))*24+INDEX(Tables!$I$8:$I$10,MATCH(Y28,Tables!$D$8:$D$10,1))*(MOD(W28-V28,1)*24)*AD28</f>
        <v>374.99999999999523</v>
      </c>
      <c r="AF28" s="43">
        <f>IF(AB28=Tables!$E$3,IF('Henri''s Hotel'!AA28=Tables!$A$4,('Henri''s Hotel'!Y28/'Henri''s Hotel'!$Y$30)*'Henri''s Hotel'!$Y$31),0)</f>
        <v>0</v>
      </c>
      <c r="AG28" s="13"/>
      <c r="AH28" s="13"/>
      <c r="AI28" s="13" t="s">
        <v>17</v>
      </c>
      <c r="AJ28" s="16">
        <v>1</v>
      </c>
      <c r="AK28" s="16">
        <f>INDEX(Tables!$B$15:$B$17,MATCH('Henri''s Hotel'!AI28,Tables!$A$15:$A$17,0))+INDEX(Tables!$B$20:$B$32,MATCH('Henri''s Hotel'!AJ28,Tables!$A$20:$A$32,0))</f>
        <v>7800</v>
      </c>
      <c r="AL28" s="65">
        <f>IF(Y28&gt;0,IF(AB28=Tables!$E$5,'Henri''s Hotel'!$M$32/'Henri''s Hotel'!$M$33,))</f>
        <v>2.2727272727272728E-2</v>
      </c>
      <c r="AM28" s="65">
        <f>IF(AB28=Tables!$E$3,'Henri''s Hotel'!AE28,)</f>
        <v>0</v>
      </c>
      <c r="AN28" s="65">
        <f>IF($AM$29&lt;'Hotel occupancy'!$B$13,IF('Henri''s Hotel'!AB28=Tables!$E$5,200,0),)</f>
        <v>0</v>
      </c>
      <c r="AO28" s="65">
        <f>(AE28+AF28+AL28+AM28)*Tables!$F$16</f>
        <v>18751.136363636124</v>
      </c>
      <c r="AP28" s="54">
        <f t="shared" si="4"/>
        <v>10951.136363636124</v>
      </c>
      <c r="AR28" s="53">
        <f>(MOD(K28-J28,1)+MOD(M28-L28,1)+MOD(O28-N28,1)+MOD(Q28-P28,1)+MOD(S28-R28,1)+MOD(U28-T28,1))*Tables!$F$17</f>
        <v>23.000000000000007</v>
      </c>
      <c r="AS28">
        <f>INDEX(Tables!$G$8:$G$10,MATCH(MOD(K28-J28,1)+MOD(M28-L28,1)+MOD(O28-N28,1)+MOD(Q28-P28,1)+MOD(S28-R28,1)+MOD(U28-T28,1),Tables!$D$8:$D$10,1))</f>
        <v>1</v>
      </c>
      <c r="AT28" s="54">
        <f t="shared" si="1"/>
        <v>345.00000000000011</v>
      </c>
      <c r="AU28" s="53">
        <f t="shared" si="2"/>
        <v>0.99999999999983658</v>
      </c>
      <c r="AV28">
        <f>INDEX(Tables!$I$8:$I$10,MATCH(Y28,Tables!$D$8:$D$10,1))</f>
        <v>2</v>
      </c>
      <c r="AW28" s="54">
        <f t="shared" si="3"/>
        <v>29.999999999995097</v>
      </c>
    </row>
    <row r="29" spans="9:49" x14ac:dyDescent="0.25">
      <c r="AM29" s="71">
        <f>(SUM(AM9:AM28))/O31</f>
        <v>1.4776666666666567</v>
      </c>
      <c r="AN29" s="54"/>
      <c r="AO29" s="54"/>
    </row>
    <row r="30" spans="9:49" x14ac:dyDescent="0.25">
      <c r="I30" s="29" t="s">
        <v>11</v>
      </c>
      <c r="J30" s="22">
        <v>1000</v>
      </c>
      <c r="L30" s="13" t="s">
        <v>77</v>
      </c>
      <c r="M30" s="65">
        <v>500</v>
      </c>
      <c r="O30" t="s">
        <v>88</v>
      </c>
      <c r="P30" t="s">
        <v>90</v>
      </c>
      <c r="Q30" t="s">
        <v>91</v>
      </c>
      <c r="X30" s="13" t="s">
        <v>64</v>
      </c>
      <c r="Y30" s="26">
        <f>SUM(Z9:Z29)</f>
        <v>4.9999999999999742</v>
      </c>
      <c r="Z30" s="40"/>
      <c r="AA30" s="35"/>
      <c r="AM30" s="71"/>
    </row>
    <row r="31" spans="9:49" x14ac:dyDescent="0.25">
      <c r="I31" s="29" t="s">
        <v>12</v>
      </c>
      <c r="J31" s="22">
        <f>J30*Tables!F14</f>
        <v>50</v>
      </c>
      <c r="L31" s="13" t="s">
        <v>79</v>
      </c>
      <c r="M31" s="70">
        <f>IF('Hotel occupancy'!B10&lt;'Hotel occupancy'!C5,'Hotel occupancy'!D5,IF('Hotel occupancy'!B10&lt;'Hotel occupancy'!C6,'Hotel occupancy'!D6,IF('Hotel occupancy'!B10&lt;'Hotel occupancy'!C7,'Hotel occupancy'!D7,IF('Hotel occupancy'!B10&gt;'Hotel occupancy'!C7,'Hotel occupancy'!D8,))))</f>
        <v>5.0000000000000001E-4</v>
      </c>
      <c r="O31" s="54">
        <f>M30+J30</f>
        <v>1500</v>
      </c>
      <c r="Y31" s="37">
        <f>(100/500)*J31</f>
        <v>10</v>
      </c>
      <c r="Z31" s="37"/>
    </row>
    <row r="32" spans="9:49" x14ac:dyDescent="0.25">
      <c r="L32" s="13" t="s">
        <v>80</v>
      </c>
      <c r="M32" s="65">
        <f>M31*M30</f>
        <v>0.25</v>
      </c>
    </row>
    <row r="33" spans="9:26" x14ac:dyDescent="0.25">
      <c r="I33" s="28"/>
      <c r="L33" t="s">
        <v>86</v>
      </c>
      <c r="M33">
        <f>COUNTIF(AB9:AB28,Tables!$E$5)</f>
        <v>11</v>
      </c>
    </row>
    <row r="34" spans="9:26" x14ac:dyDescent="0.25">
      <c r="I34" s="28"/>
      <c r="L34" t="s">
        <v>87</v>
      </c>
    </row>
    <row r="36" spans="9:26" x14ac:dyDescent="0.25">
      <c r="I36" t="s">
        <v>56</v>
      </c>
    </row>
    <row r="38" spans="9:26" x14ac:dyDescent="0.25">
      <c r="Y38">
        <v>201.2499999999994</v>
      </c>
      <c r="Z38" t="s">
        <v>68</v>
      </c>
    </row>
    <row r="39" spans="9:26" x14ac:dyDescent="0.25">
      <c r="Y39">
        <v>240.00000000000077</v>
      </c>
    </row>
    <row r="40" spans="9:26" x14ac:dyDescent="0.25">
      <c r="Y40">
        <v>229.9999999999967</v>
      </c>
    </row>
    <row r="41" spans="9:26" x14ac:dyDescent="0.25">
      <c r="Y41">
        <v>239.99999999999847</v>
      </c>
    </row>
    <row r="42" spans="9:26" x14ac:dyDescent="0.25">
      <c r="Y42">
        <v>359.99999999999807</v>
      </c>
    </row>
    <row r="43" spans="9:26" x14ac:dyDescent="0.25">
      <c r="Y43">
        <v>359.99999999999756</v>
      </c>
    </row>
    <row r="44" spans="9:26" x14ac:dyDescent="0.25">
      <c r="Y44">
        <v>360</v>
      </c>
    </row>
    <row r="45" spans="9:26" x14ac:dyDescent="0.25">
      <c r="Y45">
        <v>360.00000000000136</v>
      </c>
    </row>
    <row r="46" spans="9:26" x14ac:dyDescent="0.25">
      <c r="Y46">
        <v>287.99999999999881</v>
      </c>
    </row>
    <row r="47" spans="9:26" x14ac:dyDescent="0.25">
      <c r="Y47">
        <v>191.99999999999829</v>
      </c>
    </row>
    <row r="48" spans="9:26" x14ac:dyDescent="0.25">
      <c r="Y48">
        <v>191.99999999999878</v>
      </c>
    </row>
    <row r="49" spans="25:25" x14ac:dyDescent="0.25">
      <c r="Y49">
        <v>335.99999999999608</v>
      </c>
    </row>
    <row r="50" spans="25:25" x14ac:dyDescent="0.25">
      <c r="Y50">
        <v>287.99999999999721</v>
      </c>
    </row>
    <row r="51" spans="25:25" x14ac:dyDescent="0.25">
      <c r="Y51">
        <v>360.00000000000119</v>
      </c>
    </row>
    <row r="52" spans="25:25" x14ac:dyDescent="0.25">
      <c r="Y52">
        <v>359.99999999999875</v>
      </c>
    </row>
    <row r="53" spans="25:25" x14ac:dyDescent="0.25">
      <c r="Y53">
        <v>359.99999999999642</v>
      </c>
    </row>
    <row r="54" spans="25:25" x14ac:dyDescent="0.25">
      <c r="Y54">
        <v>359.99999999999778</v>
      </c>
    </row>
    <row r="55" spans="25:25" x14ac:dyDescent="0.25">
      <c r="Y55">
        <v>359.99999999999505</v>
      </c>
    </row>
    <row r="56" spans="25:25" x14ac:dyDescent="0.25">
      <c r="Y56">
        <v>359.99999999999642</v>
      </c>
    </row>
    <row r="57" spans="25:25" x14ac:dyDescent="0.25">
      <c r="Y57">
        <v>359.99999999999773</v>
      </c>
    </row>
  </sheetData>
  <dataConsolidate/>
  <mergeCells count="9">
    <mergeCell ref="Y7:Y8"/>
    <mergeCell ref="I7:I8"/>
    <mergeCell ref="V7:W7"/>
    <mergeCell ref="T7:U7"/>
    <mergeCell ref="R7:S7"/>
    <mergeCell ref="P7:Q7"/>
    <mergeCell ref="N7:O7"/>
    <mergeCell ref="L7:M7"/>
    <mergeCell ref="J7:K7"/>
  </mergeCells>
  <conditionalFormatting sqref="Y9:Y28">
    <cfRule type="dataBar" priority="15">
      <dataBar>
        <cfvo type="min"/>
        <cfvo type="max"/>
        <color theme="3" tint="0.79998168889431442"/>
      </dataBar>
      <extLst>
        <ext xmlns:x14="http://schemas.microsoft.com/office/spreadsheetml/2009/9/main" uri="{B025F937-C7B1-47D3-B67F-A62EFF666E3E}">
          <x14:id>{C0808594-B8B0-406E-ACC0-9C1C13B442FD}</x14:id>
        </ext>
      </extLst>
    </cfRule>
    <cfRule type="dataBar" priority="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{F395B7FE-8AEF-46F6-934C-7404FD4DAFB2}</x14:id>
        </ext>
      </extLst>
    </cfRule>
  </conditionalFormatting>
  <conditionalFormatting sqref="X8:X28">
    <cfRule type="cellIs" dxfId="11" priority="12" operator="equal">
      <formula>"ERROR"</formula>
    </cfRule>
    <cfRule type="containsText" dxfId="10" priority="13" operator="containsText" text="ERROR">
      <formula>NOT(ISERROR(SEARCH("ERROR",X8)))</formula>
    </cfRule>
    <cfRule type="containsText" dxfId="9" priority="14" operator="containsText" text="&quot;ERROR WORKING DAYS3">
      <formula>NOT(ISERROR(SEARCH("""ERROR WORKING DAYS3",X8)))</formula>
    </cfRule>
  </conditionalFormatting>
  <conditionalFormatting sqref="X9:X28">
    <cfRule type="cellIs" dxfId="8" priority="11" operator="equal">
      <formula>5.5</formula>
    </cfRule>
  </conditionalFormatting>
  <conditionalFormatting sqref="J9:W28">
    <cfRule type="cellIs" dxfId="0" priority="3" operator="equal">
      <formula>0</formula>
    </cfRule>
  </conditionalFormatting>
  <conditionalFormatting sqref="AO9:AO28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{E6BF1E41-7C52-450E-8A27-E3516EC3C5EB}</x14:id>
        </ext>
      </extLst>
    </cfRule>
  </conditionalFormatting>
  <pageMargins left="0.70000000000000007" right="0.70000000000000007" top="0.75" bottom="0.75" header="0.30000000000000004" footer="0.30000000000000004"/>
  <pageSetup paperSize="9" fitToWidth="0" fitToHeight="0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0808594-B8B0-406E-ACC0-9C1C13B442F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F395B7FE-8AEF-46F6-934C-7404FD4DAF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Y9:Y28</xm:sqref>
        </x14:conditionalFormatting>
        <x14:conditionalFormatting xmlns:xm="http://schemas.microsoft.com/office/excel/2006/main">
          <x14:cfRule type="dataBar" id="{E6BF1E41-7C52-450E-8A27-E3516EC3C5EB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AO9:AO28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Tables!$A$3:$A$6</xm:f>
          </x14:formula1>
          <xm:sqref>AA9:AA28</xm:sqref>
        </x14:dataValidation>
        <x14:dataValidation type="list" allowBlank="1" showInputMessage="1" showErrorMessage="1">
          <x14:formula1>
            <xm:f>Tables!$E$3:$E$5</xm:f>
          </x14:formula1>
          <xm:sqref>AB9:AB28</xm:sqref>
        </x14:dataValidation>
        <x14:dataValidation type="list" allowBlank="1" showInputMessage="1" showErrorMessage="1">
          <x14:formula1>
            <xm:f>Tables!$H$3:$H$5</xm:f>
          </x14:formula1>
          <xm:sqref>AI9:AI28</xm:sqref>
        </x14:dataValidation>
        <x14:dataValidation type="list" operator="greaterThan" allowBlank="1" showInputMessage="1" showErrorMessage="1">
          <x14:formula1>
            <xm:f>Tables!$A$20:$A$32</xm:f>
          </x14:formula1>
          <xm:sqref>AJ9:AJ28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37"/>
  <sheetViews>
    <sheetView workbookViewId="0">
      <selection activeCell="E5" sqref="E5"/>
    </sheetView>
  </sheetViews>
  <sheetFormatPr defaultColWidth="8.85546875" defaultRowHeight="15" x14ac:dyDescent="0.25"/>
  <cols>
    <col min="1" max="1" width="19.140625" customWidth="1"/>
    <col min="2" max="2" width="11" customWidth="1"/>
    <col min="3" max="4" width="9.140625" customWidth="1"/>
    <col min="5" max="5" width="23.42578125" customWidth="1"/>
    <col min="6" max="6" width="42" customWidth="1"/>
    <col min="7" max="7" width="9.140625" customWidth="1"/>
    <col min="8" max="8" width="25.5703125" customWidth="1"/>
    <col min="9" max="9" width="18.5703125" customWidth="1"/>
    <col min="10" max="10" width="9.140625" customWidth="1"/>
  </cols>
  <sheetData>
    <row r="2" spans="1:9" x14ac:dyDescent="0.25">
      <c r="A2" s="3" t="s">
        <v>8</v>
      </c>
      <c r="B2" s="3" t="s">
        <v>43</v>
      </c>
      <c r="E2" s="3" t="s">
        <v>9</v>
      </c>
      <c r="F2" s="3" t="s">
        <v>44</v>
      </c>
      <c r="H2" t="s">
        <v>13</v>
      </c>
      <c r="I2" t="s">
        <v>45</v>
      </c>
    </row>
    <row r="3" spans="1:9" x14ac:dyDescent="0.25">
      <c r="A3" s="4" t="s">
        <v>15</v>
      </c>
      <c r="B3" s="2">
        <v>10</v>
      </c>
      <c r="E3" s="4" t="s">
        <v>23</v>
      </c>
      <c r="F3" s="2">
        <v>1</v>
      </c>
      <c r="H3" t="s">
        <v>34</v>
      </c>
      <c r="I3">
        <v>5000</v>
      </c>
    </row>
    <row r="4" spans="1:9" x14ac:dyDescent="0.25">
      <c r="A4" s="4" t="s">
        <v>29</v>
      </c>
      <c r="B4" s="2">
        <v>8</v>
      </c>
      <c r="E4" s="4" t="s">
        <v>16</v>
      </c>
      <c r="F4" s="2">
        <v>1.25</v>
      </c>
      <c r="H4" t="s">
        <v>17</v>
      </c>
      <c r="I4">
        <v>7000</v>
      </c>
    </row>
    <row r="5" spans="1:9" x14ac:dyDescent="0.25">
      <c r="A5" s="4" t="s">
        <v>46</v>
      </c>
      <c r="B5" s="2">
        <v>7</v>
      </c>
      <c r="E5" s="4" t="s">
        <v>27</v>
      </c>
      <c r="F5" s="2">
        <v>1.5</v>
      </c>
      <c r="H5" t="s">
        <v>24</v>
      </c>
      <c r="I5">
        <v>5500</v>
      </c>
    </row>
    <row r="6" spans="1:9" x14ac:dyDescent="0.25">
      <c r="A6" s="4" t="s">
        <v>21</v>
      </c>
      <c r="B6" s="2">
        <v>6.5</v>
      </c>
    </row>
    <row r="7" spans="1:9" x14ac:dyDescent="0.25">
      <c r="E7" s="18" t="s">
        <v>50</v>
      </c>
      <c r="F7" s="21" t="s">
        <v>61</v>
      </c>
      <c r="G7" s="21" t="s">
        <v>54</v>
      </c>
      <c r="H7" s="21" t="s">
        <v>62</v>
      </c>
      <c r="I7" s="21" t="s">
        <v>54</v>
      </c>
    </row>
    <row r="8" spans="1:9" x14ac:dyDescent="0.25">
      <c r="D8">
        <v>0</v>
      </c>
      <c r="E8" s="18" t="s">
        <v>51</v>
      </c>
      <c r="F8" s="13">
        <v>39</v>
      </c>
      <c r="G8" s="13">
        <v>1</v>
      </c>
      <c r="H8" s="13">
        <v>39</v>
      </c>
      <c r="I8" s="13">
        <f>G11*G8</f>
        <v>2</v>
      </c>
    </row>
    <row r="9" spans="1:9" x14ac:dyDescent="0.25">
      <c r="D9">
        <f>39/24</f>
        <v>1.625</v>
      </c>
      <c r="E9" s="18" t="s">
        <v>52</v>
      </c>
      <c r="F9" s="13">
        <v>45</v>
      </c>
      <c r="G9" s="13">
        <v>1.25</v>
      </c>
      <c r="H9" s="13">
        <v>45</v>
      </c>
      <c r="I9" s="13">
        <f>G9*G11</f>
        <v>2.5</v>
      </c>
    </row>
    <row r="10" spans="1:9" x14ac:dyDescent="0.25">
      <c r="D10">
        <f>45/24</f>
        <v>1.875</v>
      </c>
      <c r="E10" s="18" t="s">
        <v>53</v>
      </c>
      <c r="F10" s="20">
        <v>45</v>
      </c>
      <c r="G10" s="13">
        <v>1.5</v>
      </c>
      <c r="H10" s="20">
        <v>45</v>
      </c>
      <c r="I10" s="13">
        <f>G11*G10</f>
        <v>3</v>
      </c>
    </row>
    <row r="11" spans="1:9" x14ac:dyDescent="0.25">
      <c r="E11" s="18" t="s">
        <v>7</v>
      </c>
      <c r="F11" s="13"/>
      <c r="G11" s="20">
        <v>2</v>
      </c>
    </row>
    <row r="14" spans="1:9" x14ac:dyDescent="0.25">
      <c r="A14" s="61" t="s">
        <v>45</v>
      </c>
      <c r="B14" s="61"/>
      <c r="E14" s="17" t="s">
        <v>12</v>
      </c>
      <c r="F14" s="36">
        <v>0.05</v>
      </c>
    </row>
    <row r="15" spans="1:9" x14ac:dyDescent="0.25">
      <c r="A15" s="13" t="s">
        <v>34</v>
      </c>
      <c r="B15" s="13">
        <v>5000</v>
      </c>
    </row>
    <row r="16" spans="1:9" x14ac:dyDescent="0.25">
      <c r="A16" s="13" t="s">
        <v>17</v>
      </c>
      <c r="B16" s="13">
        <v>7000</v>
      </c>
      <c r="E16" s="13" t="s">
        <v>67</v>
      </c>
      <c r="F16" s="13">
        <v>50</v>
      </c>
    </row>
    <row r="17" spans="1:6" x14ac:dyDescent="0.25">
      <c r="A17" s="13" t="s">
        <v>24</v>
      </c>
      <c r="B17" s="13">
        <v>5500</v>
      </c>
      <c r="E17" t="s">
        <v>75</v>
      </c>
      <c r="F17">
        <v>24</v>
      </c>
    </row>
    <row r="18" spans="1:6" x14ac:dyDescent="0.25">
      <c r="A18" s="19"/>
      <c r="B18" s="19"/>
    </row>
    <row r="19" spans="1:6" x14ac:dyDescent="0.25">
      <c r="A19" s="62" t="s">
        <v>58</v>
      </c>
      <c r="B19" s="62"/>
      <c r="C19" s="13">
        <v>800</v>
      </c>
    </row>
    <row r="20" spans="1:6" x14ac:dyDescent="0.25">
      <c r="A20" s="23">
        <v>0</v>
      </c>
      <c r="B20" s="24">
        <f>$C$19*A20</f>
        <v>0</v>
      </c>
      <c r="C20" s="25"/>
    </row>
    <row r="21" spans="1:6" x14ac:dyDescent="0.25">
      <c r="A21" s="23">
        <v>1</v>
      </c>
      <c r="B21" s="24">
        <f t="shared" ref="B21:B32" si="0">$C$19*A21</f>
        <v>800</v>
      </c>
      <c r="C21" s="25"/>
    </row>
    <row r="22" spans="1:6" x14ac:dyDescent="0.25">
      <c r="A22" s="23">
        <v>2</v>
      </c>
      <c r="B22" s="24">
        <f t="shared" si="0"/>
        <v>1600</v>
      </c>
      <c r="C22" s="25"/>
    </row>
    <row r="23" spans="1:6" x14ac:dyDescent="0.25">
      <c r="A23" s="23">
        <v>3</v>
      </c>
      <c r="B23" s="24">
        <f t="shared" si="0"/>
        <v>2400</v>
      </c>
      <c r="C23" s="25"/>
    </row>
    <row r="24" spans="1:6" x14ac:dyDescent="0.25">
      <c r="A24" s="23">
        <v>4</v>
      </c>
      <c r="B24" s="24">
        <f t="shared" si="0"/>
        <v>3200</v>
      </c>
      <c r="C24" s="25"/>
    </row>
    <row r="25" spans="1:6" x14ac:dyDescent="0.25">
      <c r="A25" s="23">
        <v>5</v>
      </c>
      <c r="B25" s="24">
        <f t="shared" si="0"/>
        <v>4000</v>
      </c>
      <c r="C25" s="25"/>
    </row>
    <row r="26" spans="1:6" x14ac:dyDescent="0.25">
      <c r="A26" s="23">
        <v>6</v>
      </c>
      <c r="B26" s="24">
        <f t="shared" si="0"/>
        <v>4800</v>
      </c>
      <c r="C26" s="25"/>
    </row>
    <row r="27" spans="1:6" x14ac:dyDescent="0.25">
      <c r="A27" s="23">
        <v>7</v>
      </c>
      <c r="B27" s="24">
        <f t="shared" si="0"/>
        <v>5600</v>
      </c>
      <c r="C27" s="25"/>
    </row>
    <row r="28" spans="1:6" x14ac:dyDescent="0.25">
      <c r="A28" s="23">
        <v>8</v>
      </c>
      <c r="B28" s="24">
        <f t="shared" si="0"/>
        <v>6400</v>
      </c>
      <c r="C28" s="25"/>
    </row>
    <row r="29" spans="1:6" x14ac:dyDescent="0.25">
      <c r="A29" s="23">
        <v>9</v>
      </c>
      <c r="B29" s="24">
        <f t="shared" si="0"/>
        <v>7200</v>
      </c>
      <c r="C29" s="25"/>
    </row>
    <row r="30" spans="1:6" x14ac:dyDescent="0.25">
      <c r="A30" s="23">
        <v>10</v>
      </c>
      <c r="B30" s="24">
        <f t="shared" si="0"/>
        <v>8000</v>
      </c>
      <c r="C30" s="25"/>
    </row>
    <row r="31" spans="1:6" x14ac:dyDescent="0.25">
      <c r="A31" s="23">
        <v>11</v>
      </c>
      <c r="B31" s="24">
        <f t="shared" si="0"/>
        <v>8800</v>
      </c>
      <c r="C31" s="25"/>
    </row>
    <row r="32" spans="1:6" x14ac:dyDescent="0.25">
      <c r="A32" s="23">
        <v>12</v>
      </c>
      <c r="B32" s="24">
        <f t="shared" si="0"/>
        <v>9600</v>
      </c>
      <c r="C32" s="25"/>
    </row>
    <row r="34" spans="1:6" x14ac:dyDescent="0.25">
      <c r="A34" s="33" t="s">
        <v>60</v>
      </c>
      <c r="B34" s="33">
        <v>2</v>
      </c>
    </row>
    <row r="37" spans="1:6" x14ac:dyDescent="0.25">
      <c r="F37" s="34"/>
    </row>
  </sheetData>
  <mergeCells count="2">
    <mergeCell ref="A14:B14"/>
    <mergeCell ref="A19:B19"/>
  </mergeCells>
  <pageMargins left="0.70000000000000007" right="0.70000000000000007" top="0.75" bottom="0.75" header="0.30000000000000004" footer="0.3000000000000000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3"/>
  <sheetViews>
    <sheetView workbookViewId="0">
      <selection activeCell="B13" sqref="B13"/>
    </sheetView>
  </sheetViews>
  <sheetFormatPr defaultColWidth="8.85546875" defaultRowHeight="15" x14ac:dyDescent="0.25"/>
  <cols>
    <col min="1" max="1" width="20.5703125" bestFit="1" customWidth="1"/>
    <col min="2" max="2" width="16.85546875" customWidth="1"/>
    <col min="5" max="5" width="11.5703125" customWidth="1"/>
  </cols>
  <sheetData>
    <row r="2" spans="1:9" x14ac:dyDescent="0.25">
      <c r="B2" s="13"/>
      <c r="C2" s="13" t="s">
        <v>1</v>
      </c>
      <c r="D2" s="13" t="s">
        <v>2</v>
      </c>
      <c r="E2" s="13" t="s">
        <v>3</v>
      </c>
      <c r="F2" s="13" t="s">
        <v>4</v>
      </c>
      <c r="G2" s="13" t="s">
        <v>5</v>
      </c>
      <c r="H2" s="13" t="s">
        <v>6</v>
      </c>
      <c r="I2" s="13" t="s">
        <v>7</v>
      </c>
    </row>
    <row r="3" spans="1:9" x14ac:dyDescent="0.25">
      <c r="B3" s="13" t="s">
        <v>66</v>
      </c>
      <c r="C3" s="41">
        <v>0.68</v>
      </c>
      <c r="D3" s="41">
        <v>0.76</v>
      </c>
      <c r="E3" s="41">
        <v>0.77</v>
      </c>
      <c r="F3" s="41">
        <v>0.78</v>
      </c>
      <c r="G3" s="41">
        <v>0.79</v>
      </c>
      <c r="H3" s="41">
        <v>0.8</v>
      </c>
      <c r="I3" s="41">
        <v>0.81</v>
      </c>
    </row>
    <row r="5" spans="1:9" x14ac:dyDescent="0.25">
      <c r="B5" s="13" t="s">
        <v>81</v>
      </c>
      <c r="C5" s="69">
        <v>0.5</v>
      </c>
      <c r="D5" s="68">
        <v>0</v>
      </c>
    </row>
    <row r="6" spans="1:9" x14ac:dyDescent="0.25">
      <c r="B6" s="13" t="s">
        <v>82</v>
      </c>
      <c r="C6" s="69">
        <v>0.7</v>
      </c>
      <c r="D6" s="68">
        <v>5.0000000000000001E-4</v>
      </c>
    </row>
    <row r="7" spans="1:9" x14ac:dyDescent="0.25">
      <c r="B7" s="67" t="s">
        <v>83</v>
      </c>
      <c r="C7" s="69">
        <v>0.9</v>
      </c>
      <c r="D7" s="68">
        <v>6.4999999999999997E-4</v>
      </c>
    </row>
    <row r="8" spans="1:9" x14ac:dyDescent="0.25">
      <c r="B8" s="13" t="s">
        <v>84</v>
      </c>
      <c r="C8" s="69"/>
      <c r="D8" s="68">
        <v>8.4999999999999995E-4</v>
      </c>
    </row>
    <row r="10" spans="1:9" x14ac:dyDescent="0.25">
      <c r="A10" t="s">
        <v>85</v>
      </c>
      <c r="B10" s="36">
        <f>MIN(C3:I3)</f>
        <v>0.68</v>
      </c>
    </row>
    <row r="13" spans="1:9" x14ac:dyDescent="0.25">
      <c r="A13" t="s">
        <v>93</v>
      </c>
      <c r="B13" s="36">
        <v>0.2</v>
      </c>
    </row>
  </sheetData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Henri's Hotel</vt:lpstr>
      <vt:lpstr>Tables</vt:lpstr>
      <vt:lpstr>Hotel occupancy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2013-10-24T18:15:58Z</dcterms:created>
  <dcterms:modified xsi:type="dcterms:W3CDTF">2013-10-31T16:54:55Z</dcterms:modified>
</cp:coreProperties>
</file>