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!_Xavier\Downloads\"/>
    </mc:Choice>
  </mc:AlternateContent>
  <bookViews>
    <workbookView xWindow="0" yWindow="0" windowWidth="24000" windowHeight="9735" activeTab="2"/>
  </bookViews>
  <sheets>
    <sheet name="Achat 1 et unique habitation" sheetId="36" r:id="rId1"/>
    <sheet name="Données simulateur" sheetId="28" r:id="rId2"/>
    <sheet name="Calcul Sharney" sheetId="66" r:id="rId3"/>
  </sheets>
  <calcPr calcId="152511"/>
</workbook>
</file>

<file path=xl/calcChain.xml><?xml version="1.0" encoding="utf-8"?>
<calcChain xmlns="http://schemas.openxmlformats.org/spreadsheetml/2006/main">
  <c r="B18" i="28" l="1"/>
  <c r="M32" i="66"/>
  <c r="M29" i="66"/>
  <c r="M27" i="66"/>
  <c r="M25" i="66"/>
  <c r="M21" i="66"/>
  <c r="M19" i="66"/>
  <c r="M7" i="66" l="1"/>
  <c r="M11" i="66" s="1"/>
  <c r="D18" i="66" l="1"/>
  <c r="D16" i="66"/>
  <c r="G16" i="66" s="1"/>
  <c r="F9" i="66"/>
  <c r="M5" i="66" l="1"/>
  <c r="M14" i="66" s="1"/>
  <c r="E18" i="66"/>
  <c r="E19" i="66"/>
  <c r="I10" i="28" l="1"/>
  <c r="I11" i="28" s="1"/>
  <c r="J21" i="28"/>
  <c r="J24" i="28"/>
  <c r="J27" i="28"/>
  <c r="J30" i="28"/>
  <c r="J33" i="28"/>
  <c r="J36" i="28"/>
  <c r="J45" i="28"/>
  <c r="L46" i="28"/>
  <c r="J48" i="28"/>
  <c r="J51" i="28"/>
  <c r="J54" i="28"/>
  <c r="J57" i="28"/>
  <c r="J60" i="28"/>
  <c r="I70" i="28"/>
  <c r="I71" i="28"/>
  <c r="L107" i="28" s="1"/>
  <c r="I78" i="28"/>
  <c r="L114" i="28" s="1"/>
  <c r="J89" i="28"/>
  <c r="J92" i="28"/>
  <c r="J95" i="28"/>
  <c r="J98" i="28"/>
  <c r="J101" i="28"/>
  <c r="J104" i="28"/>
  <c r="J113" i="28"/>
  <c r="J116" i="28"/>
  <c r="J119" i="28"/>
  <c r="L119" i="28"/>
  <c r="J122" i="28"/>
  <c r="L123" i="28"/>
  <c r="J125" i="28"/>
  <c r="J128" i="28"/>
  <c r="I139" i="28"/>
  <c r="I140" i="28"/>
  <c r="L162" i="28" s="1"/>
  <c r="I141" i="28"/>
  <c r="I147" i="28"/>
  <c r="I148" i="28" s="1"/>
  <c r="J158" i="28"/>
  <c r="L159" i="28"/>
  <c r="J161" i="28"/>
  <c r="J164" i="28"/>
  <c r="J167" i="28"/>
  <c r="L167" i="28"/>
  <c r="J170" i="28"/>
  <c r="L171" i="28"/>
  <c r="J173" i="28"/>
  <c r="J182" i="28"/>
  <c r="J185" i="28"/>
  <c r="J188" i="28"/>
  <c r="J191" i="28"/>
  <c r="J194" i="28"/>
  <c r="J197" i="28"/>
  <c r="I3" i="28"/>
  <c r="J22" i="28" s="1"/>
  <c r="J25" i="28" s="1"/>
  <c r="J28" i="28" s="1"/>
  <c r="I2" i="28"/>
  <c r="L90" i="28" l="1"/>
  <c r="L58" i="28"/>
  <c r="L173" i="28"/>
  <c r="L165" i="28"/>
  <c r="L161" i="28"/>
  <c r="L129" i="28"/>
  <c r="L125" i="28"/>
  <c r="L117" i="28"/>
  <c r="L113" i="28"/>
  <c r="L168" i="28"/>
  <c r="L164" i="28"/>
  <c r="L128" i="28"/>
  <c r="L120" i="28"/>
  <c r="L116" i="28"/>
  <c r="I83" i="28"/>
  <c r="L52" i="28"/>
  <c r="L174" i="28"/>
  <c r="L170" i="28"/>
  <c r="L126" i="28"/>
  <c r="L122" i="28"/>
  <c r="J31" i="28"/>
  <c r="J34" i="28" s="1"/>
  <c r="J37" i="28" s="1"/>
  <c r="L60" i="28"/>
  <c r="L54" i="28"/>
  <c r="L48" i="28"/>
  <c r="L102" i="28"/>
  <c r="L96" i="28"/>
  <c r="L104" i="28"/>
  <c r="L98" i="28"/>
  <c r="L197" i="28"/>
  <c r="L191" i="28"/>
  <c r="L185" i="28"/>
  <c r="L105" i="28"/>
  <c r="L101" i="28"/>
  <c r="L93" i="28"/>
  <c r="L92" i="28"/>
  <c r="L195" i="28"/>
  <c r="L189" i="28"/>
  <c r="L183" i="28"/>
  <c r="L99" i="28"/>
  <c r="L95" i="28"/>
  <c r="L34" i="28"/>
  <c r="L30" i="28"/>
  <c r="L22" i="28"/>
  <c r="L198" i="28"/>
  <c r="L194" i="28"/>
  <c r="L186" i="28"/>
  <c r="L182" i="28"/>
  <c r="I152" i="28"/>
  <c r="J159" i="28"/>
  <c r="J162" i="28" s="1"/>
  <c r="J165" i="28" s="1"/>
  <c r="J168" i="28" s="1"/>
  <c r="J171" i="28" s="1"/>
  <c r="J174" i="28" s="1"/>
  <c r="L55" i="28"/>
  <c r="L51" i="28"/>
  <c r="L37" i="28"/>
  <c r="L33" i="28"/>
  <c r="L25" i="28"/>
  <c r="L21" i="28"/>
  <c r="L36" i="28"/>
  <c r="L28" i="28"/>
  <c r="L24" i="28"/>
  <c r="I4" i="28"/>
  <c r="L192" i="28"/>
  <c r="L188" i="28"/>
  <c r="L158" i="28"/>
  <c r="J114" i="28"/>
  <c r="J117" i="28" s="1"/>
  <c r="J120" i="28" s="1"/>
  <c r="J123" i="28" s="1"/>
  <c r="J126" i="28" s="1"/>
  <c r="J129" i="28" s="1"/>
  <c r="L61" i="28"/>
  <c r="L57" i="28"/>
  <c r="L49" i="28"/>
  <c r="L45" i="28"/>
  <c r="L31" i="28"/>
  <c r="L27" i="28"/>
  <c r="I15" i="28"/>
  <c r="I151" i="28"/>
  <c r="I14" i="28"/>
  <c r="J183" i="28"/>
  <c r="J186" i="28" s="1"/>
  <c r="J189" i="28" s="1"/>
  <c r="J192" i="28" s="1"/>
  <c r="J195" i="28" s="1"/>
  <c r="J198" i="28" s="1"/>
  <c r="L176" i="28"/>
  <c r="L131" i="28"/>
  <c r="J90" i="28"/>
  <c r="J93" i="28" s="1"/>
  <c r="J96" i="28" s="1"/>
  <c r="J99" i="28" s="1"/>
  <c r="J102" i="28" s="1"/>
  <c r="J105" i="28" s="1"/>
  <c r="I79" i="28"/>
  <c r="J46" i="28"/>
  <c r="J49" i="28" s="1"/>
  <c r="J52" i="28" s="1"/>
  <c r="J55" i="28" s="1"/>
  <c r="J58" i="28" s="1"/>
  <c r="J61" i="28" s="1"/>
  <c r="L39" i="28"/>
  <c r="L89" i="28"/>
  <c r="I72" i="28"/>
  <c r="L200" i="28"/>
  <c r="L63" i="28"/>
  <c r="M28" i="36"/>
  <c r="B70" i="28"/>
  <c r="B148" i="28"/>
  <c r="B79" i="28"/>
  <c r="B140" i="28"/>
  <c r="B71" i="28"/>
  <c r="L133" i="28" l="1"/>
  <c r="I80" i="28" s="1"/>
  <c r="I84" i="28" s="1"/>
  <c r="L178" i="28"/>
  <c r="I142" i="28" s="1"/>
  <c r="I144" i="28" s="1"/>
  <c r="L109" i="28"/>
  <c r="I73" i="28" s="1"/>
  <c r="I75" i="28" s="1"/>
  <c r="L65" i="28"/>
  <c r="I12" i="28" s="1"/>
  <c r="I16" i="28" s="1"/>
  <c r="L41" i="28"/>
  <c r="I5" i="28" s="1"/>
  <c r="I7" i="28" s="1"/>
  <c r="I145" i="28"/>
  <c r="L202" i="28"/>
  <c r="I149" i="28" s="1"/>
  <c r="I154" i="28" s="1"/>
  <c r="I82" i="28"/>
  <c r="M20" i="36"/>
  <c r="AZ3" i="28"/>
  <c r="AZ11" i="28" s="1"/>
  <c r="B142" i="28" s="1"/>
  <c r="B72" i="28"/>
  <c r="B73" i="28" s="1"/>
  <c r="B4" i="28"/>
  <c r="C198" i="28"/>
  <c r="C195" i="28"/>
  <c r="C192" i="28"/>
  <c r="C189" i="28"/>
  <c r="C186" i="28"/>
  <c r="C183" i="28"/>
  <c r="C174" i="28"/>
  <c r="C171" i="28"/>
  <c r="C168" i="28"/>
  <c r="C165" i="28"/>
  <c r="C162" i="28"/>
  <c r="C159" i="28"/>
  <c r="C160" i="28" s="1"/>
  <c r="E201" i="28"/>
  <c r="B141" i="28"/>
  <c r="B139" i="28"/>
  <c r="C163" i="28" l="1"/>
  <c r="I85" i="28"/>
  <c r="I8" i="28"/>
  <c r="I76" i="28"/>
  <c r="I153" i="28"/>
  <c r="I17" i="28"/>
  <c r="C166" i="28"/>
  <c r="C169" i="28" s="1"/>
  <c r="C172" i="28" s="1"/>
  <c r="C175" i="28" s="1"/>
  <c r="B149" i="28"/>
  <c r="B152" i="28" s="1"/>
  <c r="E186" i="28"/>
  <c r="E192" i="28"/>
  <c r="E183" i="28"/>
  <c r="C184" i="28"/>
  <c r="C187" i="28" s="1"/>
  <c r="C190" i="28" s="1"/>
  <c r="C193" i="28" s="1"/>
  <c r="C196" i="28" s="1"/>
  <c r="C199" i="28" s="1"/>
  <c r="E189" i="28"/>
  <c r="E195" i="28"/>
  <c r="E163" i="28"/>
  <c r="E169" i="28"/>
  <c r="E177" i="28"/>
  <c r="B153" i="28"/>
  <c r="E159" i="28"/>
  <c r="E162" i="28"/>
  <c r="E165" i="28"/>
  <c r="E168" i="28"/>
  <c r="E171" i="28"/>
  <c r="E184" i="28"/>
  <c r="E187" i="28"/>
  <c r="E190" i="28"/>
  <c r="E193" i="28"/>
  <c r="E196" i="28"/>
  <c r="E199" i="28"/>
  <c r="E160" i="28"/>
  <c r="E166" i="28"/>
  <c r="E172" i="28"/>
  <c r="E175" i="28"/>
  <c r="E174" i="28" l="1"/>
  <c r="E179" i="28" s="1"/>
  <c r="E198" i="28"/>
  <c r="E203" i="28" s="1"/>
  <c r="B150" i="28" s="1"/>
  <c r="B154" i="28" s="1"/>
  <c r="B155" i="28" l="1"/>
  <c r="B143" i="28"/>
  <c r="B145" i="28" s="1"/>
  <c r="B146" i="28" s="1"/>
  <c r="I38" i="36" l="1"/>
  <c r="I30" i="36"/>
  <c r="I40" i="36" l="1"/>
  <c r="Q12" i="36" s="1"/>
  <c r="Q26" i="36"/>
  <c r="Q30" i="36"/>
  <c r="AF2" i="28" l="1"/>
  <c r="AF24" i="28" s="1"/>
  <c r="AD21" i="28"/>
  <c r="AD18" i="28"/>
  <c r="AD15" i="28"/>
  <c r="AD12" i="28"/>
  <c r="AD9" i="28"/>
  <c r="AD6" i="28"/>
  <c r="AD7" i="28" s="1"/>
  <c r="AF13" i="28" l="1"/>
  <c r="AF16" i="28"/>
  <c r="AF22" i="28"/>
  <c r="AF6" i="28"/>
  <c r="AF15" i="28"/>
  <c r="AF18" i="28"/>
  <c r="AF7" i="28"/>
  <c r="AF12" i="28"/>
  <c r="AF19" i="28"/>
  <c r="AF10" i="28"/>
  <c r="AF9" i="28"/>
  <c r="AD10" i="28"/>
  <c r="AD13" i="28" s="1"/>
  <c r="AD16" i="28" s="1"/>
  <c r="AD19" i="28" s="1"/>
  <c r="AD22" i="28" s="1"/>
  <c r="V11" i="28"/>
  <c r="W61" i="28"/>
  <c r="W58" i="28"/>
  <c r="W55" i="28"/>
  <c r="W52" i="28"/>
  <c r="W49" i="28"/>
  <c r="W46" i="28"/>
  <c r="W37" i="28"/>
  <c r="W34" i="28"/>
  <c r="W31" i="28"/>
  <c r="W28" i="28"/>
  <c r="W25" i="28"/>
  <c r="W22" i="28"/>
  <c r="V4" i="28"/>
  <c r="V3" i="28"/>
  <c r="Y38" i="28" s="1"/>
  <c r="V2" i="28"/>
  <c r="AF21" i="28" l="1"/>
  <c r="AF26" i="28" s="1"/>
  <c r="Y40" i="28"/>
  <c r="Y22" i="28"/>
  <c r="Y28" i="28"/>
  <c r="Y34" i="28"/>
  <c r="V5" i="28"/>
  <c r="W47" i="28"/>
  <c r="W50" i="28" s="1"/>
  <c r="W53" i="28" s="1"/>
  <c r="W56" i="28" s="1"/>
  <c r="W59" i="28" s="1"/>
  <c r="W62" i="28" s="1"/>
  <c r="Y25" i="28"/>
  <c r="Y31" i="28"/>
  <c r="Y37" i="28"/>
  <c r="Y47" i="28"/>
  <c r="Y50" i="28"/>
  <c r="Y53" i="28"/>
  <c r="Y56" i="28"/>
  <c r="Y62" i="28"/>
  <c r="V12" i="28"/>
  <c r="W23" i="28"/>
  <c r="W26" i="28" s="1"/>
  <c r="W29" i="28" s="1"/>
  <c r="W32" i="28" s="1"/>
  <c r="W35" i="28" s="1"/>
  <c r="W38" i="28" s="1"/>
  <c r="Y64" i="28"/>
  <c r="V16" i="28"/>
  <c r="Y59" i="28"/>
  <c r="Y23" i="28"/>
  <c r="Y26" i="28"/>
  <c r="Y29" i="28"/>
  <c r="Y32" i="28"/>
  <c r="Y35" i="28"/>
  <c r="Y46" i="28"/>
  <c r="Y49" i="28"/>
  <c r="Y52" i="28"/>
  <c r="Y55" i="28"/>
  <c r="Y58" i="28"/>
  <c r="Y61" i="28" l="1"/>
  <c r="Y66" i="28" s="1"/>
  <c r="V13" i="28" s="1"/>
  <c r="V17" i="28" s="1"/>
  <c r="Y42" i="28"/>
  <c r="V6" i="28" s="1"/>
  <c r="V9" i="28" s="1"/>
  <c r="V15" i="28"/>
  <c r="V18" i="28" l="1"/>
  <c r="M24" i="36"/>
  <c r="E132" i="28"/>
  <c r="E108" i="28"/>
  <c r="C129" i="28"/>
  <c r="C126" i="28"/>
  <c r="C123" i="28"/>
  <c r="C120" i="28"/>
  <c r="C117" i="28"/>
  <c r="C114" i="28"/>
  <c r="C105" i="28"/>
  <c r="C102" i="28"/>
  <c r="C99" i="28"/>
  <c r="C96" i="28"/>
  <c r="C93" i="28"/>
  <c r="C90" i="28"/>
  <c r="C115" i="28" l="1"/>
  <c r="C118" i="28" s="1"/>
  <c r="C121" i="28" s="1"/>
  <c r="C124" i="28" s="1"/>
  <c r="C127" i="28" s="1"/>
  <c r="C130" i="28" s="1"/>
  <c r="B80" i="28"/>
  <c r="B83" i="28" s="1"/>
  <c r="C91" i="28"/>
  <c r="C94" i="28" s="1"/>
  <c r="C97" i="28" s="1"/>
  <c r="C100" i="28" s="1"/>
  <c r="C103" i="28" s="1"/>
  <c r="C106" i="28" s="1"/>
  <c r="E106" i="28"/>
  <c r="B84" i="28"/>
  <c r="E90" i="28"/>
  <c r="E93" i="28"/>
  <c r="E96" i="28"/>
  <c r="E99" i="28"/>
  <c r="E102" i="28"/>
  <c r="E105" i="28"/>
  <c r="E115" i="28"/>
  <c r="E118" i="28"/>
  <c r="E121" i="28"/>
  <c r="E124" i="28"/>
  <c r="E127" i="28"/>
  <c r="E130" i="28"/>
  <c r="E91" i="28"/>
  <c r="E94" i="28"/>
  <c r="E97" i="28"/>
  <c r="E100" i="28"/>
  <c r="E103" i="28"/>
  <c r="E114" i="28"/>
  <c r="E117" i="28"/>
  <c r="E120" i="28"/>
  <c r="E123" i="28"/>
  <c r="E126" i="28"/>
  <c r="E129" i="28" l="1"/>
  <c r="E134" i="28" s="1"/>
  <c r="B81" i="28" s="1"/>
  <c r="E110" i="28"/>
  <c r="B74" i="28" s="1"/>
  <c r="B76" i="28" l="1"/>
  <c r="B77" i="28" s="1"/>
  <c r="B85" i="28"/>
  <c r="B86" i="28"/>
  <c r="B2" i="28"/>
  <c r="B11" i="28"/>
  <c r="G38" i="36" l="1"/>
  <c r="G30" i="36"/>
  <c r="B3" i="28"/>
  <c r="G40" i="36" l="1"/>
  <c r="O12" i="36" s="1"/>
  <c r="O26" i="36" l="1"/>
  <c r="O30" i="36"/>
  <c r="C61" i="28"/>
  <c r="C58" i="28"/>
  <c r="C55" i="28"/>
  <c r="C52" i="28"/>
  <c r="C49" i="28"/>
  <c r="C46" i="28"/>
  <c r="E40" i="28"/>
  <c r="C37" i="28"/>
  <c r="C34" i="28"/>
  <c r="E31" i="28"/>
  <c r="C31" i="28"/>
  <c r="E28" i="28"/>
  <c r="C28" i="28"/>
  <c r="E25" i="28"/>
  <c r="C25" i="28"/>
  <c r="E22" i="28"/>
  <c r="C22" i="28"/>
  <c r="E38" i="28"/>
  <c r="B5" i="28" l="1"/>
  <c r="C47" i="28"/>
  <c r="C50" i="28" s="1"/>
  <c r="C53" i="28" s="1"/>
  <c r="C56" i="28" s="1"/>
  <c r="C59" i="28" s="1"/>
  <c r="E50" i="28"/>
  <c r="E53" i="28"/>
  <c r="E56" i="28"/>
  <c r="E59" i="28"/>
  <c r="E62" i="28"/>
  <c r="B12" i="28"/>
  <c r="C23" i="28"/>
  <c r="C26" i="28" s="1"/>
  <c r="C29" i="28" s="1"/>
  <c r="C32" i="28" s="1"/>
  <c r="E64" i="28"/>
  <c r="B16" i="28"/>
  <c r="E47" i="28"/>
  <c r="E23" i="28"/>
  <c r="E26" i="28"/>
  <c r="E29" i="28"/>
  <c r="E32" i="28"/>
  <c r="E35" i="28"/>
  <c r="E46" i="28"/>
  <c r="E49" i="28"/>
  <c r="E52" i="28"/>
  <c r="E55" i="28"/>
  <c r="E58" i="28"/>
  <c r="B15" i="28" l="1"/>
  <c r="C35" i="28"/>
  <c r="C38" i="28" s="1"/>
  <c r="E34" i="28"/>
  <c r="C62" i="28"/>
  <c r="E61" i="28"/>
  <c r="E66" i="28" s="1"/>
  <c r="B13" i="28" s="1"/>
  <c r="E37" i="28"/>
  <c r="B17" i="28" l="1"/>
  <c r="E42" i="28"/>
  <c r="B6" i="28" s="1"/>
  <c r="E38" i="36" l="1"/>
  <c r="B8" i="28"/>
  <c r="B9" i="28" l="1"/>
  <c r="E30" i="36" l="1"/>
  <c r="E40" i="36" s="1"/>
  <c r="M12" i="36" s="1"/>
  <c r="M30" i="36" s="1"/>
  <c r="M26" i="36" l="1"/>
</calcChain>
</file>

<file path=xl/sharedStrings.xml><?xml version="1.0" encoding="utf-8"?>
<sst xmlns="http://schemas.openxmlformats.org/spreadsheetml/2006/main" count="464" uniqueCount="154">
  <si>
    <t>Veuillez d'abord préciser la nature de votre projet ?</t>
  </si>
  <si>
    <t>Bruxelles</t>
  </si>
  <si>
    <t>Flandre</t>
  </si>
  <si>
    <t>Wallonie</t>
  </si>
  <si>
    <t>Les coûts liés au projet</t>
  </si>
  <si>
    <t>Autre dépenses</t>
  </si>
  <si>
    <t>Coût total de votre projet</t>
  </si>
  <si>
    <t>Moyens propres</t>
  </si>
  <si>
    <t>Le budget nécessaire</t>
  </si>
  <si>
    <t>Formule</t>
  </si>
  <si>
    <t>Taux annuel</t>
  </si>
  <si>
    <t>10 ans fixe</t>
  </si>
  <si>
    <t>15 ans fixe</t>
  </si>
  <si>
    <t>25 ans fixe</t>
  </si>
  <si>
    <t>20 ans fixe</t>
  </si>
  <si>
    <t>30 ans fixe</t>
  </si>
  <si>
    <t xml:space="preserve">Calcul des frais de notaire </t>
  </si>
  <si>
    <t>Prix d'achat</t>
  </si>
  <si>
    <t>Abattement</t>
  </si>
  <si>
    <t xml:space="preserve">Frais d'enregistrement </t>
  </si>
  <si>
    <t>honoraire</t>
  </si>
  <si>
    <t>Frais divers</t>
  </si>
  <si>
    <t>Tva 21%</t>
  </si>
  <si>
    <t>Total acte d'achat</t>
  </si>
  <si>
    <t>Montant hors acte hypothécaire</t>
  </si>
  <si>
    <t>Frais enregistrement + 10 %</t>
  </si>
  <si>
    <t>Honoraire</t>
  </si>
  <si>
    <t>Inscripition</t>
  </si>
  <si>
    <t>Salaire conservateur</t>
  </si>
  <si>
    <t>Total acte hypothécaire</t>
  </si>
  <si>
    <t>HONORAIRE NOTAIRE - Acte d'achat</t>
  </si>
  <si>
    <t>Pallier</t>
  </si>
  <si>
    <t>Différence</t>
  </si>
  <si>
    <t>Taux</t>
  </si>
  <si>
    <t>Total</t>
  </si>
  <si>
    <t>Srdu</t>
  </si>
  <si>
    <t>-</t>
  </si>
  <si>
    <t>HONORAIRE NOTAIRE - Acte Hypothécaire</t>
  </si>
  <si>
    <t>Mensualité à payer</t>
  </si>
  <si>
    <t>Oui</t>
  </si>
  <si>
    <t>Non</t>
  </si>
  <si>
    <t>Région</t>
  </si>
  <si>
    <t xml:space="preserve">En Flandre vous pouvez bénéficier d’un abattement (= diminution de la base imposable) de € 15.000 à l’achat </t>
  </si>
  <si>
    <t>Prix d'achat du logement</t>
  </si>
  <si>
    <t>Frais liés à l'acte d'achat du logement</t>
  </si>
  <si>
    <t>Frais liés à l'acte de crédit de l'achat</t>
  </si>
  <si>
    <t>Variabilité</t>
  </si>
  <si>
    <t>Coût des transformations Tva comprise</t>
  </si>
  <si>
    <t>Honoraires d'architecte Tva comprise</t>
  </si>
  <si>
    <t>de votre première résidence principale. Un abattement complémentaire de 10.000 € est prévu si le taux des droits</t>
  </si>
  <si>
    <t>d'enregistrement s'élève à 10 %. Si le taux s'élève à 5 % l'abattement complémentaire sera de 20.000 €</t>
  </si>
  <si>
    <t>Durée en années</t>
  </si>
  <si>
    <t>Taux mensuel</t>
  </si>
  <si>
    <t>Durée en mois</t>
  </si>
  <si>
    <t>Le % des frais d'acte à appliquer ?</t>
  </si>
  <si>
    <t>Total des besoins</t>
  </si>
  <si>
    <t xml:space="preserve">HONORAIRE NOTAIRE - Acte d'achat - tableau  J </t>
  </si>
  <si>
    <t>HONORAIRE NOTAIRE - Acte Hypothécaire - tableau G</t>
  </si>
  <si>
    <t>5/5/5</t>
  </si>
  <si>
    <t>10/5/5</t>
  </si>
  <si>
    <t>Mensualité maximum</t>
  </si>
  <si>
    <t>Augmentation maximale en %</t>
  </si>
  <si>
    <t>Années</t>
  </si>
  <si>
    <t>Frais d'acte</t>
  </si>
  <si>
    <t>Oui - Non</t>
  </si>
  <si>
    <t>Frais de main levée</t>
  </si>
  <si>
    <t xml:space="preserve">Simulateur Rachat crédit </t>
  </si>
  <si>
    <t>Montant initial du prêt</t>
  </si>
  <si>
    <t>HONORAIRE NOTAIRE - Frais de main levéeActe d'achat</t>
  </si>
  <si>
    <t>CAP</t>
  </si>
  <si>
    <t>A Bruxelles lors de l'achat de l'unique et seule habitation, l'abattement s'élève à 60.000 €</t>
  </si>
  <si>
    <t>Arlon</t>
  </si>
  <si>
    <t>Assesse</t>
  </si>
  <si>
    <t>Aubel</t>
  </si>
  <si>
    <t>Beauvechain</t>
  </si>
  <si>
    <t>Braine-l’Alleud</t>
  </si>
  <si>
    <t>Braine-le-Château</t>
  </si>
  <si>
    <t>Chastre</t>
  </si>
  <si>
    <t>Chaumont-Gistoux</t>
  </si>
  <si>
    <t>Court-Saint-Etienne</t>
  </si>
  <si>
    <t>Donceel</t>
  </si>
  <si>
    <t>Eghezée</t>
  </si>
  <si>
    <t>Erezée</t>
  </si>
  <si>
    <t>Gembloux</t>
  </si>
  <si>
    <t>Genappe</t>
  </si>
  <si>
    <t>Grez-Doiceau</t>
  </si>
  <si>
    <t>Hélécine</t>
  </si>
  <si>
    <t>Incourt</t>
  </si>
  <si>
    <t>Ittre</t>
  </si>
  <si>
    <t>Jalhay</t>
  </si>
  <si>
    <t>Jodoigne</t>
  </si>
  <si>
    <t>La Hulpe</t>
  </si>
  <si>
    <t>Lasne</t>
  </si>
  <si>
    <t>Mont-Saint-Guibert</t>
  </si>
  <si>
    <t>Namur</t>
  </si>
  <si>
    <t>Nivelles</t>
  </si>
  <si>
    <t>Orp-Jauche</t>
  </si>
  <si>
    <t>Ottignies-Louvain-la-Neuve</t>
  </si>
  <si>
    <t>Perwez</t>
  </si>
  <si>
    <t>Profondville</t>
  </si>
  <si>
    <t>Ramillies</t>
  </si>
  <si>
    <t>Rixensart</t>
  </si>
  <si>
    <t>Sainte-Ode</t>
  </si>
  <si>
    <t>Silly</t>
  </si>
  <si>
    <t>Thimister-Clermont</t>
  </si>
  <si>
    <t>Villers-la-Ville</t>
  </si>
  <si>
    <t>Walhain</t>
  </si>
  <si>
    <t>Waterloo</t>
  </si>
  <si>
    <t>Wavre</t>
  </si>
  <si>
    <t>Pression immo</t>
  </si>
  <si>
    <t xml:space="preserve">Un bien se trouvant, en Wallonie, dans une zone de pression immobilière peut bénéficier d'un taux réduit sur 160.000 €. </t>
  </si>
  <si>
    <t xml:space="preserve">Le taux réduit s’élève à 6%. En dehors de cette zone, le taux réduit s'appliquera sur 150.000 €. </t>
  </si>
  <si>
    <t>Le solde du prix d'achat sera taxé à 12,5%.</t>
  </si>
  <si>
    <t>Région d'achat</t>
  </si>
  <si>
    <t>Liste des zones de pression immobilère</t>
  </si>
  <si>
    <t>Montant abattement si achat seule et unique habitation</t>
  </si>
  <si>
    <t>Simulateur Achat Logement Bruxelles</t>
  </si>
  <si>
    <t>Simulateur Achat Logement Flandre</t>
  </si>
  <si>
    <t>Simulateur Achat Logement Wallonie</t>
  </si>
  <si>
    <t>Taux spécial</t>
  </si>
  <si>
    <t>Zone A</t>
  </si>
  <si>
    <t>Montant</t>
  </si>
  <si>
    <t>Plafond</t>
  </si>
  <si>
    <t>Taux réduit</t>
  </si>
  <si>
    <t>Taux Normal</t>
  </si>
  <si>
    <t>Droits</t>
  </si>
  <si>
    <t>Taux maximum après révision</t>
  </si>
  <si>
    <t>Simulateur de l'achat de la 1 et unique habitation</t>
  </si>
  <si>
    <t>Mensualité pour financer le projet</t>
  </si>
  <si>
    <t xml:space="preserve">Région concernée :  </t>
  </si>
  <si>
    <t>Flandres</t>
  </si>
  <si>
    <t xml:space="preserve">Prix d'acquisition :  </t>
  </si>
  <si>
    <t xml:space="preserve">Revenus cadastrals :  </t>
  </si>
  <si>
    <t xml:space="preserve">Nombre d'enfants à charge :  </t>
  </si>
  <si>
    <t>OUI</t>
  </si>
  <si>
    <t xml:space="preserve">Est-ce la seule et unique habitation ?  </t>
  </si>
  <si>
    <t xml:space="preserve">Taux calculé :  </t>
  </si>
  <si>
    <t xml:space="preserve">Abattement calculé :  </t>
  </si>
  <si>
    <t xml:space="preserve">Taux spécial calculé :  </t>
  </si>
  <si>
    <t xml:space="preserve">Montant droits d'enregistrement :  </t>
  </si>
  <si>
    <t>NON</t>
  </si>
  <si>
    <t xml:space="preserve">Frais de notaire :  </t>
  </si>
  <si>
    <t xml:space="preserve">Frais divers :  </t>
  </si>
  <si>
    <t>Calcul du taux et des abattements pour droits d'enreg.</t>
  </si>
  <si>
    <t>Données manuelles</t>
  </si>
  <si>
    <t>Les cellules en bleu, sont des cellules à calcul automatique, merci de ne pas y toucher !</t>
  </si>
  <si>
    <t xml:space="preserve">TVA :  </t>
  </si>
  <si>
    <t>Calculs frais d'acte de crédit</t>
  </si>
  <si>
    <t xml:space="preserve">Honoraires :  </t>
  </si>
  <si>
    <t>Calculs frais liés à l'acte d'achat du logement</t>
  </si>
  <si>
    <t xml:space="preserve">Total des frais d'acte d'achat du logement :  </t>
  </si>
  <si>
    <t xml:space="preserve">Frais d'enregistrement :  </t>
  </si>
  <si>
    <t xml:space="preserve">Inscription :  </t>
  </si>
  <si>
    <t xml:space="preserve">Salaire conservateur 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</si>
</sst>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 &quot;€&quot;\ * #,##0.00_ ;_ &quot;€&quot;\ * \-#,##0.00_ ;_ &quot;€&quot;\ * &quot;-&quot;??_ ;_ @_ "/>
    <numFmt numFmtId="165" formatCode="#,##0.00\ _€"/>
    <numFmt numFmtId="166" formatCode="#,##0.00\ &quot;€&quot;"/>
    <numFmt numFmtId="167" formatCode="&quot;€&quot;\ #,##0.00"/>
    <numFmt numFmtId="168" formatCode="0.0000%"/>
    <numFmt numFmtId="169" formatCode="#,##0\ _€"/>
    <numFmt numFmtId="170" formatCode="0.0%"/>
    <numFmt numFmtId="171" formatCode="0.000%"/>
  </numFmts>
  <fonts count="3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1"/>
      <color indexed="9"/>
      <name val="Calibri"/>
      <family val="2"/>
    </font>
    <font>
      <sz val="11"/>
      <name val="Arial"/>
      <family val="2"/>
    </font>
    <font>
      <b/>
      <sz val="11"/>
      <color rgb="FF0070C0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i/>
      <sz val="11"/>
      <color indexed="10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b/>
      <sz val="11"/>
      <color indexed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rgb="FF0070C0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24">
    <border>
      <left/>
      <right/>
      <top/>
      <bottom/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/>
      <top/>
      <bottom style="hair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141">
    <xf numFmtId="0" fontId="0" fillId="0" borderId="0" xfId="0"/>
    <xf numFmtId="0" fontId="0" fillId="2" borderId="0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2" fillId="0" borderId="0" xfId="0" applyFont="1" applyFill="1"/>
    <xf numFmtId="49" fontId="2" fillId="0" borderId="0" xfId="0" applyNumberFormat="1" applyFont="1" applyFill="1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0" borderId="0" xfId="0" applyFont="1"/>
    <xf numFmtId="167" fontId="2" fillId="4" borderId="1" xfId="0" applyNumberFormat="1" applyFont="1" applyFill="1" applyBorder="1" applyAlignment="1">
      <alignment horizontal="center" vertical="center"/>
    </xf>
    <xf numFmtId="10" fontId="2" fillId="2" borderId="0" xfId="0" applyNumberFormat="1" applyFont="1" applyFill="1" applyBorder="1" applyAlignment="1">
      <alignment vertical="center"/>
    </xf>
    <xf numFmtId="0" fontId="12" fillId="6" borderId="0" xfId="0" applyFont="1" applyFill="1" applyAlignment="1">
      <alignment horizontal="center" vertical="center"/>
    </xf>
    <xf numFmtId="10" fontId="13" fillId="7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6" fontId="14" fillId="0" borderId="1" xfId="0" applyNumberFormat="1" applyFont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165" fontId="10" fillId="8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2" fontId="14" fillId="0" borderId="1" xfId="0" applyNumberFormat="1" applyFont="1" applyFill="1" applyBorder="1" applyAlignment="1">
      <alignment horizontal="center" vertical="center"/>
    </xf>
    <xf numFmtId="2" fontId="10" fillId="8" borderId="0" xfId="0" applyNumberFormat="1" applyFont="1" applyFill="1" applyAlignment="1">
      <alignment horizontal="center" vertical="center"/>
    </xf>
    <xf numFmtId="0" fontId="0" fillId="0" borderId="0" xfId="0" applyFont="1"/>
    <xf numFmtId="167" fontId="2" fillId="9" borderId="1" xfId="0" applyNumberFormat="1" applyFont="1" applyFill="1" applyBorder="1" applyAlignment="1">
      <alignment horizontal="center" vertical="center"/>
    </xf>
    <xf numFmtId="168" fontId="2" fillId="9" borderId="1" xfId="0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/>
    </xf>
    <xf numFmtId="167" fontId="6" fillId="10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2" fontId="1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2" fontId="10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19" fillId="0" borderId="0" xfId="0" applyFont="1" applyAlignment="1">
      <alignment vertical="center"/>
    </xf>
    <xf numFmtId="169" fontId="4" fillId="0" borderId="0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4" fontId="14" fillId="0" borderId="0" xfId="0" applyNumberFormat="1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10" fontId="8" fillId="0" borderId="0" xfId="0" applyNumberFormat="1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" fillId="0" borderId="0" xfId="0" applyFont="1"/>
    <xf numFmtId="0" fontId="2" fillId="4" borderId="1" xfId="0" applyFont="1" applyFill="1" applyBorder="1" applyAlignment="1">
      <alignment vertical="center"/>
    </xf>
    <xf numFmtId="0" fontId="21" fillId="0" borderId="0" xfId="0" applyFont="1"/>
    <xf numFmtId="0" fontId="22" fillId="0" borderId="0" xfId="0" applyFont="1" applyAlignment="1">
      <alignment horizontal="center"/>
    </xf>
    <xf numFmtId="3" fontId="23" fillId="11" borderId="0" xfId="0" applyNumberFormat="1" applyFont="1" applyFill="1"/>
    <xf numFmtId="3" fontId="21" fillId="0" borderId="0" xfId="0" applyNumberFormat="1" applyFont="1"/>
    <xf numFmtId="9" fontId="21" fillId="0" borderId="0" xfId="0" applyNumberFormat="1" applyFont="1"/>
    <xf numFmtId="10" fontId="21" fillId="0" borderId="0" xfId="0" applyNumberFormat="1" applyFont="1"/>
    <xf numFmtId="0" fontId="24" fillId="0" borderId="0" xfId="0" applyFont="1"/>
    <xf numFmtId="3" fontId="24" fillId="0" borderId="0" xfId="0" applyNumberFormat="1" applyFont="1"/>
    <xf numFmtId="49" fontId="2" fillId="2" borderId="0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0" fontId="2" fillId="9" borderId="1" xfId="0" applyNumberFormat="1" applyFont="1" applyFill="1" applyBorder="1" applyAlignment="1">
      <alignment horizontal="center" vertical="center"/>
    </xf>
    <xf numFmtId="10" fontId="2" fillId="2" borderId="0" xfId="0" applyNumberFormat="1" applyFont="1" applyFill="1" applyBorder="1" applyAlignment="1">
      <alignment horizontal="center" vertical="center"/>
    </xf>
    <xf numFmtId="0" fontId="0" fillId="12" borderId="0" xfId="0" applyFill="1"/>
    <xf numFmtId="0" fontId="0" fillId="10" borderId="12" xfId="0" applyFill="1" applyBorder="1"/>
    <xf numFmtId="0" fontId="0" fillId="10" borderId="13" xfId="0" applyFill="1" applyBorder="1"/>
    <xf numFmtId="0" fontId="0" fillId="10" borderId="14" xfId="0" applyFill="1" applyBorder="1"/>
    <xf numFmtId="0" fontId="0" fillId="10" borderId="15" xfId="0" applyFill="1" applyBorder="1"/>
    <xf numFmtId="0" fontId="0" fillId="10" borderId="0" xfId="0" applyFill="1" applyBorder="1" applyAlignment="1">
      <alignment horizontal="right"/>
    </xf>
    <xf numFmtId="0" fontId="0" fillId="2" borderId="16" xfId="0" applyFill="1" applyBorder="1" applyAlignment="1">
      <alignment horizontal="center"/>
    </xf>
    <xf numFmtId="0" fontId="0" fillId="10" borderId="0" xfId="0" applyFill="1" applyBorder="1"/>
    <xf numFmtId="0" fontId="0" fillId="10" borderId="17" xfId="0" applyFill="1" applyBorder="1"/>
    <xf numFmtId="164" fontId="0" fillId="2" borderId="16" xfId="1" applyFont="1" applyFill="1" applyBorder="1"/>
    <xf numFmtId="164" fontId="0" fillId="2" borderId="16" xfId="1" applyFont="1" applyFill="1" applyBorder="1" applyAlignment="1">
      <alignment horizontal="center"/>
    </xf>
    <xf numFmtId="0" fontId="0" fillId="10" borderId="18" xfId="0" applyFill="1" applyBorder="1"/>
    <xf numFmtId="0" fontId="0" fillId="10" borderId="19" xfId="0" applyFill="1" applyBorder="1"/>
    <xf numFmtId="0" fontId="0" fillId="10" borderId="20" xfId="0" applyFill="1" applyBorder="1"/>
    <xf numFmtId="164" fontId="26" fillId="10" borderId="19" xfId="1" applyFont="1" applyFill="1" applyBorder="1"/>
    <xf numFmtId="10" fontId="0" fillId="12" borderId="0" xfId="2" applyNumberFormat="1" applyFont="1" applyFill="1"/>
    <xf numFmtId="0" fontId="29" fillId="12" borderId="0" xfId="0" applyFont="1" applyFill="1"/>
    <xf numFmtId="170" fontId="0" fillId="14" borderId="16" xfId="2" applyNumberFormat="1" applyFont="1" applyFill="1" applyBorder="1" applyAlignment="1">
      <alignment horizontal="center"/>
    </xf>
    <xf numFmtId="164" fontId="0" fillId="14" borderId="16" xfId="1" applyFont="1" applyFill="1" applyBorder="1"/>
    <xf numFmtId="164" fontId="0" fillId="2" borderId="16" xfId="0" applyNumberFormat="1" applyFill="1" applyBorder="1"/>
    <xf numFmtId="0" fontId="0" fillId="15" borderId="12" xfId="0" applyFill="1" applyBorder="1"/>
    <xf numFmtId="0" fontId="0" fillId="15" borderId="13" xfId="0" applyFill="1" applyBorder="1"/>
    <xf numFmtId="171" fontId="0" fillId="15" borderId="13" xfId="2" applyNumberFormat="1" applyFont="1" applyFill="1" applyBorder="1"/>
    <xf numFmtId="0" fontId="0" fillId="15" borderId="15" xfId="0" applyFill="1" applyBorder="1"/>
    <xf numFmtId="0" fontId="0" fillId="15" borderId="0" xfId="0" applyFill="1" applyBorder="1"/>
    <xf numFmtId="0" fontId="0" fillId="15" borderId="18" xfId="0" applyFill="1" applyBorder="1"/>
    <xf numFmtId="0" fontId="0" fillId="15" borderId="19" xfId="0" applyFill="1" applyBorder="1"/>
    <xf numFmtId="10" fontId="0" fillId="15" borderId="19" xfId="2" applyNumberFormat="1" applyFont="1" applyFill="1" applyBorder="1"/>
    <xf numFmtId="0" fontId="0" fillId="15" borderId="14" xfId="0" applyFill="1" applyBorder="1"/>
    <xf numFmtId="0" fontId="0" fillId="15" borderId="17" xfId="0" applyFill="1" applyBorder="1"/>
    <xf numFmtId="0" fontId="0" fillId="15" borderId="20" xfId="0" applyFill="1" applyBorder="1"/>
    <xf numFmtId="10" fontId="28" fillId="15" borderId="0" xfId="2" applyNumberFormat="1" applyFont="1" applyFill="1" applyBorder="1" applyAlignment="1">
      <alignment horizontal="right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16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16" fillId="6" borderId="11" xfId="0" applyFont="1" applyFill="1" applyBorder="1" applyAlignment="1">
      <alignment horizontal="center" vertical="center"/>
    </xf>
    <xf numFmtId="0" fontId="28" fillId="13" borderId="21" xfId="0" applyFont="1" applyFill="1" applyBorder="1" applyAlignment="1">
      <alignment horizontal="center"/>
    </xf>
    <xf numFmtId="0" fontId="28" fillId="13" borderId="23" xfId="0" applyFont="1" applyFill="1" applyBorder="1" applyAlignment="1">
      <alignment horizontal="center"/>
    </xf>
    <xf numFmtId="0" fontId="28" fillId="13" borderId="22" xfId="0" applyFont="1" applyFill="1" applyBorder="1" applyAlignment="1">
      <alignment horizontal="center"/>
    </xf>
    <xf numFmtId="0" fontId="0" fillId="10" borderId="0" xfId="0" applyFill="1" applyBorder="1" applyAlignment="1">
      <alignment horizontal="right"/>
    </xf>
    <xf numFmtId="164" fontId="27" fillId="2" borderId="21" xfId="1" applyFont="1" applyFill="1" applyBorder="1" applyAlignment="1">
      <alignment horizontal="center"/>
    </xf>
    <xf numFmtId="164" fontId="27" fillId="2" borderId="22" xfId="1" applyFont="1" applyFill="1" applyBorder="1" applyAlignment="1">
      <alignment horizontal="center"/>
    </xf>
    <xf numFmtId="164" fontId="0" fillId="14" borderId="21" xfId="0" applyNumberFormat="1" applyFill="1" applyBorder="1" applyAlignment="1">
      <alignment horizontal="right"/>
    </xf>
    <xf numFmtId="164" fontId="0" fillId="14" borderId="22" xfId="0" applyNumberFormat="1" applyFill="1" applyBorder="1" applyAlignment="1">
      <alignment horizontal="right"/>
    </xf>
    <xf numFmtId="164" fontId="27" fillId="14" borderId="21" xfId="1" applyFont="1" applyFill="1" applyBorder="1" applyAlignment="1">
      <alignment horizontal="center"/>
    </xf>
    <xf numFmtId="164" fontId="27" fillId="14" borderId="22" xfId="1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4">
    <dxf>
      <font>
        <color rgb="FFFFFF99"/>
      </font>
    </dxf>
    <dxf>
      <font>
        <color theme="0" tint="-0.24994659260841701"/>
      </font>
    </dxf>
    <dxf>
      <font>
        <color rgb="FFFFFF99"/>
      </font>
    </dxf>
    <dxf>
      <font>
        <color rgb="FFFFFF99"/>
      </font>
    </dxf>
  </dxfs>
  <tableStyles count="0" defaultTableStyle="TableStyleMedium2" defaultPivotStyle="PivotStyleLight16"/>
  <colors>
    <mruColors>
      <color rgb="FFFFFF99"/>
      <color rgb="FFFF00FF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9" tint="-0.499984740745262"/>
  </sheetPr>
  <dimension ref="B2:Q40"/>
  <sheetViews>
    <sheetView topLeftCell="A19" workbookViewId="0">
      <selection activeCell="B31" sqref="B31"/>
    </sheetView>
  </sheetViews>
  <sheetFormatPr baseColWidth="10" defaultColWidth="15.7109375" defaultRowHeight="15" customHeight="1" x14ac:dyDescent="0.25"/>
  <cols>
    <col min="1" max="1" width="5.7109375" style="2" customWidth="1"/>
    <col min="2" max="5" width="15.7109375" style="2"/>
    <col min="6" max="6" width="2.7109375" style="2" customWidth="1"/>
    <col min="7" max="7" width="15.7109375" style="2"/>
    <col min="8" max="8" width="2.7109375" style="2" customWidth="1"/>
    <col min="9" max="9" width="15.7109375" style="2" customWidth="1"/>
    <col min="10" max="10" width="10.7109375" style="2" customWidth="1"/>
    <col min="11" max="11" width="15.7109375" style="2"/>
    <col min="12" max="12" width="11.85546875" style="2" customWidth="1"/>
    <col min="13" max="13" width="15.7109375" style="2"/>
    <col min="14" max="14" width="2.7109375" style="2" customWidth="1"/>
    <col min="15" max="15" width="15.7109375" style="2"/>
    <col min="16" max="16" width="2.7109375" style="2" customWidth="1"/>
    <col min="17" max="16384" width="15.7109375" style="2"/>
  </cols>
  <sheetData>
    <row r="2" spans="2:17" ht="15" customHeight="1" x14ac:dyDescent="0.25">
      <c r="B2" s="123" t="s">
        <v>127</v>
      </c>
      <c r="C2" s="124"/>
      <c r="D2" s="124"/>
      <c r="E2" s="125"/>
    </row>
    <row r="3" spans="2:17" ht="15" customHeight="1" thickBot="1" x14ac:dyDescent="0.3"/>
    <row r="4" spans="2:17" ht="15" customHeight="1" thickBot="1" x14ac:dyDescent="0.3">
      <c r="B4" s="36" t="s">
        <v>0</v>
      </c>
      <c r="C4" s="39"/>
      <c r="D4" s="39"/>
      <c r="E4" s="39"/>
      <c r="F4" s="44"/>
      <c r="G4" s="41"/>
      <c r="H4" s="41"/>
      <c r="I4" s="41"/>
      <c r="J4" s="41"/>
      <c r="K4" s="36" t="s">
        <v>8</v>
      </c>
      <c r="L4" s="39"/>
      <c r="M4" s="44"/>
      <c r="Q4" s="41"/>
    </row>
    <row r="5" spans="2:17" ht="15" customHeight="1" x14ac:dyDescent="0.25">
      <c r="B5" s="41"/>
      <c r="C5" s="41"/>
      <c r="D5" s="41"/>
      <c r="E5" s="41"/>
      <c r="F5" s="41"/>
      <c r="G5" s="41"/>
      <c r="H5" s="41"/>
      <c r="I5" s="41"/>
      <c r="J5" s="41"/>
      <c r="K5" s="40"/>
      <c r="M5" s="40"/>
      <c r="O5" s="41"/>
      <c r="P5" s="41"/>
      <c r="Q5" s="41"/>
    </row>
    <row r="6" spans="2:17" ht="15" customHeight="1" x14ac:dyDescent="0.25">
      <c r="B6" s="41" t="s">
        <v>113</v>
      </c>
      <c r="C6" s="41"/>
      <c r="D6" s="41"/>
      <c r="E6" s="8" t="s">
        <v>1</v>
      </c>
      <c r="G6" s="8" t="s">
        <v>2</v>
      </c>
      <c r="I6" s="8" t="s">
        <v>3</v>
      </c>
      <c r="J6" s="41"/>
      <c r="M6" s="8" t="s">
        <v>1</v>
      </c>
      <c r="O6" s="8" t="s">
        <v>2</v>
      </c>
      <c r="Q6" s="8" t="s">
        <v>3</v>
      </c>
    </row>
    <row r="7" spans="2:17" ht="15" customHeight="1" x14ac:dyDescent="0.25">
      <c r="B7" s="41"/>
      <c r="C7" s="41"/>
      <c r="D7" s="41"/>
      <c r="E7" s="41"/>
      <c r="F7" s="41"/>
      <c r="G7" s="41"/>
      <c r="H7" s="41"/>
      <c r="I7" s="41"/>
      <c r="J7" s="41"/>
    </row>
    <row r="8" spans="2:17" ht="15" customHeight="1" x14ac:dyDescent="0.25">
      <c r="B8" s="41" t="s">
        <v>43</v>
      </c>
      <c r="C8" s="41"/>
      <c r="D8" s="41"/>
      <c r="E8" s="11">
        <v>200000</v>
      </c>
      <c r="G8" s="41"/>
      <c r="H8" s="41"/>
      <c r="I8" s="41"/>
      <c r="J8" s="41"/>
      <c r="K8" s="41" t="s">
        <v>7</v>
      </c>
      <c r="L8" s="41"/>
      <c r="M8" s="11"/>
    </row>
    <row r="9" spans="2:17" ht="15" customHeight="1" thickBot="1" x14ac:dyDescent="0.3">
      <c r="B9" s="41"/>
      <c r="C9" s="41"/>
      <c r="D9" s="41"/>
      <c r="E9" s="41"/>
      <c r="G9" s="41"/>
      <c r="H9" s="41"/>
      <c r="I9" s="41"/>
      <c r="J9" s="41"/>
      <c r="K9" s="41"/>
      <c r="L9" s="41"/>
      <c r="M9" s="41"/>
    </row>
    <row r="10" spans="2:17" ht="15" customHeight="1" thickBot="1" x14ac:dyDescent="0.3">
      <c r="B10" s="41" t="s">
        <v>54</v>
      </c>
      <c r="C10" s="41"/>
      <c r="D10" s="41"/>
      <c r="E10" s="8">
        <v>0.125</v>
      </c>
      <c r="F10" s="12"/>
      <c r="G10" s="8">
        <v>0.1</v>
      </c>
      <c r="H10" s="41"/>
      <c r="I10" s="8">
        <v>0.125</v>
      </c>
      <c r="J10" s="41"/>
      <c r="K10" s="36" t="s">
        <v>128</v>
      </c>
      <c r="L10" s="46"/>
      <c r="M10" s="45"/>
    </row>
    <row r="11" spans="2:17" ht="15" customHeight="1" thickBot="1" x14ac:dyDescent="0.3">
      <c r="B11" s="41"/>
      <c r="C11" s="41"/>
      <c r="D11" s="41"/>
      <c r="E11" s="41"/>
      <c r="F11" s="41"/>
      <c r="G11" s="41"/>
      <c r="H11" s="41"/>
      <c r="I11" s="41"/>
      <c r="J11" s="41"/>
      <c r="O11" s="40"/>
    </row>
    <row r="12" spans="2:17" ht="15" customHeight="1" thickBot="1" x14ac:dyDescent="0.3">
      <c r="B12" s="6" t="s">
        <v>42</v>
      </c>
      <c r="G12" s="40"/>
      <c r="H12" s="41"/>
      <c r="I12" s="41"/>
      <c r="J12" s="41"/>
      <c r="K12" s="42" t="s">
        <v>55</v>
      </c>
      <c r="L12" s="41"/>
      <c r="M12" s="34">
        <f>E40-M8</f>
        <v>226267.74743000002</v>
      </c>
      <c r="O12" s="11">
        <f>G40-M8</f>
        <v>225267.74743000002</v>
      </c>
      <c r="P12" s="41"/>
      <c r="Q12" s="11">
        <f>I40-M8</f>
        <v>223367.74743000002</v>
      </c>
    </row>
    <row r="13" spans="2:17" ht="15" customHeight="1" x14ac:dyDescent="0.25">
      <c r="B13" s="6" t="s">
        <v>49</v>
      </c>
      <c r="C13" s="41"/>
      <c r="D13" s="41"/>
      <c r="E13" s="40"/>
      <c r="F13" s="41"/>
      <c r="G13" s="41"/>
      <c r="H13" s="41"/>
      <c r="I13" s="41"/>
      <c r="J13" s="41"/>
      <c r="O13" s="40"/>
    </row>
    <row r="14" spans="2:17" ht="15" customHeight="1" x14ac:dyDescent="0.25">
      <c r="B14" s="6" t="s">
        <v>50</v>
      </c>
      <c r="G14" s="40"/>
      <c r="H14" s="41"/>
      <c r="I14" s="41"/>
      <c r="J14" s="41"/>
      <c r="K14" s="40" t="s">
        <v>9</v>
      </c>
      <c r="M14" s="38" t="s">
        <v>59</v>
      </c>
      <c r="O14" s="86"/>
      <c r="P14" s="1"/>
      <c r="Q14" s="86"/>
    </row>
    <row r="15" spans="2:17" ht="15" customHeight="1" x14ac:dyDescent="0.25">
      <c r="B15" s="6"/>
      <c r="C15" s="41"/>
      <c r="D15" s="41"/>
      <c r="E15" s="40"/>
      <c r="F15" s="41"/>
      <c r="G15" s="41"/>
      <c r="H15" s="41"/>
      <c r="I15" s="41"/>
      <c r="J15" s="41"/>
      <c r="O15" s="40"/>
      <c r="Q15" s="40"/>
    </row>
    <row r="16" spans="2:17" ht="15" customHeight="1" x14ac:dyDescent="0.25">
      <c r="B16" s="6" t="s">
        <v>70</v>
      </c>
      <c r="C16" s="41"/>
      <c r="D16" s="41"/>
      <c r="E16" s="40"/>
      <c r="F16" s="9"/>
      <c r="G16" s="40"/>
      <c r="H16" s="41"/>
      <c r="I16" s="41"/>
      <c r="J16" s="41"/>
      <c r="K16" s="41" t="s">
        <v>61</v>
      </c>
      <c r="M16" s="8">
        <v>0.02</v>
      </c>
      <c r="O16" s="40"/>
      <c r="Q16" s="40"/>
    </row>
    <row r="17" spans="2:17" ht="15" customHeight="1" x14ac:dyDescent="0.25">
      <c r="B17" s="6"/>
      <c r="C17" s="41"/>
      <c r="D17" s="41"/>
      <c r="E17" s="40"/>
      <c r="F17" s="9"/>
      <c r="G17" s="40"/>
      <c r="H17" s="41"/>
      <c r="I17" s="41"/>
      <c r="J17" s="41"/>
      <c r="K17" s="40"/>
      <c r="M17" s="40"/>
    </row>
    <row r="18" spans="2:17" ht="15" customHeight="1" x14ac:dyDescent="0.25">
      <c r="B18" s="6" t="s">
        <v>110</v>
      </c>
      <c r="C18" s="41"/>
      <c r="D18" s="41"/>
      <c r="E18" s="40"/>
      <c r="F18" s="9"/>
      <c r="G18" s="40"/>
      <c r="H18" s="41"/>
      <c r="I18" s="41"/>
      <c r="J18" s="41"/>
      <c r="K18" s="40" t="s">
        <v>51</v>
      </c>
      <c r="M18" s="7">
        <v>15</v>
      </c>
    </row>
    <row r="19" spans="2:17" ht="15" customHeight="1" x14ac:dyDescent="0.25">
      <c r="B19" s="6" t="s">
        <v>111</v>
      </c>
      <c r="C19" s="41"/>
      <c r="D19" s="41"/>
      <c r="E19" s="41"/>
      <c r="F19" s="41"/>
      <c r="G19" s="41"/>
      <c r="H19" s="41"/>
      <c r="I19" s="41"/>
      <c r="J19" s="41"/>
      <c r="K19" s="40"/>
      <c r="M19" s="40"/>
    </row>
    <row r="20" spans="2:17" ht="15" customHeight="1" x14ac:dyDescent="0.25">
      <c r="B20" s="5" t="s">
        <v>112</v>
      </c>
      <c r="C20" s="41"/>
      <c r="D20" s="41"/>
      <c r="E20" s="41"/>
      <c r="F20" s="41"/>
      <c r="G20" s="41"/>
      <c r="H20" s="41"/>
      <c r="I20" s="41"/>
      <c r="J20" s="41"/>
      <c r="K20" s="40" t="s">
        <v>53</v>
      </c>
      <c r="M20" s="87">
        <f>M18*12</f>
        <v>180</v>
      </c>
    </row>
    <row r="21" spans="2:17" ht="15" customHeight="1" x14ac:dyDescent="0.25">
      <c r="C21" s="41"/>
      <c r="D21" s="41"/>
      <c r="E21" s="41"/>
      <c r="F21" s="41"/>
      <c r="G21" s="41"/>
      <c r="H21" s="41"/>
      <c r="I21" s="41"/>
      <c r="J21" s="41"/>
    </row>
    <row r="22" spans="2:17" ht="15" customHeight="1" x14ac:dyDescent="0.25">
      <c r="B22" s="41" t="s">
        <v>114</v>
      </c>
      <c r="H22" s="41"/>
      <c r="I22" s="77"/>
      <c r="J22" s="41"/>
      <c r="K22" s="41" t="s">
        <v>10</v>
      </c>
      <c r="M22" s="8">
        <v>0.02</v>
      </c>
    </row>
    <row r="23" spans="2:17" ht="15" customHeight="1" thickBot="1" x14ac:dyDescent="0.3">
      <c r="H23" s="41"/>
      <c r="I23" s="41"/>
      <c r="J23" s="41"/>
      <c r="K23" s="41"/>
    </row>
    <row r="24" spans="2:17" ht="15" customHeight="1" thickBot="1" x14ac:dyDescent="0.3">
      <c r="B24" s="36" t="s">
        <v>4</v>
      </c>
      <c r="C24" s="39"/>
      <c r="D24" s="39"/>
      <c r="E24" s="39"/>
      <c r="F24" s="45"/>
      <c r="G24" s="41"/>
      <c r="H24" s="41"/>
      <c r="I24" s="41"/>
      <c r="J24" s="41"/>
      <c r="K24" s="41" t="s">
        <v>52</v>
      </c>
      <c r="M24" s="35">
        <f>NOMINAL(M22,12)/12</f>
        <v>1.6515813019202241E-3</v>
      </c>
    </row>
    <row r="25" spans="2:17" ht="15" customHeight="1" thickBot="1" x14ac:dyDescent="0.3">
      <c r="B25" s="41"/>
      <c r="C25" s="41"/>
      <c r="D25" s="41"/>
      <c r="E25" s="41"/>
      <c r="G25" s="41"/>
      <c r="K25" s="41"/>
    </row>
    <row r="26" spans="2:17" ht="15" customHeight="1" thickBot="1" x14ac:dyDescent="0.3">
      <c r="K26" s="42" t="s">
        <v>38</v>
      </c>
      <c r="M26" s="37">
        <f>-PMT((1+M22)^(1/12)-1,M18*12,M12)</f>
        <v>1454.1673180968353</v>
      </c>
      <c r="O26" s="37">
        <f>-PMT((1+M22)^(1/12)-1,M18*12,O12)</f>
        <v>1447.7405633577548</v>
      </c>
      <c r="Q26" s="37">
        <f>-PMT((1+M22)^(1/12)-1,M18*12,Q12)</f>
        <v>1435.5297293535016</v>
      </c>
    </row>
    <row r="27" spans="2:17" ht="15" customHeight="1" x14ac:dyDescent="0.25">
      <c r="B27" s="41"/>
      <c r="C27" s="41"/>
      <c r="D27" s="41"/>
      <c r="E27" s="41"/>
      <c r="G27" s="41"/>
    </row>
    <row r="28" spans="2:17" ht="15" customHeight="1" x14ac:dyDescent="0.25">
      <c r="B28" s="41" t="s">
        <v>115</v>
      </c>
      <c r="C28" s="41"/>
      <c r="D28" s="41"/>
      <c r="E28" s="11">
        <v>60000</v>
      </c>
      <c r="G28" s="11">
        <v>35000</v>
      </c>
      <c r="K28" s="41" t="s">
        <v>126</v>
      </c>
      <c r="M28" s="89">
        <f>M22+M16</f>
        <v>0.04</v>
      </c>
      <c r="O28" s="90"/>
      <c r="P28" s="1"/>
      <c r="Q28" s="90"/>
    </row>
    <row r="29" spans="2:17" ht="15" customHeight="1" x14ac:dyDescent="0.25">
      <c r="B29" s="41"/>
      <c r="C29" s="41"/>
      <c r="D29" s="41"/>
      <c r="E29" s="41"/>
      <c r="G29" s="41"/>
    </row>
    <row r="30" spans="2:17" ht="15" customHeight="1" x14ac:dyDescent="0.25">
      <c r="B30" s="41" t="s">
        <v>44</v>
      </c>
      <c r="C30" s="41"/>
      <c r="D30" s="41"/>
      <c r="E30" s="34">
        <f>'Données simulateur'!B9</f>
        <v>21328.032230000001</v>
      </c>
      <c r="G30" s="34">
        <f>'Données simulateur'!B77</f>
        <v>20328.032230000001</v>
      </c>
      <c r="I30" s="34">
        <f>'Données simulateur'!B146</f>
        <v>18428.032230000001</v>
      </c>
      <c r="K30" s="41" t="s">
        <v>60</v>
      </c>
      <c r="M30" s="37">
        <f>-PMT((1+M28)^(1/12)-1,M18*12,M12)</f>
        <v>1665.5781486058356</v>
      </c>
      <c r="O30" s="37">
        <f>-PMT((1+M28)^(1/12)-1,M18*12,O12)</f>
        <v>1658.2170546473558</v>
      </c>
      <c r="Q30" s="37">
        <f>-PMT((1+M28)^(1/12)-1,M18*12,Q12)</f>
        <v>1644.2309761262438</v>
      </c>
    </row>
    <row r="32" spans="2:17" ht="15" customHeight="1" x14ac:dyDescent="0.25">
      <c r="B32" s="41" t="s">
        <v>47</v>
      </c>
      <c r="C32" s="41"/>
      <c r="D32" s="41"/>
      <c r="E32" s="11"/>
      <c r="G32" s="11"/>
      <c r="I32" s="11"/>
    </row>
    <row r="33" spans="2:9" ht="15" customHeight="1" x14ac:dyDescent="0.25">
      <c r="B33" s="41"/>
      <c r="C33" s="41"/>
      <c r="D33" s="41"/>
      <c r="E33" s="41"/>
    </row>
    <row r="34" spans="2:9" ht="15" customHeight="1" x14ac:dyDescent="0.25">
      <c r="B34" s="41" t="s">
        <v>48</v>
      </c>
      <c r="C34" s="41"/>
      <c r="D34" s="41"/>
      <c r="E34" s="11"/>
      <c r="G34" s="11"/>
      <c r="I34" s="11"/>
    </row>
    <row r="35" spans="2:9" ht="15" customHeight="1" x14ac:dyDescent="0.25">
      <c r="B35" s="41"/>
      <c r="C35" s="41"/>
      <c r="D35" s="41"/>
      <c r="E35" s="41"/>
    </row>
    <row r="36" spans="2:9" ht="15" customHeight="1" x14ac:dyDescent="0.25">
      <c r="B36" s="41" t="s">
        <v>5</v>
      </c>
      <c r="C36" s="41"/>
      <c r="D36" s="41"/>
      <c r="E36" s="11"/>
      <c r="G36" s="11"/>
      <c r="I36" s="11"/>
    </row>
    <row r="38" spans="2:9" ht="15" customHeight="1" x14ac:dyDescent="0.25">
      <c r="B38" s="41" t="s">
        <v>45</v>
      </c>
      <c r="E38" s="34">
        <f>'Données simulateur'!B18</f>
        <v>4939.7151999999996</v>
      </c>
      <c r="G38" s="34">
        <f>'Données simulateur'!B86</f>
        <v>4939.7151999999996</v>
      </c>
      <c r="I38" s="34">
        <f>'Données simulateur'!B155</f>
        <v>4939.7151999999996</v>
      </c>
    </row>
    <row r="39" spans="2:9" ht="15" customHeight="1" thickBot="1" x14ac:dyDescent="0.3">
      <c r="B39" s="41"/>
    </row>
    <row r="40" spans="2:9" ht="15" customHeight="1" thickBot="1" x14ac:dyDescent="0.3">
      <c r="B40" s="43" t="s">
        <v>6</v>
      </c>
      <c r="C40" s="47"/>
      <c r="E40" s="37">
        <f>SUM(E8,E30,E32,E34,E36,E38)</f>
        <v>226267.74743000002</v>
      </c>
      <c r="F40" s="56"/>
      <c r="G40" s="37">
        <f>SUM(E8,G30,G32,G34,G36,G38)</f>
        <v>225267.74743000002</v>
      </c>
      <c r="H40" s="56"/>
      <c r="I40" s="37">
        <f>SUM(E8,I30,I32,I34,I36,I38)</f>
        <v>223367.74743000002</v>
      </c>
    </row>
  </sheetData>
  <mergeCells count="1">
    <mergeCell ref="B2:E2"/>
  </mergeCells>
  <conditionalFormatting sqref="E30">
    <cfRule type="expression" dxfId="3" priority="6">
      <formula>$E$30=1815</formula>
    </cfRule>
  </conditionalFormatting>
  <conditionalFormatting sqref="E38">
    <cfRule type="expression" dxfId="2" priority="5">
      <formula>$E$38=1000</formula>
    </cfRule>
  </conditionalFormatting>
  <conditionalFormatting sqref="E40:I40">
    <cfRule type="expression" dxfId="1" priority="4">
      <formula>$E$40=2815</formula>
    </cfRule>
  </conditionalFormatting>
  <conditionalFormatting sqref="M12">
    <cfRule type="expression" dxfId="0" priority="1">
      <formula>$M$12=2815</formula>
    </cfRule>
  </conditionalFormatting>
  <pageMargins left="0.7" right="0.7" top="0.75" bottom="0.75" header="0.3" footer="0.3"/>
  <pageSetup paperSize="9" orientation="portrait" horizontalDpi="300" verticalDpi="300" r:id="rId1"/>
  <ignoredErrors>
    <ignoredError sqref="M14" twoDigitTextYear="1"/>
  </ignoredError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'Données simulateur'!$AQ$2:$AQ$9</xm:f>
          </x14:formula1>
          <xm:sqref>M14</xm:sqref>
        </x14:dataValidation>
        <x14:dataValidation type="list" allowBlank="1" showInputMessage="1" showErrorMessage="1">
          <x14:formula1>
            <xm:f>'Données simulateur'!$AV$2:$AV$23</xm:f>
          </x14:formula1>
          <xm:sqref>M18</xm:sqref>
        </x14:dataValidation>
        <x14:dataValidation type="list" allowBlank="1" showInputMessage="1" showErrorMessage="1">
          <x14:formula1>
            <xm:f>'Données simulateur'!$AW$2:$AW$6</xm:f>
          </x14:formula1>
          <xm:sqref>M16</xm:sqref>
        </x14:dataValidation>
        <x14:dataValidation type="list" allowBlank="1" showInputMessage="1" showErrorMessage="1">
          <x14:formula1>
            <xm:f>'Données simulateur'!$AX$2:$AX$40</xm:f>
          </x14:formula1>
          <xm:sqref>I22</xm:sqref>
        </x14:dataValidation>
        <x14:dataValidation type="list" allowBlank="1" showInputMessage="1" showErrorMessage="1">
          <x14:formula1>
            <xm:f>'Données simulateur'!$AT$2:$AT$3</xm:f>
          </x14:formula1>
          <xm:sqref>E28</xm:sqref>
        </x14:dataValidation>
        <x14:dataValidation type="list" allowBlank="1" showInputMessage="1" showErrorMessage="1">
          <x14:formula1>
            <xm:f>'Données simulateur'!$AU$2:$AU$4</xm:f>
          </x14:formula1>
          <xm:sqref>G28</xm:sqref>
        </x14:dataValidation>
        <x14:dataValidation type="list" allowBlank="1" showInputMessage="1" showErrorMessage="1">
          <x14:formula1>
            <xm:f>'Données simulateur'!$AP$2:$AP$3</xm:f>
          </x14:formula1>
          <xm:sqref>E10</xm:sqref>
        </x14:dataValidation>
        <x14:dataValidation type="list" allowBlank="1" showInputMessage="1" showErrorMessage="1">
          <x14:formula1>
            <xm:f>'Données simulateur'!$AO$2:$AO$4</xm:f>
          </x14:formula1>
          <xm:sqref>G10</xm:sqref>
        </x14:dataValidation>
        <x14:dataValidation type="list" allowBlank="1" showInputMessage="1" showErrorMessage="1">
          <x14:formula1>
            <xm:f>'Données simulateur'!$AN$2:$AN$4</xm:f>
          </x14:formula1>
          <xm:sqref>I10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9" tint="-0.499984740745262"/>
  </sheetPr>
  <dimension ref="A1:AZ203"/>
  <sheetViews>
    <sheetView topLeftCell="A64" workbookViewId="0">
      <selection activeCell="B86" sqref="B86"/>
    </sheetView>
  </sheetViews>
  <sheetFormatPr baseColWidth="10" defaultRowHeight="15" x14ac:dyDescent="0.25"/>
  <cols>
    <col min="1" max="1" width="26.140625" style="33" bestFit="1" customWidth="1"/>
    <col min="2" max="5" width="11.42578125" style="33"/>
    <col min="8" max="8" width="30.140625" bestFit="1" customWidth="1"/>
    <col min="13" max="14" width="11.42578125" style="62"/>
    <col min="15" max="15" width="30.140625" bestFit="1" customWidth="1"/>
    <col min="20" max="20" width="11.42578125" style="62"/>
    <col min="21" max="21" width="30.140625" style="62" bestFit="1" customWidth="1"/>
    <col min="22" max="35" width="11.42578125" style="62"/>
    <col min="44" max="44" width="12.140625" bestFit="1" customWidth="1"/>
    <col min="49" max="49" width="6.140625" style="73" bestFit="1" customWidth="1"/>
    <col min="50" max="50" width="23" bestFit="1" customWidth="1"/>
  </cols>
  <sheetData>
    <row r="1" spans="1:52" ht="18.75" x14ac:dyDescent="0.3">
      <c r="A1" s="128" t="s">
        <v>116</v>
      </c>
      <c r="B1" s="129"/>
      <c r="C1" s="129"/>
      <c r="D1" s="129"/>
      <c r="E1" s="129"/>
      <c r="H1" s="128" t="s">
        <v>116</v>
      </c>
      <c r="I1" s="129"/>
      <c r="J1" s="129"/>
      <c r="K1" s="129"/>
      <c r="L1" s="129"/>
      <c r="M1" s="59"/>
      <c r="N1" s="59"/>
      <c r="T1" s="59"/>
      <c r="U1" s="128" t="s">
        <v>66</v>
      </c>
      <c r="V1" s="129"/>
      <c r="W1" s="129"/>
      <c r="X1" s="129"/>
      <c r="Y1" s="129"/>
      <c r="Z1" s="59"/>
      <c r="AA1" s="59"/>
      <c r="AB1" s="128" t="s">
        <v>65</v>
      </c>
      <c r="AC1" s="129"/>
      <c r="AD1" s="129"/>
      <c r="AE1" s="129"/>
      <c r="AF1" s="129"/>
      <c r="AG1" s="59"/>
      <c r="AH1" s="59"/>
      <c r="AI1" s="63"/>
      <c r="AJ1" s="63"/>
      <c r="AK1" s="63"/>
      <c r="AL1" s="63"/>
      <c r="AM1" s="63"/>
      <c r="AN1" s="48" t="s">
        <v>63</v>
      </c>
      <c r="AO1" s="48" t="s">
        <v>63</v>
      </c>
      <c r="AP1" s="48" t="s">
        <v>63</v>
      </c>
      <c r="AQ1" s="49" t="s">
        <v>46</v>
      </c>
      <c r="AR1" s="49" t="s">
        <v>64</v>
      </c>
      <c r="AS1" s="49" t="s">
        <v>41</v>
      </c>
      <c r="AT1" s="49" t="s">
        <v>18</v>
      </c>
      <c r="AU1" s="49" t="s">
        <v>18</v>
      </c>
      <c r="AV1" s="49" t="s">
        <v>62</v>
      </c>
      <c r="AW1" s="49" t="s">
        <v>69</v>
      </c>
      <c r="AX1" s="49" t="s">
        <v>109</v>
      </c>
      <c r="AY1" s="78"/>
      <c r="AZ1" s="79" t="s">
        <v>120</v>
      </c>
    </row>
    <row r="2" spans="1:52" ht="18.75" x14ac:dyDescent="0.3">
      <c r="A2" s="13" t="s">
        <v>16</v>
      </c>
      <c r="B2" s="14">
        <f>'Achat 1 et unique habitation'!E10</f>
        <v>0.125</v>
      </c>
      <c r="C2" s="15"/>
      <c r="D2" s="16"/>
      <c r="E2" s="16"/>
      <c r="H2" s="13" t="s">
        <v>16</v>
      </c>
      <c r="I2" s="14">
        <f>'Achat 1 et unique habitation'!L10</f>
        <v>0</v>
      </c>
      <c r="J2" s="15"/>
      <c r="K2" s="16"/>
      <c r="L2" s="16"/>
      <c r="M2" s="19"/>
      <c r="N2" s="19"/>
      <c r="T2" s="19"/>
      <c r="U2" s="13" t="s">
        <v>16</v>
      </c>
      <c r="V2" s="14">
        <f>'Achat 1 et unique habitation'!U8</f>
        <v>0</v>
      </c>
      <c r="W2" s="15"/>
      <c r="X2" s="16"/>
      <c r="Y2" s="16"/>
      <c r="Z2" s="19"/>
      <c r="AA2" s="19"/>
      <c r="AB2" s="67" t="s">
        <v>67</v>
      </c>
      <c r="AC2" s="19"/>
      <c r="AD2" s="19"/>
      <c r="AE2" s="19"/>
      <c r="AF2" s="68" t="e">
        <f>#REF!</f>
        <v>#REF!</v>
      </c>
      <c r="AG2" s="19"/>
      <c r="AH2" s="19"/>
      <c r="AI2" s="64">
        <v>25000</v>
      </c>
      <c r="AJ2" s="65">
        <v>391.1</v>
      </c>
      <c r="AK2" s="65"/>
      <c r="AL2" s="64">
        <v>25000</v>
      </c>
      <c r="AM2" s="65">
        <v>391.1</v>
      </c>
      <c r="AN2" s="65"/>
      <c r="AO2" s="65"/>
      <c r="AP2" s="48"/>
      <c r="AQ2" s="49"/>
      <c r="AR2" s="49"/>
      <c r="AS2" s="49"/>
      <c r="AT2" s="49"/>
      <c r="AU2" s="49"/>
      <c r="AV2" s="49"/>
      <c r="AX2" s="76"/>
      <c r="AY2" s="78"/>
      <c r="AZ2" s="79"/>
    </row>
    <row r="3" spans="1:52" ht="15.75" x14ac:dyDescent="0.25">
      <c r="A3" s="17" t="s">
        <v>17</v>
      </c>
      <c r="B3" s="18">
        <f>'Achat 1 et unique habitation'!E8</f>
        <v>200000</v>
      </c>
      <c r="C3" s="19"/>
      <c r="D3" s="16"/>
      <c r="E3" s="16"/>
      <c r="H3" s="17" t="s">
        <v>17</v>
      </c>
      <c r="I3" s="18">
        <f>'Achat 1 et unique habitation'!L8</f>
        <v>0</v>
      </c>
      <c r="J3" s="19"/>
      <c r="K3" s="16"/>
      <c r="L3" s="16"/>
      <c r="M3" s="19"/>
      <c r="N3" s="19"/>
      <c r="T3" s="19"/>
      <c r="U3" s="17" t="s">
        <v>17</v>
      </c>
      <c r="V3" s="18" t="e">
        <f>#REF!</f>
        <v>#REF!</v>
      </c>
      <c r="W3" s="19"/>
      <c r="X3" s="16"/>
      <c r="Y3" s="16"/>
      <c r="Z3" s="19"/>
      <c r="AA3" s="19"/>
      <c r="AB3" s="19"/>
      <c r="AC3" s="19"/>
      <c r="AD3" s="19"/>
      <c r="AE3" s="19"/>
      <c r="AF3" s="19"/>
      <c r="AG3" s="19"/>
      <c r="AH3" s="19"/>
      <c r="AI3" s="64">
        <v>30000</v>
      </c>
      <c r="AJ3" s="65">
        <v>423.98</v>
      </c>
      <c r="AK3" s="65"/>
      <c r="AL3" s="64">
        <v>30000</v>
      </c>
      <c r="AM3" s="65">
        <v>423.98</v>
      </c>
      <c r="AN3" s="53">
        <v>0.125</v>
      </c>
      <c r="AO3" s="53">
        <v>0.1</v>
      </c>
      <c r="AP3" s="53">
        <v>0.125</v>
      </c>
      <c r="AQ3" s="50" t="s">
        <v>58</v>
      </c>
      <c r="AR3" s="51" t="s">
        <v>39</v>
      </c>
      <c r="AS3" s="52" t="s">
        <v>1</v>
      </c>
      <c r="AT3" s="49">
        <v>60000</v>
      </c>
      <c r="AU3" s="49">
        <v>25000</v>
      </c>
      <c r="AV3" s="49">
        <v>10</v>
      </c>
      <c r="AW3" s="88">
        <v>0.02</v>
      </c>
      <c r="AX3" s="75" t="s">
        <v>71</v>
      </c>
      <c r="AY3" s="78" t="s">
        <v>121</v>
      </c>
      <c r="AZ3" s="80">
        <f>'Achat 1 et unique habitation'!E8</f>
        <v>200000</v>
      </c>
    </row>
    <row r="4" spans="1:52" ht="15.75" x14ac:dyDescent="0.25">
      <c r="A4" s="20" t="s">
        <v>18</v>
      </c>
      <c r="B4" s="18">
        <f>'Achat 1 et unique habitation'!E28</f>
        <v>60000</v>
      </c>
      <c r="C4" s="19"/>
      <c r="D4" s="16"/>
      <c r="E4" s="16"/>
      <c r="H4" s="21" t="s">
        <v>19</v>
      </c>
      <c r="I4" s="22" t="e">
        <f>(I3-#REF!)*I2</f>
        <v>#REF!</v>
      </c>
      <c r="J4" s="19"/>
      <c r="K4" s="16"/>
      <c r="L4" s="16"/>
      <c r="M4" s="19"/>
      <c r="N4" s="19"/>
      <c r="T4" s="19"/>
      <c r="U4" s="20" t="s">
        <v>18</v>
      </c>
      <c r="V4" s="18">
        <f>'Achat 1 et unique habitation'!V18</f>
        <v>0</v>
      </c>
      <c r="W4" s="19"/>
      <c r="X4" s="16"/>
      <c r="Y4" s="16"/>
      <c r="Z4" s="19"/>
      <c r="AA4" s="19"/>
      <c r="AB4" s="128" t="s">
        <v>68</v>
      </c>
      <c r="AC4" s="128"/>
      <c r="AD4" s="128"/>
      <c r="AE4" s="128"/>
      <c r="AF4" s="128"/>
      <c r="AG4" s="19"/>
      <c r="AH4" s="19"/>
      <c r="AI4" s="64">
        <v>40000</v>
      </c>
      <c r="AJ4" s="65">
        <v>431.08</v>
      </c>
      <c r="AK4" s="65"/>
      <c r="AL4" s="64">
        <v>40000</v>
      </c>
      <c r="AM4" s="65">
        <v>431.08</v>
      </c>
      <c r="AN4" s="74">
        <v>0.06</v>
      </c>
      <c r="AO4" s="74">
        <v>0.05</v>
      </c>
      <c r="AQ4" s="50" t="s">
        <v>59</v>
      </c>
      <c r="AR4" s="51" t="s">
        <v>40</v>
      </c>
      <c r="AS4" s="52" t="s">
        <v>3</v>
      </c>
      <c r="AT4" s="52"/>
      <c r="AU4" s="49">
        <v>35000</v>
      </c>
      <c r="AV4" s="49">
        <v>11</v>
      </c>
      <c r="AW4" s="88">
        <v>0.03</v>
      </c>
      <c r="AX4" s="75" t="s">
        <v>72</v>
      </c>
      <c r="AY4" s="78"/>
      <c r="AZ4" s="81"/>
    </row>
    <row r="5" spans="1:52" ht="15.75" x14ac:dyDescent="0.25">
      <c r="A5" s="21" t="s">
        <v>19</v>
      </c>
      <c r="B5" s="22">
        <f>(B3-B4)*B2</f>
        <v>17500</v>
      </c>
      <c r="C5" s="23"/>
      <c r="D5" s="16"/>
      <c r="E5" s="16"/>
      <c r="H5" s="21" t="s">
        <v>20</v>
      </c>
      <c r="I5" s="24">
        <f>L41</f>
        <v>0</v>
      </c>
      <c r="J5" s="23"/>
      <c r="K5" s="16"/>
      <c r="L5" s="16"/>
      <c r="M5" s="19"/>
      <c r="N5" s="19"/>
      <c r="T5" s="19"/>
      <c r="U5" s="21" t="s">
        <v>19</v>
      </c>
      <c r="V5" s="22" t="e">
        <f>(V3-V4)*V2</f>
        <v>#REF!</v>
      </c>
      <c r="W5" s="23"/>
      <c r="X5" s="16"/>
      <c r="Y5" s="16"/>
      <c r="Z5" s="19"/>
      <c r="AA5" s="19"/>
      <c r="AB5" s="66" t="s">
        <v>31</v>
      </c>
      <c r="AC5" s="66"/>
      <c r="AD5" s="66" t="s">
        <v>32</v>
      </c>
      <c r="AE5" s="66" t="s">
        <v>33</v>
      </c>
      <c r="AF5" s="66" t="s">
        <v>34</v>
      </c>
      <c r="AG5" s="19"/>
      <c r="AH5" s="19"/>
      <c r="AI5" s="64">
        <v>50000</v>
      </c>
      <c r="AJ5" s="65">
        <v>453.29</v>
      </c>
      <c r="AK5" s="65"/>
      <c r="AL5" s="64">
        <v>50000</v>
      </c>
      <c r="AM5" s="65">
        <v>453.29</v>
      </c>
      <c r="AN5" s="65"/>
      <c r="AO5" s="65"/>
      <c r="AP5" s="74"/>
      <c r="AQ5" s="50" t="s">
        <v>11</v>
      </c>
      <c r="AR5" s="49"/>
      <c r="AS5" s="52" t="s">
        <v>2</v>
      </c>
      <c r="AT5" s="52"/>
      <c r="AU5" s="49"/>
      <c r="AV5" s="49">
        <v>12</v>
      </c>
      <c r="AW5" s="88">
        <v>0.04</v>
      </c>
      <c r="AX5" s="75" t="s">
        <v>73</v>
      </c>
      <c r="AY5" s="78" t="s">
        <v>122</v>
      </c>
      <c r="AZ5" s="81">
        <v>160000</v>
      </c>
    </row>
    <row r="6" spans="1:52" ht="15.75" x14ac:dyDescent="0.25">
      <c r="A6" s="21" t="s">
        <v>20</v>
      </c>
      <c r="B6" s="24">
        <f>E42</f>
        <v>2163.663</v>
      </c>
      <c r="C6" s="23"/>
      <c r="D6" s="16"/>
      <c r="E6" s="16"/>
      <c r="H6" s="21" t="s">
        <v>21</v>
      </c>
      <c r="I6" s="24">
        <v>1000</v>
      </c>
      <c r="J6" s="23"/>
      <c r="K6" s="16"/>
      <c r="L6" s="16"/>
      <c r="M6" s="19"/>
      <c r="N6" s="19"/>
      <c r="T6" s="19"/>
      <c r="U6" s="21" t="s">
        <v>20</v>
      </c>
      <c r="V6" s="24" t="e">
        <f>Y42</f>
        <v>#REF!</v>
      </c>
      <c r="W6" s="23"/>
      <c r="X6" s="16"/>
      <c r="Y6" s="16"/>
      <c r="Z6" s="19"/>
      <c r="AA6" s="19"/>
      <c r="AB6" s="20">
        <v>0</v>
      </c>
      <c r="AC6" s="20">
        <v>7500</v>
      </c>
      <c r="AD6" s="21">
        <f>AC6-AB6</f>
        <v>7500</v>
      </c>
      <c r="AE6" s="20">
        <v>3.9899999999999998E-2</v>
      </c>
      <c r="AF6" s="29" t="e">
        <f>IF(AF2&lt;=AC6,AF2*AE6)</f>
        <v>#REF!</v>
      </c>
      <c r="AG6" s="19"/>
      <c r="AH6" s="19"/>
      <c r="AI6" s="64">
        <v>60000</v>
      </c>
      <c r="AJ6" s="65">
        <v>464.69</v>
      </c>
      <c r="AK6" s="65"/>
      <c r="AL6" s="64">
        <v>60000</v>
      </c>
      <c r="AM6" s="65">
        <v>464.69</v>
      </c>
      <c r="AN6" s="65"/>
      <c r="AO6" s="65"/>
      <c r="AP6" s="74"/>
      <c r="AQ6" s="50" t="s">
        <v>12</v>
      </c>
      <c r="AR6" s="49"/>
      <c r="AS6" s="49"/>
      <c r="AT6" s="49"/>
      <c r="AU6" s="49"/>
      <c r="AV6" s="49">
        <v>13</v>
      </c>
      <c r="AW6" s="88">
        <v>0.05</v>
      </c>
      <c r="AX6" s="75" t="s">
        <v>74</v>
      </c>
      <c r="AY6" s="78"/>
      <c r="AZ6" s="81"/>
    </row>
    <row r="7" spans="1:52" ht="15.75" x14ac:dyDescent="0.25">
      <c r="A7" s="21" t="s">
        <v>21</v>
      </c>
      <c r="B7" s="24">
        <v>1000</v>
      </c>
      <c r="C7" s="23"/>
      <c r="D7" s="16"/>
      <c r="E7" s="16"/>
      <c r="H7" s="21" t="s">
        <v>22</v>
      </c>
      <c r="I7" s="24">
        <f>(I5+I6)*21%</f>
        <v>210</v>
      </c>
      <c r="J7" s="23"/>
      <c r="K7" s="16"/>
      <c r="L7" s="16"/>
      <c r="M7" s="19"/>
      <c r="N7" s="19"/>
      <c r="T7" s="19"/>
      <c r="U7" s="21" t="s">
        <v>21</v>
      </c>
      <c r="V7" s="24">
        <v>0</v>
      </c>
      <c r="W7" s="23"/>
      <c r="X7" s="16"/>
      <c r="Y7" s="16"/>
      <c r="Z7" s="19"/>
      <c r="AA7" s="19"/>
      <c r="AB7" s="21"/>
      <c r="AC7" s="20" t="s">
        <v>35</v>
      </c>
      <c r="AD7" s="30">
        <f>AC3-AD6</f>
        <v>-7500</v>
      </c>
      <c r="AE7" s="20"/>
      <c r="AF7" s="29" t="e">
        <f>IF(AF2&gt;AC6,AD6*AE6)</f>
        <v>#REF!</v>
      </c>
      <c r="AG7" s="19"/>
      <c r="AH7" s="19"/>
      <c r="AI7" s="64">
        <v>70000</v>
      </c>
      <c r="AJ7" s="65">
        <v>472.58</v>
      </c>
      <c r="AK7" s="65"/>
      <c r="AL7" s="64">
        <v>70000</v>
      </c>
      <c r="AM7" s="65">
        <v>472.58</v>
      </c>
      <c r="AN7" s="65"/>
      <c r="AO7" s="65"/>
      <c r="AP7" s="48"/>
      <c r="AQ7" s="50" t="s">
        <v>14</v>
      </c>
      <c r="AR7" s="49"/>
      <c r="AS7" s="49"/>
      <c r="AT7" s="49"/>
      <c r="AU7" s="49"/>
      <c r="AV7" s="49">
        <v>14</v>
      </c>
      <c r="AX7" s="75" t="s">
        <v>75</v>
      </c>
      <c r="AY7" s="78" t="s">
        <v>123</v>
      </c>
      <c r="AZ7" s="82">
        <v>0.06</v>
      </c>
    </row>
    <row r="8" spans="1:52" ht="15.75" x14ac:dyDescent="0.25">
      <c r="A8" s="21" t="s">
        <v>22</v>
      </c>
      <c r="B8" s="24">
        <f>(B6+B7)*21%</f>
        <v>664.36923000000002</v>
      </c>
      <c r="C8" s="23"/>
      <c r="D8" s="16"/>
      <c r="E8" s="16"/>
      <c r="H8" s="25" t="s">
        <v>23</v>
      </c>
      <c r="I8" s="26" t="e">
        <f>I4+I5+I6+I7</f>
        <v>#REF!</v>
      </c>
      <c r="J8" s="23"/>
      <c r="K8" s="16"/>
      <c r="L8" s="16"/>
      <c r="M8" s="19"/>
      <c r="N8" s="19"/>
      <c r="T8" s="19"/>
      <c r="U8" s="21" t="s">
        <v>22</v>
      </c>
      <c r="V8" s="24">
        <v>0</v>
      </c>
      <c r="W8" s="23"/>
      <c r="X8" s="16"/>
      <c r="Y8" s="16"/>
      <c r="Z8" s="19"/>
      <c r="AA8" s="19"/>
      <c r="AB8" s="21"/>
      <c r="AC8" s="21"/>
      <c r="AD8" s="30"/>
      <c r="AE8" s="20"/>
      <c r="AF8" s="29"/>
      <c r="AG8" s="19"/>
      <c r="AH8" s="19"/>
      <c r="AI8" s="64">
        <v>80000</v>
      </c>
      <c r="AJ8" s="65">
        <v>496.1</v>
      </c>
      <c r="AK8" s="65"/>
      <c r="AL8" s="64">
        <v>80000</v>
      </c>
      <c r="AM8" s="65">
        <v>496.1</v>
      </c>
      <c r="AN8" s="65"/>
      <c r="AO8" s="65"/>
      <c r="AP8" s="49"/>
      <c r="AQ8" s="50" t="s">
        <v>13</v>
      </c>
      <c r="AR8" s="49"/>
      <c r="AS8" s="49"/>
      <c r="AT8" s="49"/>
      <c r="AU8" s="49"/>
      <c r="AV8" s="49">
        <v>15</v>
      </c>
      <c r="AX8" s="75" t="s">
        <v>76</v>
      </c>
      <c r="AY8" s="78"/>
      <c r="AZ8" s="82"/>
    </row>
    <row r="9" spans="1:52" ht="15.75" x14ac:dyDescent="0.25">
      <c r="A9" s="25" t="s">
        <v>23</v>
      </c>
      <c r="B9" s="26">
        <f>B5+B6+B7+B8</f>
        <v>21328.032230000001</v>
      </c>
      <c r="C9" s="27"/>
      <c r="D9" s="16"/>
      <c r="E9" s="16"/>
      <c r="H9" s="16"/>
      <c r="I9" s="16"/>
      <c r="J9" s="27"/>
      <c r="K9" s="16"/>
      <c r="L9" s="16"/>
      <c r="M9" s="19"/>
      <c r="N9" s="19"/>
      <c r="T9" s="19"/>
      <c r="U9" s="25" t="s">
        <v>23</v>
      </c>
      <c r="V9" s="26" t="e">
        <f>V5+V6+V7+V8</f>
        <v>#REF!</v>
      </c>
      <c r="W9" s="27"/>
      <c r="X9" s="16"/>
      <c r="Y9" s="16"/>
      <c r="Z9" s="19"/>
      <c r="AA9" s="19"/>
      <c r="AB9" s="20">
        <v>7500</v>
      </c>
      <c r="AC9" s="20">
        <v>17500</v>
      </c>
      <c r="AD9" s="21">
        <f>AC9-AB9</f>
        <v>10000</v>
      </c>
      <c r="AE9" s="20">
        <v>3.4200000000000001E-2</v>
      </c>
      <c r="AF9" s="29" t="e">
        <f>IF(AND(AF2&gt;AB9,AF2&lt;=AC9),AD7*AE9)</f>
        <v>#REF!</v>
      </c>
      <c r="AG9" s="19"/>
      <c r="AH9" s="19"/>
      <c r="AI9" s="64">
        <v>90000</v>
      </c>
      <c r="AJ9" s="65">
        <v>501.8</v>
      </c>
      <c r="AK9" s="65"/>
      <c r="AL9" s="64">
        <v>90000</v>
      </c>
      <c r="AM9" s="65">
        <v>501.8</v>
      </c>
      <c r="AN9" s="65"/>
      <c r="AO9" s="65"/>
      <c r="AP9" s="49"/>
      <c r="AQ9" s="50" t="s">
        <v>15</v>
      </c>
      <c r="AR9" s="49"/>
      <c r="AS9" s="49"/>
      <c r="AT9" s="49"/>
      <c r="AU9" s="49"/>
      <c r="AV9" s="49">
        <v>16</v>
      </c>
      <c r="AX9" s="75" t="s">
        <v>77</v>
      </c>
      <c r="AY9" s="78" t="s">
        <v>124</v>
      </c>
      <c r="AZ9" s="83">
        <v>0.125</v>
      </c>
    </row>
    <row r="10" spans="1:52" ht="15.75" x14ac:dyDescent="0.25">
      <c r="A10" s="16"/>
      <c r="B10" s="16"/>
      <c r="C10" s="19"/>
      <c r="D10" s="16"/>
      <c r="E10" s="16"/>
      <c r="H10" s="17" t="s">
        <v>24</v>
      </c>
      <c r="I10" s="18">
        <f>'Achat 1 et unique habitation'!L8</f>
        <v>0</v>
      </c>
      <c r="J10" s="19"/>
      <c r="K10" s="16"/>
      <c r="L10" s="16"/>
      <c r="M10" s="19"/>
      <c r="N10" s="19"/>
      <c r="T10" s="19"/>
      <c r="U10" s="16"/>
      <c r="V10" s="16"/>
      <c r="W10" s="19"/>
      <c r="X10" s="16"/>
      <c r="Y10" s="16"/>
      <c r="Z10" s="19"/>
      <c r="AA10" s="19"/>
      <c r="AB10" s="21"/>
      <c r="AC10" s="20" t="s">
        <v>35</v>
      </c>
      <c r="AD10" s="30">
        <f>AD7-AD9</f>
        <v>-17500</v>
      </c>
      <c r="AE10" s="20"/>
      <c r="AF10" s="29" t="e">
        <f>IF(AF2&gt;AC9,AD9*AE9)</f>
        <v>#REF!</v>
      </c>
      <c r="AG10" s="19"/>
      <c r="AH10" s="19"/>
      <c r="AI10" s="64">
        <v>100000</v>
      </c>
      <c r="AJ10" s="65">
        <v>525.33000000000004</v>
      </c>
      <c r="AK10" s="65"/>
      <c r="AL10" s="64">
        <v>100000</v>
      </c>
      <c r="AM10" s="65">
        <v>525.33000000000004</v>
      </c>
      <c r="AN10" s="65"/>
      <c r="AO10" s="65"/>
      <c r="AP10" s="49"/>
      <c r="AQ10" s="49"/>
      <c r="AR10" s="49"/>
      <c r="AS10" s="49"/>
      <c r="AT10" s="49"/>
      <c r="AU10" s="49"/>
      <c r="AV10" s="49">
        <v>17</v>
      </c>
      <c r="AX10" s="75" t="s">
        <v>78</v>
      </c>
      <c r="AY10" s="78"/>
      <c r="AZ10" s="78"/>
    </row>
    <row r="11" spans="1:52" ht="15.75" x14ac:dyDescent="0.25">
      <c r="A11" s="17" t="s">
        <v>24</v>
      </c>
      <c r="B11" s="18">
        <f>'Achat 1 et unique habitation'!E8</f>
        <v>200000</v>
      </c>
      <c r="C11" s="19"/>
      <c r="D11" s="16"/>
      <c r="E11" s="16"/>
      <c r="H11" s="20" t="s">
        <v>25</v>
      </c>
      <c r="I11" s="24">
        <f>(I10*0.01)*1.1</f>
        <v>0</v>
      </c>
      <c r="J11" s="19"/>
      <c r="K11" s="16"/>
      <c r="L11" s="16"/>
      <c r="M11" s="19"/>
      <c r="N11" s="19"/>
      <c r="T11" s="19"/>
      <c r="U11" s="17" t="s">
        <v>24</v>
      </c>
      <c r="V11" s="18" t="e">
        <f>#REF!+#REF!</f>
        <v>#REF!</v>
      </c>
      <c r="W11" s="19"/>
      <c r="X11" s="16"/>
      <c r="Y11" s="16"/>
      <c r="Z11" s="19"/>
      <c r="AA11" s="19"/>
      <c r="AB11" s="21"/>
      <c r="AC11" s="21"/>
      <c r="AD11" s="30"/>
      <c r="AE11" s="20"/>
      <c r="AF11" s="29"/>
      <c r="AG11" s="19"/>
      <c r="AH11" s="19"/>
      <c r="AI11" s="64">
        <v>125000</v>
      </c>
      <c r="AJ11" s="65">
        <v>557.97</v>
      </c>
      <c r="AK11" s="65"/>
      <c r="AL11" s="64">
        <v>125000</v>
      </c>
      <c r="AM11" s="65">
        <v>557.97</v>
      </c>
      <c r="AN11" s="65"/>
      <c r="AO11" s="65"/>
      <c r="AP11" s="49"/>
      <c r="AQ11" s="49"/>
      <c r="AR11" s="49"/>
      <c r="AS11" s="49"/>
      <c r="AT11" s="49"/>
      <c r="AU11" s="49"/>
      <c r="AV11" s="49">
        <v>18</v>
      </c>
      <c r="AX11" s="75" t="s">
        <v>79</v>
      </c>
      <c r="AY11" s="84" t="s">
        <v>125</v>
      </c>
      <c r="AZ11" s="85">
        <f>IF(AZ3&lt;=AZ5,AZ3*AZ7,(AZ5*AZ7)+(AZ3-AZ5)*AZ9)</f>
        <v>14600</v>
      </c>
    </row>
    <row r="12" spans="1:52" x14ac:dyDescent="0.25">
      <c r="A12" s="20" t="s">
        <v>25</v>
      </c>
      <c r="B12" s="24">
        <f>(B11*0.01)*1.1</f>
        <v>2200</v>
      </c>
      <c r="C12" s="16"/>
      <c r="D12" s="16"/>
      <c r="E12" s="16"/>
      <c r="H12" s="20" t="s">
        <v>26</v>
      </c>
      <c r="I12" s="24">
        <f>L65</f>
        <v>0</v>
      </c>
      <c r="J12" s="16"/>
      <c r="K12" s="16"/>
      <c r="L12" s="16"/>
      <c r="M12" s="19"/>
      <c r="N12" s="19"/>
      <c r="T12" s="19"/>
      <c r="U12" s="20" t="s">
        <v>25</v>
      </c>
      <c r="V12" s="24" t="e">
        <f>(V11*0.01)*1.1</f>
        <v>#REF!</v>
      </c>
      <c r="W12" s="16"/>
      <c r="X12" s="16"/>
      <c r="Y12" s="16"/>
      <c r="Z12" s="19"/>
      <c r="AA12" s="19"/>
      <c r="AB12" s="20">
        <v>17500</v>
      </c>
      <c r="AC12" s="20">
        <v>30000</v>
      </c>
      <c r="AD12" s="21">
        <f>AC12-AB12</f>
        <v>12500</v>
      </c>
      <c r="AE12" s="20">
        <v>2.2800000000000001E-2</v>
      </c>
      <c r="AF12" s="29" t="e">
        <f>IF(AND(AF2&gt;AB12,AF2&lt;=AC12),AD10*AE12)</f>
        <v>#REF!</v>
      </c>
      <c r="AG12" s="19"/>
      <c r="AH12" s="19"/>
      <c r="AI12" s="64">
        <v>150000</v>
      </c>
      <c r="AJ12" s="65">
        <v>589.47</v>
      </c>
      <c r="AK12" s="65"/>
      <c r="AL12" s="64">
        <v>150000</v>
      </c>
      <c r="AM12" s="65">
        <v>589.47</v>
      </c>
      <c r="AN12" s="65"/>
      <c r="AO12" s="65"/>
      <c r="AP12" s="49"/>
      <c r="AQ12" s="49"/>
      <c r="AR12" s="49"/>
      <c r="AS12" s="49"/>
      <c r="AT12" s="49"/>
      <c r="AU12" s="49"/>
      <c r="AV12" s="49">
        <v>19</v>
      </c>
      <c r="AX12" s="75" t="s">
        <v>80</v>
      </c>
    </row>
    <row r="13" spans="1:52" x14ac:dyDescent="0.25">
      <c r="A13" s="20" t="s">
        <v>26</v>
      </c>
      <c r="B13" s="24">
        <f>E66</f>
        <v>879.71519999999987</v>
      </c>
      <c r="C13" s="16"/>
      <c r="D13" s="16"/>
      <c r="E13" s="16"/>
      <c r="H13" s="20" t="s">
        <v>21</v>
      </c>
      <c r="I13" s="24">
        <v>1000</v>
      </c>
      <c r="J13" s="16"/>
      <c r="K13" s="16"/>
      <c r="L13" s="16"/>
      <c r="M13" s="19"/>
      <c r="N13" s="19"/>
      <c r="T13" s="19"/>
      <c r="U13" s="20" t="s">
        <v>26</v>
      </c>
      <c r="V13" s="24" t="e">
        <f>Y66</f>
        <v>#REF!</v>
      </c>
      <c r="W13" s="16"/>
      <c r="X13" s="16"/>
      <c r="Y13" s="16"/>
      <c r="Z13" s="19"/>
      <c r="AA13" s="19"/>
      <c r="AB13" s="21"/>
      <c r="AC13" s="20" t="s">
        <v>35</v>
      </c>
      <c r="AD13" s="30">
        <f>AD10-AD12</f>
        <v>-30000</v>
      </c>
      <c r="AE13" s="20"/>
      <c r="AF13" s="29" t="e">
        <f>IF(AF2&gt;AC12,AD12*AE12)</f>
        <v>#REF!</v>
      </c>
      <c r="AG13" s="19"/>
      <c r="AH13" s="19"/>
      <c r="AI13" s="64">
        <v>175000</v>
      </c>
      <c r="AJ13" s="65">
        <v>623.26</v>
      </c>
      <c r="AK13" s="65"/>
      <c r="AL13" s="64">
        <v>175000</v>
      </c>
      <c r="AM13" s="65">
        <v>623.26</v>
      </c>
      <c r="AN13" s="65"/>
      <c r="AO13" s="65"/>
      <c r="AP13" s="49"/>
      <c r="AQ13" s="49"/>
      <c r="AR13" s="49"/>
      <c r="AS13" s="49"/>
      <c r="AT13" s="49"/>
      <c r="AU13" s="49"/>
      <c r="AV13" s="49">
        <v>20</v>
      </c>
      <c r="AX13" s="75" t="s">
        <v>81</v>
      </c>
    </row>
    <row r="14" spans="1:52" x14ac:dyDescent="0.25">
      <c r="A14" s="20" t="s">
        <v>21</v>
      </c>
      <c r="B14" s="24">
        <v>1000</v>
      </c>
      <c r="C14" s="16"/>
      <c r="D14" s="16"/>
      <c r="E14" s="16"/>
      <c r="H14" s="20" t="s">
        <v>27</v>
      </c>
      <c r="I14" s="24">
        <f>I11*0.003*100</f>
        <v>0</v>
      </c>
      <c r="J14" s="16"/>
      <c r="K14" s="16"/>
      <c r="L14" s="16"/>
      <c r="M14" s="19"/>
      <c r="N14" s="19"/>
      <c r="T14" s="19"/>
      <c r="U14" s="20" t="s">
        <v>21</v>
      </c>
      <c r="V14" s="24">
        <v>1000</v>
      </c>
      <c r="W14" s="16"/>
      <c r="X14" s="16"/>
      <c r="Y14" s="16"/>
      <c r="Z14" s="19"/>
      <c r="AA14" s="19"/>
      <c r="AB14" s="21"/>
      <c r="AC14" s="21"/>
      <c r="AD14" s="30"/>
      <c r="AE14" s="20"/>
      <c r="AF14" s="29"/>
      <c r="AG14" s="19"/>
      <c r="AH14" s="19"/>
      <c r="AI14" s="64">
        <v>200000</v>
      </c>
      <c r="AJ14" s="65">
        <v>654.66999999999996</v>
      </c>
      <c r="AK14" s="65"/>
      <c r="AL14" s="64">
        <v>200000</v>
      </c>
      <c r="AM14" s="65">
        <v>654.66999999999996</v>
      </c>
      <c r="AN14" s="65"/>
      <c r="AO14" s="65"/>
      <c r="AP14" s="49"/>
      <c r="AQ14" s="49"/>
      <c r="AR14" s="49"/>
      <c r="AS14" s="49"/>
      <c r="AT14" s="49"/>
      <c r="AU14" s="49"/>
      <c r="AV14" s="49">
        <v>21</v>
      </c>
      <c r="AX14" s="75" t="s">
        <v>82</v>
      </c>
    </row>
    <row r="15" spans="1:52" x14ac:dyDescent="0.25">
      <c r="A15" s="20" t="s">
        <v>27</v>
      </c>
      <c r="B15" s="24">
        <f>B12*0.003*100</f>
        <v>660</v>
      </c>
      <c r="C15" s="16"/>
      <c r="D15" s="16"/>
      <c r="E15" s="16"/>
      <c r="H15" s="20" t="s">
        <v>28</v>
      </c>
      <c r="I15" s="24">
        <f>I10*0.001</f>
        <v>0</v>
      </c>
      <c r="J15" s="16"/>
      <c r="K15" s="16"/>
      <c r="L15" s="16"/>
      <c r="M15" s="19"/>
      <c r="N15" s="19"/>
      <c r="T15" s="19"/>
      <c r="U15" s="20" t="s">
        <v>27</v>
      </c>
      <c r="V15" s="24" t="e">
        <f>V12*0.003*100</f>
        <v>#REF!</v>
      </c>
      <c r="W15" s="16"/>
      <c r="X15" s="16"/>
      <c r="Y15" s="16"/>
      <c r="Z15" s="19"/>
      <c r="AA15" s="19"/>
      <c r="AB15" s="21">
        <v>30000</v>
      </c>
      <c r="AC15" s="21">
        <v>45495</v>
      </c>
      <c r="AD15" s="21">
        <f>AC15-AB15</f>
        <v>15495</v>
      </c>
      <c r="AE15" s="20">
        <v>1.7100000000000001E-2</v>
      </c>
      <c r="AF15" s="29" t="e">
        <f>IF(AND(AF2&gt;AB15,AF2&lt;=AC15),AD13*AE15)</f>
        <v>#REF!</v>
      </c>
      <c r="AG15" s="19"/>
      <c r="AH15" s="19"/>
      <c r="AI15" s="64">
        <v>250000</v>
      </c>
      <c r="AJ15" s="65">
        <v>697.66</v>
      </c>
      <c r="AK15" s="65"/>
      <c r="AL15" s="64">
        <v>250000</v>
      </c>
      <c r="AM15" s="65">
        <v>697.66</v>
      </c>
      <c r="AN15" s="65"/>
      <c r="AO15" s="65"/>
      <c r="AP15" s="49"/>
      <c r="AQ15" s="49"/>
      <c r="AR15" s="49"/>
      <c r="AS15" s="49"/>
      <c r="AT15" s="49"/>
      <c r="AU15" s="49"/>
      <c r="AV15" s="49">
        <v>22</v>
      </c>
      <c r="AX15" s="75" t="s">
        <v>83</v>
      </c>
    </row>
    <row r="16" spans="1:52" x14ac:dyDescent="0.25">
      <c r="A16" s="20" t="s">
        <v>28</v>
      </c>
      <c r="B16" s="24">
        <f>B11*0.001</f>
        <v>200</v>
      </c>
      <c r="C16" s="16"/>
      <c r="D16" s="16"/>
      <c r="E16" s="16"/>
      <c r="H16" s="20" t="s">
        <v>22</v>
      </c>
      <c r="I16" s="24">
        <f>(I12+I13)*21%</f>
        <v>210</v>
      </c>
      <c r="J16" s="16"/>
      <c r="K16" s="16"/>
      <c r="L16" s="16"/>
      <c r="M16" s="19"/>
      <c r="N16" s="19"/>
      <c r="T16" s="19"/>
      <c r="U16" s="20" t="s">
        <v>28</v>
      </c>
      <c r="V16" s="24" t="e">
        <f>V11*0.001</f>
        <v>#REF!</v>
      </c>
      <c r="W16" s="16"/>
      <c r="X16" s="16"/>
      <c r="Y16" s="16"/>
      <c r="Z16" s="19"/>
      <c r="AA16" s="19"/>
      <c r="AB16" s="21"/>
      <c r="AC16" s="20" t="s">
        <v>35</v>
      </c>
      <c r="AD16" s="30">
        <f>AD13-AD15</f>
        <v>-45495</v>
      </c>
      <c r="AE16" s="20"/>
      <c r="AF16" s="31" t="e">
        <f>IF(AF2&gt;AC15,AD15*AE15)</f>
        <v>#REF!</v>
      </c>
      <c r="AG16" s="19"/>
      <c r="AH16" s="19"/>
      <c r="AI16" s="64">
        <v>500000</v>
      </c>
      <c r="AJ16" s="65">
        <v>952.92</v>
      </c>
      <c r="AK16" s="65"/>
      <c r="AL16" s="64">
        <v>500000</v>
      </c>
      <c r="AM16" s="65">
        <v>952.92</v>
      </c>
      <c r="AN16" s="65"/>
      <c r="AO16" s="65"/>
      <c r="AP16" s="49"/>
      <c r="AQ16" s="49"/>
      <c r="AR16" s="49"/>
      <c r="AS16" s="49"/>
      <c r="AT16" s="49"/>
      <c r="AU16" s="49"/>
      <c r="AV16" s="49">
        <v>23</v>
      </c>
      <c r="AX16" s="75" t="s">
        <v>84</v>
      </c>
    </row>
    <row r="17" spans="1:50" x14ac:dyDescent="0.25">
      <c r="A17" s="20" t="s">
        <v>22</v>
      </c>
      <c r="B17" s="24">
        <f>(B13+B14)*21%</f>
        <v>394.74019199999998</v>
      </c>
      <c r="C17" s="16"/>
      <c r="D17" s="16"/>
      <c r="E17" s="16"/>
      <c r="H17" s="25" t="s">
        <v>29</v>
      </c>
      <c r="I17" s="26">
        <f>SUM(I11:I15)</f>
        <v>1000</v>
      </c>
      <c r="J17" s="16"/>
      <c r="K17" s="16"/>
      <c r="L17" s="16"/>
      <c r="M17" s="19"/>
      <c r="N17" s="19"/>
      <c r="T17" s="19"/>
      <c r="U17" s="20" t="s">
        <v>22</v>
      </c>
      <c r="V17" s="24" t="e">
        <f>(V13+V14)*21%</f>
        <v>#REF!</v>
      </c>
      <c r="W17" s="16"/>
      <c r="X17" s="16"/>
      <c r="Y17" s="16"/>
      <c r="Z17" s="19"/>
      <c r="AA17" s="19"/>
      <c r="AB17" s="21"/>
      <c r="AC17" s="21"/>
      <c r="AD17" s="30"/>
      <c r="AE17" s="20"/>
      <c r="AF17" s="29"/>
      <c r="AG17" s="19"/>
      <c r="AH17" s="19"/>
      <c r="AI17" s="19"/>
      <c r="AP17" s="48"/>
      <c r="AQ17" s="49"/>
      <c r="AR17" s="49"/>
      <c r="AS17" s="49"/>
      <c r="AT17" s="49"/>
      <c r="AU17" s="49"/>
      <c r="AV17" s="49">
        <v>24</v>
      </c>
      <c r="AX17" s="75" t="s">
        <v>85</v>
      </c>
    </row>
    <row r="18" spans="1:50" x14ac:dyDescent="0.25">
      <c r="A18" s="25" t="s">
        <v>29</v>
      </c>
      <c r="B18" s="26">
        <f>SUM(B12:B16)</f>
        <v>4939.7151999999996</v>
      </c>
      <c r="C18" s="16"/>
      <c r="D18" s="16"/>
      <c r="E18" s="16"/>
      <c r="H18" s="16"/>
      <c r="I18" s="16"/>
      <c r="J18" s="16"/>
      <c r="K18" s="16"/>
      <c r="L18" s="16"/>
      <c r="M18" s="19"/>
      <c r="N18" s="19"/>
      <c r="T18" s="19"/>
      <c r="U18" s="25" t="s">
        <v>29</v>
      </c>
      <c r="V18" s="26" t="e">
        <f>SUM(V12:V16)</f>
        <v>#REF!</v>
      </c>
      <c r="W18" s="16"/>
      <c r="X18" s="16"/>
      <c r="Y18" s="16"/>
      <c r="Z18" s="19"/>
      <c r="AA18" s="19"/>
      <c r="AB18" s="21">
        <v>45495</v>
      </c>
      <c r="AC18" s="21">
        <v>64095</v>
      </c>
      <c r="AD18" s="21">
        <f>AC18-AB18</f>
        <v>18600</v>
      </c>
      <c r="AE18" s="20">
        <v>1.14E-2</v>
      </c>
      <c r="AF18" s="29" t="e">
        <f>IF(AND(AF2&gt;AB18,AF2&lt;=AC18),AD16*AE18)</f>
        <v>#REF!</v>
      </c>
      <c r="AG18" s="19"/>
      <c r="AH18" s="19"/>
      <c r="AI18" s="19"/>
      <c r="AP18" s="48"/>
      <c r="AQ18" s="49"/>
      <c r="AR18" s="49"/>
      <c r="AS18" s="49"/>
      <c r="AT18" s="49"/>
      <c r="AU18" s="49"/>
      <c r="AV18" s="49">
        <v>25</v>
      </c>
      <c r="AX18" s="75" t="s">
        <v>86</v>
      </c>
    </row>
    <row r="19" spans="1:50" x14ac:dyDescent="0.25">
      <c r="A19" s="16"/>
      <c r="B19" s="16"/>
      <c r="C19" s="16"/>
      <c r="D19" s="16"/>
      <c r="E19" s="16"/>
      <c r="H19" s="72" t="s">
        <v>56</v>
      </c>
      <c r="I19" s="72"/>
      <c r="J19" s="72"/>
      <c r="K19" s="72"/>
      <c r="L19" s="72"/>
      <c r="M19" s="19"/>
      <c r="N19" s="19"/>
      <c r="T19" s="19"/>
      <c r="U19" s="16"/>
      <c r="V19" s="16"/>
      <c r="W19" s="16"/>
      <c r="X19" s="16"/>
      <c r="Y19" s="16"/>
      <c r="Z19" s="19"/>
      <c r="AA19" s="19"/>
      <c r="AB19" s="21"/>
      <c r="AC19" s="20" t="s">
        <v>35</v>
      </c>
      <c r="AD19" s="30">
        <f>AD16-AD18</f>
        <v>-64095</v>
      </c>
      <c r="AE19" s="20"/>
      <c r="AF19" s="29" t="e">
        <f>IF(AF2&gt;AC18,AD18*AE18)</f>
        <v>#REF!</v>
      </c>
      <c r="AG19" s="19"/>
      <c r="AH19" s="19"/>
      <c r="AI19" s="19"/>
      <c r="AP19" s="48"/>
      <c r="AQ19" s="49"/>
      <c r="AR19" s="49"/>
      <c r="AS19" s="49"/>
      <c r="AT19" s="49"/>
      <c r="AU19" s="49"/>
      <c r="AV19" s="49">
        <v>26</v>
      </c>
      <c r="AX19" s="75" t="s">
        <v>87</v>
      </c>
    </row>
    <row r="20" spans="1:50" x14ac:dyDescent="0.25">
      <c r="A20" s="128" t="s">
        <v>56</v>
      </c>
      <c r="B20" s="128"/>
      <c r="C20" s="128"/>
      <c r="D20" s="128"/>
      <c r="E20" s="128"/>
      <c r="H20" s="130" t="s">
        <v>31</v>
      </c>
      <c r="I20" s="130"/>
      <c r="J20" s="71" t="s">
        <v>32</v>
      </c>
      <c r="K20" s="71" t="s">
        <v>33</v>
      </c>
      <c r="L20" s="71" t="s">
        <v>34</v>
      </c>
      <c r="M20" s="27"/>
      <c r="N20" s="27"/>
      <c r="T20" s="27"/>
      <c r="U20" s="127" t="s">
        <v>30</v>
      </c>
      <c r="V20" s="127"/>
      <c r="W20" s="127"/>
      <c r="X20" s="127"/>
      <c r="Y20" s="127"/>
      <c r="Z20" s="27"/>
      <c r="AA20" s="27"/>
      <c r="AB20" s="21"/>
      <c r="AC20" s="21"/>
      <c r="AD20" s="30"/>
      <c r="AE20" s="20"/>
      <c r="AF20" s="29"/>
      <c r="AG20" s="27"/>
      <c r="AH20" s="27"/>
      <c r="AI20" s="27"/>
      <c r="AP20" s="48"/>
      <c r="AQ20" s="50"/>
      <c r="AR20" s="51"/>
      <c r="AS20" s="49"/>
      <c r="AT20" s="49"/>
      <c r="AU20" s="49"/>
      <c r="AV20" s="49">
        <v>27</v>
      </c>
      <c r="AX20" s="75" t="s">
        <v>88</v>
      </c>
    </row>
    <row r="21" spans="1:50" x14ac:dyDescent="0.25">
      <c r="A21" s="126" t="s">
        <v>31</v>
      </c>
      <c r="B21" s="126"/>
      <c r="C21" s="28" t="s">
        <v>32</v>
      </c>
      <c r="D21" s="28" t="s">
        <v>33</v>
      </c>
      <c r="E21" s="28" t="s">
        <v>34</v>
      </c>
      <c r="H21" s="20">
        <v>0</v>
      </c>
      <c r="I21" s="20">
        <v>7500</v>
      </c>
      <c r="J21" s="21">
        <f>I21-H21</f>
        <v>7500</v>
      </c>
      <c r="K21" s="20">
        <v>4.5600000000000002E-2</v>
      </c>
      <c r="L21" s="29">
        <f>IF(I3&lt;=I21,I3*K21)</f>
        <v>0</v>
      </c>
      <c r="M21" s="60"/>
      <c r="N21" s="60"/>
      <c r="T21" s="60"/>
      <c r="U21" s="126" t="s">
        <v>31</v>
      </c>
      <c r="V21" s="126"/>
      <c r="W21" s="55" t="s">
        <v>32</v>
      </c>
      <c r="X21" s="55" t="s">
        <v>33</v>
      </c>
      <c r="Y21" s="55" t="s">
        <v>34</v>
      </c>
      <c r="Z21" s="60"/>
      <c r="AA21" s="60"/>
      <c r="AB21" s="21">
        <v>64095</v>
      </c>
      <c r="AC21" s="21">
        <v>250095</v>
      </c>
      <c r="AD21" s="21">
        <f>AC21-AB21</f>
        <v>186000</v>
      </c>
      <c r="AE21" s="20">
        <v>5.7000000000000002E-3</v>
      </c>
      <c r="AF21" s="31" t="e">
        <f>IF(AND(AF2&gt;AB21,AF2&lt;=AC21),AD19*AE21)</f>
        <v>#REF!</v>
      </c>
      <c r="AG21" s="60"/>
      <c r="AH21" s="60"/>
      <c r="AI21" s="60"/>
      <c r="AP21" s="48"/>
      <c r="AQ21" s="50"/>
      <c r="AR21" s="51"/>
      <c r="AS21" s="49"/>
      <c r="AT21" s="49"/>
      <c r="AU21" s="49"/>
      <c r="AV21" s="49">
        <v>28</v>
      </c>
      <c r="AX21" s="75" t="s">
        <v>89</v>
      </c>
    </row>
    <row r="22" spans="1:50" x14ac:dyDescent="0.25">
      <c r="A22" s="20">
        <v>0</v>
      </c>
      <c r="B22" s="20">
        <v>7500</v>
      </c>
      <c r="C22" s="21">
        <f>B22-A22</f>
        <v>7500</v>
      </c>
      <c r="D22" s="20">
        <v>4.5600000000000002E-2</v>
      </c>
      <c r="E22" s="29" t="b">
        <f>IF(B3&lt;=B22,B3*D22)</f>
        <v>0</v>
      </c>
      <c r="H22" s="21"/>
      <c r="I22" s="20" t="s">
        <v>35</v>
      </c>
      <c r="J22" s="30">
        <f>I3-J21</f>
        <v>-7500</v>
      </c>
      <c r="K22" s="20"/>
      <c r="L22" s="29" t="b">
        <f>IF(I3&gt;I21,J21*K21)</f>
        <v>0</v>
      </c>
      <c r="M22" s="57"/>
      <c r="N22" s="57"/>
      <c r="T22" s="57"/>
      <c r="U22" s="20">
        <v>0</v>
      </c>
      <c r="V22" s="20">
        <v>7500</v>
      </c>
      <c r="W22" s="21">
        <f>V22-U22</f>
        <v>7500</v>
      </c>
      <c r="X22" s="20">
        <v>4.5600000000000002E-2</v>
      </c>
      <c r="Y22" s="29" t="e">
        <f>IF(V3&lt;=V22,V3*X22)</f>
        <v>#REF!</v>
      </c>
      <c r="Z22" s="57"/>
      <c r="AA22" s="57"/>
      <c r="AB22" s="21"/>
      <c r="AC22" s="20" t="s">
        <v>35</v>
      </c>
      <c r="AD22" s="30">
        <f>AD19-AD21</f>
        <v>-250095</v>
      </c>
      <c r="AE22" s="20"/>
      <c r="AF22" s="29" t="e">
        <f>IF(AF2&gt;AC21,AD21*AE21)</f>
        <v>#REF!</v>
      </c>
      <c r="AG22" s="57"/>
      <c r="AH22" s="57"/>
      <c r="AI22" s="57"/>
      <c r="AP22" s="48"/>
      <c r="AQ22" s="50"/>
      <c r="AR22" s="49"/>
      <c r="AS22" s="49"/>
      <c r="AT22" s="49"/>
      <c r="AU22" s="49"/>
      <c r="AV22" s="49">
        <v>29</v>
      </c>
      <c r="AX22" s="75" t="s">
        <v>90</v>
      </c>
    </row>
    <row r="23" spans="1:50" x14ac:dyDescent="0.25">
      <c r="A23" s="21"/>
      <c r="B23" s="20" t="s">
        <v>35</v>
      </c>
      <c r="C23" s="30">
        <f>B3-C22</f>
        <v>192500</v>
      </c>
      <c r="D23" s="20"/>
      <c r="E23" s="29">
        <f>IF(B3&gt;B22,C22*D22)</f>
        <v>342</v>
      </c>
      <c r="H23" s="21"/>
      <c r="I23" s="21"/>
      <c r="J23" s="30"/>
      <c r="K23" s="20"/>
      <c r="L23" s="29"/>
      <c r="M23" s="57"/>
      <c r="N23" s="57"/>
      <c r="T23" s="57"/>
      <c r="U23" s="21"/>
      <c r="V23" s="20" t="s">
        <v>35</v>
      </c>
      <c r="W23" s="30" t="e">
        <f>V3-W22</f>
        <v>#REF!</v>
      </c>
      <c r="X23" s="20"/>
      <c r="Y23" s="29" t="e">
        <f>IF(V3&gt;V22,W22*X22)</f>
        <v>#REF!</v>
      </c>
      <c r="Z23" s="57"/>
      <c r="AA23" s="57"/>
      <c r="AB23" s="21"/>
      <c r="AC23" s="21"/>
      <c r="AD23" s="30"/>
      <c r="AE23" s="20"/>
      <c r="AF23" s="29"/>
      <c r="AG23" s="57"/>
      <c r="AH23" s="57"/>
      <c r="AI23" s="57"/>
      <c r="AP23" s="54"/>
      <c r="AQ23" s="50"/>
      <c r="AR23" s="49"/>
      <c r="AS23" s="49"/>
      <c r="AT23" s="49"/>
      <c r="AU23" s="49"/>
      <c r="AV23" s="49">
        <v>30</v>
      </c>
      <c r="AX23" s="75" t="s">
        <v>91</v>
      </c>
    </row>
    <row r="24" spans="1:50" x14ac:dyDescent="0.25">
      <c r="A24" s="21"/>
      <c r="B24" s="21"/>
      <c r="C24" s="30"/>
      <c r="D24" s="20"/>
      <c r="E24" s="29"/>
      <c r="H24" s="20">
        <v>7500</v>
      </c>
      <c r="I24" s="20">
        <v>17500</v>
      </c>
      <c r="J24" s="21">
        <f>I24-H24</f>
        <v>10000</v>
      </c>
      <c r="K24" s="20">
        <v>2.8500000000000001E-2</v>
      </c>
      <c r="L24" s="29" t="b">
        <f>IF(AND(I3&gt;H24,I3&lt;=I24),J22*K24)</f>
        <v>0</v>
      </c>
      <c r="M24" s="57"/>
      <c r="N24" s="57"/>
      <c r="T24" s="57"/>
      <c r="U24" s="21"/>
      <c r="V24" s="21"/>
      <c r="W24" s="30"/>
      <c r="X24" s="20"/>
      <c r="Y24" s="29"/>
      <c r="Z24" s="57"/>
      <c r="AA24" s="57"/>
      <c r="AB24" s="21">
        <v>250095</v>
      </c>
      <c r="AC24" s="21" t="s">
        <v>36</v>
      </c>
      <c r="AD24" s="21"/>
      <c r="AE24" s="20">
        <v>2.2800000000000001E-2</v>
      </c>
      <c r="AF24" s="29" t="e">
        <f>IF(AND(AF2&gt;AB24),AD22*AE24)</f>
        <v>#REF!</v>
      </c>
      <c r="AG24" s="57"/>
      <c r="AH24" s="57"/>
      <c r="AI24" s="57"/>
      <c r="AP24" s="10"/>
      <c r="AQ24" s="4"/>
      <c r="AX24" s="75" t="s">
        <v>92</v>
      </c>
    </row>
    <row r="25" spans="1:50" x14ac:dyDescent="0.25">
      <c r="A25" s="20">
        <v>7500</v>
      </c>
      <c r="B25" s="20">
        <v>17500</v>
      </c>
      <c r="C25" s="21">
        <f>B25-A25</f>
        <v>10000</v>
      </c>
      <c r="D25" s="20">
        <v>2.8500000000000001E-2</v>
      </c>
      <c r="E25" s="29" t="b">
        <f>IF(AND(B3&gt;A25,B3&lt;=B25),C23*D25)</f>
        <v>0</v>
      </c>
      <c r="H25" s="21"/>
      <c r="I25" s="20" t="s">
        <v>35</v>
      </c>
      <c r="J25" s="30">
        <f>J22-J24</f>
        <v>-17500</v>
      </c>
      <c r="K25" s="20"/>
      <c r="L25" s="29" t="b">
        <f>IF(I3&gt;I24,J24*K24)</f>
        <v>0</v>
      </c>
      <c r="M25" s="57"/>
      <c r="N25" s="57"/>
      <c r="T25" s="57"/>
      <c r="U25" s="20">
        <v>7500</v>
      </c>
      <c r="V25" s="20">
        <v>17500</v>
      </c>
      <c r="W25" s="21">
        <f>V25-U25</f>
        <v>10000</v>
      </c>
      <c r="X25" s="20">
        <v>2.8500000000000001E-2</v>
      </c>
      <c r="Y25" s="29" t="e">
        <f>IF(AND(V3&gt;U25,V3&lt;=V25),W23*X25)</f>
        <v>#REF!</v>
      </c>
      <c r="Z25" s="57"/>
      <c r="AA25" s="57"/>
      <c r="AB25" s="21"/>
      <c r="AC25" s="20" t="s">
        <v>35</v>
      </c>
      <c r="AD25" s="21"/>
      <c r="AE25" s="20"/>
      <c r="AF25" s="29"/>
      <c r="AG25" s="57"/>
      <c r="AH25" s="57"/>
      <c r="AI25" s="57"/>
      <c r="AQ25" s="4"/>
      <c r="AX25" s="75" t="s">
        <v>93</v>
      </c>
    </row>
    <row r="26" spans="1:50" x14ac:dyDescent="0.25">
      <c r="A26" s="21"/>
      <c r="B26" s="20" t="s">
        <v>35</v>
      </c>
      <c r="C26" s="30">
        <f>C23-C25</f>
        <v>182500</v>
      </c>
      <c r="D26" s="20"/>
      <c r="E26" s="29">
        <f>IF(B3&gt;B25,C25*D25)</f>
        <v>285</v>
      </c>
      <c r="H26" s="21"/>
      <c r="I26" s="21"/>
      <c r="J26" s="30"/>
      <c r="K26" s="20"/>
      <c r="L26" s="29"/>
      <c r="M26" s="57"/>
      <c r="N26" s="57"/>
      <c r="T26" s="57"/>
      <c r="U26" s="21"/>
      <c r="V26" s="20" t="s">
        <v>35</v>
      </c>
      <c r="W26" s="30" t="e">
        <f>W23-W25</f>
        <v>#REF!</v>
      </c>
      <c r="X26" s="20"/>
      <c r="Y26" s="29" t="e">
        <f>IF(V3&gt;V25,W25*X25)</f>
        <v>#REF!</v>
      </c>
      <c r="Z26" s="57"/>
      <c r="AA26" s="57"/>
      <c r="AB26" s="25" t="s">
        <v>34</v>
      </c>
      <c r="AC26" s="25"/>
      <c r="AD26" s="25"/>
      <c r="AE26" s="25"/>
      <c r="AF26" s="32" t="e">
        <f>SUM(AF6:AF25)</f>
        <v>#REF!</v>
      </c>
      <c r="AG26" s="57"/>
      <c r="AH26" s="57"/>
      <c r="AI26" s="57"/>
      <c r="AQ26" s="4"/>
      <c r="AX26" s="75" t="s">
        <v>94</v>
      </c>
    </row>
    <row r="27" spans="1:50" x14ac:dyDescent="0.25">
      <c r="A27" s="21"/>
      <c r="B27" s="21"/>
      <c r="C27" s="30"/>
      <c r="D27" s="20"/>
      <c r="E27" s="29"/>
      <c r="H27" s="20">
        <v>17500</v>
      </c>
      <c r="I27" s="20">
        <v>30000</v>
      </c>
      <c r="J27" s="21">
        <f>I27-H27</f>
        <v>12500</v>
      </c>
      <c r="K27" s="20">
        <v>2.2800000000000001E-2</v>
      </c>
      <c r="L27" s="29" t="b">
        <f>IF(AND(I3&gt;H27,I3&lt;=I27),J25*K27)</f>
        <v>0</v>
      </c>
      <c r="M27" s="57"/>
      <c r="N27" s="57"/>
      <c r="T27" s="57"/>
      <c r="U27" s="21"/>
      <c r="V27" s="21"/>
      <c r="W27" s="30"/>
      <c r="X27" s="20"/>
      <c r="Y27" s="29"/>
      <c r="Z27" s="57"/>
      <c r="AA27" s="57"/>
      <c r="AG27" s="57"/>
      <c r="AH27" s="57"/>
      <c r="AI27" s="57"/>
      <c r="AQ27" s="3"/>
      <c r="AX27" s="75" t="s">
        <v>95</v>
      </c>
    </row>
    <row r="28" spans="1:50" x14ac:dyDescent="0.25">
      <c r="A28" s="20">
        <v>17500</v>
      </c>
      <c r="B28" s="20">
        <v>30000</v>
      </c>
      <c r="C28" s="21">
        <f>B28-A28</f>
        <v>12500</v>
      </c>
      <c r="D28" s="20">
        <v>2.2800000000000001E-2</v>
      </c>
      <c r="E28" s="29" t="b">
        <f>IF(AND(B3&gt;A28,B3&lt;=B28),C26*D28)</f>
        <v>0</v>
      </c>
      <c r="H28" s="21"/>
      <c r="I28" s="20" t="s">
        <v>35</v>
      </c>
      <c r="J28" s="30">
        <f>J25-J27</f>
        <v>-30000</v>
      </c>
      <c r="K28" s="20"/>
      <c r="L28" s="29" t="b">
        <f>IF(I3&gt;I27,J27*K27)</f>
        <v>0</v>
      </c>
      <c r="M28" s="57"/>
      <c r="N28" s="57"/>
      <c r="T28" s="57"/>
      <c r="U28" s="20">
        <v>17500</v>
      </c>
      <c r="V28" s="20">
        <v>30000</v>
      </c>
      <c r="W28" s="21">
        <f>V28-U28</f>
        <v>12500</v>
      </c>
      <c r="X28" s="20">
        <v>2.2800000000000001E-2</v>
      </c>
      <c r="Y28" s="29" t="e">
        <f>IF(AND(V3&gt;U28,V3&lt;=V28),W26*X28)</f>
        <v>#REF!</v>
      </c>
      <c r="Z28" s="57"/>
      <c r="AA28" s="57"/>
      <c r="AG28" s="57"/>
      <c r="AH28" s="57"/>
      <c r="AI28" s="57"/>
      <c r="AX28" s="75" t="s">
        <v>96</v>
      </c>
    </row>
    <row r="29" spans="1:50" x14ac:dyDescent="0.25">
      <c r="A29" s="21"/>
      <c r="B29" s="20" t="s">
        <v>35</v>
      </c>
      <c r="C29" s="30">
        <f>C26-C28</f>
        <v>170000</v>
      </c>
      <c r="D29" s="20"/>
      <c r="E29" s="29">
        <f>IF(B3&gt;B28,C28*D28)</f>
        <v>285</v>
      </c>
      <c r="H29" s="21"/>
      <c r="I29" s="21"/>
      <c r="J29" s="30"/>
      <c r="K29" s="20"/>
      <c r="L29" s="29"/>
      <c r="M29" s="57"/>
      <c r="N29" s="57"/>
      <c r="T29" s="57"/>
      <c r="U29" s="21"/>
      <c r="V29" s="20" t="s">
        <v>35</v>
      </c>
      <c r="W29" s="30" t="e">
        <f>W26-W28</f>
        <v>#REF!</v>
      </c>
      <c r="X29" s="20"/>
      <c r="Y29" s="29" t="e">
        <f>IF(V3&gt;V28,W28*X28)</f>
        <v>#REF!</v>
      </c>
      <c r="Z29" s="57"/>
      <c r="AA29" s="57"/>
      <c r="AG29" s="57"/>
      <c r="AH29" s="57"/>
      <c r="AI29" s="57"/>
      <c r="AX29" s="75" t="s">
        <v>97</v>
      </c>
    </row>
    <row r="30" spans="1:50" x14ac:dyDescent="0.25">
      <c r="A30" s="21"/>
      <c r="B30" s="21"/>
      <c r="C30" s="30"/>
      <c r="D30" s="20"/>
      <c r="E30" s="29"/>
      <c r="H30" s="21">
        <v>30000</v>
      </c>
      <c r="I30" s="21">
        <v>45495</v>
      </c>
      <c r="J30" s="21">
        <f>I30-H30</f>
        <v>15495</v>
      </c>
      <c r="K30" s="20">
        <v>1.7100000000000001E-2</v>
      </c>
      <c r="L30" s="29" t="b">
        <f>IF(AND(I3&gt;H30,I3&lt;=I30),J28*K30)</f>
        <v>0</v>
      </c>
      <c r="M30" s="57"/>
      <c r="N30" s="57"/>
      <c r="T30" s="57"/>
      <c r="U30" s="21"/>
      <c r="V30" s="21"/>
      <c r="W30" s="30"/>
      <c r="X30" s="20"/>
      <c r="Y30" s="29"/>
      <c r="Z30" s="57"/>
      <c r="AA30" s="57"/>
      <c r="AG30" s="57"/>
      <c r="AH30" s="57"/>
      <c r="AI30" s="57"/>
      <c r="AX30" s="75" t="s">
        <v>98</v>
      </c>
    </row>
    <row r="31" spans="1:50" x14ac:dyDescent="0.25">
      <c r="A31" s="21">
        <v>30000</v>
      </c>
      <c r="B31" s="21">
        <v>45495</v>
      </c>
      <c r="C31" s="21">
        <f>B31-A31</f>
        <v>15495</v>
      </c>
      <c r="D31" s="20">
        <v>1.7100000000000001E-2</v>
      </c>
      <c r="E31" s="29" t="b">
        <f>IF(AND(B3&gt;A31,B3&lt;=B31),C29*D31)</f>
        <v>0</v>
      </c>
      <c r="H31" s="21"/>
      <c r="I31" s="20" t="s">
        <v>35</v>
      </c>
      <c r="J31" s="30">
        <f>J28-J30</f>
        <v>-45495</v>
      </c>
      <c r="K31" s="20"/>
      <c r="L31" s="31" t="b">
        <f>IF(I3&gt;I30,J30*K30)</f>
        <v>0</v>
      </c>
      <c r="M31" s="57"/>
      <c r="N31" s="57"/>
      <c r="T31" s="57"/>
      <c r="U31" s="21">
        <v>30000</v>
      </c>
      <c r="V31" s="21">
        <v>45495</v>
      </c>
      <c r="W31" s="21">
        <f>V31-U31</f>
        <v>15495</v>
      </c>
      <c r="X31" s="20">
        <v>1.7100000000000001E-2</v>
      </c>
      <c r="Y31" s="29" t="e">
        <f>IF(AND(V3&gt;U31,V3&lt;=V31),W29*X31)</f>
        <v>#REF!</v>
      </c>
      <c r="Z31" s="57"/>
      <c r="AA31" s="57"/>
      <c r="AG31" s="57"/>
      <c r="AH31" s="57"/>
      <c r="AI31" s="57"/>
      <c r="AX31" s="75" t="s">
        <v>99</v>
      </c>
    </row>
    <row r="32" spans="1:50" x14ac:dyDescent="0.25">
      <c r="A32" s="21"/>
      <c r="B32" s="20" t="s">
        <v>35</v>
      </c>
      <c r="C32" s="30">
        <f>C29-C31</f>
        <v>154505</v>
      </c>
      <c r="D32" s="20"/>
      <c r="E32" s="31">
        <f>IF(B3&gt;B31,C31*D31)</f>
        <v>264.96449999999999</v>
      </c>
      <c r="H32" s="21"/>
      <c r="I32" s="21"/>
      <c r="J32" s="30"/>
      <c r="K32" s="20"/>
      <c r="L32" s="29"/>
      <c r="M32" s="58"/>
      <c r="N32" s="58"/>
      <c r="T32" s="58"/>
      <c r="U32" s="21"/>
      <c r="V32" s="20" t="s">
        <v>35</v>
      </c>
      <c r="W32" s="30" t="e">
        <f>W29-W31</f>
        <v>#REF!</v>
      </c>
      <c r="X32" s="20"/>
      <c r="Y32" s="31" t="e">
        <f>IF(V3&gt;V31,W31*X31)</f>
        <v>#REF!</v>
      </c>
      <c r="Z32" s="58"/>
      <c r="AA32" s="58"/>
      <c r="AG32" s="58"/>
      <c r="AH32" s="58"/>
      <c r="AI32" s="58"/>
      <c r="AX32" s="75" t="s">
        <v>100</v>
      </c>
    </row>
    <row r="33" spans="1:50" x14ac:dyDescent="0.25">
      <c r="A33" s="21"/>
      <c r="B33" s="21"/>
      <c r="C33" s="30"/>
      <c r="D33" s="20"/>
      <c r="E33" s="29"/>
      <c r="H33" s="21">
        <v>45495</v>
      </c>
      <c r="I33" s="21">
        <v>64095</v>
      </c>
      <c r="J33" s="21">
        <f>I33-H33</f>
        <v>18600</v>
      </c>
      <c r="K33" s="20">
        <v>1.14E-2</v>
      </c>
      <c r="L33" s="29" t="b">
        <f>IF(AND(I3&gt;H33,I3&lt;=I33),J31*K33)</f>
        <v>0</v>
      </c>
      <c r="M33" s="57"/>
      <c r="N33" s="57"/>
      <c r="T33" s="57"/>
      <c r="U33" s="21"/>
      <c r="V33" s="21"/>
      <c r="W33" s="30"/>
      <c r="X33" s="20"/>
      <c r="Y33" s="29"/>
      <c r="Z33" s="57"/>
      <c r="AA33" s="57"/>
      <c r="AG33" s="57"/>
      <c r="AH33" s="57"/>
      <c r="AI33" s="57"/>
      <c r="AX33" s="75" t="s">
        <v>101</v>
      </c>
    </row>
    <row r="34" spans="1:50" x14ac:dyDescent="0.25">
      <c r="A34" s="21">
        <v>45495</v>
      </c>
      <c r="B34" s="21">
        <v>64095</v>
      </c>
      <c r="C34" s="21">
        <f>B34-A34</f>
        <v>18600</v>
      </c>
      <c r="D34" s="20">
        <v>1.14E-2</v>
      </c>
      <c r="E34" s="29" t="b">
        <f>IF(AND(B3&gt;A34,B3&lt;=B34),C32*D34)</f>
        <v>0</v>
      </c>
      <c r="H34" s="21"/>
      <c r="I34" s="20" t="s">
        <v>35</v>
      </c>
      <c r="J34" s="30">
        <f>J31-J33</f>
        <v>-64095</v>
      </c>
      <c r="K34" s="20"/>
      <c r="L34" s="29" t="b">
        <f>IF(I3&gt;I33,J33*K33)</f>
        <v>0</v>
      </c>
      <c r="M34" s="57"/>
      <c r="N34" s="57"/>
      <c r="T34" s="57"/>
      <c r="U34" s="21">
        <v>45495</v>
      </c>
      <c r="V34" s="21">
        <v>64095</v>
      </c>
      <c r="W34" s="21">
        <f>V34-U34</f>
        <v>18600</v>
      </c>
      <c r="X34" s="20">
        <v>1.14E-2</v>
      </c>
      <c r="Y34" s="29" t="e">
        <f>IF(AND(V3&gt;U34,V3&lt;=V34),W32*X34)</f>
        <v>#REF!</v>
      </c>
      <c r="Z34" s="57"/>
      <c r="AA34" s="57"/>
      <c r="AG34" s="57"/>
      <c r="AH34" s="57"/>
      <c r="AI34" s="57"/>
      <c r="AX34" s="75" t="s">
        <v>102</v>
      </c>
    </row>
    <row r="35" spans="1:50" x14ac:dyDescent="0.25">
      <c r="A35" s="21"/>
      <c r="B35" s="20" t="s">
        <v>35</v>
      </c>
      <c r="C35" s="30">
        <f>C32-C34</f>
        <v>135905</v>
      </c>
      <c r="D35" s="20"/>
      <c r="E35" s="29">
        <f>IF(B3&gt;B34,C34*D34)</f>
        <v>212.04000000000002</v>
      </c>
      <c r="H35" s="21"/>
      <c r="I35" s="21"/>
      <c r="J35" s="30"/>
      <c r="K35" s="20"/>
      <c r="L35" s="29"/>
      <c r="M35" s="57"/>
      <c r="N35" s="57"/>
      <c r="T35" s="57"/>
      <c r="U35" s="21"/>
      <c r="V35" s="20" t="s">
        <v>35</v>
      </c>
      <c r="W35" s="30" t="e">
        <f>W32-W34</f>
        <v>#REF!</v>
      </c>
      <c r="X35" s="20"/>
      <c r="Y35" s="29" t="e">
        <f>IF(V3&gt;V34,W34*X34)</f>
        <v>#REF!</v>
      </c>
      <c r="Z35" s="57"/>
      <c r="AA35" s="57"/>
      <c r="AG35" s="57"/>
      <c r="AH35" s="57"/>
      <c r="AI35" s="57"/>
      <c r="AX35" s="75" t="s">
        <v>103</v>
      </c>
    </row>
    <row r="36" spans="1:50" x14ac:dyDescent="0.25">
      <c r="A36" s="21"/>
      <c r="B36" s="21"/>
      <c r="C36" s="30"/>
      <c r="D36" s="20"/>
      <c r="E36" s="29"/>
      <c r="H36" s="21">
        <v>64095</v>
      </c>
      <c r="I36" s="21">
        <v>250095</v>
      </c>
      <c r="J36" s="21">
        <f>I36-H36</f>
        <v>186000</v>
      </c>
      <c r="K36" s="20">
        <v>5.7000000000000002E-3</v>
      </c>
      <c r="L36" s="31" t="b">
        <f>IF(AND(I3&gt;H36,I3&lt;=I36),J34*K36)</f>
        <v>0</v>
      </c>
      <c r="M36" s="57"/>
      <c r="N36" s="57"/>
      <c r="T36" s="57"/>
      <c r="U36" s="21"/>
      <c r="V36" s="21"/>
      <c r="W36" s="30"/>
      <c r="X36" s="20"/>
      <c r="Y36" s="29"/>
      <c r="Z36" s="57"/>
      <c r="AA36" s="57"/>
      <c r="AG36" s="57"/>
      <c r="AH36" s="57"/>
      <c r="AI36" s="57"/>
      <c r="AX36" s="75" t="s">
        <v>104</v>
      </c>
    </row>
    <row r="37" spans="1:50" x14ac:dyDescent="0.25">
      <c r="A37" s="21">
        <v>64095</v>
      </c>
      <c r="B37" s="21">
        <v>250095</v>
      </c>
      <c r="C37" s="21">
        <f>B37-A37</f>
        <v>186000</v>
      </c>
      <c r="D37" s="20">
        <v>5.7000000000000002E-3</v>
      </c>
      <c r="E37" s="31">
        <f>IF(AND(B3&gt;A37,B3&lt;=B37),C35*D37)</f>
        <v>774.6585</v>
      </c>
      <c r="H37" s="21"/>
      <c r="I37" s="20" t="s">
        <v>35</v>
      </c>
      <c r="J37" s="30">
        <f>J34-J36</f>
        <v>-250095</v>
      </c>
      <c r="K37" s="20"/>
      <c r="L37" s="29" t="b">
        <f>IF(I3&gt;I36,J36*K36)</f>
        <v>0</v>
      </c>
      <c r="M37" s="58"/>
      <c r="N37" s="58"/>
      <c r="T37" s="58"/>
      <c r="U37" s="21">
        <v>64095</v>
      </c>
      <c r="V37" s="21">
        <v>250095</v>
      </c>
      <c r="W37" s="21">
        <f>V37-U37</f>
        <v>186000</v>
      </c>
      <c r="X37" s="20">
        <v>5.7000000000000002E-3</v>
      </c>
      <c r="Y37" s="31" t="e">
        <f>IF(AND(V3&gt;U37,V3&lt;=V37),W35*X37)</f>
        <v>#REF!</v>
      </c>
      <c r="Z37" s="58"/>
      <c r="AA37" s="58"/>
      <c r="AG37" s="58"/>
      <c r="AH37" s="58"/>
      <c r="AI37" s="58"/>
      <c r="AX37" s="75" t="s">
        <v>105</v>
      </c>
    </row>
    <row r="38" spans="1:50" x14ac:dyDescent="0.25">
      <c r="A38" s="21"/>
      <c r="B38" s="20" t="s">
        <v>35</v>
      </c>
      <c r="C38" s="30">
        <f>C35-C37</f>
        <v>-50095</v>
      </c>
      <c r="D38" s="20"/>
      <c r="E38" s="29" t="b">
        <f>IF(B3&gt;B37,C37*D37)</f>
        <v>0</v>
      </c>
      <c r="H38" s="21"/>
      <c r="I38" s="21"/>
      <c r="J38" s="30"/>
      <c r="K38" s="20"/>
      <c r="L38" s="29"/>
      <c r="M38" s="57"/>
      <c r="N38" s="57"/>
      <c r="T38" s="57"/>
      <c r="U38" s="21"/>
      <c r="V38" s="20" t="s">
        <v>35</v>
      </c>
      <c r="W38" s="30" t="e">
        <f>W35-W37</f>
        <v>#REF!</v>
      </c>
      <c r="X38" s="20"/>
      <c r="Y38" s="29" t="e">
        <f>IF(V3&gt;V37,W37*X37)</f>
        <v>#REF!</v>
      </c>
      <c r="Z38" s="57"/>
      <c r="AA38" s="57"/>
      <c r="AG38" s="57"/>
      <c r="AH38" s="57"/>
      <c r="AI38" s="57"/>
      <c r="AX38" s="75" t="s">
        <v>106</v>
      </c>
    </row>
    <row r="39" spans="1:50" x14ac:dyDescent="0.25">
      <c r="A39" s="21"/>
      <c r="B39" s="21"/>
      <c r="C39" s="30"/>
      <c r="D39" s="20"/>
      <c r="E39" s="29"/>
      <c r="H39" s="21">
        <v>250095</v>
      </c>
      <c r="I39" s="21" t="s">
        <v>36</v>
      </c>
      <c r="J39" s="21"/>
      <c r="K39" s="20">
        <v>5.6999999999999998E-4</v>
      </c>
      <c r="L39" s="29" t="b">
        <f>IF(AND(I3&gt;H39),J37*K39)</f>
        <v>0</v>
      </c>
      <c r="M39" s="57"/>
      <c r="N39" s="57"/>
      <c r="T39" s="57"/>
      <c r="U39" s="21"/>
      <c r="V39" s="21"/>
      <c r="W39" s="30"/>
      <c r="X39" s="20"/>
      <c r="Y39" s="29"/>
      <c r="Z39" s="57"/>
      <c r="AA39" s="57"/>
      <c r="AG39" s="57"/>
      <c r="AH39" s="57"/>
      <c r="AI39" s="57"/>
      <c r="AX39" s="75" t="s">
        <v>107</v>
      </c>
    </row>
    <row r="40" spans="1:50" x14ac:dyDescent="0.25">
      <c r="A40" s="21">
        <v>250095</v>
      </c>
      <c r="B40" s="21" t="s">
        <v>36</v>
      </c>
      <c r="C40" s="21"/>
      <c r="D40" s="20">
        <v>5.6999999999999998E-4</v>
      </c>
      <c r="E40" s="29" t="b">
        <f>IF(AND(B3&gt;A40),C38*D40)</f>
        <v>0</v>
      </c>
      <c r="H40" s="21"/>
      <c r="I40" s="20" t="s">
        <v>35</v>
      </c>
      <c r="J40" s="21"/>
      <c r="K40" s="20"/>
      <c r="L40" s="29"/>
      <c r="M40" s="57"/>
      <c r="N40" s="57"/>
      <c r="T40" s="57"/>
      <c r="U40" s="21">
        <v>250095</v>
      </c>
      <c r="V40" s="21" t="s">
        <v>36</v>
      </c>
      <c r="W40" s="21"/>
      <c r="X40" s="20">
        <v>5.6999999999999998E-4</v>
      </c>
      <c r="Y40" s="29" t="e">
        <f>IF(AND(V3&gt;U40),W38*X40)</f>
        <v>#REF!</v>
      </c>
      <c r="Z40" s="57"/>
      <c r="AA40" s="57"/>
      <c r="AG40" s="57"/>
      <c r="AH40" s="57"/>
      <c r="AI40" s="57"/>
      <c r="AX40" s="75" t="s">
        <v>108</v>
      </c>
    </row>
    <row r="41" spans="1:50" x14ac:dyDescent="0.25">
      <c r="A41" s="21"/>
      <c r="B41" s="20" t="s">
        <v>35</v>
      </c>
      <c r="C41" s="21"/>
      <c r="D41" s="20"/>
      <c r="E41" s="29"/>
      <c r="H41" s="25" t="s">
        <v>34</v>
      </c>
      <c r="I41" s="25"/>
      <c r="J41" s="25"/>
      <c r="K41" s="25"/>
      <c r="L41" s="32">
        <f>SUM(L21:L40)</f>
        <v>0</v>
      </c>
      <c r="M41" s="57"/>
      <c r="N41" s="57"/>
      <c r="T41" s="57"/>
      <c r="U41" s="21"/>
      <c r="V41" s="20" t="s">
        <v>35</v>
      </c>
      <c r="W41" s="21"/>
      <c r="X41" s="20"/>
      <c r="Y41" s="29"/>
      <c r="Z41" s="57"/>
      <c r="AA41" s="57"/>
      <c r="AG41" s="57"/>
      <c r="AH41" s="57"/>
      <c r="AI41" s="57"/>
    </row>
    <row r="42" spans="1:50" x14ac:dyDescent="0.25">
      <c r="A42" s="25" t="s">
        <v>34</v>
      </c>
      <c r="B42" s="25"/>
      <c r="C42" s="25"/>
      <c r="D42" s="25"/>
      <c r="E42" s="32">
        <f>SUM(E22:E41)</f>
        <v>2163.663</v>
      </c>
      <c r="H42" s="16"/>
      <c r="I42" s="16"/>
      <c r="J42" s="16"/>
      <c r="K42" s="16"/>
      <c r="L42" s="16"/>
      <c r="M42" s="61"/>
      <c r="N42" s="61"/>
      <c r="T42" s="61"/>
      <c r="U42" s="25" t="s">
        <v>34</v>
      </c>
      <c r="V42" s="25"/>
      <c r="W42" s="25"/>
      <c r="X42" s="25"/>
      <c r="Y42" s="32" t="e">
        <f>SUM(Y22:Y41)</f>
        <v>#REF!</v>
      </c>
      <c r="Z42" s="61"/>
      <c r="AA42" s="61"/>
      <c r="AG42" s="61"/>
      <c r="AH42" s="61"/>
      <c r="AI42" s="61"/>
    </row>
    <row r="43" spans="1:50" x14ac:dyDescent="0.25">
      <c r="A43" s="16"/>
      <c r="B43" s="16"/>
      <c r="C43" s="16"/>
      <c r="D43" s="16"/>
      <c r="E43" s="16"/>
      <c r="H43" s="72" t="s">
        <v>57</v>
      </c>
      <c r="I43" s="72"/>
      <c r="J43" s="72"/>
      <c r="K43" s="72"/>
      <c r="L43" s="72"/>
      <c r="M43" s="19"/>
      <c r="N43" s="19"/>
      <c r="T43" s="19"/>
      <c r="U43" s="16"/>
      <c r="V43" s="16"/>
      <c r="W43" s="16"/>
      <c r="X43" s="16"/>
      <c r="Y43" s="16"/>
      <c r="Z43" s="19"/>
      <c r="AA43" s="19"/>
      <c r="AB43" s="19"/>
      <c r="AC43" s="19"/>
      <c r="AD43" s="19"/>
      <c r="AE43" s="19"/>
      <c r="AF43" s="19"/>
      <c r="AG43" s="19"/>
      <c r="AH43" s="19"/>
      <c r="AI43" s="19"/>
    </row>
    <row r="44" spans="1:50" x14ac:dyDescent="0.25">
      <c r="A44" s="128" t="s">
        <v>57</v>
      </c>
      <c r="B44" s="128"/>
      <c r="C44" s="128"/>
      <c r="D44" s="128"/>
      <c r="E44" s="128"/>
      <c r="H44" s="71" t="s">
        <v>31</v>
      </c>
      <c r="I44" s="71"/>
      <c r="J44" s="71" t="s">
        <v>32</v>
      </c>
      <c r="K44" s="71" t="s">
        <v>33</v>
      </c>
      <c r="L44" s="71" t="s">
        <v>34</v>
      </c>
      <c r="M44" s="27"/>
      <c r="N44" s="27"/>
      <c r="T44" s="27"/>
      <c r="U44" s="127" t="s">
        <v>37</v>
      </c>
      <c r="V44" s="127"/>
      <c r="W44" s="127"/>
      <c r="X44" s="127"/>
      <c r="Y44" s="1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50" x14ac:dyDescent="0.25">
      <c r="A45" s="28" t="s">
        <v>31</v>
      </c>
      <c r="B45" s="28"/>
      <c r="C45" s="28" t="s">
        <v>32</v>
      </c>
      <c r="D45" s="28" t="s">
        <v>33</v>
      </c>
      <c r="E45" s="28" t="s">
        <v>34</v>
      </c>
      <c r="H45" s="20">
        <v>0</v>
      </c>
      <c r="I45" s="20">
        <v>7500</v>
      </c>
      <c r="J45" s="21">
        <f>I45-H45</f>
        <v>7500</v>
      </c>
      <c r="K45" s="20">
        <v>1.7100000000000001E-2</v>
      </c>
      <c r="L45" s="29">
        <f>IF(I10&lt;=I45,I10*K45)</f>
        <v>0</v>
      </c>
      <c r="M45" s="60"/>
      <c r="N45" s="60"/>
      <c r="T45" s="60"/>
      <c r="U45" s="55" t="s">
        <v>31</v>
      </c>
      <c r="V45" s="55"/>
      <c r="W45" s="55" t="s">
        <v>32</v>
      </c>
      <c r="X45" s="55" t="s">
        <v>33</v>
      </c>
      <c r="Y45" s="55" t="s">
        <v>34</v>
      </c>
      <c r="Z45" s="60"/>
      <c r="AA45" s="60"/>
      <c r="AB45" s="60"/>
      <c r="AC45" s="60"/>
      <c r="AD45" s="60"/>
      <c r="AE45" s="60"/>
      <c r="AF45" s="60"/>
      <c r="AG45" s="60"/>
      <c r="AH45" s="60"/>
      <c r="AI45" s="60"/>
    </row>
    <row r="46" spans="1:50" x14ac:dyDescent="0.25">
      <c r="A46" s="20">
        <v>0</v>
      </c>
      <c r="B46" s="20">
        <v>7500</v>
      </c>
      <c r="C46" s="21">
        <f>B46-A46</f>
        <v>7500</v>
      </c>
      <c r="D46" s="20">
        <v>1.7100000000000001E-2</v>
      </c>
      <c r="E46" s="29" t="b">
        <f>IF(B11&lt;=B46,B11*D46)</f>
        <v>0</v>
      </c>
      <c r="H46" s="21"/>
      <c r="I46" s="20" t="s">
        <v>35</v>
      </c>
      <c r="J46" s="30">
        <f>I10-J45</f>
        <v>-7500</v>
      </c>
      <c r="K46" s="20"/>
      <c r="L46" s="29" t="b">
        <f>IF(I10&gt;I45,J45*K45)</f>
        <v>0</v>
      </c>
      <c r="M46" s="57"/>
      <c r="N46" s="57"/>
      <c r="T46" s="57"/>
      <c r="U46" s="20">
        <v>0</v>
      </c>
      <c r="V46" s="20">
        <v>7500</v>
      </c>
      <c r="W46" s="21">
        <f>V46-U46</f>
        <v>7500</v>
      </c>
      <c r="X46" s="20">
        <v>1.7100000000000001E-2</v>
      </c>
      <c r="Y46" s="29" t="e">
        <f>IF(V11&lt;=V46,V11*X46)</f>
        <v>#REF!</v>
      </c>
      <c r="Z46" s="57"/>
      <c r="AA46" s="57"/>
      <c r="AB46" s="57"/>
      <c r="AC46" s="57"/>
      <c r="AD46" s="57"/>
      <c r="AE46" s="57"/>
      <c r="AF46" s="57"/>
      <c r="AG46" s="57"/>
      <c r="AH46" s="57"/>
      <c r="AI46" s="57"/>
    </row>
    <row r="47" spans="1:50" x14ac:dyDescent="0.25">
      <c r="A47" s="21"/>
      <c r="B47" s="20" t="s">
        <v>35</v>
      </c>
      <c r="C47" s="30">
        <f>B11-C46</f>
        <v>192500</v>
      </c>
      <c r="D47" s="20"/>
      <c r="E47" s="29">
        <f>IF(B11&gt;B46,C46*D46)</f>
        <v>128.25</v>
      </c>
      <c r="H47" s="21"/>
      <c r="I47" s="21"/>
      <c r="J47" s="30"/>
      <c r="K47" s="20"/>
      <c r="L47" s="29"/>
      <c r="M47" s="57"/>
      <c r="N47" s="57"/>
      <c r="T47" s="57"/>
      <c r="U47" s="21"/>
      <c r="V47" s="20" t="s">
        <v>35</v>
      </c>
      <c r="W47" s="30" t="e">
        <f>V11-W46</f>
        <v>#REF!</v>
      </c>
      <c r="X47" s="20"/>
      <c r="Y47" s="29" t="e">
        <f>IF(V11&gt;V46,W46*X46)</f>
        <v>#REF!</v>
      </c>
      <c r="Z47" s="57"/>
      <c r="AA47" s="57"/>
      <c r="AB47" s="57"/>
      <c r="AC47" s="57"/>
      <c r="AD47" s="57"/>
      <c r="AE47" s="57"/>
      <c r="AF47" s="57"/>
      <c r="AG47" s="57"/>
      <c r="AH47" s="57"/>
      <c r="AI47" s="57"/>
    </row>
    <row r="48" spans="1:50" x14ac:dyDescent="0.25">
      <c r="A48" s="21"/>
      <c r="B48" s="21"/>
      <c r="C48" s="30"/>
      <c r="D48" s="20"/>
      <c r="E48" s="29"/>
      <c r="H48" s="20">
        <v>7500</v>
      </c>
      <c r="I48" s="20">
        <v>17500</v>
      </c>
      <c r="J48" s="21">
        <f>I48-H48</f>
        <v>10000</v>
      </c>
      <c r="K48" s="20">
        <v>1.3679999999999999E-2</v>
      </c>
      <c r="L48" s="29" t="b">
        <f>IF(AND(I10&gt;H48,I10&lt;=I48),J46*K48)</f>
        <v>0</v>
      </c>
      <c r="M48" s="57"/>
      <c r="N48" s="57"/>
      <c r="T48" s="57"/>
      <c r="U48" s="21"/>
      <c r="V48" s="21"/>
      <c r="W48" s="30"/>
      <c r="X48" s="20"/>
      <c r="Y48" s="29"/>
      <c r="Z48" s="57"/>
      <c r="AA48" s="57"/>
      <c r="AB48" s="57"/>
      <c r="AC48" s="57"/>
      <c r="AD48" s="57"/>
      <c r="AE48" s="57"/>
      <c r="AF48" s="57"/>
      <c r="AG48" s="57"/>
      <c r="AH48" s="57"/>
      <c r="AI48" s="57"/>
    </row>
    <row r="49" spans="1:35" x14ac:dyDescent="0.25">
      <c r="A49" s="20">
        <v>7500</v>
      </c>
      <c r="B49" s="20">
        <v>17500</v>
      </c>
      <c r="C49" s="21">
        <f>B49-A49</f>
        <v>10000</v>
      </c>
      <c r="D49" s="20">
        <v>1.3679999999999999E-2</v>
      </c>
      <c r="E49" s="29" t="b">
        <f>IF(AND(B11&gt;A49,B11&lt;=B49),C47*D49)</f>
        <v>0</v>
      </c>
      <c r="H49" s="21"/>
      <c r="I49" s="20" t="s">
        <v>35</v>
      </c>
      <c r="J49" s="30">
        <f>J46-J48</f>
        <v>-17500</v>
      </c>
      <c r="K49" s="20"/>
      <c r="L49" s="29" t="b">
        <f>IF(I10&gt;I48,J48*K48)</f>
        <v>0</v>
      </c>
      <c r="M49" s="57"/>
      <c r="N49" s="57"/>
      <c r="T49" s="57"/>
      <c r="U49" s="20">
        <v>7500</v>
      </c>
      <c r="V49" s="20">
        <v>17500</v>
      </c>
      <c r="W49" s="21">
        <f>V49-U49</f>
        <v>10000</v>
      </c>
      <c r="X49" s="20">
        <v>1.3679999999999999E-2</v>
      </c>
      <c r="Y49" s="29" t="e">
        <f>IF(AND(V11&gt;U49,V11&lt;=V49),W47*X49)</f>
        <v>#REF!</v>
      </c>
      <c r="Z49" s="57"/>
      <c r="AA49" s="57"/>
      <c r="AB49" s="57"/>
      <c r="AC49" s="57"/>
      <c r="AD49" s="57"/>
      <c r="AE49" s="57"/>
      <c r="AF49" s="57"/>
      <c r="AG49" s="57"/>
      <c r="AH49" s="57"/>
      <c r="AI49" s="57"/>
    </row>
    <row r="50" spans="1:35" x14ac:dyDescent="0.25">
      <c r="A50" s="21"/>
      <c r="B50" s="20" t="s">
        <v>35</v>
      </c>
      <c r="C50" s="30">
        <f>C47-C49</f>
        <v>182500</v>
      </c>
      <c r="D50" s="20"/>
      <c r="E50" s="29">
        <f>IF(B11&gt;B49,C49*D49)</f>
        <v>136.79999999999998</v>
      </c>
      <c r="H50" s="21"/>
      <c r="I50" s="21"/>
      <c r="J50" s="30"/>
      <c r="K50" s="20"/>
      <c r="L50" s="29"/>
      <c r="M50" s="57"/>
      <c r="N50" s="57"/>
      <c r="T50" s="57"/>
      <c r="U50" s="21"/>
      <c r="V50" s="20" t="s">
        <v>35</v>
      </c>
      <c r="W50" s="30" t="e">
        <f>W47-W49</f>
        <v>#REF!</v>
      </c>
      <c r="X50" s="20"/>
      <c r="Y50" s="29" t="e">
        <f>IF(V11&gt;V49,W49*X49)</f>
        <v>#REF!</v>
      </c>
      <c r="Z50" s="57"/>
      <c r="AA50" s="57"/>
      <c r="AB50" s="57"/>
      <c r="AC50" s="57"/>
      <c r="AD50" s="57"/>
      <c r="AE50" s="57"/>
      <c r="AF50" s="57"/>
      <c r="AG50" s="57"/>
      <c r="AH50" s="57"/>
      <c r="AI50" s="57"/>
    </row>
    <row r="51" spans="1:35" x14ac:dyDescent="0.25">
      <c r="A51" s="21"/>
      <c r="B51" s="21"/>
      <c r="C51" s="30"/>
      <c r="D51" s="20"/>
      <c r="E51" s="29"/>
      <c r="H51" s="20">
        <v>17500</v>
      </c>
      <c r="I51" s="20">
        <v>30000</v>
      </c>
      <c r="J51" s="21">
        <f>I51-H51</f>
        <v>12500</v>
      </c>
      <c r="K51" s="20">
        <v>9.1199999999999996E-3</v>
      </c>
      <c r="L51" s="29" t="b">
        <f>IF(AND(I10&gt;H51,I10&lt;=I51),J49*K51)</f>
        <v>0</v>
      </c>
      <c r="M51" s="57"/>
      <c r="N51" s="57"/>
      <c r="T51" s="57"/>
      <c r="U51" s="21"/>
      <c r="V51" s="21"/>
      <c r="W51" s="30"/>
      <c r="X51" s="20"/>
      <c r="Y51" s="29"/>
      <c r="Z51" s="57"/>
      <c r="AA51" s="57"/>
      <c r="AB51" s="57"/>
      <c r="AC51" s="57"/>
      <c r="AD51" s="57"/>
      <c r="AE51" s="57"/>
      <c r="AF51" s="57"/>
      <c r="AG51" s="57"/>
      <c r="AH51" s="57"/>
      <c r="AI51" s="57"/>
    </row>
    <row r="52" spans="1:35" x14ac:dyDescent="0.25">
      <c r="A52" s="20">
        <v>17500</v>
      </c>
      <c r="B52" s="20">
        <v>30000</v>
      </c>
      <c r="C52" s="21">
        <f>B52-A52</f>
        <v>12500</v>
      </c>
      <c r="D52" s="20">
        <v>9.1199999999999996E-3</v>
      </c>
      <c r="E52" s="29" t="b">
        <f>IF(AND(B11&gt;A52,B11&lt;=B52),C50*D52)</f>
        <v>0</v>
      </c>
      <c r="H52" s="21"/>
      <c r="I52" s="20" t="s">
        <v>35</v>
      </c>
      <c r="J52" s="30">
        <f>J49-J51</f>
        <v>-30000</v>
      </c>
      <c r="K52" s="20"/>
      <c r="L52" s="29" t="b">
        <f>IF(I10&gt;I51,J51*K51)</f>
        <v>0</v>
      </c>
      <c r="M52" s="57"/>
      <c r="N52" s="57"/>
      <c r="T52" s="57"/>
      <c r="U52" s="20">
        <v>17500</v>
      </c>
      <c r="V52" s="20">
        <v>30000</v>
      </c>
      <c r="W52" s="21">
        <f>V52-U52</f>
        <v>12500</v>
      </c>
      <c r="X52" s="20">
        <v>9.1199999999999996E-3</v>
      </c>
      <c r="Y52" s="29" t="e">
        <f>IF(AND(V11&gt;U52,V11&lt;=V52),W50*X52)</f>
        <v>#REF!</v>
      </c>
      <c r="Z52" s="57"/>
      <c r="AA52" s="57"/>
      <c r="AB52" s="57"/>
      <c r="AC52" s="57"/>
      <c r="AD52" s="57"/>
      <c r="AE52" s="57"/>
      <c r="AF52" s="57"/>
      <c r="AG52" s="57"/>
      <c r="AH52" s="57"/>
      <c r="AI52" s="57"/>
    </row>
    <row r="53" spans="1:35" x14ac:dyDescent="0.25">
      <c r="A53" s="21"/>
      <c r="B53" s="20" t="s">
        <v>35</v>
      </c>
      <c r="C53" s="30">
        <f>C50-C52</f>
        <v>170000</v>
      </c>
      <c r="D53" s="20"/>
      <c r="E53" s="29">
        <f>IF(B11&gt;B52,C52*D52)</f>
        <v>114</v>
      </c>
      <c r="H53" s="21"/>
      <c r="I53" s="21"/>
      <c r="J53" s="30"/>
      <c r="K53" s="20"/>
      <c r="L53" s="29"/>
      <c r="M53" s="57"/>
      <c r="N53" s="57"/>
      <c r="T53" s="57"/>
      <c r="U53" s="21"/>
      <c r="V53" s="20" t="s">
        <v>35</v>
      </c>
      <c r="W53" s="30" t="e">
        <f>W50-W52</f>
        <v>#REF!</v>
      </c>
      <c r="X53" s="20"/>
      <c r="Y53" s="29" t="e">
        <f>IF(V11&gt;V52,W52*X52)</f>
        <v>#REF!</v>
      </c>
      <c r="Z53" s="57"/>
      <c r="AA53" s="57"/>
      <c r="AB53" s="57"/>
      <c r="AC53" s="57"/>
      <c r="AD53" s="57"/>
      <c r="AE53" s="57"/>
      <c r="AF53" s="57"/>
      <c r="AG53" s="57"/>
      <c r="AH53" s="57"/>
      <c r="AI53" s="57"/>
    </row>
    <row r="54" spans="1:35" x14ac:dyDescent="0.25">
      <c r="A54" s="21"/>
      <c r="B54" s="21"/>
      <c r="C54" s="30"/>
      <c r="D54" s="20"/>
      <c r="E54" s="29"/>
      <c r="H54" s="21">
        <v>30000</v>
      </c>
      <c r="I54" s="21">
        <v>45495</v>
      </c>
      <c r="J54" s="21">
        <f>I54-H54</f>
        <v>15495</v>
      </c>
      <c r="K54" s="20">
        <v>6.8399999999999997E-3</v>
      </c>
      <c r="L54" s="29" t="b">
        <f>IF(AND(I10&gt;H54,I10&lt;=I54),J52*K54)</f>
        <v>0</v>
      </c>
      <c r="M54" s="57"/>
      <c r="N54" s="57"/>
      <c r="T54" s="57"/>
      <c r="U54" s="21"/>
      <c r="V54" s="21"/>
      <c r="W54" s="30"/>
      <c r="X54" s="20"/>
      <c r="Y54" s="29"/>
      <c r="Z54" s="57"/>
      <c r="AA54" s="57"/>
      <c r="AB54" s="57"/>
      <c r="AC54" s="57"/>
      <c r="AD54" s="57"/>
      <c r="AE54" s="57"/>
      <c r="AF54" s="57"/>
      <c r="AG54" s="57"/>
      <c r="AH54" s="57"/>
      <c r="AI54" s="57"/>
    </row>
    <row r="55" spans="1:35" x14ac:dyDescent="0.25">
      <c r="A55" s="21">
        <v>30000</v>
      </c>
      <c r="B55" s="21">
        <v>45495</v>
      </c>
      <c r="C55" s="21">
        <f>B55-A55</f>
        <v>15495</v>
      </c>
      <c r="D55" s="20">
        <v>6.8399999999999997E-3</v>
      </c>
      <c r="E55" s="29" t="b">
        <f>IF(AND(B11&gt;A55,B11&lt;=B55),C53*D55)</f>
        <v>0</v>
      </c>
      <c r="H55" s="21"/>
      <c r="I55" s="20" t="s">
        <v>35</v>
      </c>
      <c r="J55" s="30">
        <f>J52-J54</f>
        <v>-45495</v>
      </c>
      <c r="K55" s="20"/>
      <c r="L55" s="31" t="b">
        <f>IF(I10&gt;I54,J54*K54)</f>
        <v>0</v>
      </c>
      <c r="M55" s="57"/>
      <c r="N55" s="57"/>
      <c r="T55" s="57"/>
      <c r="U55" s="21">
        <v>30000</v>
      </c>
      <c r="V55" s="21">
        <v>45495</v>
      </c>
      <c r="W55" s="21">
        <f>V55-U55</f>
        <v>15495</v>
      </c>
      <c r="X55" s="20">
        <v>6.8399999999999997E-3</v>
      </c>
      <c r="Y55" s="29" t="e">
        <f>IF(AND(V11&gt;U55,V11&lt;=V55),W53*X55)</f>
        <v>#REF!</v>
      </c>
      <c r="Z55" s="57"/>
      <c r="AA55" s="57"/>
      <c r="AB55" s="57"/>
      <c r="AC55" s="57"/>
      <c r="AD55" s="57"/>
      <c r="AE55" s="57"/>
      <c r="AF55" s="57"/>
      <c r="AG55" s="57"/>
      <c r="AH55" s="57"/>
      <c r="AI55" s="57"/>
    </row>
    <row r="56" spans="1:35" x14ac:dyDescent="0.25">
      <c r="A56" s="21"/>
      <c r="B56" s="20" t="s">
        <v>35</v>
      </c>
      <c r="C56" s="30">
        <f>C53-C55</f>
        <v>154505</v>
      </c>
      <c r="D56" s="20"/>
      <c r="E56" s="31">
        <f>IF(B11&gt;B55,C55*D55)</f>
        <v>105.9858</v>
      </c>
      <c r="H56" s="21"/>
      <c r="I56" s="21"/>
      <c r="J56" s="30"/>
      <c r="K56" s="20"/>
      <c r="L56" s="29"/>
      <c r="M56" s="58"/>
      <c r="N56" s="58"/>
      <c r="T56" s="58"/>
      <c r="U56" s="21"/>
      <c r="V56" s="20" t="s">
        <v>35</v>
      </c>
      <c r="W56" s="30" t="e">
        <f>W53-W55</f>
        <v>#REF!</v>
      </c>
      <c r="X56" s="20"/>
      <c r="Y56" s="31" t="e">
        <f>IF(V11&gt;V55,W55*X55)</f>
        <v>#REF!</v>
      </c>
      <c r="Z56" s="58"/>
      <c r="AA56" s="58"/>
      <c r="AB56" s="58"/>
      <c r="AC56" s="58"/>
      <c r="AD56" s="58"/>
      <c r="AE56" s="58"/>
      <c r="AF56" s="58"/>
      <c r="AG56" s="58"/>
      <c r="AH56" s="58"/>
      <c r="AI56" s="58"/>
    </row>
    <row r="57" spans="1:35" x14ac:dyDescent="0.25">
      <c r="A57" s="21"/>
      <c r="B57" s="21"/>
      <c r="C57" s="30"/>
      <c r="D57" s="20"/>
      <c r="E57" s="29"/>
      <c r="H57" s="21">
        <v>45495</v>
      </c>
      <c r="I57" s="21">
        <v>64095</v>
      </c>
      <c r="J57" s="21">
        <f>I57-H57</f>
        <v>18600</v>
      </c>
      <c r="K57" s="20">
        <v>4.5599999999999998E-3</v>
      </c>
      <c r="L57" s="29" t="b">
        <f>IF(AND(I10&gt;H57,I10&lt;=I57),J55*K57)</f>
        <v>0</v>
      </c>
      <c r="M57" s="57"/>
      <c r="N57" s="57"/>
      <c r="T57" s="57"/>
      <c r="U57" s="21"/>
      <c r="V57" s="21"/>
      <c r="W57" s="30"/>
      <c r="X57" s="20"/>
      <c r="Y57" s="29"/>
      <c r="Z57" s="57"/>
      <c r="AA57" s="57"/>
      <c r="AB57" s="57"/>
      <c r="AC57" s="57"/>
      <c r="AD57" s="57"/>
      <c r="AE57" s="57"/>
      <c r="AF57" s="57"/>
      <c r="AG57" s="57"/>
      <c r="AH57" s="57"/>
      <c r="AI57" s="57"/>
    </row>
    <row r="58" spans="1:35" x14ac:dyDescent="0.25">
      <c r="A58" s="21">
        <v>45495</v>
      </c>
      <c r="B58" s="21">
        <v>64095</v>
      </c>
      <c r="C58" s="21">
        <f>B58-A58</f>
        <v>18600</v>
      </c>
      <c r="D58" s="20">
        <v>4.5599999999999998E-3</v>
      </c>
      <c r="E58" s="29" t="b">
        <f>IF(AND(B11&gt;A58,B11&lt;=B58),C56*D58)</f>
        <v>0</v>
      </c>
      <c r="H58" s="21"/>
      <c r="I58" s="20" t="s">
        <v>35</v>
      </c>
      <c r="J58" s="30">
        <f>J55-J57</f>
        <v>-64095</v>
      </c>
      <c r="K58" s="20"/>
      <c r="L58" s="29" t="b">
        <f>IF(I10&gt;I57,J57*K57)</f>
        <v>0</v>
      </c>
      <c r="M58" s="57"/>
      <c r="N58" s="57"/>
      <c r="T58" s="57"/>
      <c r="U58" s="21">
        <v>45495</v>
      </c>
      <c r="V58" s="21">
        <v>64095</v>
      </c>
      <c r="W58" s="21">
        <f>V58-U58</f>
        <v>18600</v>
      </c>
      <c r="X58" s="20">
        <v>4.5599999999999998E-3</v>
      </c>
      <c r="Y58" s="29" t="e">
        <f>IF(AND(V11&gt;U58,V11&lt;=V58),W56*X58)</f>
        <v>#REF!</v>
      </c>
      <c r="Z58" s="57"/>
      <c r="AA58" s="57"/>
      <c r="AB58" s="57"/>
      <c r="AC58" s="57"/>
      <c r="AD58" s="57"/>
      <c r="AE58" s="57"/>
      <c r="AF58" s="57"/>
      <c r="AG58" s="57"/>
      <c r="AH58" s="57"/>
      <c r="AI58" s="57"/>
    </row>
    <row r="59" spans="1:35" x14ac:dyDescent="0.25">
      <c r="A59" s="21"/>
      <c r="B59" s="20" t="s">
        <v>35</v>
      </c>
      <c r="C59" s="30">
        <f>C56-C58</f>
        <v>135905</v>
      </c>
      <c r="D59" s="20"/>
      <c r="E59" s="29">
        <f>IF(B11&gt;B58,C58*D58)</f>
        <v>84.816000000000003</v>
      </c>
      <c r="H59" s="21"/>
      <c r="I59" s="21"/>
      <c r="J59" s="30"/>
      <c r="K59" s="20"/>
      <c r="L59" s="29"/>
      <c r="M59" s="57"/>
      <c r="N59" s="57"/>
      <c r="T59" s="57"/>
      <c r="U59" s="21"/>
      <c r="V59" s="20" t="s">
        <v>35</v>
      </c>
      <c r="W59" s="30" t="e">
        <f>W56-W58</f>
        <v>#REF!</v>
      </c>
      <c r="X59" s="20"/>
      <c r="Y59" s="29" t="e">
        <f>IF(V11&gt;V58,W58*X58)</f>
        <v>#REF!</v>
      </c>
      <c r="Z59" s="57"/>
      <c r="AA59" s="57"/>
      <c r="AB59" s="57"/>
      <c r="AC59" s="57"/>
      <c r="AD59" s="57"/>
      <c r="AE59" s="57"/>
      <c r="AF59" s="57"/>
      <c r="AG59" s="57"/>
      <c r="AH59" s="57"/>
      <c r="AI59" s="57"/>
    </row>
    <row r="60" spans="1:35" x14ac:dyDescent="0.25">
      <c r="A60" s="21"/>
      <c r="B60" s="21"/>
      <c r="C60" s="30"/>
      <c r="D60" s="20"/>
      <c r="E60" s="29"/>
      <c r="H60" s="21">
        <v>64095</v>
      </c>
      <c r="I60" s="21">
        <v>250095</v>
      </c>
      <c r="J60" s="21">
        <f>I60-H60</f>
        <v>186000</v>
      </c>
      <c r="K60" s="20">
        <v>2.2799999999999999E-3</v>
      </c>
      <c r="L60" s="31" t="b">
        <f>IF(AND(I10&gt;H60,I10&lt;=I60),J58*K60)</f>
        <v>0</v>
      </c>
      <c r="M60" s="57"/>
      <c r="N60" s="57"/>
      <c r="T60" s="57"/>
      <c r="U60" s="21"/>
      <c r="V60" s="21"/>
      <c r="W60" s="30"/>
      <c r="X60" s="20"/>
      <c r="Y60" s="29"/>
      <c r="Z60" s="57"/>
      <c r="AA60" s="57"/>
      <c r="AB60" s="57"/>
      <c r="AC60" s="57"/>
      <c r="AD60" s="57"/>
      <c r="AE60" s="57"/>
      <c r="AF60" s="57"/>
      <c r="AG60" s="57"/>
      <c r="AH60" s="57"/>
      <c r="AI60" s="57"/>
    </row>
    <row r="61" spans="1:35" x14ac:dyDescent="0.25">
      <c r="A61" s="21">
        <v>64095</v>
      </c>
      <c r="B61" s="21">
        <v>250095</v>
      </c>
      <c r="C61" s="21">
        <f>B61-A61</f>
        <v>186000</v>
      </c>
      <c r="D61" s="20">
        <v>2.2799999999999999E-3</v>
      </c>
      <c r="E61" s="31">
        <f>IF(AND(B11&gt;A61,B11&lt;=B61),C59*D61)</f>
        <v>309.86340000000001</v>
      </c>
      <c r="H61" s="21"/>
      <c r="I61" s="20" t="s">
        <v>35</v>
      </c>
      <c r="J61" s="30">
        <f>J58-J60</f>
        <v>-250095</v>
      </c>
      <c r="K61" s="20"/>
      <c r="L61" s="29" t="b">
        <f>IF(I10&gt;I60,J60*K60)</f>
        <v>0</v>
      </c>
      <c r="M61" s="58"/>
      <c r="N61" s="58"/>
      <c r="T61" s="58"/>
      <c r="U61" s="21">
        <v>64095</v>
      </c>
      <c r="V61" s="21">
        <v>250095</v>
      </c>
      <c r="W61" s="21">
        <f>V61-U61</f>
        <v>186000</v>
      </c>
      <c r="X61" s="20">
        <v>2.2799999999999999E-3</v>
      </c>
      <c r="Y61" s="31" t="e">
        <f>IF(AND(V11&gt;U61,V11&lt;=V61),W59*X61)</f>
        <v>#REF!</v>
      </c>
      <c r="Z61" s="58"/>
      <c r="AA61" s="58"/>
      <c r="AB61" s="58"/>
      <c r="AC61" s="58"/>
      <c r="AD61" s="58"/>
      <c r="AE61" s="58"/>
      <c r="AF61" s="58"/>
      <c r="AG61" s="58"/>
      <c r="AH61" s="58"/>
      <c r="AI61" s="58"/>
    </row>
    <row r="62" spans="1:35" x14ac:dyDescent="0.25">
      <c r="A62" s="21"/>
      <c r="B62" s="20" t="s">
        <v>35</v>
      </c>
      <c r="C62" s="30">
        <f>C59-C61</f>
        <v>-50095</v>
      </c>
      <c r="D62" s="20"/>
      <c r="E62" s="29" t="b">
        <f>IF(B11&gt;B61,C61*D61)</f>
        <v>0</v>
      </c>
      <c r="H62" s="21"/>
      <c r="I62" s="21"/>
      <c r="J62" s="30"/>
      <c r="K62" s="20"/>
      <c r="L62" s="29"/>
      <c r="M62" s="57"/>
      <c r="N62" s="57"/>
      <c r="T62" s="57"/>
      <c r="U62" s="21"/>
      <c r="V62" s="20" t="s">
        <v>35</v>
      </c>
      <c r="W62" s="30" t="e">
        <f>W59-W61</f>
        <v>#REF!</v>
      </c>
      <c r="X62" s="20"/>
      <c r="Y62" s="29" t="e">
        <f>IF(V11&gt;V61,W61*X61)</f>
        <v>#REF!</v>
      </c>
      <c r="Z62" s="57"/>
      <c r="AA62" s="57"/>
      <c r="AB62" s="57"/>
      <c r="AC62" s="57"/>
      <c r="AD62" s="57"/>
      <c r="AE62" s="57"/>
      <c r="AF62" s="57"/>
      <c r="AG62" s="57"/>
      <c r="AH62" s="57"/>
      <c r="AI62" s="57"/>
    </row>
    <row r="63" spans="1:35" x14ac:dyDescent="0.25">
      <c r="A63" s="21"/>
      <c r="B63" s="21"/>
      <c r="C63" s="30"/>
      <c r="D63" s="20"/>
      <c r="E63" s="29"/>
      <c r="H63" s="21">
        <v>250095</v>
      </c>
      <c r="I63" s="21" t="s">
        <v>36</v>
      </c>
      <c r="J63" s="21"/>
      <c r="K63" s="20">
        <v>4.5600000000000003E-4</v>
      </c>
      <c r="L63" s="29" t="b">
        <f>IF(AND(I10&gt;H63),J61*K63)</f>
        <v>0</v>
      </c>
      <c r="M63" s="57"/>
      <c r="N63" s="57"/>
      <c r="T63" s="57"/>
      <c r="U63" s="21"/>
      <c r="V63" s="21"/>
      <c r="W63" s="30"/>
      <c r="X63" s="20"/>
      <c r="Y63" s="29"/>
      <c r="Z63" s="57"/>
      <c r="AA63" s="57"/>
      <c r="AB63" s="57"/>
      <c r="AC63" s="57"/>
      <c r="AD63" s="57"/>
      <c r="AE63" s="57"/>
      <c r="AF63" s="57"/>
      <c r="AG63" s="57"/>
      <c r="AH63" s="57"/>
      <c r="AI63" s="57"/>
    </row>
    <row r="64" spans="1:35" x14ac:dyDescent="0.25">
      <c r="A64" s="21">
        <v>250095</v>
      </c>
      <c r="B64" s="21" t="s">
        <v>36</v>
      </c>
      <c r="C64" s="21"/>
      <c r="D64" s="20">
        <v>4.5600000000000003E-4</v>
      </c>
      <c r="E64" s="29" t="b">
        <f>IF(AND(B11&gt;A64),C62*D64)</f>
        <v>0</v>
      </c>
      <c r="H64" s="21"/>
      <c r="I64" s="20" t="s">
        <v>35</v>
      </c>
      <c r="J64" s="21"/>
      <c r="K64" s="20"/>
      <c r="L64" s="29"/>
      <c r="M64" s="57"/>
      <c r="N64" s="57"/>
      <c r="T64" s="57"/>
      <c r="U64" s="21">
        <v>250095</v>
      </c>
      <c r="V64" s="21" t="s">
        <v>36</v>
      </c>
      <c r="W64" s="21"/>
      <c r="X64" s="20">
        <v>4.5600000000000003E-4</v>
      </c>
      <c r="Y64" s="29" t="e">
        <f>IF(AND(V11&gt;U64),W62*X64)</f>
        <v>#REF!</v>
      </c>
      <c r="Z64" s="57"/>
      <c r="AA64" s="57"/>
      <c r="AB64" s="57"/>
      <c r="AC64" s="57"/>
      <c r="AD64" s="57"/>
      <c r="AE64" s="57"/>
      <c r="AF64" s="57"/>
      <c r="AG64" s="57"/>
      <c r="AH64" s="57"/>
      <c r="AI64" s="57"/>
    </row>
    <row r="65" spans="1:35" x14ac:dyDescent="0.25">
      <c r="A65" s="21"/>
      <c r="B65" s="20" t="s">
        <v>35</v>
      </c>
      <c r="C65" s="21"/>
      <c r="D65" s="20"/>
      <c r="E65" s="29"/>
      <c r="H65" s="25" t="s">
        <v>34</v>
      </c>
      <c r="I65" s="25"/>
      <c r="J65" s="25"/>
      <c r="K65" s="25"/>
      <c r="L65" s="32">
        <f>SUM(L45:L64)</f>
        <v>0</v>
      </c>
      <c r="M65" s="57"/>
      <c r="N65" s="57"/>
      <c r="T65" s="57"/>
      <c r="U65" s="21"/>
      <c r="V65" s="20" t="s">
        <v>35</v>
      </c>
      <c r="W65" s="21"/>
      <c r="X65" s="20"/>
      <c r="Y65" s="29"/>
      <c r="Z65" s="57"/>
      <c r="AA65" s="57"/>
      <c r="AB65" s="57"/>
      <c r="AC65" s="57"/>
      <c r="AD65" s="57"/>
      <c r="AE65" s="57"/>
      <c r="AF65" s="57"/>
      <c r="AG65" s="57"/>
      <c r="AH65" s="57"/>
      <c r="AI65" s="57"/>
    </row>
    <row r="66" spans="1:35" x14ac:dyDescent="0.25">
      <c r="A66" s="25" t="s">
        <v>34</v>
      </c>
      <c r="B66" s="25"/>
      <c r="C66" s="25"/>
      <c r="D66" s="25"/>
      <c r="E66" s="32">
        <f>SUM(E46:E65)</f>
        <v>879.71519999999987</v>
      </c>
      <c r="H66" s="33"/>
      <c r="I66" s="33"/>
      <c r="J66" s="33"/>
      <c r="K66" s="33"/>
      <c r="L66" s="33"/>
      <c r="M66" s="61"/>
      <c r="N66" s="61"/>
      <c r="T66" s="61"/>
      <c r="U66" s="25" t="s">
        <v>34</v>
      </c>
      <c r="V66" s="25"/>
      <c r="W66" s="25"/>
      <c r="X66" s="25"/>
      <c r="Y66" s="32" t="e">
        <f>SUM(Y46:Y65)</f>
        <v>#REF!</v>
      </c>
      <c r="Z66" s="61"/>
      <c r="AA66" s="61"/>
      <c r="AB66" s="61"/>
      <c r="AC66" s="61"/>
      <c r="AD66" s="61"/>
      <c r="AE66" s="61"/>
      <c r="AF66" s="61"/>
      <c r="AG66" s="61"/>
      <c r="AH66" s="61"/>
      <c r="AI66" s="61"/>
    </row>
    <row r="67" spans="1:35" x14ac:dyDescent="0.25">
      <c r="H67" s="33"/>
      <c r="I67" s="33"/>
      <c r="J67" s="33"/>
      <c r="K67" s="33"/>
      <c r="L67" s="33"/>
    </row>
    <row r="68" spans="1:35" x14ac:dyDescent="0.25">
      <c r="H68" s="33"/>
      <c r="I68" s="33"/>
      <c r="J68" s="33"/>
      <c r="K68" s="33"/>
      <c r="L68" s="33"/>
    </row>
    <row r="69" spans="1:35" x14ac:dyDescent="0.25">
      <c r="A69" s="128" t="s">
        <v>117</v>
      </c>
      <c r="B69" s="129"/>
      <c r="C69" s="129"/>
      <c r="D69" s="129"/>
      <c r="E69" s="129"/>
      <c r="H69" s="72" t="s">
        <v>117</v>
      </c>
      <c r="I69" s="72"/>
      <c r="J69" s="72"/>
      <c r="K69" s="72"/>
      <c r="L69" s="72"/>
    </row>
    <row r="70" spans="1:35" x14ac:dyDescent="0.25">
      <c r="A70" s="13" t="s">
        <v>16</v>
      </c>
      <c r="B70" s="14">
        <f>'Achat 1 et unique habitation'!G10</f>
        <v>0.1</v>
      </c>
      <c r="C70" s="15"/>
      <c r="D70" s="16"/>
      <c r="E70" s="16"/>
      <c r="H70" s="13" t="s">
        <v>16</v>
      </c>
      <c r="I70" s="14">
        <f>'Achat 1 et unique habitation'!N10</f>
        <v>0</v>
      </c>
      <c r="J70" s="15"/>
      <c r="K70" s="16"/>
      <c r="L70" s="16"/>
    </row>
    <row r="71" spans="1:35" x14ac:dyDescent="0.25">
      <c r="A71" s="17" t="s">
        <v>17</v>
      </c>
      <c r="B71" s="18">
        <f>'Achat 1 et unique habitation'!E8</f>
        <v>200000</v>
      </c>
      <c r="C71" s="19"/>
      <c r="D71" s="16"/>
      <c r="E71" s="16"/>
      <c r="H71" s="17" t="s">
        <v>17</v>
      </c>
      <c r="I71" s="18">
        <f>'Achat 1 et unique habitation'!L8</f>
        <v>0</v>
      </c>
      <c r="J71" s="19"/>
      <c r="K71" s="16"/>
      <c r="L71" s="16"/>
    </row>
    <row r="72" spans="1:35" x14ac:dyDescent="0.25">
      <c r="A72" s="20" t="s">
        <v>18</v>
      </c>
      <c r="B72" s="18">
        <f>'Achat 1 et unique habitation'!G28</f>
        <v>35000</v>
      </c>
      <c r="C72" s="19"/>
      <c r="D72" s="16"/>
      <c r="E72" s="16"/>
      <c r="H72" s="21" t="s">
        <v>19</v>
      </c>
      <c r="I72" s="22" t="e">
        <f>(I71-#REF!)*I70</f>
        <v>#REF!</v>
      </c>
      <c r="J72" s="23"/>
      <c r="K72" s="16"/>
      <c r="L72" s="16"/>
    </row>
    <row r="73" spans="1:35" x14ac:dyDescent="0.25">
      <c r="A73" s="21" t="s">
        <v>19</v>
      </c>
      <c r="B73" s="22">
        <f>(B71-B72)*B70</f>
        <v>16500</v>
      </c>
      <c r="C73" s="23"/>
      <c r="D73" s="16"/>
      <c r="E73" s="16"/>
      <c r="H73" s="21" t="s">
        <v>20</v>
      </c>
      <c r="I73" s="24">
        <f>L109</f>
        <v>0</v>
      </c>
      <c r="J73" s="23"/>
      <c r="K73" s="16"/>
      <c r="L73" s="16"/>
    </row>
    <row r="74" spans="1:35" x14ac:dyDescent="0.25">
      <c r="A74" s="21" t="s">
        <v>20</v>
      </c>
      <c r="B74" s="24">
        <f>E110</f>
        <v>2163.663</v>
      </c>
      <c r="C74" s="23"/>
      <c r="D74" s="16"/>
      <c r="E74" s="16"/>
      <c r="H74" s="21" t="s">
        <v>21</v>
      </c>
      <c r="I74" s="24">
        <v>1000</v>
      </c>
      <c r="J74" s="23"/>
      <c r="K74" s="16"/>
      <c r="L74" s="16"/>
    </row>
    <row r="75" spans="1:35" x14ac:dyDescent="0.25">
      <c r="A75" s="21" t="s">
        <v>21</v>
      </c>
      <c r="B75" s="24">
        <v>1000</v>
      </c>
      <c r="C75" s="23"/>
      <c r="D75" s="16"/>
      <c r="E75" s="16"/>
      <c r="H75" s="21" t="s">
        <v>22</v>
      </c>
      <c r="I75" s="24">
        <f>(I73+I74)*21%</f>
        <v>210</v>
      </c>
      <c r="J75" s="23"/>
      <c r="K75" s="16"/>
      <c r="L75" s="16"/>
    </row>
    <row r="76" spans="1:35" x14ac:dyDescent="0.25">
      <c r="A76" s="21" t="s">
        <v>22</v>
      </c>
      <c r="B76" s="24">
        <f>(B74+B75)*21%</f>
        <v>664.36923000000002</v>
      </c>
      <c r="C76" s="23"/>
      <c r="D76" s="16"/>
      <c r="E76" s="16"/>
      <c r="H76" s="25" t="s">
        <v>23</v>
      </c>
      <c r="I76" s="26" t="e">
        <f>I72+I73+I74+I75</f>
        <v>#REF!</v>
      </c>
      <c r="J76" s="27"/>
      <c r="K76" s="16"/>
      <c r="L76" s="16"/>
    </row>
    <row r="77" spans="1:35" x14ac:dyDescent="0.25">
      <c r="A77" s="25" t="s">
        <v>23</v>
      </c>
      <c r="B77" s="26">
        <f>B73+B74+B75+B76</f>
        <v>20328.032230000001</v>
      </c>
      <c r="C77" s="27"/>
      <c r="D77" s="16"/>
      <c r="E77" s="16"/>
      <c r="H77" s="16"/>
      <c r="I77" s="16"/>
      <c r="J77" s="19"/>
      <c r="K77" s="16"/>
      <c r="L77" s="16"/>
    </row>
    <row r="78" spans="1:35" x14ac:dyDescent="0.25">
      <c r="A78" s="16"/>
      <c r="B78" s="16"/>
      <c r="C78" s="19"/>
      <c r="D78" s="16"/>
      <c r="E78" s="16"/>
      <c r="H78" s="17" t="s">
        <v>24</v>
      </c>
      <c r="I78" s="18">
        <f>'Achat 1 et unique habitation'!L8</f>
        <v>0</v>
      </c>
      <c r="J78" s="19"/>
      <c r="K78" s="16"/>
      <c r="L78" s="16"/>
    </row>
    <row r="79" spans="1:35" x14ac:dyDescent="0.25">
      <c r="A79" s="17" t="s">
        <v>24</v>
      </c>
      <c r="B79" s="18">
        <f>'Achat 1 et unique habitation'!E8</f>
        <v>200000</v>
      </c>
      <c r="C79" s="19"/>
      <c r="D79" s="16"/>
      <c r="E79" s="16"/>
      <c r="H79" s="20" t="s">
        <v>25</v>
      </c>
      <c r="I79" s="24">
        <f>(I78*0.01)*1.1</f>
        <v>0</v>
      </c>
      <c r="J79" s="16"/>
      <c r="K79" s="16"/>
      <c r="L79" s="16"/>
    </row>
    <row r="80" spans="1:35" x14ac:dyDescent="0.25">
      <c r="A80" s="20" t="s">
        <v>25</v>
      </c>
      <c r="B80" s="24">
        <f>(B79*0.01)*1.1</f>
        <v>2200</v>
      </c>
      <c r="C80" s="16"/>
      <c r="D80" s="16"/>
      <c r="E80" s="16"/>
      <c r="H80" s="20" t="s">
        <v>26</v>
      </c>
      <c r="I80" s="24">
        <f>L133</f>
        <v>0</v>
      </c>
      <c r="J80" s="16"/>
      <c r="K80" s="16"/>
      <c r="L80" s="16"/>
    </row>
    <row r="81" spans="1:12" x14ac:dyDescent="0.25">
      <c r="A81" s="20" t="s">
        <v>26</v>
      </c>
      <c r="B81" s="24">
        <f>E134</f>
        <v>879.71519999999987</v>
      </c>
      <c r="C81" s="16"/>
      <c r="D81" s="16"/>
      <c r="E81" s="16"/>
      <c r="H81" s="20" t="s">
        <v>21</v>
      </c>
      <c r="I81" s="24">
        <v>1000</v>
      </c>
      <c r="J81" s="16"/>
      <c r="K81" s="16"/>
      <c r="L81" s="16"/>
    </row>
    <row r="82" spans="1:12" x14ac:dyDescent="0.25">
      <c r="A82" s="20" t="s">
        <v>21</v>
      </c>
      <c r="B82" s="24">
        <v>1000</v>
      </c>
      <c r="C82" s="16"/>
      <c r="D82" s="16"/>
      <c r="E82" s="16"/>
      <c r="H82" s="20" t="s">
        <v>27</v>
      </c>
      <c r="I82" s="24">
        <f>I79*0.003*100</f>
        <v>0</v>
      </c>
      <c r="J82" s="16"/>
      <c r="K82" s="16"/>
      <c r="L82" s="16"/>
    </row>
    <row r="83" spans="1:12" x14ac:dyDescent="0.25">
      <c r="A83" s="20" t="s">
        <v>27</v>
      </c>
      <c r="B83" s="24">
        <f>B80*0.003*100</f>
        <v>660</v>
      </c>
      <c r="C83" s="16"/>
      <c r="D83" s="16"/>
      <c r="E83" s="16"/>
      <c r="H83" s="20" t="s">
        <v>28</v>
      </c>
      <c r="I83" s="24">
        <f>I78*0.001</f>
        <v>0</v>
      </c>
      <c r="J83" s="16"/>
      <c r="K83" s="16"/>
      <c r="L83" s="16"/>
    </row>
    <row r="84" spans="1:12" x14ac:dyDescent="0.25">
      <c r="A84" s="20" t="s">
        <v>28</v>
      </c>
      <c r="B84" s="24">
        <f>B79*0.001</f>
        <v>200</v>
      </c>
      <c r="C84" s="16"/>
      <c r="D84" s="16"/>
      <c r="E84" s="16"/>
      <c r="H84" s="20" t="s">
        <v>22</v>
      </c>
      <c r="I84" s="24">
        <f>(I80+I81)*21%</f>
        <v>210</v>
      </c>
      <c r="J84" s="16"/>
      <c r="K84" s="16"/>
      <c r="L84" s="16"/>
    </row>
    <row r="85" spans="1:12" x14ac:dyDescent="0.25">
      <c r="A85" s="20" t="s">
        <v>22</v>
      </c>
      <c r="B85" s="24">
        <f>(B81+B82)*21%</f>
        <v>394.74019199999998</v>
      </c>
      <c r="C85" s="16"/>
      <c r="D85" s="16"/>
      <c r="E85" s="16"/>
      <c r="H85" s="25" t="s">
        <v>29</v>
      </c>
      <c r="I85" s="26">
        <f>SUM(I79:I83)</f>
        <v>1000</v>
      </c>
      <c r="J85" s="16"/>
      <c r="K85" s="16"/>
      <c r="L85" s="16"/>
    </row>
    <row r="86" spans="1:12" x14ac:dyDescent="0.25">
      <c r="A86" s="25" t="s">
        <v>29</v>
      </c>
      <c r="B86" s="26">
        <f>SUM(B80:B84)</f>
        <v>4939.7151999999996</v>
      </c>
      <c r="C86" s="16"/>
      <c r="D86" s="16"/>
      <c r="E86" s="16"/>
      <c r="H86" s="16"/>
      <c r="I86" s="16"/>
      <c r="J86" s="16"/>
      <c r="K86" s="16"/>
      <c r="L86" s="16"/>
    </row>
    <row r="87" spans="1:12" x14ac:dyDescent="0.25">
      <c r="A87" s="16"/>
      <c r="B87" s="16"/>
      <c r="C87" s="16"/>
      <c r="D87" s="16"/>
      <c r="E87" s="16"/>
      <c r="H87" s="70" t="s">
        <v>30</v>
      </c>
      <c r="I87" s="70"/>
      <c r="J87" s="70"/>
      <c r="K87" s="70"/>
      <c r="L87" s="70"/>
    </row>
    <row r="88" spans="1:12" x14ac:dyDescent="0.25">
      <c r="A88" s="127" t="s">
        <v>30</v>
      </c>
      <c r="B88" s="127"/>
      <c r="C88" s="127"/>
      <c r="D88" s="127"/>
      <c r="E88" s="127"/>
      <c r="H88" s="130" t="s">
        <v>31</v>
      </c>
      <c r="I88" s="130"/>
      <c r="J88" s="71" t="s">
        <v>32</v>
      </c>
      <c r="K88" s="71" t="s">
        <v>33</v>
      </c>
      <c r="L88" s="71" t="s">
        <v>34</v>
      </c>
    </row>
    <row r="89" spans="1:12" x14ac:dyDescent="0.25">
      <c r="A89" s="126" t="s">
        <v>31</v>
      </c>
      <c r="B89" s="126"/>
      <c r="C89" s="28" t="s">
        <v>32</v>
      </c>
      <c r="D89" s="28" t="s">
        <v>33</v>
      </c>
      <c r="E89" s="28" t="s">
        <v>34</v>
      </c>
      <c r="H89" s="20">
        <v>0</v>
      </c>
      <c r="I89" s="20">
        <v>7500</v>
      </c>
      <c r="J89" s="21">
        <f>I89-H89</f>
        <v>7500</v>
      </c>
      <c r="K89" s="20">
        <v>4.5600000000000002E-2</v>
      </c>
      <c r="L89" s="29">
        <f>IF(I71&lt;=I89,I71*K89)</f>
        <v>0</v>
      </c>
    </row>
    <row r="90" spans="1:12" x14ac:dyDescent="0.25">
      <c r="A90" s="20">
        <v>0</v>
      </c>
      <c r="B90" s="20">
        <v>7500</v>
      </c>
      <c r="C90" s="21">
        <f>B90-A90</f>
        <v>7500</v>
      </c>
      <c r="D90" s="20">
        <v>4.5600000000000002E-2</v>
      </c>
      <c r="E90" s="29" t="b">
        <f>IF(B71&lt;=B90,B71*D90)</f>
        <v>0</v>
      </c>
      <c r="H90" s="21"/>
      <c r="I90" s="20" t="s">
        <v>35</v>
      </c>
      <c r="J90" s="30">
        <f>I71-J89</f>
        <v>-7500</v>
      </c>
      <c r="K90" s="20"/>
      <c r="L90" s="29" t="b">
        <f>IF(I71&gt;I89,J89*K89)</f>
        <v>0</v>
      </c>
    </row>
    <row r="91" spans="1:12" x14ac:dyDescent="0.25">
      <c r="A91" s="21"/>
      <c r="B91" s="20" t="s">
        <v>35</v>
      </c>
      <c r="C91" s="30">
        <f>B71-C90</f>
        <v>192500</v>
      </c>
      <c r="D91" s="20"/>
      <c r="E91" s="29">
        <f>IF(B71&gt;B90,C90*D90)</f>
        <v>342</v>
      </c>
      <c r="H91" s="21"/>
      <c r="I91" s="21"/>
      <c r="J91" s="30"/>
      <c r="K91" s="20"/>
      <c r="L91" s="29"/>
    </row>
    <row r="92" spans="1:12" x14ac:dyDescent="0.25">
      <c r="A92" s="21"/>
      <c r="B92" s="21"/>
      <c r="C92" s="30"/>
      <c r="D92" s="20"/>
      <c r="E92" s="29"/>
      <c r="H92" s="20">
        <v>7500</v>
      </c>
      <c r="I92" s="20">
        <v>17500</v>
      </c>
      <c r="J92" s="21">
        <f>I92-H92</f>
        <v>10000</v>
      </c>
      <c r="K92" s="20">
        <v>2.8500000000000001E-2</v>
      </c>
      <c r="L92" s="29" t="b">
        <f>IF(AND(I71&gt;H92,I71&lt;=I92),J90*K92)</f>
        <v>0</v>
      </c>
    </row>
    <row r="93" spans="1:12" x14ac:dyDescent="0.25">
      <c r="A93" s="20">
        <v>7500</v>
      </c>
      <c r="B93" s="20">
        <v>17500</v>
      </c>
      <c r="C93" s="21">
        <f>B93-A93</f>
        <v>10000</v>
      </c>
      <c r="D93" s="20">
        <v>2.8500000000000001E-2</v>
      </c>
      <c r="E93" s="29" t="b">
        <f>IF(AND(B71&gt;A93,B71&lt;=B93),C91*D93)</f>
        <v>0</v>
      </c>
      <c r="H93" s="21"/>
      <c r="I93" s="20" t="s">
        <v>35</v>
      </c>
      <c r="J93" s="30">
        <f>J90-J92</f>
        <v>-17500</v>
      </c>
      <c r="K93" s="20"/>
      <c r="L93" s="29" t="b">
        <f>IF(I71&gt;I92,J92*K92)</f>
        <v>0</v>
      </c>
    </row>
    <row r="94" spans="1:12" x14ac:dyDescent="0.25">
      <c r="A94" s="21"/>
      <c r="B94" s="20" t="s">
        <v>35</v>
      </c>
      <c r="C94" s="30">
        <f>C91-C93</f>
        <v>182500</v>
      </c>
      <c r="D94" s="20"/>
      <c r="E94" s="29">
        <f>IF(B71&gt;B93,C93*D93)</f>
        <v>285</v>
      </c>
      <c r="H94" s="21"/>
      <c r="I94" s="21"/>
      <c r="J94" s="30"/>
      <c r="K94" s="20"/>
      <c r="L94" s="29"/>
    </row>
    <row r="95" spans="1:12" x14ac:dyDescent="0.25">
      <c r="A95" s="21"/>
      <c r="B95" s="21"/>
      <c r="C95" s="30"/>
      <c r="D95" s="20"/>
      <c r="E95" s="29"/>
      <c r="H95" s="20">
        <v>17500</v>
      </c>
      <c r="I95" s="20">
        <v>30000</v>
      </c>
      <c r="J95" s="21">
        <f>I95-H95</f>
        <v>12500</v>
      </c>
      <c r="K95" s="20">
        <v>2.2800000000000001E-2</v>
      </c>
      <c r="L95" s="29" t="b">
        <f>IF(AND(I71&gt;H95,I71&lt;=I95),J93*K95)</f>
        <v>0</v>
      </c>
    </row>
    <row r="96" spans="1:12" x14ac:dyDescent="0.25">
      <c r="A96" s="20">
        <v>17500</v>
      </c>
      <c r="B96" s="20">
        <v>30000</v>
      </c>
      <c r="C96" s="21">
        <f>B96-A96</f>
        <v>12500</v>
      </c>
      <c r="D96" s="20">
        <v>2.2800000000000001E-2</v>
      </c>
      <c r="E96" s="29" t="b">
        <f>IF(AND(B71&gt;A96,B71&lt;=B96),C94*D96)</f>
        <v>0</v>
      </c>
      <c r="H96" s="21"/>
      <c r="I96" s="20" t="s">
        <v>35</v>
      </c>
      <c r="J96" s="30">
        <f>J93-J95</f>
        <v>-30000</v>
      </c>
      <c r="K96" s="20"/>
      <c r="L96" s="29" t="b">
        <f>IF(I71&gt;I95,J95*K95)</f>
        <v>0</v>
      </c>
    </row>
    <row r="97" spans="1:12" x14ac:dyDescent="0.25">
      <c r="A97" s="21"/>
      <c r="B97" s="20" t="s">
        <v>35</v>
      </c>
      <c r="C97" s="30">
        <f>C94-C96</f>
        <v>170000</v>
      </c>
      <c r="D97" s="20"/>
      <c r="E97" s="29">
        <f>IF(B71&gt;B96,C96*D96)</f>
        <v>285</v>
      </c>
      <c r="H97" s="21"/>
      <c r="I97" s="21"/>
      <c r="J97" s="30"/>
      <c r="K97" s="20"/>
      <c r="L97" s="29"/>
    </row>
    <row r="98" spans="1:12" x14ac:dyDescent="0.25">
      <c r="A98" s="21"/>
      <c r="B98" s="21"/>
      <c r="C98" s="30"/>
      <c r="D98" s="20"/>
      <c r="E98" s="29"/>
      <c r="H98" s="21">
        <v>30000</v>
      </c>
      <c r="I98" s="21">
        <v>45495</v>
      </c>
      <c r="J98" s="21">
        <f>I98-H98</f>
        <v>15495</v>
      </c>
      <c r="K98" s="20">
        <v>1.7100000000000001E-2</v>
      </c>
      <c r="L98" s="29" t="b">
        <f>IF(AND(I71&gt;H98,I71&lt;=I98),J96*K98)</f>
        <v>0</v>
      </c>
    </row>
    <row r="99" spans="1:12" x14ac:dyDescent="0.25">
      <c r="A99" s="21">
        <v>30000</v>
      </c>
      <c r="B99" s="21">
        <v>45495</v>
      </c>
      <c r="C99" s="21">
        <f>B99-A99</f>
        <v>15495</v>
      </c>
      <c r="D99" s="20">
        <v>1.7100000000000001E-2</v>
      </c>
      <c r="E99" s="29" t="b">
        <f>IF(AND(B71&gt;A99,B71&lt;=B99),C97*D99)</f>
        <v>0</v>
      </c>
      <c r="H99" s="21"/>
      <c r="I99" s="20" t="s">
        <v>35</v>
      </c>
      <c r="J99" s="30">
        <f>J96-J98</f>
        <v>-45495</v>
      </c>
      <c r="K99" s="20"/>
      <c r="L99" s="31" t="b">
        <f>IF(I71&gt;I98,J98*K98)</f>
        <v>0</v>
      </c>
    </row>
    <row r="100" spans="1:12" x14ac:dyDescent="0.25">
      <c r="A100" s="21"/>
      <c r="B100" s="20" t="s">
        <v>35</v>
      </c>
      <c r="C100" s="30">
        <f>C97-C99</f>
        <v>154505</v>
      </c>
      <c r="D100" s="20"/>
      <c r="E100" s="31">
        <f>IF(B71&gt;B99,C99*D99)</f>
        <v>264.96449999999999</v>
      </c>
      <c r="H100" s="21"/>
      <c r="I100" s="21"/>
      <c r="J100" s="30"/>
      <c r="K100" s="20"/>
      <c r="L100" s="29"/>
    </row>
    <row r="101" spans="1:12" x14ac:dyDescent="0.25">
      <c r="A101" s="21"/>
      <c r="B101" s="21"/>
      <c r="C101" s="30"/>
      <c r="D101" s="20"/>
      <c r="E101" s="29"/>
      <c r="H101" s="21">
        <v>45495</v>
      </c>
      <c r="I101" s="21">
        <v>64095</v>
      </c>
      <c r="J101" s="21">
        <f>I101-H101</f>
        <v>18600</v>
      </c>
      <c r="K101" s="20">
        <v>1.14E-2</v>
      </c>
      <c r="L101" s="29" t="b">
        <f>IF(AND(I71&gt;H101,I71&lt;=I101),J99*K101)</f>
        <v>0</v>
      </c>
    </row>
    <row r="102" spans="1:12" x14ac:dyDescent="0.25">
      <c r="A102" s="21">
        <v>45495</v>
      </c>
      <c r="B102" s="21">
        <v>64095</v>
      </c>
      <c r="C102" s="21">
        <f>B102-A102</f>
        <v>18600</v>
      </c>
      <c r="D102" s="20">
        <v>1.14E-2</v>
      </c>
      <c r="E102" s="29" t="b">
        <f>IF(AND(B71&gt;A102,B71&lt;=B102),C100*D102)</f>
        <v>0</v>
      </c>
      <c r="H102" s="21"/>
      <c r="I102" s="20" t="s">
        <v>35</v>
      </c>
      <c r="J102" s="30">
        <f>J99-J101</f>
        <v>-64095</v>
      </c>
      <c r="K102" s="20"/>
      <c r="L102" s="29" t="b">
        <f>IF(I71&gt;I101,J101*K101)</f>
        <v>0</v>
      </c>
    </row>
    <row r="103" spans="1:12" x14ac:dyDescent="0.25">
      <c r="A103" s="21"/>
      <c r="B103" s="20" t="s">
        <v>35</v>
      </c>
      <c r="C103" s="30">
        <f>C100-C102</f>
        <v>135905</v>
      </c>
      <c r="D103" s="20"/>
      <c r="E103" s="29">
        <f>IF(B71&gt;B102,C102*D102)</f>
        <v>212.04000000000002</v>
      </c>
      <c r="H103" s="21"/>
      <c r="I103" s="21"/>
      <c r="J103" s="30"/>
      <c r="K103" s="20"/>
      <c r="L103" s="29"/>
    </row>
    <row r="104" spans="1:12" x14ac:dyDescent="0.25">
      <c r="A104" s="21"/>
      <c r="B104" s="21"/>
      <c r="C104" s="30"/>
      <c r="D104" s="20"/>
      <c r="E104" s="29"/>
      <c r="H104" s="21">
        <v>64095</v>
      </c>
      <c r="I104" s="21">
        <v>250095</v>
      </c>
      <c r="J104" s="21">
        <f>I104-H104</f>
        <v>186000</v>
      </c>
      <c r="K104" s="20">
        <v>5.7000000000000002E-3</v>
      </c>
      <c r="L104" s="31" t="b">
        <f>IF(AND(I71&gt;H104,I71&lt;=I104),J102*K104)</f>
        <v>0</v>
      </c>
    </row>
    <row r="105" spans="1:12" x14ac:dyDescent="0.25">
      <c r="A105" s="21">
        <v>64095</v>
      </c>
      <c r="B105" s="21">
        <v>250095</v>
      </c>
      <c r="C105" s="21">
        <f>B105-A105</f>
        <v>186000</v>
      </c>
      <c r="D105" s="20">
        <v>5.7000000000000002E-3</v>
      </c>
      <c r="E105" s="31">
        <f>IF(AND(B71&gt;A105,B71&lt;=B105),C103*D105)</f>
        <v>774.6585</v>
      </c>
      <c r="H105" s="21"/>
      <c r="I105" s="20" t="s">
        <v>35</v>
      </c>
      <c r="J105" s="30">
        <f>J102-J104</f>
        <v>-250095</v>
      </c>
      <c r="K105" s="20"/>
      <c r="L105" s="29" t="b">
        <f>IF(I71&gt;I104,J104*K104)</f>
        <v>0</v>
      </c>
    </row>
    <row r="106" spans="1:12" x14ac:dyDescent="0.25">
      <c r="A106" s="21"/>
      <c r="B106" s="20" t="s">
        <v>35</v>
      </c>
      <c r="C106" s="30">
        <f>C103-C105</f>
        <v>-50095</v>
      </c>
      <c r="D106" s="20"/>
      <c r="E106" s="29" t="b">
        <f>IF(B71&gt;B105,C105*D105)</f>
        <v>0</v>
      </c>
      <c r="H106" s="21"/>
      <c r="I106" s="21"/>
      <c r="J106" s="30"/>
      <c r="K106" s="20"/>
      <c r="L106" s="29"/>
    </row>
    <row r="107" spans="1:12" x14ac:dyDescent="0.25">
      <c r="A107" s="21"/>
      <c r="B107" s="21"/>
      <c r="C107" s="30"/>
      <c r="D107" s="20"/>
      <c r="E107" s="29"/>
      <c r="H107" s="21">
        <v>250095</v>
      </c>
      <c r="I107" s="21" t="s">
        <v>36</v>
      </c>
      <c r="J107" s="21"/>
      <c r="K107" s="20">
        <v>5.6999999999999998E-4</v>
      </c>
      <c r="L107" s="29" t="b">
        <f>IF(AND(I71&gt;H107),J105*K107)</f>
        <v>0</v>
      </c>
    </row>
    <row r="108" spans="1:12" x14ac:dyDescent="0.25">
      <c r="A108" s="21">
        <v>250095</v>
      </c>
      <c r="B108" s="21" t="s">
        <v>36</v>
      </c>
      <c r="C108" s="21"/>
      <c r="D108" s="20">
        <v>5.6999999999999998E-4</v>
      </c>
      <c r="E108" s="29" t="b">
        <f>IF(AND(B71&gt;A108),C106*D108)</f>
        <v>0</v>
      </c>
      <c r="H108" s="21"/>
      <c r="I108" s="20" t="s">
        <v>35</v>
      </c>
      <c r="J108" s="21"/>
      <c r="K108" s="20"/>
      <c r="L108" s="29"/>
    </row>
    <row r="109" spans="1:12" x14ac:dyDescent="0.25">
      <c r="A109" s="21"/>
      <c r="B109" s="20" t="s">
        <v>35</v>
      </c>
      <c r="C109" s="21"/>
      <c r="D109" s="20"/>
      <c r="E109" s="29"/>
      <c r="H109" s="25" t="s">
        <v>34</v>
      </c>
      <c r="I109" s="25"/>
      <c r="J109" s="25"/>
      <c r="K109" s="25"/>
      <c r="L109" s="32">
        <f>SUM(L89:L108)</f>
        <v>0</v>
      </c>
    </row>
    <row r="110" spans="1:12" x14ac:dyDescent="0.25">
      <c r="A110" s="25" t="s">
        <v>34</v>
      </c>
      <c r="B110" s="25"/>
      <c r="C110" s="25"/>
      <c r="D110" s="25"/>
      <c r="E110" s="32">
        <f>SUM(E90:E109)</f>
        <v>2163.663</v>
      </c>
      <c r="H110" s="16"/>
      <c r="I110" s="16"/>
      <c r="J110" s="16"/>
      <c r="K110" s="16"/>
      <c r="L110" s="16"/>
    </row>
    <row r="111" spans="1:12" x14ac:dyDescent="0.25">
      <c r="A111" s="16"/>
      <c r="B111" s="16"/>
      <c r="C111" s="16"/>
      <c r="D111" s="16"/>
      <c r="E111" s="16"/>
      <c r="H111" s="127" t="s">
        <v>37</v>
      </c>
      <c r="I111" s="127"/>
      <c r="J111" s="127"/>
      <c r="K111" s="127"/>
      <c r="L111" s="127"/>
    </row>
    <row r="112" spans="1:12" x14ac:dyDescent="0.25">
      <c r="A112" s="127" t="s">
        <v>37</v>
      </c>
      <c r="B112" s="127"/>
      <c r="C112" s="127"/>
      <c r="D112" s="127"/>
      <c r="E112" s="127"/>
      <c r="H112" s="71" t="s">
        <v>31</v>
      </c>
      <c r="I112" s="71"/>
      <c r="J112" s="71" t="s">
        <v>32</v>
      </c>
      <c r="K112" s="71" t="s">
        <v>33</v>
      </c>
      <c r="L112" s="71" t="s">
        <v>34</v>
      </c>
    </row>
    <row r="113" spans="1:12" x14ac:dyDescent="0.25">
      <c r="A113" s="28" t="s">
        <v>31</v>
      </c>
      <c r="B113" s="28"/>
      <c r="C113" s="28" t="s">
        <v>32</v>
      </c>
      <c r="D113" s="28" t="s">
        <v>33</v>
      </c>
      <c r="E113" s="28" t="s">
        <v>34</v>
      </c>
      <c r="H113" s="20">
        <v>0</v>
      </c>
      <c r="I113" s="20">
        <v>7500</v>
      </c>
      <c r="J113" s="21">
        <f>I113-H113</f>
        <v>7500</v>
      </c>
      <c r="K113" s="20">
        <v>1.7100000000000001E-2</v>
      </c>
      <c r="L113" s="29">
        <f>IF(I78&lt;=I113,I78*K113)</f>
        <v>0</v>
      </c>
    </row>
    <row r="114" spans="1:12" x14ac:dyDescent="0.25">
      <c r="A114" s="20">
        <v>0</v>
      </c>
      <c r="B114" s="20">
        <v>7500</v>
      </c>
      <c r="C114" s="21">
        <f>B114-A114</f>
        <v>7500</v>
      </c>
      <c r="D114" s="20">
        <v>1.7100000000000001E-2</v>
      </c>
      <c r="E114" s="29" t="b">
        <f>IF(B79&lt;=B114,B79*D114)</f>
        <v>0</v>
      </c>
      <c r="H114" s="21"/>
      <c r="I114" s="20" t="s">
        <v>35</v>
      </c>
      <c r="J114" s="30">
        <f>I78-J113</f>
        <v>-7500</v>
      </c>
      <c r="K114" s="20"/>
      <c r="L114" s="29" t="b">
        <f>IF(I78&gt;I113,J113*K113)</f>
        <v>0</v>
      </c>
    </row>
    <row r="115" spans="1:12" x14ac:dyDescent="0.25">
      <c r="A115" s="21"/>
      <c r="B115" s="20" t="s">
        <v>35</v>
      </c>
      <c r="C115" s="30">
        <f>B79-C114</f>
        <v>192500</v>
      </c>
      <c r="D115" s="20"/>
      <c r="E115" s="29">
        <f>IF(B79&gt;B114,C114*D114)</f>
        <v>128.25</v>
      </c>
      <c r="H115" s="21"/>
      <c r="I115" s="21"/>
      <c r="J115" s="30"/>
      <c r="K115" s="20"/>
      <c r="L115" s="29"/>
    </row>
    <row r="116" spans="1:12" x14ac:dyDescent="0.25">
      <c r="A116" s="21"/>
      <c r="B116" s="21"/>
      <c r="C116" s="30"/>
      <c r="D116" s="20"/>
      <c r="E116" s="29"/>
      <c r="H116" s="20">
        <v>7500</v>
      </c>
      <c r="I116" s="20">
        <v>17500</v>
      </c>
      <c r="J116" s="21">
        <f>I116-H116</f>
        <v>10000</v>
      </c>
      <c r="K116" s="20">
        <v>1.3679999999999999E-2</v>
      </c>
      <c r="L116" s="29" t="b">
        <f>IF(AND(I78&gt;H116,I78&lt;=I116),J114*K116)</f>
        <v>0</v>
      </c>
    </row>
    <row r="117" spans="1:12" x14ac:dyDescent="0.25">
      <c r="A117" s="20">
        <v>7500</v>
      </c>
      <c r="B117" s="20">
        <v>17500</v>
      </c>
      <c r="C117" s="21">
        <f>B117-A117</f>
        <v>10000</v>
      </c>
      <c r="D117" s="20">
        <v>1.3679999999999999E-2</v>
      </c>
      <c r="E117" s="29" t="b">
        <f>IF(AND(B79&gt;A117,B79&lt;=B117),C115*D117)</f>
        <v>0</v>
      </c>
      <c r="H117" s="21"/>
      <c r="I117" s="20" t="s">
        <v>35</v>
      </c>
      <c r="J117" s="30">
        <f>J114-J116</f>
        <v>-17500</v>
      </c>
      <c r="K117" s="20"/>
      <c r="L117" s="29" t="b">
        <f>IF(I78&gt;I116,J116*K116)</f>
        <v>0</v>
      </c>
    </row>
    <row r="118" spans="1:12" x14ac:dyDescent="0.25">
      <c r="A118" s="21"/>
      <c r="B118" s="20" t="s">
        <v>35</v>
      </c>
      <c r="C118" s="30">
        <f>C115-C117</f>
        <v>182500</v>
      </c>
      <c r="D118" s="20"/>
      <c r="E118" s="29">
        <f>IF(B79&gt;B117,C117*D117)</f>
        <v>136.79999999999998</v>
      </c>
      <c r="H118" s="21"/>
      <c r="I118" s="21"/>
      <c r="J118" s="30"/>
      <c r="K118" s="20"/>
      <c r="L118" s="29"/>
    </row>
    <row r="119" spans="1:12" x14ac:dyDescent="0.25">
      <c r="A119" s="21"/>
      <c r="B119" s="21"/>
      <c r="C119" s="30"/>
      <c r="D119" s="20"/>
      <c r="E119" s="29"/>
      <c r="H119" s="20">
        <v>17500</v>
      </c>
      <c r="I119" s="20">
        <v>30000</v>
      </c>
      <c r="J119" s="21">
        <f>I119-H119</f>
        <v>12500</v>
      </c>
      <c r="K119" s="20">
        <v>9.1199999999999996E-3</v>
      </c>
      <c r="L119" s="29" t="b">
        <f>IF(AND(I78&gt;H119,I78&lt;=I119),J117*K119)</f>
        <v>0</v>
      </c>
    </row>
    <row r="120" spans="1:12" x14ac:dyDescent="0.25">
      <c r="A120" s="20">
        <v>17500</v>
      </c>
      <c r="B120" s="20">
        <v>30000</v>
      </c>
      <c r="C120" s="21">
        <f>B120-A120</f>
        <v>12500</v>
      </c>
      <c r="D120" s="20">
        <v>9.1199999999999996E-3</v>
      </c>
      <c r="E120" s="29" t="b">
        <f>IF(AND(B79&gt;A120,B79&lt;=B120),C118*D120)</f>
        <v>0</v>
      </c>
      <c r="H120" s="21"/>
      <c r="I120" s="20" t="s">
        <v>35</v>
      </c>
      <c r="J120" s="30">
        <f>J117-J119</f>
        <v>-30000</v>
      </c>
      <c r="K120" s="20"/>
      <c r="L120" s="29" t="b">
        <f>IF(I78&gt;I119,J119*K119)</f>
        <v>0</v>
      </c>
    </row>
    <row r="121" spans="1:12" x14ac:dyDescent="0.25">
      <c r="A121" s="21"/>
      <c r="B121" s="20" t="s">
        <v>35</v>
      </c>
      <c r="C121" s="30">
        <f>C118-C120</f>
        <v>170000</v>
      </c>
      <c r="D121" s="20"/>
      <c r="E121" s="29">
        <f>IF(B79&gt;B120,C120*D120)</f>
        <v>114</v>
      </c>
      <c r="H121" s="21"/>
      <c r="I121" s="21"/>
      <c r="J121" s="30"/>
      <c r="K121" s="20"/>
      <c r="L121" s="29"/>
    </row>
    <row r="122" spans="1:12" x14ac:dyDescent="0.25">
      <c r="A122" s="21"/>
      <c r="B122" s="21"/>
      <c r="C122" s="30"/>
      <c r="D122" s="20"/>
      <c r="E122" s="29"/>
      <c r="H122" s="21">
        <v>30000</v>
      </c>
      <c r="I122" s="21">
        <v>45495</v>
      </c>
      <c r="J122" s="21">
        <f>I122-H122</f>
        <v>15495</v>
      </c>
      <c r="K122" s="20">
        <v>6.8399999999999997E-3</v>
      </c>
      <c r="L122" s="29" t="b">
        <f>IF(AND(I78&gt;H122,I78&lt;=I122),J120*K122)</f>
        <v>0</v>
      </c>
    </row>
    <row r="123" spans="1:12" x14ac:dyDescent="0.25">
      <c r="A123" s="21">
        <v>30000</v>
      </c>
      <c r="B123" s="21">
        <v>45495</v>
      </c>
      <c r="C123" s="21">
        <f>B123-A123</f>
        <v>15495</v>
      </c>
      <c r="D123" s="20">
        <v>6.8399999999999997E-3</v>
      </c>
      <c r="E123" s="29" t="b">
        <f>IF(AND(B79&gt;A123,B79&lt;=B123),C121*D123)</f>
        <v>0</v>
      </c>
      <c r="H123" s="21"/>
      <c r="I123" s="20" t="s">
        <v>35</v>
      </c>
      <c r="J123" s="30">
        <f>J120-J122</f>
        <v>-45495</v>
      </c>
      <c r="K123" s="20"/>
      <c r="L123" s="31" t="b">
        <f>IF(I78&gt;I122,J122*K122)</f>
        <v>0</v>
      </c>
    </row>
    <row r="124" spans="1:12" x14ac:dyDescent="0.25">
      <c r="A124" s="21"/>
      <c r="B124" s="20" t="s">
        <v>35</v>
      </c>
      <c r="C124" s="30">
        <f>C121-C123</f>
        <v>154505</v>
      </c>
      <c r="D124" s="20"/>
      <c r="E124" s="31">
        <f>IF(B79&gt;B123,C123*D123)</f>
        <v>105.9858</v>
      </c>
      <c r="H124" s="21"/>
      <c r="I124" s="21"/>
      <c r="J124" s="30"/>
      <c r="K124" s="20"/>
      <c r="L124" s="29"/>
    </row>
    <row r="125" spans="1:12" x14ac:dyDescent="0.25">
      <c r="A125" s="21"/>
      <c r="B125" s="21"/>
      <c r="C125" s="30"/>
      <c r="D125" s="20"/>
      <c r="E125" s="29"/>
      <c r="H125" s="21">
        <v>45495</v>
      </c>
      <c r="I125" s="21">
        <v>64095</v>
      </c>
      <c r="J125" s="21">
        <f>I125-H125</f>
        <v>18600</v>
      </c>
      <c r="K125" s="20">
        <v>4.5599999999999998E-3</v>
      </c>
      <c r="L125" s="29" t="b">
        <f>IF(AND(I78&gt;H125,I78&lt;=I125),J123*K125)</f>
        <v>0</v>
      </c>
    </row>
    <row r="126" spans="1:12" x14ac:dyDescent="0.25">
      <c r="A126" s="21">
        <v>45495</v>
      </c>
      <c r="B126" s="21">
        <v>64095</v>
      </c>
      <c r="C126" s="21">
        <f>B126-A126</f>
        <v>18600</v>
      </c>
      <c r="D126" s="20">
        <v>4.5599999999999998E-3</v>
      </c>
      <c r="E126" s="29" t="b">
        <f>IF(AND(B79&gt;A126,B79&lt;=B126),C124*D126)</f>
        <v>0</v>
      </c>
      <c r="H126" s="21"/>
      <c r="I126" s="20" t="s">
        <v>35</v>
      </c>
      <c r="J126" s="30">
        <f>J123-J125</f>
        <v>-64095</v>
      </c>
      <c r="K126" s="20"/>
      <c r="L126" s="29" t="b">
        <f>IF(I78&gt;I125,J125*K125)</f>
        <v>0</v>
      </c>
    </row>
    <row r="127" spans="1:12" x14ac:dyDescent="0.25">
      <c r="A127" s="21"/>
      <c r="B127" s="20" t="s">
        <v>35</v>
      </c>
      <c r="C127" s="30">
        <f>C124-C126</f>
        <v>135905</v>
      </c>
      <c r="D127" s="20"/>
      <c r="E127" s="29">
        <f>IF(B79&gt;B126,C126*D126)</f>
        <v>84.816000000000003</v>
      </c>
      <c r="H127" s="21"/>
      <c r="I127" s="21"/>
      <c r="J127" s="30"/>
      <c r="K127" s="20"/>
      <c r="L127" s="29"/>
    </row>
    <row r="128" spans="1:12" x14ac:dyDescent="0.25">
      <c r="A128" s="21"/>
      <c r="B128" s="21"/>
      <c r="C128" s="30"/>
      <c r="D128" s="20"/>
      <c r="E128" s="29"/>
      <c r="H128" s="21">
        <v>64095</v>
      </c>
      <c r="I128" s="21">
        <v>250095</v>
      </c>
      <c r="J128" s="21">
        <f>I128-H128</f>
        <v>186000</v>
      </c>
      <c r="K128" s="20">
        <v>2.2799999999999999E-3</v>
      </c>
      <c r="L128" s="31" t="b">
        <f>IF(AND(I78&gt;H128,I78&lt;=I128),J126*K128)</f>
        <v>0</v>
      </c>
    </row>
    <row r="129" spans="1:12" x14ac:dyDescent="0.25">
      <c r="A129" s="21">
        <v>64095</v>
      </c>
      <c r="B129" s="21">
        <v>250095</v>
      </c>
      <c r="C129" s="21">
        <f>B129-A129</f>
        <v>186000</v>
      </c>
      <c r="D129" s="20">
        <v>2.2799999999999999E-3</v>
      </c>
      <c r="E129" s="31">
        <f>IF(AND(B79&gt;A129,B79&lt;=B129),C127*D129)</f>
        <v>309.86340000000001</v>
      </c>
      <c r="H129" s="21"/>
      <c r="I129" s="20" t="s">
        <v>35</v>
      </c>
      <c r="J129" s="30">
        <f>J126-J128</f>
        <v>-250095</v>
      </c>
      <c r="K129" s="20"/>
      <c r="L129" s="29" t="b">
        <f>IF(I78&gt;I128,J128*K128)</f>
        <v>0</v>
      </c>
    </row>
    <row r="130" spans="1:12" x14ac:dyDescent="0.25">
      <c r="A130" s="21"/>
      <c r="B130" s="20" t="s">
        <v>35</v>
      </c>
      <c r="C130" s="30">
        <f>C127-C129</f>
        <v>-50095</v>
      </c>
      <c r="D130" s="20"/>
      <c r="E130" s="29" t="b">
        <f>IF(B79&gt;B129,C129*D129)</f>
        <v>0</v>
      </c>
      <c r="H130" s="21"/>
      <c r="I130" s="21"/>
      <c r="J130" s="30"/>
      <c r="K130" s="20"/>
      <c r="L130" s="29"/>
    </row>
    <row r="131" spans="1:12" x14ac:dyDescent="0.25">
      <c r="A131" s="21"/>
      <c r="B131" s="21"/>
      <c r="C131" s="30"/>
      <c r="D131" s="20"/>
      <c r="E131" s="29"/>
      <c r="H131" s="21">
        <v>250095</v>
      </c>
      <c r="I131" s="21" t="s">
        <v>36</v>
      </c>
      <c r="J131" s="21"/>
      <c r="K131" s="20">
        <v>4.5600000000000003E-4</v>
      </c>
      <c r="L131" s="29" t="b">
        <f>IF(AND(I78&gt;H131),J129*K131)</f>
        <v>0</v>
      </c>
    </row>
    <row r="132" spans="1:12" x14ac:dyDescent="0.25">
      <c r="A132" s="21">
        <v>250095</v>
      </c>
      <c r="B132" s="21" t="s">
        <v>36</v>
      </c>
      <c r="C132" s="21"/>
      <c r="D132" s="20">
        <v>4.5600000000000003E-4</v>
      </c>
      <c r="E132" s="29" t="b">
        <f>IF(AND(B79&gt;A132),C130*D132)</f>
        <v>0</v>
      </c>
      <c r="H132" s="21"/>
      <c r="I132" s="20" t="s">
        <v>35</v>
      </c>
      <c r="J132" s="21"/>
      <c r="K132" s="20"/>
      <c r="L132" s="29"/>
    </row>
    <row r="133" spans="1:12" x14ac:dyDescent="0.25">
      <c r="A133" s="21"/>
      <c r="B133" s="20" t="s">
        <v>35</v>
      </c>
      <c r="C133" s="21"/>
      <c r="D133" s="20"/>
      <c r="E133" s="29"/>
      <c r="H133" s="25" t="s">
        <v>34</v>
      </c>
      <c r="I133" s="25"/>
      <c r="J133" s="25"/>
      <c r="K133" s="25"/>
      <c r="L133" s="32">
        <f>SUM(L113:L132)</f>
        <v>0</v>
      </c>
    </row>
    <row r="134" spans="1:12" x14ac:dyDescent="0.25">
      <c r="A134" s="25" t="s">
        <v>34</v>
      </c>
      <c r="B134" s="25"/>
      <c r="C134" s="25"/>
      <c r="D134" s="25"/>
      <c r="E134" s="32">
        <f>SUM(E114:E133)</f>
        <v>879.71519999999987</v>
      </c>
      <c r="H134" s="33"/>
      <c r="I134" s="33"/>
      <c r="J134" s="33"/>
      <c r="K134" s="33"/>
      <c r="L134" s="33"/>
    </row>
    <row r="135" spans="1:12" x14ac:dyDescent="0.25">
      <c r="H135" s="33"/>
      <c r="I135" s="33"/>
      <c r="J135" s="33"/>
      <c r="K135" s="33"/>
      <c r="L135" s="33"/>
    </row>
    <row r="136" spans="1:12" x14ac:dyDescent="0.25">
      <c r="H136" s="33"/>
      <c r="I136" s="33"/>
      <c r="J136" s="33"/>
      <c r="K136" s="33"/>
      <c r="L136" s="33"/>
    </row>
    <row r="137" spans="1:12" x14ac:dyDescent="0.25">
      <c r="H137" s="33"/>
      <c r="I137" s="33"/>
      <c r="J137" s="33"/>
      <c r="K137" s="33"/>
      <c r="L137" s="33"/>
    </row>
    <row r="138" spans="1:12" x14ac:dyDescent="0.25">
      <c r="A138" s="128" t="s">
        <v>118</v>
      </c>
      <c r="B138" s="129"/>
      <c r="C138" s="129"/>
      <c r="D138" s="129"/>
      <c r="E138" s="129"/>
      <c r="H138" s="72" t="s">
        <v>118</v>
      </c>
      <c r="I138" s="72"/>
      <c r="J138" s="72"/>
      <c r="K138" s="72"/>
      <c r="L138" s="72"/>
    </row>
    <row r="139" spans="1:12" x14ac:dyDescent="0.25">
      <c r="A139" s="13" t="s">
        <v>16</v>
      </c>
      <c r="B139" s="14">
        <f>'Achat 1 et unique habitation'!U8</f>
        <v>0</v>
      </c>
      <c r="C139" s="15"/>
      <c r="D139" s="16"/>
      <c r="E139" s="16"/>
      <c r="H139" s="13" t="s">
        <v>16</v>
      </c>
      <c r="I139" s="14">
        <f>'Achat 1 et unique habitation'!AB8</f>
        <v>0</v>
      </c>
      <c r="J139" s="15"/>
      <c r="K139" s="16"/>
      <c r="L139" s="16"/>
    </row>
    <row r="140" spans="1:12" x14ac:dyDescent="0.25">
      <c r="A140" s="17" t="s">
        <v>17</v>
      </c>
      <c r="B140" s="18">
        <f>'Achat 1 et unique habitation'!E8</f>
        <v>200000</v>
      </c>
      <c r="C140" s="19"/>
      <c r="D140" s="16"/>
      <c r="E140" s="16"/>
      <c r="H140" s="17" t="s">
        <v>17</v>
      </c>
      <c r="I140" s="18">
        <f>'Achat 1 et unique habitation'!L8</f>
        <v>0</v>
      </c>
      <c r="J140" s="19"/>
      <c r="K140" s="16"/>
      <c r="L140" s="16"/>
    </row>
    <row r="141" spans="1:12" x14ac:dyDescent="0.25">
      <c r="A141" s="20" t="s">
        <v>119</v>
      </c>
      <c r="B141" s="18">
        <f>'Achat 1 et unique habitation'!V18</f>
        <v>0</v>
      </c>
      <c r="C141" s="67"/>
      <c r="D141" s="16"/>
      <c r="E141" s="16"/>
      <c r="H141" s="21" t="s">
        <v>19</v>
      </c>
      <c r="I141" s="22">
        <f>BG11</f>
        <v>0</v>
      </c>
      <c r="J141" s="23"/>
      <c r="K141" s="16"/>
      <c r="L141" s="16"/>
    </row>
    <row r="142" spans="1:12" x14ac:dyDescent="0.25">
      <c r="A142" s="21" t="s">
        <v>19</v>
      </c>
      <c r="B142" s="22">
        <f>AZ11</f>
        <v>14600</v>
      </c>
      <c r="C142" s="23"/>
      <c r="D142" s="16"/>
      <c r="E142" s="16"/>
      <c r="H142" s="21" t="s">
        <v>20</v>
      </c>
      <c r="I142" s="24">
        <f>L178</f>
        <v>0</v>
      </c>
      <c r="J142" s="23"/>
      <c r="K142" s="16"/>
      <c r="L142" s="16"/>
    </row>
    <row r="143" spans="1:12" x14ac:dyDescent="0.25">
      <c r="A143" s="21" t="s">
        <v>20</v>
      </c>
      <c r="B143" s="24">
        <f>E179</f>
        <v>2163.663</v>
      </c>
      <c r="C143" s="23"/>
      <c r="D143" s="16"/>
      <c r="E143" s="16"/>
      <c r="H143" s="21" t="s">
        <v>21</v>
      </c>
      <c r="I143" s="24">
        <v>1000</v>
      </c>
      <c r="J143" s="23"/>
      <c r="K143" s="16"/>
      <c r="L143" s="16"/>
    </row>
    <row r="144" spans="1:12" x14ac:dyDescent="0.25">
      <c r="A144" s="21" t="s">
        <v>21</v>
      </c>
      <c r="B144" s="24">
        <v>1000</v>
      </c>
      <c r="C144" s="23"/>
      <c r="D144" s="16"/>
      <c r="E144" s="16"/>
      <c r="H144" s="21" t="s">
        <v>22</v>
      </c>
      <c r="I144" s="24">
        <f>(I142+I143)*21%</f>
        <v>210</v>
      </c>
      <c r="J144" s="23"/>
      <c r="K144" s="16"/>
      <c r="L144" s="16"/>
    </row>
    <row r="145" spans="1:12" x14ac:dyDescent="0.25">
      <c r="A145" s="21" t="s">
        <v>22</v>
      </c>
      <c r="B145" s="24">
        <f>(B143+B144)*21%</f>
        <v>664.36923000000002</v>
      </c>
      <c r="C145" s="23"/>
      <c r="D145" s="16"/>
      <c r="E145" s="16"/>
      <c r="H145" s="25" t="s">
        <v>23</v>
      </c>
      <c r="I145" s="26">
        <f>I141+I142+I143+I144</f>
        <v>1210</v>
      </c>
      <c r="J145" s="27"/>
      <c r="K145" s="16"/>
      <c r="L145" s="16"/>
    </row>
    <row r="146" spans="1:12" x14ac:dyDescent="0.25">
      <c r="A146" s="25" t="s">
        <v>23</v>
      </c>
      <c r="B146" s="26">
        <f>B142+B143+B144+B145</f>
        <v>18428.032230000001</v>
      </c>
      <c r="C146" s="27"/>
      <c r="D146" s="16"/>
      <c r="E146" s="16"/>
      <c r="H146" s="16"/>
      <c r="I146" s="16"/>
      <c r="J146" s="19"/>
      <c r="K146" s="16"/>
      <c r="L146" s="16"/>
    </row>
    <row r="147" spans="1:12" x14ac:dyDescent="0.25">
      <c r="A147" s="16"/>
      <c r="B147" s="16"/>
      <c r="C147" s="19"/>
      <c r="D147" s="16"/>
      <c r="E147" s="16"/>
      <c r="H147" s="17" t="s">
        <v>24</v>
      </c>
      <c r="I147" s="18">
        <f>'Achat 1 et unique habitation'!L8</f>
        <v>0</v>
      </c>
      <c r="J147" s="19"/>
      <c r="K147" s="16"/>
      <c r="L147" s="16"/>
    </row>
    <row r="148" spans="1:12" x14ac:dyDescent="0.25">
      <c r="A148" s="17" t="s">
        <v>24</v>
      </c>
      <c r="B148" s="18">
        <f>'Achat 1 et unique habitation'!E8</f>
        <v>200000</v>
      </c>
      <c r="C148" s="19"/>
      <c r="D148" s="16"/>
      <c r="E148" s="16"/>
      <c r="H148" s="20" t="s">
        <v>25</v>
      </c>
      <c r="I148" s="24">
        <f>(I147*0.01)*1.1</f>
        <v>0</v>
      </c>
      <c r="J148" s="16"/>
      <c r="K148" s="16"/>
      <c r="L148" s="16"/>
    </row>
    <row r="149" spans="1:12" x14ac:dyDescent="0.25">
      <c r="A149" s="20" t="s">
        <v>25</v>
      </c>
      <c r="B149" s="24">
        <f>(B148*0.01)*1.1</f>
        <v>2200</v>
      </c>
      <c r="C149" s="16"/>
      <c r="D149" s="16"/>
      <c r="E149" s="16"/>
      <c r="H149" s="20" t="s">
        <v>26</v>
      </c>
      <c r="I149" s="24">
        <f>L202</f>
        <v>0</v>
      </c>
      <c r="J149" s="16"/>
      <c r="K149" s="16"/>
      <c r="L149" s="16"/>
    </row>
    <row r="150" spans="1:12" x14ac:dyDescent="0.25">
      <c r="A150" s="20" t="s">
        <v>26</v>
      </c>
      <c r="B150" s="24">
        <f>E203</f>
        <v>879.71519999999987</v>
      </c>
      <c r="C150" s="16"/>
      <c r="D150" s="16"/>
      <c r="E150" s="16"/>
      <c r="H150" s="20" t="s">
        <v>21</v>
      </c>
      <c r="I150" s="24">
        <v>1000</v>
      </c>
      <c r="J150" s="16"/>
      <c r="K150" s="16"/>
      <c r="L150" s="16"/>
    </row>
    <row r="151" spans="1:12" x14ac:dyDescent="0.25">
      <c r="A151" s="20" t="s">
        <v>21</v>
      </c>
      <c r="B151" s="24">
        <v>1000</v>
      </c>
      <c r="C151" s="16"/>
      <c r="D151" s="16"/>
      <c r="E151" s="16"/>
      <c r="H151" s="20" t="s">
        <v>27</v>
      </c>
      <c r="I151" s="24">
        <f>I148*0.003*100</f>
        <v>0</v>
      </c>
      <c r="J151" s="16"/>
      <c r="K151" s="16"/>
      <c r="L151" s="16"/>
    </row>
    <row r="152" spans="1:12" x14ac:dyDescent="0.25">
      <c r="A152" s="20" t="s">
        <v>27</v>
      </c>
      <c r="B152" s="24">
        <f>B149*0.003*100</f>
        <v>660</v>
      </c>
      <c r="C152" s="16"/>
      <c r="D152" s="16"/>
      <c r="E152" s="16"/>
      <c r="H152" s="20" t="s">
        <v>28</v>
      </c>
      <c r="I152" s="24">
        <f>I147*0.001</f>
        <v>0</v>
      </c>
      <c r="J152" s="16"/>
      <c r="K152" s="16"/>
      <c r="L152" s="16"/>
    </row>
    <row r="153" spans="1:12" x14ac:dyDescent="0.25">
      <c r="A153" s="20" t="s">
        <v>28</v>
      </c>
      <c r="B153" s="24">
        <f>B148*0.001</f>
        <v>200</v>
      </c>
      <c r="C153" s="16"/>
      <c r="D153" s="16"/>
      <c r="E153" s="16"/>
      <c r="H153" s="20" t="s">
        <v>22</v>
      </c>
      <c r="I153" s="24">
        <f>(I149+I150)*21%</f>
        <v>210</v>
      </c>
      <c r="J153" s="16"/>
      <c r="K153" s="16"/>
      <c r="L153" s="16"/>
    </row>
    <row r="154" spans="1:12" x14ac:dyDescent="0.25">
      <c r="A154" s="20" t="s">
        <v>22</v>
      </c>
      <c r="B154" s="24">
        <f>(B150+B151)*21%</f>
        <v>394.74019199999998</v>
      </c>
      <c r="C154" s="16"/>
      <c r="D154" s="16"/>
      <c r="E154" s="16"/>
      <c r="H154" s="25" t="s">
        <v>29</v>
      </c>
      <c r="I154" s="26">
        <f>SUM(I148:I152)</f>
        <v>1000</v>
      </c>
      <c r="J154" s="16"/>
      <c r="K154" s="16"/>
      <c r="L154" s="16"/>
    </row>
    <row r="155" spans="1:12" x14ac:dyDescent="0.25">
      <c r="A155" s="25" t="s">
        <v>29</v>
      </c>
      <c r="B155" s="26">
        <f>SUM(B149:B153)</f>
        <v>4939.7151999999996</v>
      </c>
      <c r="C155" s="16"/>
      <c r="D155" s="16"/>
      <c r="E155" s="16"/>
      <c r="H155" s="16"/>
      <c r="I155" s="16"/>
      <c r="J155" s="16"/>
      <c r="K155" s="16"/>
      <c r="L155" s="16"/>
    </row>
    <row r="156" spans="1:12" x14ac:dyDescent="0.25">
      <c r="A156" s="16"/>
      <c r="B156" s="16"/>
      <c r="C156" s="16"/>
      <c r="D156" s="16"/>
      <c r="E156" s="16"/>
      <c r="H156" s="70" t="s">
        <v>30</v>
      </c>
      <c r="I156" s="70"/>
      <c r="J156" s="70"/>
      <c r="K156" s="70"/>
      <c r="L156" s="70"/>
    </row>
    <row r="157" spans="1:12" x14ac:dyDescent="0.25">
      <c r="A157" s="127" t="s">
        <v>30</v>
      </c>
      <c r="B157" s="127"/>
      <c r="C157" s="127"/>
      <c r="D157" s="127"/>
      <c r="E157" s="127"/>
      <c r="H157" s="130" t="s">
        <v>31</v>
      </c>
      <c r="I157" s="130"/>
      <c r="J157" s="71" t="s">
        <v>32</v>
      </c>
      <c r="K157" s="71" t="s">
        <v>33</v>
      </c>
      <c r="L157" s="71" t="s">
        <v>34</v>
      </c>
    </row>
    <row r="158" spans="1:12" x14ac:dyDescent="0.25">
      <c r="A158" s="126" t="s">
        <v>31</v>
      </c>
      <c r="B158" s="126"/>
      <c r="C158" s="69" t="s">
        <v>32</v>
      </c>
      <c r="D158" s="69" t="s">
        <v>33</v>
      </c>
      <c r="E158" s="69" t="s">
        <v>34</v>
      </c>
      <c r="H158" s="20">
        <v>0</v>
      </c>
      <c r="I158" s="20">
        <v>7500</v>
      </c>
      <c r="J158" s="21">
        <f>I158-H158</f>
        <v>7500</v>
      </c>
      <c r="K158" s="20">
        <v>4.5600000000000002E-2</v>
      </c>
      <c r="L158" s="29">
        <f>IF(I140&lt;=I158,I140*K158)</f>
        <v>0</v>
      </c>
    </row>
    <row r="159" spans="1:12" x14ac:dyDescent="0.25">
      <c r="A159" s="20">
        <v>0</v>
      </c>
      <c r="B159" s="20">
        <v>7500</v>
      </c>
      <c r="C159" s="21">
        <f>B159-A159</f>
        <v>7500</v>
      </c>
      <c r="D159" s="20">
        <v>4.5600000000000002E-2</v>
      </c>
      <c r="E159" s="29" t="b">
        <f>IF(B140&lt;=B159,B140*D159)</f>
        <v>0</v>
      </c>
      <c r="H159" s="21"/>
      <c r="I159" s="20" t="s">
        <v>35</v>
      </c>
      <c r="J159" s="30">
        <f>I140-J158</f>
        <v>-7500</v>
      </c>
      <c r="K159" s="20"/>
      <c r="L159" s="29" t="b">
        <f>IF(I140&gt;I158,J158*K158)</f>
        <v>0</v>
      </c>
    </row>
    <row r="160" spans="1:12" x14ac:dyDescent="0.25">
      <c r="A160" s="21"/>
      <c r="B160" s="20" t="s">
        <v>35</v>
      </c>
      <c r="C160" s="30">
        <f>B140-C159</f>
        <v>192500</v>
      </c>
      <c r="D160" s="20"/>
      <c r="E160" s="29">
        <f>IF(B140&gt;B159,C159*D159)</f>
        <v>342</v>
      </c>
      <c r="H160" s="21"/>
      <c r="I160" s="21"/>
      <c r="J160" s="30"/>
      <c r="K160" s="20"/>
      <c r="L160" s="29"/>
    </row>
    <row r="161" spans="1:12" x14ac:dyDescent="0.25">
      <c r="A161" s="21"/>
      <c r="B161" s="21"/>
      <c r="C161" s="30"/>
      <c r="D161" s="20"/>
      <c r="E161" s="29"/>
      <c r="H161" s="20">
        <v>7500</v>
      </c>
      <c r="I161" s="20">
        <v>17500</v>
      </c>
      <c r="J161" s="21">
        <f>I161-H161</f>
        <v>10000</v>
      </c>
      <c r="K161" s="20">
        <v>2.8500000000000001E-2</v>
      </c>
      <c r="L161" s="29" t="b">
        <f>IF(AND(I140&gt;H161,I140&lt;=I161),J159*K161)</f>
        <v>0</v>
      </c>
    </row>
    <row r="162" spans="1:12" x14ac:dyDescent="0.25">
      <c r="A162" s="20">
        <v>7500</v>
      </c>
      <c r="B162" s="20">
        <v>17500</v>
      </c>
      <c r="C162" s="21">
        <f>B162-A162</f>
        <v>10000</v>
      </c>
      <c r="D162" s="20">
        <v>2.8500000000000001E-2</v>
      </c>
      <c r="E162" s="29" t="b">
        <f>IF(AND(B140&gt;A162,B140&lt;=B162),C160*D162)</f>
        <v>0</v>
      </c>
      <c r="H162" s="21"/>
      <c r="I162" s="20" t="s">
        <v>35</v>
      </c>
      <c r="J162" s="30">
        <f>J159-J161</f>
        <v>-17500</v>
      </c>
      <c r="K162" s="20"/>
      <c r="L162" s="29" t="b">
        <f>IF(I140&gt;I161,J161*K161)</f>
        <v>0</v>
      </c>
    </row>
    <row r="163" spans="1:12" x14ac:dyDescent="0.25">
      <c r="A163" s="21"/>
      <c r="B163" s="20" t="s">
        <v>35</v>
      </c>
      <c r="C163" s="30">
        <f>C160-C162</f>
        <v>182500</v>
      </c>
      <c r="D163" s="20"/>
      <c r="E163" s="29">
        <f>IF(B140&gt;B162,C162*D162)</f>
        <v>285</v>
      </c>
      <c r="H163" s="21"/>
      <c r="I163" s="21"/>
      <c r="J163" s="30"/>
      <c r="K163" s="20"/>
      <c r="L163" s="29"/>
    </row>
    <row r="164" spans="1:12" x14ac:dyDescent="0.25">
      <c r="A164" s="21"/>
      <c r="B164" s="21"/>
      <c r="C164" s="30"/>
      <c r="D164" s="20"/>
      <c r="E164" s="29"/>
      <c r="H164" s="20">
        <v>17500</v>
      </c>
      <c r="I164" s="20">
        <v>30000</v>
      </c>
      <c r="J164" s="21">
        <f>I164-H164</f>
        <v>12500</v>
      </c>
      <c r="K164" s="20">
        <v>2.2800000000000001E-2</v>
      </c>
      <c r="L164" s="29" t="b">
        <f>IF(AND(I140&gt;H164,I140&lt;=I164),J162*K164)</f>
        <v>0</v>
      </c>
    </row>
    <row r="165" spans="1:12" x14ac:dyDescent="0.25">
      <c r="A165" s="20">
        <v>17500</v>
      </c>
      <c r="B165" s="20">
        <v>30000</v>
      </c>
      <c r="C165" s="21">
        <f>B165-A165</f>
        <v>12500</v>
      </c>
      <c r="D165" s="20">
        <v>2.2800000000000001E-2</v>
      </c>
      <c r="E165" s="29" t="b">
        <f>IF(AND(B140&gt;A165,B140&lt;=B165),C163*D165)</f>
        <v>0</v>
      </c>
      <c r="H165" s="21"/>
      <c r="I165" s="20" t="s">
        <v>35</v>
      </c>
      <c r="J165" s="30">
        <f>J162-J164</f>
        <v>-30000</v>
      </c>
      <c r="K165" s="20"/>
      <c r="L165" s="29" t="b">
        <f>IF(I140&gt;I164,J164*K164)</f>
        <v>0</v>
      </c>
    </row>
    <row r="166" spans="1:12" x14ac:dyDescent="0.25">
      <c r="A166" s="21"/>
      <c r="B166" s="20" t="s">
        <v>35</v>
      </c>
      <c r="C166" s="30">
        <f>C163-C165</f>
        <v>170000</v>
      </c>
      <c r="D166" s="20"/>
      <c r="E166" s="29">
        <f>IF(B140&gt;B165,C165*D165)</f>
        <v>285</v>
      </c>
      <c r="H166" s="21"/>
      <c r="I166" s="21"/>
      <c r="J166" s="30"/>
      <c r="K166" s="20"/>
      <c r="L166" s="29"/>
    </row>
    <row r="167" spans="1:12" x14ac:dyDescent="0.25">
      <c r="A167" s="21"/>
      <c r="B167" s="21"/>
      <c r="C167" s="30"/>
      <c r="D167" s="20"/>
      <c r="E167" s="29"/>
      <c r="H167" s="21">
        <v>30000</v>
      </c>
      <c r="I167" s="21">
        <v>45495</v>
      </c>
      <c r="J167" s="21">
        <f>I167-H167</f>
        <v>15495</v>
      </c>
      <c r="K167" s="20">
        <v>1.7100000000000001E-2</v>
      </c>
      <c r="L167" s="29" t="b">
        <f>IF(AND(I140&gt;H167,I140&lt;=I167),J165*K167)</f>
        <v>0</v>
      </c>
    </row>
    <row r="168" spans="1:12" x14ac:dyDescent="0.25">
      <c r="A168" s="21">
        <v>30000</v>
      </c>
      <c r="B168" s="21">
        <v>45495</v>
      </c>
      <c r="C168" s="21">
        <f>B168-A168</f>
        <v>15495</v>
      </c>
      <c r="D168" s="20">
        <v>1.7100000000000001E-2</v>
      </c>
      <c r="E168" s="29" t="b">
        <f>IF(AND(B140&gt;A168,B140&lt;=B168),C166*D168)</f>
        <v>0</v>
      </c>
      <c r="H168" s="21"/>
      <c r="I168" s="20" t="s">
        <v>35</v>
      </c>
      <c r="J168" s="30">
        <f>J165-J167</f>
        <v>-45495</v>
      </c>
      <c r="K168" s="20"/>
      <c r="L168" s="31" t="b">
        <f>IF(I140&gt;I167,J167*K167)</f>
        <v>0</v>
      </c>
    </row>
    <row r="169" spans="1:12" x14ac:dyDescent="0.25">
      <c r="A169" s="21"/>
      <c r="B169" s="20" t="s">
        <v>35</v>
      </c>
      <c r="C169" s="30">
        <f>C166-C168</f>
        <v>154505</v>
      </c>
      <c r="D169" s="20"/>
      <c r="E169" s="31">
        <f>IF(B140&gt;B168,C168*D168)</f>
        <v>264.96449999999999</v>
      </c>
      <c r="H169" s="21"/>
      <c r="I169" s="21"/>
      <c r="J169" s="30"/>
      <c r="K169" s="20"/>
      <c r="L169" s="29"/>
    </row>
    <row r="170" spans="1:12" x14ac:dyDescent="0.25">
      <c r="A170" s="21"/>
      <c r="B170" s="21"/>
      <c r="C170" s="30"/>
      <c r="D170" s="20"/>
      <c r="E170" s="29"/>
      <c r="H170" s="21">
        <v>45495</v>
      </c>
      <c r="I170" s="21">
        <v>64095</v>
      </c>
      <c r="J170" s="21">
        <f>I170-H170</f>
        <v>18600</v>
      </c>
      <c r="K170" s="20">
        <v>1.14E-2</v>
      </c>
      <c r="L170" s="29" t="b">
        <f>IF(AND(I140&gt;H170,I140&lt;=I170),J168*K170)</f>
        <v>0</v>
      </c>
    </row>
    <row r="171" spans="1:12" x14ac:dyDescent="0.25">
      <c r="A171" s="21">
        <v>45495</v>
      </c>
      <c r="B171" s="21">
        <v>64095</v>
      </c>
      <c r="C171" s="21">
        <f>B171-A171</f>
        <v>18600</v>
      </c>
      <c r="D171" s="20">
        <v>1.14E-2</v>
      </c>
      <c r="E171" s="29" t="b">
        <f>IF(AND(B140&gt;A171,B140&lt;=B171),C169*D171)</f>
        <v>0</v>
      </c>
      <c r="H171" s="21"/>
      <c r="I171" s="20" t="s">
        <v>35</v>
      </c>
      <c r="J171" s="30">
        <f>J168-J170</f>
        <v>-64095</v>
      </c>
      <c r="K171" s="20"/>
      <c r="L171" s="29" t="b">
        <f>IF(I140&gt;I170,J170*K170)</f>
        <v>0</v>
      </c>
    </row>
    <row r="172" spans="1:12" x14ac:dyDescent="0.25">
      <c r="A172" s="21"/>
      <c r="B172" s="20" t="s">
        <v>35</v>
      </c>
      <c r="C172" s="30">
        <f>C169-C171</f>
        <v>135905</v>
      </c>
      <c r="D172" s="20"/>
      <c r="E172" s="29">
        <f>IF(B140&gt;B171,C171*D171)</f>
        <v>212.04000000000002</v>
      </c>
      <c r="H172" s="21"/>
      <c r="I172" s="21"/>
      <c r="J172" s="30"/>
      <c r="K172" s="20"/>
      <c r="L172" s="29"/>
    </row>
    <row r="173" spans="1:12" x14ac:dyDescent="0.25">
      <c r="A173" s="21"/>
      <c r="B173" s="21"/>
      <c r="C173" s="30"/>
      <c r="D173" s="20"/>
      <c r="E173" s="29"/>
      <c r="H173" s="21">
        <v>64095</v>
      </c>
      <c r="I173" s="21">
        <v>250095</v>
      </c>
      <c r="J173" s="21">
        <f>I173-H173</f>
        <v>186000</v>
      </c>
      <c r="K173" s="20">
        <v>5.7000000000000002E-3</v>
      </c>
      <c r="L173" s="31" t="b">
        <f>IF(AND(I140&gt;H173,I140&lt;=I173),J171*K173)</f>
        <v>0</v>
      </c>
    </row>
    <row r="174" spans="1:12" x14ac:dyDescent="0.25">
      <c r="A174" s="21">
        <v>64095</v>
      </c>
      <c r="B174" s="21">
        <v>250095</v>
      </c>
      <c r="C174" s="21">
        <f>B174-A174</f>
        <v>186000</v>
      </c>
      <c r="D174" s="20">
        <v>5.7000000000000002E-3</v>
      </c>
      <c r="E174" s="31">
        <f>IF(AND(B140&gt;A174,B140&lt;=B174),C172*D174)</f>
        <v>774.6585</v>
      </c>
      <c r="H174" s="21"/>
      <c r="I174" s="20" t="s">
        <v>35</v>
      </c>
      <c r="J174" s="30">
        <f>J171-J173</f>
        <v>-250095</v>
      </c>
      <c r="K174" s="20"/>
      <c r="L174" s="29" t="b">
        <f>IF(I140&gt;I173,J173*K173)</f>
        <v>0</v>
      </c>
    </row>
    <row r="175" spans="1:12" x14ac:dyDescent="0.25">
      <c r="A175" s="21"/>
      <c r="B175" s="20" t="s">
        <v>35</v>
      </c>
      <c r="C175" s="30">
        <f>C172-C174</f>
        <v>-50095</v>
      </c>
      <c r="D175" s="20"/>
      <c r="E175" s="29" t="b">
        <f>IF(B140&gt;B174,C174*D174)</f>
        <v>0</v>
      </c>
      <c r="H175" s="21"/>
      <c r="I175" s="21"/>
      <c r="J175" s="30"/>
      <c r="K175" s="20"/>
      <c r="L175" s="29"/>
    </row>
    <row r="176" spans="1:12" x14ac:dyDescent="0.25">
      <c r="A176" s="21"/>
      <c r="B176" s="21"/>
      <c r="C176" s="30"/>
      <c r="D176" s="20"/>
      <c r="E176" s="29"/>
      <c r="H176" s="21">
        <v>250095</v>
      </c>
      <c r="I176" s="21" t="s">
        <v>36</v>
      </c>
      <c r="J176" s="21"/>
      <c r="K176" s="20">
        <v>5.6999999999999998E-4</v>
      </c>
      <c r="L176" s="29" t="b">
        <f>IF(AND(I140&gt;H176),J174*K176)</f>
        <v>0</v>
      </c>
    </row>
    <row r="177" spans="1:12" x14ac:dyDescent="0.25">
      <c r="A177" s="21">
        <v>250095</v>
      </c>
      <c r="B177" s="21" t="s">
        <v>36</v>
      </c>
      <c r="C177" s="21"/>
      <c r="D177" s="20">
        <v>5.6999999999999998E-4</v>
      </c>
      <c r="E177" s="29" t="b">
        <f>IF(AND(B140&gt;A177),C175*D177)</f>
        <v>0</v>
      </c>
      <c r="H177" s="21"/>
      <c r="I177" s="20" t="s">
        <v>35</v>
      </c>
      <c r="J177" s="21"/>
      <c r="K177" s="20"/>
      <c r="L177" s="29"/>
    </row>
    <row r="178" spans="1:12" x14ac:dyDescent="0.25">
      <c r="A178" s="21"/>
      <c r="B178" s="20" t="s">
        <v>35</v>
      </c>
      <c r="C178" s="21"/>
      <c r="D178" s="20"/>
      <c r="E178" s="29"/>
      <c r="H178" s="25" t="s">
        <v>34</v>
      </c>
      <c r="I178" s="25"/>
      <c r="J178" s="25"/>
      <c r="K178" s="25"/>
      <c r="L178" s="32">
        <f>SUM(L158:L177)</f>
        <v>0</v>
      </c>
    </row>
    <row r="179" spans="1:12" x14ac:dyDescent="0.25">
      <c r="A179" s="25" t="s">
        <v>34</v>
      </c>
      <c r="B179" s="25"/>
      <c r="C179" s="25"/>
      <c r="D179" s="25"/>
      <c r="E179" s="32">
        <f>SUM(E159:E178)</f>
        <v>2163.663</v>
      </c>
      <c r="H179" s="16"/>
      <c r="I179" s="16"/>
      <c r="J179" s="16"/>
      <c r="K179" s="16"/>
      <c r="L179" s="16"/>
    </row>
    <row r="180" spans="1:12" x14ac:dyDescent="0.25">
      <c r="A180" s="16"/>
      <c r="B180" s="16"/>
      <c r="C180" s="16"/>
      <c r="D180" s="16"/>
      <c r="E180" s="16"/>
      <c r="H180" s="70" t="s">
        <v>37</v>
      </c>
      <c r="I180" s="70"/>
      <c r="J180" s="70"/>
      <c r="K180" s="70"/>
      <c r="L180" s="70"/>
    </row>
    <row r="181" spans="1:12" x14ac:dyDescent="0.25">
      <c r="A181" s="127" t="s">
        <v>37</v>
      </c>
      <c r="B181" s="127"/>
      <c r="C181" s="127"/>
      <c r="D181" s="127"/>
      <c r="E181" s="127"/>
      <c r="H181" s="71" t="s">
        <v>31</v>
      </c>
      <c r="I181" s="71"/>
      <c r="J181" s="71" t="s">
        <v>32</v>
      </c>
      <c r="K181" s="71" t="s">
        <v>33</v>
      </c>
      <c r="L181" s="71" t="s">
        <v>34</v>
      </c>
    </row>
    <row r="182" spans="1:12" x14ac:dyDescent="0.25">
      <c r="A182" s="69" t="s">
        <v>31</v>
      </c>
      <c r="B182" s="69"/>
      <c r="C182" s="69" t="s">
        <v>32</v>
      </c>
      <c r="D182" s="69" t="s">
        <v>33</v>
      </c>
      <c r="E182" s="69" t="s">
        <v>34</v>
      </c>
      <c r="H182" s="20">
        <v>0</v>
      </c>
      <c r="I182" s="20">
        <v>7500</v>
      </c>
      <c r="J182" s="21">
        <f>I182-H182</f>
        <v>7500</v>
      </c>
      <c r="K182" s="20">
        <v>1.7100000000000001E-2</v>
      </c>
      <c r="L182" s="29">
        <f>IF(I147&lt;=I182,I147*K182)</f>
        <v>0</v>
      </c>
    </row>
    <row r="183" spans="1:12" x14ac:dyDescent="0.25">
      <c r="A183" s="20">
        <v>0</v>
      </c>
      <c r="B183" s="20">
        <v>7500</v>
      </c>
      <c r="C183" s="21">
        <f>B183-A183</f>
        <v>7500</v>
      </c>
      <c r="D183" s="20">
        <v>1.7100000000000001E-2</v>
      </c>
      <c r="E183" s="29" t="b">
        <f>IF(B148&lt;=B183,B148*D183)</f>
        <v>0</v>
      </c>
      <c r="H183" s="21"/>
      <c r="I183" s="20" t="s">
        <v>35</v>
      </c>
      <c r="J183" s="30">
        <f>I147-J182</f>
        <v>-7500</v>
      </c>
      <c r="K183" s="20"/>
      <c r="L183" s="29" t="b">
        <f>IF(I147&gt;I182,J182*K182)</f>
        <v>0</v>
      </c>
    </row>
    <row r="184" spans="1:12" x14ac:dyDescent="0.25">
      <c r="A184" s="21"/>
      <c r="B184" s="20" t="s">
        <v>35</v>
      </c>
      <c r="C184" s="30">
        <f>B148-C183</f>
        <v>192500</v>
      </c>
      <c r="D184" s="20"/>
      <c r="E184" s="29">
        <f>IF(B148&gt;B183,C183*D183)</f>
        <v>128.25</v>
      </c>
      <c r="H184" s="21"/>
      <c r="I184" s="21"/>
      <c r="J184" s="30"/>
      <c r="K184" s="20"/>
      <c r="L184" s="29"/>
    </row>
    <row r="185" spans="1:12" x14ac:dyDescent="0.25">
      <c r="A185" s="21"/>
      <c r="B185" s="21"/>
      <c r="C185" s="30"/>
      <c r="D185" s="20"/>
      <c r="E185" s="29"/>
      <c r="H185" s="20">
        <v>7500</v>
      </c>
      <c r="I185" s="20">
        <v>17500</v>
      </c>
      <c r="J185" s="21">
        <f>I185-H185</f>
        <v>10000</v>
      </c>
      <c r="K185" s="20">
        <v>1.3679999999999999E-2</v>
      </c>
      <c r="L185" s="29" t="b">
        <f>IF(AND(I147&gt;H185,I147&lt;=I185),J183*K185)</f>
        <v>0</v>
      </c>
    </row>
    <row r="186" spans="1:12" x14ac:dyDescent="0.25">
      <c r="A186" s="20">
        <v>7500</v>
      </c>
      <c r="B186" s="20">
        <v>17500</v>
      </c>
      <c r="C186" s="21">
        <f>B186-A186</f>
        <v>10000</v>
      </c>
      <c r="D186" s="20">
        <v>1.3679999999999999E-2</v>
      </c>
      <c r="E186" s="29" t="b">
        <f>IF(AND(B148&gt;A186,B148&lt;=B186),C184*D186)</f>
        <v>0</v>
      </c>
      <c r="H186" s="21"/>
      <c r="I186" s="20" t="s">
        <v>35</v>
      </c>
      <c r="J186" s="30">
        <f>J183-J185</f>
        <v>-17500</v>
      </c>
      <c r="K186" s="20"/>
      <c r="L186" s="29" t="b">
        <f>IF(I147&gt;I185,J185*K185)</f>
        <v>0</v>
      </c>
    </row>
    <row r="187" spans="1:12" x14ac:dyDescent="0.25">
      <c r="A187" s="21"/>
      <c r="B187" s="20" t="s">
        <v>35</v>
      </c>
      <c r="C187" s="30">
        <f>C184-C186</f>
        <v>182500</v>
      </c>
      <c r="D187" s="20"/>
      <c r="E187" s="29">
        <f>IF(B148&gt;B186,C186*D186)</f>
        <v>136.79999999999998</v>
      </c>
      <c r="H187" s="21"/>
      <c r="I187" s="21"/>
      <c r="J187" s="30"/>
      <c r="K187" s="20"/>
      <c r="L187" s="29"/>
    </row>
    <row r="188" spans="1:12" x14ac:dyDescent="0.25">
      <c r="A188" s="21"/>
      <c r="B188" s="21"/>
      <c r="C188" s="30"/>
      <c r="D188" s="20"/>
      <c r="E188" s="29"/>
      <c r="H188" s="20">
        <v>17500</v>
      </c>
      <c r="I188" s="20">
        <v>30000</v>
      </c>
      <c r="J188" s="21">
        <f>I188-H188</f>
        <v>12500</v>
      </c>
      <c r="K188" s="20">
        <v>9.1199999999999996E-3</v>
      </c>
      <c r="L188" s="29" t="b">
        <f>IF(AND(I147&gt;H188,I147&lt;=I188),J186*K188)</f>
        <v>0</v>
      </c>
    </row>
    <row r="189" spans="1:12" x14ac:dyDescent="0.25">
      <c r="A189" s="20">
        <v>17500</v>
      </c>
      <c r="B189" s="20">
        <v>30000</v>
      </c>
      <c r="C189" s="21">
        <f>B189-A189</f>
        <v>12500</v>
      </c>
      <c r="D189" s="20">
        <v>9.1199999999999996E-3</v>
      </c>
      <c r="E189" s="29" t="b">
        <f>IF(AND(B148&gt;A189,B148&lt;=B189),C187*D189)</f>
        <v>0</v>
      </c>
      <c r="H189" s="21"/>
      <c r="I189" s="20" t="s">
        <v>35</v>
      </c>
      <c r="J189" s="30">
        <f>J186-J188</f>
        <v>-30000</v>
      </c>
      <c r="K189" s="20"/>
      <c r="L189" s="29" t="b">
        <f>IF(I147&gt;I188,J188*K188)</f>
        <v>0</v>
      </c>
    </row>
    <row r="190" spans="1:12" x14ac:dyDescent="0.25">
      <c r="A190" s="21"/>
      <c r="B190" s="20" t="s">
        <v>35</v>
      </c>
      <c r="C190" s="30">
        <f>C187-C189</f>
        <v>170000</v>
      </c>
      <c r="D190" s="20"/>
      <c r="E190" s="29">
        <f>IF(B148&gt;B189,C189*D189)</f>
        <v>114</v>
      </c>
      <c r="H190" s="21"/>
      <c r="I190" s="21"/>
      <c r="J190" s="30"/>
      <c r="K190" s="20"/>
      <c r="L190" s="29"/>
    </row>
    <row r="191" spans="1:12" x14ac:dyDescent="0.25">
      <c r="A191" s="21"/>
      <c r="B191" s="21"/>
      <c r="C191" s="30"/>
      <c r="D191" s="20"/>
      <c r="E191" s="29"/>
      <c r="H191" s="21">
        <v>30000</v>
      </c>
      <c r="I191" s="21">
        <v>45495</v>
      </c>
      <c r="J191" s="21">
        <f>I191-H191</f>
        <v>15495</v>
      </c>
      <c r="K191" s="20">
        <v>6.8399999999999997E-3</v>
      </c>
      <c r="L191" s="29" t="b">
        <f>IF(AND(I147&gt;H191,I147&lt;=I191),J189*K191)</f>
        <v>0</v>
      </c>
    </row>
    <row r="192" spans="1:12" x14ac:dyDescent="0.25">
      <c r="A192" s="21">
        <v>30000</v>
      </c>
      <c r="B192" s="21">
        <v>45495</v>
      </c>
      <c r="C192" s="21">
        <f>B192-A192</f>
        <v>15495</v>
      </c>
      <c r="D192" s="20">
        <v>6.8399999999999997E-3</v>
      </c>
      <c r="E192" s="29" t="b">
        <f>IF(AND(B148&gt;A192,B148&lt;=B192),C190*D192)</f>
        <v>0</v>
      </c>
      <c r="H192" s="21"/>
      <c r="I192" s="20" t="s">
        <v>35</v>
      </c>
      <c r="J192" s="30">
        <f>J189-J191</f>
        <v>-45495</v>
      </c>
      <c r="K192" s="20"/>
      <c r="L192" s="31" t="b">
        <f>IF(I147&gt;I191,J191*K191)</f>
        <v>0</v>
      </c>
    </row>
    <row r="193" spans="1:12" x14ac:dyDescent="0.25">
      <c r="A193" s="21"/>
      <c r="B193" s="20" t="s">
        <v>35</v>
      </c>
      <c r="C193" s="30">
        <f>C190-C192</f>
        <v>154505</v>
      </c>
      <c r="D193" s="20"/>
      <c r="E193" s="31">
        <f>IF(B148&gt;B192,C192*D192)</f>
        <v>105.9858</v>
      </c>
      <c r="H193" s="21"/>
      <c r="I193" s="21"/>
      <c r="J193" s="30"/>
      <c r="K193" s="20"/>
      <c r="L193" s="29"/>
    </row>
    <row r="194" spans="1:12" x14ac:dyDescent="0.25">
      <c r="A194" s="21"/>
      <c r="B194" s="21"/>
      <c r="C194" s="30"/>
      <c r="D194" s="20"/>
      <c r="E194" s="29"/>
      <c r="H194" s="21">
        <v>45495</v>
      </c>
      <c r="I194" s="21">
        <v>64095</v>
      </c>
      <c r="J194" s="21">
        <f>I194-H194</f>
        <v>18600</v>
      </c>
      <c r="K194" s="20">
        <v>4.5599999999999998E-3</v>
      </c>
      <c r="L194" s="29" t="b">
        <f>IF(AND(I147&gt;H194,I147&lt;=I194),J192*K194)</f>
        <v>0</v>
      </c>
    </row>
    <row r="195" spans="1:12" x14ac:dyDescent="0.25">
      <c r="A195" s="21">
        <v>45495</v>
      </c>
      <c r="B195" s="21">
        <v>64095</v>
      </c>
      <c r="C195" s="21">
        <f>B195-A195</f>
        <v>18600</v>
      </c>
      <c r="D195" s="20">
        <v>4.5599999999999998E-3</v>
      </c>
      <c r="E195" s="29" t="b">
        <f>IF(AND(B148&gt;A195,B148&lt;=B195),C193*D195)</f>
        <v>0</v>
      </c>
      <c r="H195" s="21"/>
      <c r="I195" s="20" t="s">
        <v>35</v>
      </c>
      <c r="J195" s="30">
        <f>J192-J194</f>
        <v>-64095</v>
      </c>
      <c r="K195" s="20"/>
      <c r="L195" s="29" t="b">
        <f>IF(I147&gt;I194,J194*K194)</f>
        <v>0</v>
      </c>
    </row>
    <row r="196" spans="1:12" x14ac:dyDescent="0.25">
      <c r="A196" s="21"/>
      <c r="B196" s="20" t="s">
        <v>35</v>
      </c>
      <c r="C196" s="30">
        <f>C193-C195</f>
        <v>135905</v>
      </c>
      <c r="D196" s="20"/>
      <c r="E196" s="29">
        <f>IF(B148&gt;B195,C195*D195)</f>
        <v>84.816000000000003</v>
      </c>
      <c r="H196" s="21"/>
      <c r="I196" s="21"/>
      <c r="J196" s="30"/>
      <c r="K196" s="20"/>
      <c r="L196" s="29"/>
    </row>
    <row r="197" spans="1:12" x14ac:dyDescent="0.25">
      <c r="A197" s="21"/>
      <c r="B197" s="21"/>
      <c r="C197" s="30"/>
      <c r="D197" s="20"/>
      <c r="E197" s="29"/>
      <c r="H197" s="21">
        <v>64095</v>
      </c>
      <c r="I197" s="21">
        <v>250095</v>
      </c>
      <c r="J197" s="21">
        <f>I197-H197</f>
        <v>186000</v>
      </c>
      <c r="K197" s="20">
        <v>2.2799999999999999E-3</v>
      </c>
      <c r="L197" s="31" t="b">
        <f>IF(AND(I147&gt;H197,I147&lt;=I197),J195*K197)</f>
        <v>0</v>
      </c>
    </row>
    <row r="198" spans="1:12" x14ac:dyDescent="0.25">
      <c r="A198" s="21">
        <v>64095</v>
      </c>
      <c r="B198" s="21">
        <v>250095</v>
      </c>
      <c r="C198" s="21">
        <f>B198-A198</f>
        <v>186000</v>
      </c>
      <c r="D198" s="20">
        <v>2.2799999999999999E-3</v>
      </c>
      <c r="E198" s="31">
        <f>IF(AND(B148&gt;A198,B148&lt;=B198),C196*D198)</f>
        <v>309.86340000000001</v>
      </c>
      <c r="H198" s="21"/>
      <c r="I198" s="20" t="s">
        <v>35</v>
      </c>
      <c r="J198" s="30">
        <f>J195-J197</f>
        <v>-250095</v>
      </c>
      <c r="K198" s="20"/>
      <c r="L198" s="29" t="b">
        <f>IF(I147&gt;I197,J197*K197)</f>
        <v>0</v>
      </c>
    </row>
    <row r="199" spans="1:12" x14ac:dyDescent="0.25">
      <c r="A199" s="21"/>
      <c r="B199" s="20" t="s">
        <v>35</v>
      </c>
      <c r="C199" s="30">
        <f>C196-C198</f>
        <v>-50095</v>
      </c>
      <c r="D199" s="20"/>
      <c r="E199" s="29" t="b">
        <f>IF(B148&gt;B198,C198*D198)</f>
        <v>0</v>
      </c>
      <c r="H199" s="21"/>
      <c r="I199" s="21"/>
      <c r="J199" s="30"/>
      <c r="K199" s="20"/>
      <c r="L199" s="29"/>
    </row>
    <row r="200" spans="1:12" x14ac:dyDescent="0.25">
      <c r="A200" s="21"/>
      <c r="B200" s="21"/>
      <c r="C200" s="30"/>
      <c r="D200" s="20"/>
      <c r="E200" s="29"/>
      <c r="H200" s="21">
        <v>250095</v>
      </c>
      <c r="I200" s="21" t="s">
        <v>36</v>
      </c>
      <c r="J200" s="21"/>
      <c r="K200" s="20">
        <v>4.5600000000000003E-4</v>
      </c>
      <c r="L200" s="29" t="b">
        <f>IF(AND(I147&gt;H200),J198*K200)</f>
        <v>0</v>
      </c>
    </row>
    <row r="201" spans="1:12" x14ac:dyDescent="0.25">
      <c r="A201" s="21">
        <v>250095</v>
      </c>
      <c r="B201" s="21" t="s">
        <v>36</v>
      </c>
      <c r="C201" s="21"/>
      <c r="D201" s="20">
        <v>4.5600000000000003E-4</v>
      </c>
      <c r="E201" s="29" t="b">
        <f>IF(AND(B148&gt;A201),C199*D201)</f>
        <v>0</v>
      </c>
      <c r="H201" s="21"/>
      <c r="I201" s="20" t="s">
        <v>35</v>
      </c>
      <c r="J201" s="21"/>
      <c r="K201" s="20"/>
      <c r="L201" s="29"/>
    </row>
    <row r="202" spans="1:12" x14ac:dyDescent="0.25">
      <c r="A202" s="21"/>
      <c r="B202" s="20" t="s">
        <v>35</v>
      </c>
      <c r="C202" s="21"/>
      <c r="D202" s="20"/>
      <c r="E202" s="29"/>
      <c r="H202" s="25" t="s">
        <v>34</v>
      </c>
      <c r="I202" s="25"/>
      <c r="J202" s="25"/>
      <c r="K202" s="25"/>
      <c r="L202" s="32">
        <f>SUM(L182:L201)</f>
        <v>0</v>
      </c>
    </row>
    <row r="203" spans="1:12" x14ac:dyDescent="0.25">
      <c r="A203" s="25" t="s">
        <v>34</v>
      </c>
      <c r="B203" s="25"/>
      <c r="C203" s="25"/>
      <c r="D203" s="25"/>
      <c r="E203" s="32">
        <f>SUM(E183:E202)</f>
        <v>879.71519999999987</v>
      </c>
    </row>
  </sheetData>
  <mergeCells count="23">
    <mergeCell ref="A157:E157"/>
    <mergeCell ref="U44:Y44"/>
    <mergeCell ref="A21:B21"/>
    <mergeCell ref="A44:E44"/>
    <mergeCell ref="A69:E69"/>
    <mergeCell ref="A138:E138"/>
    <mergeCell ref="H111:L111"/>
    <mergeCell ref="A158:B158"/>
    <mergeCell ref="A181:E181"/>
    <mergeCell ref="H1:L1"/>
    <mergeCell ref="H20:I20"/>
    <mergeCell ref="AB1:AF1"/>
    <mergeCell ref="AB4:AF4"/>
    <mergeCell ref="U1:Y1"/>
    <mergeCell ref="U20:Y20"/>
    <mergeCell ref="U21:V21"/>
    <mergeCell ref="A1:E1"/>
    <mergeCell ref="A20:E20"/>
    <mergeCell ref="A88:E88"/>
    <mergeCell ref="A89:B89"/>
    <mergeCell ref="A112:E112"/>
    <mergeCell ref="H157:I157"/>
    <mergeCell ref="H88:I88"/>
  </mergeCells>
  <pageMargins left="0.7" right="0.7" top="0.75" bottom="0.75" header="0.3" footer="0.3"/>
  <pageSetup paperSize="9" orientation="portrait" horizontalDpi="300" verticalDpi="300" r:id="rId1"/>
  <ignoredErrors>
    <ignoredError sqref="AQ3:AQ4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zoomScaleNormal="100" workbookViewId="0">
      <selection activeCell="J17" sqref="J17:M17"/>
    </sheetView>
  </sheetViews>
  <sheetFormatPr baseColWidth="10" defaultRowHeight="15" x14ac:dyDescent="0.25"/>
  <cols>
    <col min="1" max="1" width="4.7109375" customWidth="1"/>
    <col min="3" max="3" width="20.7109375" customWidth="1"/>
    <col min="5" max="5" width="10.5703125" customWidth="1"/>
    <col min="6" max="6" width="20.7109375" customWidth="1"/>
    <col min="7" max="7" width="12.85546875" bestFit="1" customWidth="1"/>
    <col min="9" max="9" width="5.7109375" customWidth="1"/>
    <col min="11" max="11" width="20.7109375" customWidth="1"/>
    <col min="13" max="13" width="7.85546875" customWidth="1"/>
    <col min="14" max="14" width="20.7109375" customWidth="1"/>
    <col min="15" max="15" width="12.85546875" customWidth="1"/>
  </cols>
  <sheetData>
    <row r="1" spans="1:17" x14ac:dyDescent="0.25">
      <c r="A1" s="91"/>
      <c r="B1" s="107" t="s">
        <v>145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15.75" thickBot="1" x14ac:dyDescent="0.3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7" ht="15.75" thickBot="1" x14ac:dyDescent="0.3">
      <c r="A3" s="91"/>
      <c r="B3" s="131" t="s">
        <v>144</v>
      </c>
      <c r="C3" s="132"/>
      <c r="D3" s="132"/>
      <c r="E3" s="133"/>
      <c r="F3" s="91"/>
      <c r="G3" s="91"/>
      <c r="H3" s="91"/>
      <c r="I3" s="91"/>
      <c r="J3" s="131" t="s">
        <v>149</v>
      </c>
      <c r="K3" s="132"/>
      <c r="L3" s="132"/>
      <c r="M3" s="133"/>
      <c r="N3" s="91"/>
      <c r="O3" s="91"/>
      <c r="P3" s="91"/>
      <c r="Q3" s="91"/>
    </row>
    <row r="4" spans="1:17" ht="15.75" thickBot="1" x14ac:dyDescent="0.3">
      <c r="A4" s="91"/>
      <c r="B4" s="92"/>
      <c r="C4" s="93"/>
      <c r="D4" s="93"/>
      <c r="E4" s="93"/>
      <c r="F4" s="93"/>
      <c r="G4" s="93"/>
      <c r="H4" s="94"/>
      <c r="I4" s="91"/>
      <c r="J4" s="92"/>
      <c r="K4" s="93"/>
      <c r="L4" s="93"/>
      <c r="M4" s="93"/>
      <c r="N4" s="93"/>
      <c r="O4" s="93"/>
      <c r="P4" s="94"/>
      <c r="Q4" s="91"/>
    </row>
    <row r="5" spans="1:17" ht="15.75" thickBot="1" x14ac:dyDescent="0.3">
      <c r="A5" s="91"/>
      <c r="B5" s="95"/>
      <c r="C5" s="96" t="s">
        <v>129</v>
      </c>
      <c r="D5" s="97" t="s">
        <v>130</v>
      </c>
      <c r="E5" s="98"/>
      <c r="F5" s="96" t="s">
        <v>131</v>
      </c>
      <c r="G5" s="110">
        <v>200000</v>
      </c>
      <c r="H5" s="99"/>
      <c r="I5" s="91"/>
      <c r="J5" s="95"/>
      <c r="K5" s="134" t="s">
        <v>139</v>
      </c>
      <c r="L5" s="134"/>
      <c r="M5" s="139">
        <f>IF($D$18&lt;&gt;"",IF($G$5&gt;$E$19,$E$19*0.06+($G$5-$E$19)*0.125,$G$5*0.06),($G$5-$G$16)*$D$16)</f>
        <v>17500</v>
      </c>
      <c r="N5" s="140"/>
      <c r="O5" s="98"/>
      <c r="P5" s="99"/>
      <c r="Q5" s="91"/>
    </row>
    <row r="6" spans="1:17" ht="15.75" thickBot="1" x14ac:dyDescent="0.3">
      <c r="A6" s="91"/>
      <c r="B6" s="95"/>
      <c r="C6" s="98"/>
      <c r="D6" s="98"/>
      <c r="E6" s="98"/>
      <c r="F6" s="98"/>
      <c r="G6" s="98"/>
      <c r="H6" s="99"/>
      <c r="I6" s="91"/>
      <c r="J6" s="95"/>
      <c r="K6" s="98"/>
      <c r="L6" s="98"/>
      <c r="M6" s="98"/>
      <c r="N6" s="98"/>
      <c r="O6" s="98"/>
      <c r="P6" s="99"/>
      <c r="Q6" s="91"/>
    </row>
    <row r="7" spans="1:17" ht="15.75" thickBot="1" x14ac:dyDescent="0.3">
      <c r="A7" s="91"/>
      <c r="B7" s="95"/>
      <c r="C7" s="96" t="s">
        <v>132</v>
      </c>
      <c r="D7" s="100">
        <v>2000</v>
      </c>
      <c r="E7" s="98"/>
      <c r="F7" s="96" t="s">
        <v>133</v>
      </c>
      <c r="G7" s="97">
        <v>5</v>
      </c>
      <c r="H7" s="99"/>
      <c r="I7" s="91"/>
      <c r="J7" s="95"/>
      <c r="K7" s="134" t="s">
        <v>141</v>
      </c>
      <c r="L7" s="134"/>
      <c r="M7" s="139">
        <f>IF($G$5&lt;=7500,$G$5*0.0456,IF($G$5&lt;=17500,7500*0.0456+($G$5-7500)*0.0285,IF($G$5&lt;=30000,7500*0.0456+(17500-7500)*0.0285+($G$5-17500)*0.0228,IF($G$5&lt;=45495,7500*0.0456+(17500-7500)*0.0285+(30000-17500)*0.0228+($G$5-30000)*0.0171,IF($G$5&lt;=64095,7500*0.0456+(17500-7500)*0.0285+(30000-17500)*0.0228+(45495-30000)*0.0171+($G$5-45495)*0.0114,IF($G$5&lt;=250095,7500*0.0456+(17500-7500)*0.0285+(30000-17500)*0.0228+(45495-30000)*0.0171+(64095-45495)*0.0114+($G$5-64095)*0.0057,IF($G$5&gt;250095,7500*0.0456+(17500-7500)*0.0285+(30000-17500)*0.0228+(45495-30000)*0.0171+(64095-45495)*0.0114+(250095-64095)*0.0057+($G$5-250095)*0.00057,"")))))))</f>
        <v>2163.663</v>
      </c>
      <c r="N7" s="140"/>
      <c r="O7" s="98"/>
      <c r="P7" s="99"/>
      <c r="Q7" s="91"/>
    </row>
    <row r="8" spans="1:17" ht="15.75" thickBot="1" x14ac:dyDescent="0.3">
      <c r="A8" s="91"/>
      <c r="B8" s="95"/>
      <c r="C8" s="98"/>
      <c r="D8" s="98"/>
      <c r="E8" s="98"/>
      <c r="F8" s="98"/>
      <c r="G8" s="98"/>
      <c r="H8" s="99"/>
      <c r="I8" s="91"/>
      <c r="J8" s="95"/>
      <c r="K8" s="98"/>
      <c r="L8" s="98"/>
      <c r="M8" s="103"/>
      <c r="N8" s="103"/>
      <c r="O8" s="98"/>
      <c r="P8" s="99"/>
      <c r="Q8" s="91"/>
    </row>
    <row r="9" spans="1:17" ht="15.75" thickBot="1" x14ac:dyDescent="0.3">
      <c r="A9" s="91"/>
      <c r="B9" s="95"/>
      <c r="C9" s="96"/>
      <c r="D9" s="96"/>
      <c r="E9" s="98"/>
      <c r="F9" s="96" t="str">
        <f>IF(D5="Bruxelles","Logement situé en EDRLR ?  ",IF(D5="Wallonie","Logement dans une zone à pression immobilière ?  ","Non concerné  "))</f>
        <v xml:space="preserve">Non concerné  </v>
      </c>
      <c r="G9" s="101" t="s">
        <v>140</v>
      </c>
      <c r="H9" s="99"/>
      <c r="I9" s="91"/>
      <c r="J9" s="95"/>
      <c r="K9" s="134" t="s">
        <v>142</v>
      </c>
      <c r="L9" s="134"/>
      <c r="M9" s="135">
        <v>1000</v>
      </c>
      <c r="N9" s="136"/>
      <c r="O9" s="98"/>
      <c r="P9" s="99"/>
      <c r="Q9" s="91"/>
    </row>
    <row r="10" spans="1:17" ht="15.75" thickBot="1" x14ac:dyDescent="0.3">
      <c r="A10" s="91"/>
      <c r="B10" s="95"/>
      <c r="C10" s="98"/>
      <c r="D10" s="98"/>
      <c r="E10" s="98"/>
      <c r="F10" s="98"/>
      <c r="G10" s="98"/>
      <c r="H10" s="99"/>
      <c r="I10" s="91"/>
      <c r="J10" s="95"/>
      <c r="K10" s="98"/>
      <c r="L10" s="98"/>
      <c r="M10" s="103"/>
      <c r="N10" s="103"/>
      <c r="O10" s="98"/>
      <c r="P10" s="99"/>
      <c r="Q10" s="91"/>
    </row>
    <row r="11" spans="1:17" ht="15.75" thickBot="1" x14ac:dyDescent="0.3">
      <c r="A11" s="91"/>
      <c r="B11" s="95"/>
      <c r="C11" s="96"/>
      <c r="D11" s="96"/>
      <c r="E11" s="98"/>
      <c r="F11" s="96" t="s">
        <v>135</v>
      </c>
      <c r="G11" s="101" t="s">
        <v>134</v>
      </c>
      <c r="H11" s="99"/>
      <c r="I11" s="91"/>
      <c r="J11" s="95"/>
      <c r="K11" s="134" t="s">
        <v>146</v>
      </c>
      <c r="L11" s="134"/>
      <c r="M11" s="139">
        <f>(M7+M9)*0.21</f>
        <v>664.36923000000002</v>
      </c>
      <c r="N11" s="140"/>
      <c r="O11" s="98"/>
      <c r="P11" s="99"/>
      <c r="Q11" s="91"/>
    </row>
    <row r="12" spans="1:17" ht="15.75" thickBot="1" x14ac:dyDescent="0.3">
      <c r="A12" s="91"/>
      <c r="B12" s="102"/>
      <c r="C12" s="103"/>
      <c r="D12" s="103"/>
      <c r="E12" s="103"/>
      <c r="F12" s="103"/>
      <c r="G12" s="103"/>
      <c r="H12" s="104"/>
      <c r="I12" s="91"/>
      <c r="J12" s="102"/>
      <c r="K12" s="103"/>
      <c r="L12" s="103"/>
      <c r="M12" s="103"/>
      <c r="N12" s="103"/>
      <c r="O12" s="103"/>
      <c r="P12" s="104"/>
      <c r="Q12" s="91"/>
    </row>
    <row r="13" spans="1:17" ht="15.75" thickBot="1" x14ac:dyDescent="0.3">
      <c r="A13" s="91"/>
      <c r="B13" s="91"/>
      <c r="C13" s="91"/>
      <c r="D13" s="91"/>
      <c r="E13" s="91"/>
      <c r="F13" s="91"/>
      <c r="G13" s="91"/>
      <c r="H13" s="91"/>
      <c r="I13" s="91"/>
      <c r="J13" s="111"/>
      <c r="K13" s="112"/>
      <c r="L13" s="113"/>
      <c r="M13" s="112"/>
      <c r="N13" s="112"/>
      <c r="O13" s="112"/>
      <c r="P13" s="119"/>
      <c r="Q13" s="91"/>
    </row>
    <row r="14" spans="1:17" ht="15.75" thickBot="1" x14ac:dyDescent="0.3">
      <c r="A14" s="91"/>
      <c r="B14" s="131" t="s">
        <v>143</v>
      </c>
      <c r="C14" s="132"/>
      <c r="D14" s="132"/>
      <c r="E14" s="133"/>
      <c r="F14" s="91"/>
      <c r="G14" s="91"/>
      <c r="H14" s="91"/>
      <c r="I14" s="91"/>
      <c r="J14" s="114"/>
      <c r="K14" s="115"/>
      <c r="L14" s="122" t="s">
        <v>150</v>
      </c>
      <c r="M14" s="137">
        <f>M5+M7+M9+M11</f>
        <v>21328.032230000001</v>
      </c>
      <c r="N14" s="138"/>
      <c r="O14" s="115"/>
      <c r="P14" s="120"/>
      <c r="Q14" s="91"/>
    </row>
    <row r="15" spans="1:17" ht="15.75" thickBot="1" x14ac:dyDescent="0.3">
      <c r="A15" s="91"/>
      <c r="B15" s="92"/>
      <c r="C15" s="93"/>
      <c r="D15" s="93"/>
      <c r="E15" s="93"/>
      <c r="F15" s="93"/>
      <c r="G15" s="93"/>
      <c r="H15" s="94"/>
      <c r="I15" s="91"/>
      <c r="J15" s="116"/>
      <c r="K15" s="117"/>
      <c r="L15" s="118"/>
      <c r="M15" s="117"/>
      <c r="N15" s="117"/>
      <c r="O15" s="117"/>
      <c r="P15" s="121"/>
      <c r="Q15" s="91"/>
    </row>
    <row r="16" spans="1:17" ht="15.75" thickBot="1" x14ac:dyDescent="0.3">
      <c r="A16" s="91"/>
      <c r="B16" s="95"/>
      <c r="C16" s="96" t="s">
        <v>136</v>
      </c>
      <c r="D16" s="108">
        <f>IF(D5="Bruxelles",0.125,IF(OR(D7&lt;745,AND(D7&lt;845,G7&gt;=3,G7&lt;=4),AND(D7&lt;945,G7&gt;=5,G7&lt;=6),AND(D7&lt;1045,G7&gt;=7)),IF(D5="Flandres",0.05,"Taux spécial"),IF(D5="Flandres",0.1,0.125)))</f>
        <v>0.1</v>
      </c>
      <c r="E16" s="98"/>
      <c r="F16" s="96" t="s">
        <v>137</v>
      </c>
      <c r="G16" s="109">
        <f>IF(AND(D5="Bruxelles",G11="OUI"),IF(G9="OUI",75000,60000),IF(AND(D5="Flandres",G11="OUI"),IF(D16=0.1,25000,35000),0))</f>
        <v>25000</v>
      </c>
      <c r="H16" s="99"/>
      <c r="I16" s="91"/>
      <c r="J16" s="91"/>
      <c r="K16" s="91"/>
      <c r="L16" s="106"/>
      <c r="M16" s="91"/>
      <c r="N16" s="91"/>
      <c r="O16" s="91"/>
      <c r="P16" s="91"/>
      <c r="Q16" s="91"/>
    </row>
    <row r="17" spans="1:17" ht="15.75" thickBot="1" x14ac:dyDescent="0.3">
      <c r="A17" s="91"/>
      <c r="B17" s="95"/>
      <c r="C17" s="98"/>
      <c r="D17" s="103"/>
      <c r="E17" s="98"/>
      <c r="F17" s="98"/>
      <c r="G17" s="93"/>
      <c r="H17" s="99"/>
      <c r="I17" s="91"/>
      <c r="J17" s="131" t="s">
        <v>147</v>
      </c>
      <c r="K17" s="132"/>
      <c r="L17" s="132"/>
      <c r="M17" s="133"/>
      <c r="N17" s="91"/>
      <c r="O17" s="91"/>
      <c r="P17" s="91"/>
      <c r="Q17" s="91"/>
    </row>
    <row r="18" spans="1:17" ht="15.75" thickBot="1" x14ac:dyDescent="0.3">
      <c r="A18" s="91"/>
      <c r="B18" s="95"/>
      <c r="C18" s="96" t="s">
        <v>138</v>
      </c>
      <c r="D18" s="108" t="str">
        <f>IF(AND(D5="Wallonie",OR(D7&lt;745,AND(D7&lt;845,G7&gt;=3,G7&lt;=4),AND(D7&lt;945,G7&gt;=5,G7&lt;=6),AND(D7&lt;1045,G7&gt;=7))),0.06,"")</f>
        <v/>
      </c>
      <c r="E18" s="98" t="str">
        <f>IF(D18="","","  pour les premiers "&amp;E19&amp;" € de l'acquisition, puis 12,5%")</f>
        <v/>
      </c>
      <c r="F18" s="98"/>
      <c r="G18" s="98"/>
      <c r="H18" s="99"/>
      <c r="I18" s="91"/>
      <c r="J18" s="92"/>
      <c r="K18" s="93"/>
      <c r="L18" s="93"/>
      <c r="M18" s="93"/>
      <c r="N18" s="93"/>
      <c r="O18" s="93"/>
      <c r="P18" s="94"/>
      <c r="Q18" s="91"/>
    </row>
    <row r="19" spans="1:17" ht="15.75" thickBot="1" x14ac:dyDescent="0.3">
      <c r="A19" s="91"/>
      <c r="B19" s="102"/>
      <c r="C19" s="103"/>
      <c r="D19" s="103"/>
      <c r="E19" s="105" t="str">
        <f>IF(D18="","",IF(G9="OUI",160431.53,150404.55))</f>
        <v/>
      </c>
      <c r="F19" s="103"/>
      <c r="G19" s="103"/>
      <c r="H19" s="104"/>
      <c r="I19" s="91"/>
      <c r="J19" s="95"/>
      <c r="K19" s="134" t="s">
        <v>151</v>
      </c>
      <c r="L19" s="134"/>
      <c r="M19" s="139">
        <f>0.011*$G$5</f>
        <v>2200</v>
      </c>
      <c r="N19" s="140"/>
      <c r="O19" s="98"/>
      <c r="P19" s="99"/>
      <c r="Q19" s="91"/>
    </row>
    <row r="20" spans="1:17" ht="15.75" thickBot="1" x14ac:dyDescent="0.3">
      <c r="A20" s="91"/>
      <c r="B20" s="91"/>
      <c r="C20" s="91"/>
      <c r="D20" s="91"/>
      <c r="E20" s="91"/>
      <c r="F20" s="91"/>
      <c r="G20" s="91"/>
      <c r="H20" s="91"/>
      <c r="I20" s="91"/>
      <c r="J20" s="95"/>
      <c r="K20" s="98"/>
      <c r="L20" s="98"/>
      <c r="M20" s="93"/>
      <c r="N20" s="93"/>
      <c r="O20" s="98"/>
      <c r="P20" s="99"/>
      <c r="Q20" s="91"/>
    </row>
    <row r="21" spans="1:17" ht="15.75" thickBot="1" x14ac:dyDescent="0.3">
      <c r="A21" s="91"/>
      <c r="B21" s="91"/>
      <c r="C21" s="91"/>
      <c r="D21" s="91"/>
      <c r="E21" s="91"/>
      <c r="F21" s="91"/>
      <c r="G21" s="91"/>
      <c r="H21" s="91"/>
      <c r="I21" s="91"/>
      <c r="J21" s="95"/>
      <c r="K21" s="134" t="s">
        <v>148</v>
      </c>
      <c r="L21" s="134"/>
      <c r="M21" s="139">
        <f>IF($G$5&lt;=7500,$G$5*0.0171,IF($G$5&lt;=17500,7500*0.0171+($G$5-7500)*0.01368,IF($G$5&lt;=30000,7500*0.0171+(17500-7500)*0.01368+($G$5-17500)*0.00912,IF($G$5&lt;=45495,7500*0.0171+(17500-7500)*0.01368+(30000-17500)*0.00912+($G$5-30000)*0.00684,IF($G$5&lt;=64095,7500*0.0171+(17500-7500)*0.01368+(30000-17500)*0.00912+(45495-30000)*0.00684+($G$5-45495)*0.00456,IF($G$5&lt;=250095,7500*0.0171+(17500-7500)*0.01368+(30000-17500)*0.00912+(45495-30000)*0.00684+(64095-45495)*0.00456+($G$5-64095)*0.00228,IF($G$5&gt;250095,7500*0.0171+(17500-7500)*0.01368+(30000-17500)*0.00912+(45495-30000)*0.00684+(64095-45495)*0.00456+(250095-64095)*0.00228+($G$5-250095)*0.000456)))))))</f>
        <v>879.71519999999987</v>
      </c>
      <c r="N21" s="140"/>
      <c r="O21" s="98"/>
      <c r="P21" s="99"/>
      <c r="Q21" s="91"/>
    </row>
    <row r="22" spans="1:17" ht="15.75" thickBot="1" x14ac:dyDescent="0.3">
      <c r="A22" s="91"/>
      <c r="B22" s="91"/>
      <c r="C22" s="91"/>
      <c r="D22" s="91"/>
      <c r="E22" s="91"/>
      <c r="F22" s="91"/>
      <c r="G22" s="91"/>
      <c r="H22" s="91"/>
      <c r="I22" s="91"/>
      <c r="J22" s="95"/>
      <c r="K22" s="98"/>
      <c r="L22" s="98"/>
      <c r="M22" s="103"/>
      <c r="N22" s="103"/>
      <c r="O22" s="98"/>
      <c r="P22" s="99"/>
      <c r="Q22" s="91"/>
    </row>
    <row r="23" spans="1:17" ht="15.75" thickBot="1" x14ac:dyDescent="0.3">
      <c r="A23" s="91"/>
      <c r="B23" s="91"/>
      <c r="C23" s="91"/>
      <c r="D23" s="91"/>
      <c r="E23" s="91"/>
      <c r="F23" s="91"/>
      <c r="G23" s="91"/>
      <c r="H23" s="91"/>
      <c r="I23" s="91"/>
      <c r="J23" s="95"/>
      <c r="K23" s="134" t="s">
        <v>142</v>
      </c>
      <c r="L23" s="134"/>
      <c r="M23" s="135">
        <v>1000</v>
      </c>
      <c r="N23" s="136"/>
      <c r="O23" s="98"/>
      <c r="P23" s="99"/>
      <c r="Q23" s="91"/>
    </row>
    <row r="24" spans="1:17" ht="15.75" thickBot="1" x14ac:dyDescent="0.3">
      <c r="A24" s="91"/>
      <c r="B24" s="91"/>
      <c r="C24" s="91"/>
      <c r="D24" s="91"/>
      <c r="E24" s="91"/>
      <c r="F24" s="91"/>
      <c r="G24" s="91"/>
      <c r="H24" s="91"/>
      <c r="I24" s="91"/>
      <c r="J24" s="95"/>
      <c r="K24" s="98"/>
      <c r="L24" s="98"/>
      <c r="M24" s="103"/>
      <c r="N24" s="103"/>
      <c r="O24" s="98"/>
      <c r="P24" s="99"/>
      <c r="Q24" s="91"/>
    </row>
    <row r="25" spans="1:17" ht="15.75" thickBot="1" x14ac:dyDescent="0.3">
      <c r="A25" s="91"/>
      <c r="B25" s="91"/>
      <c r="C25" s="91"/>
      <c r="D25" s="91"/>
      <c r="E25" s="91"/>
      <c r="F25" s="91"/>
      <c r="G25" s="91"/>
      <c r="H25" s="91"/>
      <c r="I25" s="91"/>
      <c r="J25" s="95"/>
      <c r="K25" s="134" t="s">
        <v>152</v>
      </c>
      <c r="L25" s="134"/>
      <c r="M25" s="139">
        <f>0.003*$G$5</f>
        <v>600</v>
      </c>
      <c r="N25" s="140"/>
      <c r="O25" s="98"/>
      <c r="P25" s="99"/>
      <c r="Q25" s="91"/>
    </row>
    <row r="26" spans="1:17" ht="15.75" thickBot="1" x14ac:dyDescent="0.3">
      <c r="A26" s="91"/>
      <c r="B26" s="91"/>
      <c r="C26" s="91"/>
      <c r="D26" s="91"/>
      <c r="E26" s="91"/>
      <c r="F26" s="91"/>
      <c r="G26" s="91"/>
      <c r="H26" s="91"/>
      <c r="I26" s="91"/>
      <c r="J26" s="95"/>
      <c r="K26" s="98"/>
      <c r="L26" s="98"/>
      <c r="M26" s="93"/>
      <c r="N26" s="93"/>
      <c r="O26" s="98"/>
      <c r="P26" s="99"/>
      <c r="Q26" s="91"/>
    </row>
    <row r="27" spans="1:17" ht="15.75" thickBot="1" x14ac:dyDescent="0.3">
      <c r="A27" s="91"/>
      <c r="B27" s="91"/>
      <c r="C27" s="91"/>
      <c r="D27" s="91"/>
      <c r="E27" s="91"/>
      <c r="F27" s="91"/>
      <c r="G27" s="91"/>
      <c r="H27" s="91"/>
      <c r="I27" s="91"/>
      <c r="J27" s="95"/>
      <c r="K27" s="134" t="s">
        <v>153</v>
      </c>
      <c r="L27" s="134"/>
      <c r="M27" s="139">
        <f>0.001*$G$5</f>
        <v>200</v>
      </c>
      <c r="N27" s="140"/>
      <c r="O27" s="98"/>
      <c r="P27" s="99"/>
      <c r="Q27" s="91"/>
    </row>
    <row r="28" spans="1:17" ht="15.75" thickBot="1" x14ac:dyDescent="0.3">
      <c r="A28" s="91"/>
      <c r="B28" s="91"/>
      <c r="C28" s="91"/>
      <c r="D28" s="91"/>
      <c r="E28" s="91"/>
      <c r="F28" s="91"/>
      <c r="G28" s="91"/>
      <c r="H28" s="91"/>
      <c r="I28" s="91"/>
      <c r="J28" s="95"/>
      <c r="K28" s="98"/>
      <c r="L28" s="98"/>
      <c r="M28" s="93"/>
      <c r="N28" s="93"/>
      <c r="O28" s="98"/>
      <c r="P28" s="99"/>
      <c r="Q28" s="91"/>
    </row>
    <row r="29" spans="1:17" ht="15.75" thickBot="1" x14ac:dyDescent="0.3">
      <c r="A29" s="91"/>
      <c r="B29" s="91"/>
      <c r="C29" s="91"/>
      <c r="D29" s="91"/>
      <c r="E29" s="91"/>
      <c r="F29" s="91"/>
      <c r="G29" s="91"/>
      <c r="H29" s="91"/>
      <c r="I29" s="91"/>
      <c r="J29" s="95"/>
      <c r="K29" s="134" t="s">
        <v>146</v>
      </c>
      <c r="L29" s="134"/>
      <c r="M29" s="139">
        <f>(M25+M27)*0.21</f>
        <v>168</v>
      </c>
      <c r="N29" s="140"/>
      <c r="O29" s="98"/>
      <c r="P29" s="99"/>
      <c r="Q29" s="91"/>
    </row>
    <row r="30" spans="1:17" ht="15.75" thickBot="1" x14ac:dyDescent="0.3">
      <c r="A30" s="91"/>
      <c r="B30" s="91"/>
      <c r="C30" s="91"/>
      <c r="D30" s="91"/>
      <c r="E30" s="91"/>
      <c r="F30" s="91"/>
      <c r="G30" s="91"/>
      <c r="H30" s="91"/>
      <c r="I30" s="91"/>
      <c r="J30" s="102"/>
      <c r="K30" s="103"/>
      <c r="L30" s="103"/>
      <c r="M30" s="103"/>
      <c r="N30" s="103"/>
      <c r="O30" s="103"/>
      <c r="P30" s="104"/>
      <c r="Q30" s="91"/>
    </row>
    <row r="31" spans="1:17" ht="15.75" thickBot="1" x14ac:dyDescent="0.3">
      <c r="A31" s="91"/>
      <c r="B31" s="91"/>
      <c r="C31" s="91"/>
      <c r="D31" s="91"/>
      <c r="E31" s="91"/>
      <c r="F31" s="91"/>
      <c r="G31" s="91"/>
      <c r="H31" s="91"/>
      <c r="I31" s="91"/>
      <c r="J31" s="111"/>
      <c r="K31" s="112"/>
      <c r="L31" s="113"/>
      <c r="M31" s="112"/>
      <c r="N31" s="112"/>
      <c r="O31" s="112"/>
      <c r="P31" s="119"/>
      <c r="Q31" s="91"/>
    </row>
    <row r="32" spans="1:17" ht="15.75" thickBot="1" x14ac:dyDescent="0.3">
      <c r="A32" s="91"/>
      <c r="B32" s="91"/>
      <c r="C32" s="91"/>
      <c r="D32" s="91"/>
      <c r="E32" s="91"/>
      <c r="F32" s="91"/>
      <c r="G32" s="91"/>
      <c r="H32" s="91"/>
      <c r="I32" s="91"/>
      <c r="J32" s="114"/>
      <c r="K32" s="115"/>
      <c r="L32" s="122" t="s">
        <v>150</v>
      </c>
      <c r="M32" s="137">
        <f>M19+M21+M23+M25+M27+M29</f>
        <v>5047.7151999999996</v>
      </c>
      <c r="N32" s="138"/>
      <c r="O32" s="115"/>
      <c r="P32" s="120"/>
      <c r="Q32" s="91"/>
    </row>
    <row r="33" spans="1:17" ht="15.75" thickBot="1" x14ac:dyDescent="0.3">
      <c r="A33" s="91"/>
      <c r="B33" s="91"/>
      <c r="C33" s="91"/>
      <c r="D33" s="91"/>
      <c r="E33" s="91"/>
      <c r="F33" s="91"/>
      <c r="G33" s="91"/>
      <c r="H33" s="91"/>
      <c r="I33" s="91"/>
      <c r="J33" s="116"/>
      <c r="K33" s="117"/>
      <c r="L33" s="118"/>
      <c r="M33" s="117"/>
      <c r="N33" s="117"/>
      <c r="O33" s="117"/>
      <c r="P33" s="121"/>
      <c r="Q33" s="91"/>
    </row>
    <row r="34" spans="1:17" x14ac:dyDescent="0.25">
      <c r="A34" s="91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</row>
    <row r="35" spans="1:17" x14ac:dyDescent="0.25">
      <c r="A35" s="91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</row>
  </sheetData>
  <mergeCells count="26">
    <mergeCell ref="K29:L29"/>
    <mergeCell ref="M29:N29"/>
    <mergeCell ref="M32:N32"/>
    <mergeCell ref="K23:L23"/>
    <mergeCell ref="M23:N23"/>
    <mergeCell ref="K25:L25"/>
    <mergeCell ref="M25:N25"/>
    <mergeCell ref="K27:L27"/>
    <mergeCell ref="M27:N27"/>
    <mergeCell ref="J17:M17"/>
    <mergeCell ref="K21:L21"/>
    <mergeCell ref="M21:N21"/>
    <mergeCell ref="K19:L19"/>
    <mergeCell ref="M19:N19"/>
    <mergeCell ref="B3:E3"/>
    <mergeCell ref="B14:E14"/>
    <mergeCell ref="J3:M3"/>
    <mergeCell ref="K9:L9"/>
    <mergeCell ref="M9:N9"/>
    <mergeCell ref="M14:N14"/>
    <mergeCell ref="K5:L5"/>
    <mergeCell ref="M5:N5"/>
    <mergeCell ref="K7:L7"/>
    <mergeCell ref="M7:N7"/>
    <mergeCell ref="K11:L11"/>
    <mergeCell ref="M11:N11"/>
  </mergeCells>
  <dataValidations count="3">
    <dataValidation type="list" allowBlank="1" showInputMessage="1" showErrorMessage="1" sqref="G9 G11">
      <formula1>"OUI,NON"</formula1>
    </dataValidation>
    <dataValidation type="whole" allowBlank="1" showInputMessage="1" showErrorMessage="1" sqref="G7">
      <formula1>0</formula1>
      <formula2>20</formula2>
    </dataValidation>
    <dataValidation type="list" allowBlank="1" showInputMessage="1" showErrorMessage="1" sqref="D5">
      <formula1>"Bruxelles,Flandres,Wallonie"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 1 et unique habitation</vt:lpstr>
      <vt:lpstr>Données simulateur</vt:lpstr>
      <vt:lpstr>Calcul Sharney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Xavier</cp:lastModifiedBy>
  <dcterms:created xsi:type="dcterms:W3CDTF">2014-12-27T15:47:04Z</dcterms:created>
  <dcterms:modified xsi:type="dcterms:W3CDTF">2015-02-03T20:02:03Z</dcterms:modified>
</cp:coreProperties>
</file>