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xaviermanville/Nextcloud/Apolline_Cabinet_Dentaire/Apolline_Gestion_Fournisseurs/"/>
    </mc:Choice>
  </mc:AlternateContent>
  <xr:revisionPtr revIDLastSave="0" documentId="13_ncr:1_{71CA3286-D2FB-A547-A9F7-78C8B068F8E1}" xr6:coauthVersionLast="45" xr6:coauthVersionMax="45" xr10:uidLastSave="{00000000-0000-0000-0000-000000000000}"/>
  <bookViews>
    <workbookView xWindow="5780" yWindow="4720" windowWidth="28360" windowHeight="14580" xr2:uid="{00000000-000D-0000-FFFF-FFFF00000000}"/>
  </bookViews>
  <sheets>
    <sheet name="Factures" sheetId="1" r:id="rId1"/>
    <sheet name="Echeanciers" sheetId="3" r:id="rId2"/>
    <sheet name="Coordonnées FRN" sheetId="12" r:id="rId3"/>
    <sheet name="Paramètres" sheetId="11" r:id="rId4"/>
  </sheets>
  <definedNames>
    <definedName name="_xlnm._FilterDatabase" localSheetId="0" hidden="1">Factures!$A$1:$O$203</definedName>
    <definedName name="Banque">Paramètres!$A:$A</definedName>
    <definedName name="Banques">Paramètres!#REF!</definedName>
    <definedName name="Date_">Factures!$K:$K</definedName>
    <definedName name="Etat">Factures!$L:$L</definedName>
    <definedName name="Factures">Factures!$1:$1048576</definedName>
    <definedName name="_xlnm.Print_Titles" localSheetId="0">Factures!$1:$1</definedName>
    <definedName name="ListeFrn">Paramètres!$B:$B</definedName>
    <definedName name="Mode">Paramètres!$C:$C</definedName>
    <definedName name="Montant">Factures!$E:$E</definedName>
    <definedName name="TVA">#REF!</definedName>
    <definedName name="TypeRgmt">#REF!</definedName>
    <definedName name="_xlnm.Print_Area" localSheetId="0">Tableau2[#All]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4" i="1" l="1"/>
  <c r="F204" i="1"/>
  <c r="G204" i="1"/>
  <c r="H204" i="1"/>
  <c r="I204" i="1"/>
  <c r="J54" i="1" l="1"/>
  <c r="L54" i="1"/>
  <c r="N54" i="1"/>
  <c r="J53" i="1"/>
  <c r="L53" i="1"/>
  <c r="N53" i="1"/>
  <c r="J52" i="1"/>
  <c r="L52" i="1"/>
  <c r="N52" i="1"/>
  <c r="J51" i="1"/>
  <c r="L51" i="1"/>
  <c r="N51" i="1"/>
  <c r="J50" i="1"/>
  <c r="L50" i="1"/>
  <c r="N50" i="1"/>
  <c r="J49" i="1"/>
  <c r="L49" i="1"/>
  <c r="N49" i="1"/>
  <c r="J150" i="1"/>
  <c r="L150" i="1"/>
  <c r="N150" i="1"/>
  <c r="J149" i="1"/>
  <c r="L149" i="1"/>
  <c r="N149" i="1"/>
  <c r="J148" i="1"/>
  <c r="L148" i="1"/>
  <c r="N148" i="1"/>
  <c r="J147" i="1" l="1"/>
  <c r="L147" i="1"/>
  <c r="N147" i="1"/>
  <c r="J203" i="1" l="1"/>
  <c r="L203" i="1"/>
  <c r="N203" i="1"/>
  <c r="J48" i="1" l="1"/>
  <c r="L48" i="1"/>
  <c r="N48" i="1"/>
  <c r="J5" i="1"/>
  <c r="L5" i="1"/>
  <c r="N5" i="1"/>
  <c r="J41" i="1"/>
  <c r="L41" i="1"/>
  <c r="N41" i="1"/>
  <c r="L23" i="1"/>
  <c r="L32" i="1"/>
  <c r="L27" i="1"/>
  <c r="L181" i="1"/>
  <c r="L194" i="1"/>
  <c r="J23" i="1"/>
  <c r="J32" i="1"/>
  <c r="J27" i="1"/>
  <c r="J181" i="1"/>
  <c r="J194" i="1"/>
  <c r="J138" i="1"/>
  <c r="L138" i="1"/>
  <c r="N138" i="1"/>
  <c r="N23" i="1"/>
  <c r="N32" i="1"/>
  <c r="N27" i="1"/>
  <c r="N181" i="1"/>
  <c r="N194" i="1"/>
  <c r="J42" i="1"/>
  <c r="J43" i="1"/>
  <c r="J38" i="1"/>
  <c r="J39" i="1"/>
  <c r="J40" i="1"/>
  <c r="L42" i="1"/>
  <c r="L43" i="1"/>
  <c r="L38" i="1"/>
  <c r="L39" i="1"/>
  <c r="L40" i="1"/>
  <c r="N42" i="1"/>
  <c r="N43" i="1"/>
  <c r="N38" i="1"/>
  <c r="N39" i="1"/>
  <c r="N40" i="1"/>
  <c r="L33" i="1" l="1"/>
  <c r="L34" i="1"/>
  <c r="L35" i="1"/>
  <c r="L36" i="1"/>
  <c r="L37" i="1"/>
  <c r="L132" i="1"/>
  <c r="L127" i="1"/>
  <c r="L193" i="1"/>
  <c r="L190" i="1"/>
  <c r="L191" i="1"/>
  <c r="L177" i="1"/>
  <c r="L185" i="1"/>
  <c r="J33" i="1"/>
  <c r="J34" i="1"/>
  <c r="J35" i="1"/>
  <c r="J36" i="1"/>
  <c r="J37" i="1"/>
  <c r="J132" i="1"/>
  <c r="J127" i="1"/>
  <c r="J193" i="1"/>
  <c r="J190" i="1"/>
  <c r="N33" i="1"/>
  <c r="N34" i="1"/>
  <c r="N35" i="1"/>
  <c r="N36" i="1"/>
  <c r="N37" i="1"/>
  <c r="N132" i="1"/>
  <c r="N127" i="1"/>
  <c r="N193" i="1"/>
  <c r="N190" i="1"/>
  <c r="J177" i="1"/>
  <c r="N177" i="1"/>
  <c r="J185" i="1"/>
  <c r="N185" i="1"/>
  <c r="N15" i="3" l="1"/>
  <c r="M15" i="3"/>
  <c r="L15" i="3"/>
  <c r="K15" i="3"/>
  <c r="J15" i="3"/>
  <c r="I15" i="3"/>
  <c r="H15" i="3"/>
  <c r="G15" i="3"/>
  <c r="F15" i="3"/>
  <c r="E15" i="3"/>
  <c r="D15" i="3"/>
  <c r="C15" i="3"/>
  <c r="N9" i="3"/>
  <c r="M9" i="3"/>
  <c r="L9" i="3"/>
  <c r="K9" i="3"/>
  <c r="J9" i="3"/>
  <c r="I9" i="3"/>
  <c r="H9" i="3"/>
  <c r="G9" i="3"/>
  <c r="F9" i="3"/>
  <c r="E9" i="3"/>
  <c r="D9" i="3"/>
  <c r="C9" i="3"/>
  <c r="L3" i="3"/>
  <c r="K3" i="3"/>
  <c r="J3" i="3"/>
  <c r="I3" i="3"/>
  <c r="H3" i="3"/>
  <c r="G3" i="3"/>
  <c r="F3" i="3"/>
  <c r="E3" i="3"/>
  <c r="C3" i="3"/>
  <c r="B15" i="3" l="1"/>
  <c r="B9" i="3"/>
  <c r="L59" i="1"/>
  <c r="L158" i="1"/>
  <c r="L55" i="1"/>
  <c r="O14" i="3" l="1"/>
  <c r="C14" i="3"/>
  <c r="O8" i="3"/>
  <c r="C8" i="3"/>
  <c r="O2" i="3"/>
  <c r="C2" i="3"/>
  <c r="D1" i="3"/>
  <c r="D14" i="3" s="1"/>
  <c r="E1" i="3" l="1"/>
  <c r="D8" i="3"/>
  <c r="D2" i="3"/>
  <c r="L31" i="1"/>
  <c r="J31" i="1"/>
  <c r="N31" i="1"/>
  <c r="E14" i="3" l="1"/>
  <c r="E2" i="3"/>
  <c r="F1" i="3"/>
  <c r="E8" i="3"/>
  <c r="J24" i="1"/>
  <c r="J25" i="1"/>
  <c r="J26" i="1"/>
  <c r="L24" i="1"/>
  <c r="L25" i="1"/>
  <c r="L26" i="1"/>
  <c r="N24" i="1"/>
  <c r="N25" i="1"/>
  <c r="N26" i="1"/>
  <c r="J191" i="1"/>
  <c r="N191" i="1"/>
  <c r="J30" i="1"/>
  <c r="L30" i="1"/>
  <c r="N30" i="1"/>
  <c r="J29" i="1"/>
  <c r="L29" i="1"/>
  <c r="N29" i="1"/>
  <c r="J82" i="1"/>
  <c r="L82" i="1"/>
  <c r="N82" i="1"/>
  <c r="G1" i="3" l="1"/>
  <c r="F8" i="3"/>
  <c r="F2" i="3"/>
  <c r="F14" i="3"/>
  <c r="H1" i="3" l="1"/>
  <c r="G8" i="3"/>
  <c r="G2" i="3"/>
  <c r="G14" i="3"/>
  <c r="J183" i="1"/>
  <c r="L183" i="1"/>
  <c r="N183" i="1"/>
  <c r="J22" i="1"/>
  <c r="L22" i="1"/>
  <c r="N22" i="1"/>
  <c r="J186" i="1"/>
  <c r="L186" i="1"/>
  <c r="N186" i="1"/>
  <c r="J44" i="1"/>
  <c r="L44" i="1"/>
  <c r="N44" i="1"/>
  <c r="J176" i="1"/>
  <c r="L176" i="1"/>
  <c r="N176" i="1"/>
  <c r="J188" i="1"/>
  <c r="L188" i="1"/>
  <c r="N188" i="1"/>
  <c r="J18" i="1"/>
  <c r="J20" i="1"/>
  <c r="J166" i="1"/>
  <c r="L166" i="1"/>
  <c r="N166" i="1"/>
  <c r="J172" i="1"/>
  <c r="L172" i="1"/>
  <c r="N172" i="1"/>
  <c r="J113" i="1"/>
  <c r="L113" i="1"/>
  <c r="N113" i="1"/>
  <c r="J169" i="1"/>
  <c r="L169" i="1"/>
  <c r="N169" i="1"/>
  <c r="J144" i="1"/>
  <c r="L144" i="1"/>
  <c r="N144" i="1"/>
  <c r="J28" i="1"/>
  <c r="L28" i="1"/>
  <c r="N28" i="1"/>
  <c r="I1" i="3" l="1"/>
  <c r="H14" i="3"/>
  <c r="H8" i="3"/>
  <c r="H2" i="3"/>
  <c r="N151" i="1"/>
  <c r="N152" i="1"/>
  <c r="N153" i="1"/>
  <c r="N154" i="1"/>
  <c r="N155" i="1"/>
  <c r="N156" i="1"/>
  <c r="N55" i="1"/>
  <c r="N56" i="1"/>
  <c r="N157" i="1"/>
  <c r="N57" i="1"/>
  <c r="N58" i="1"/>
  <c r="N59" i="1"/>
  <c r="N60" i="1"/>
  <c r="N61" i="1"/>
  <c r="N62" i="1"/>
  <c r="N63" i="1"/>
  <c r="N158" i="1"/>
  <c r="N64" i="1"/>
  <c r="N65" i="1"/>
  <c r="N66" i="1"/>
  <c r="N67" i="1"/>
  <c r="N68" i="1"/>
  <c r="N69" i="1"/>
  <c r="N70" i="1"/>
  <c r="N71" i="1"/>
  <c r="N72" i="1"/>
  <c r="N73" i="1"/>
  <c r="N74" i="1"/>
  <c r="N75" i="1"/>
  <c r="N159" i="1"/>
  <c r="N76" i="1"/>
  <c r="N160" i="1"/>
  <c r="N77" i="1"/>
  <c r="N78" i="1"/>
  <c r="N79" i="1"/>
  <c r="N80" i="1"/>
  <c r="N161" i="1"/>
  <c r="N81" i="1"/>
  <c r="N83" i="1"/>
  <c r="N84" i="1"/>
  <c r="N85" i="1"/>
  <c r="N163" i="1"/>
  <c r="N86" i="1"/>
  <c r="N87" i="1"/>
  <c r="N164" i="1"/>
  <c r="N88" i="1"/>
  <c r="N89" i="1"/>
  <c r="N90" i="1"/>
  <c r="N91" i="1"/>
  <c r="N92" i="1"/>
  <c r="N93" i="1"/>
  <c r="N94" i="1"/>
  <c r="N95" i="1"/>
  <c r="N96" i="1"/>
  <c r="N165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71" i="1"/>
  <c r="N110" i="1"/>
  <c r="N173" i="1"/>
  <c r="N112" i="1"/>
  <c r="N111" i="1"/>
  <c r="N174" i="1"/>
  <c r="N114" i="1"/>
  <c r="N178" i="1"/>
  <c r="N116" i="1"/>
  <c r="N179" i="1"/>
  <c r="N180" i="1"/>
  <c r="N117" i="1"/>
  <c r="N118" i="1"/>
  <c r="N182" i="1"/>
  <c r="N119" i="1"/>
  <c r="N120" i="1"/>
  <c r="N121" i="1"/>
  <c r="N122" i="1"/>
  <c r="N184" i="1"/>
  <c r="N123" i="1"/>
  <c r="N124" i="1"/>
  <c r="N125" i="1"/>
  <c r="N126" i="1"/>
  <c r="N187" i="1"/>
  <c r="N128" i="1"/>
  <c r="N129" i="1"/>
  <c r="N189" i="1"/>
  <c r="N130" i="1"/>
  <c r="N131" i="1"/>
  <c r="N192" i="1"/>
  <c r="N133" i="1"/>
  <c r="N134" i="1"/>
  <c r="N135" i="1"/>
  <c r="N136" i="1"/>
  <c r="N137" i="1"/>
  <c r="N139" i="1"/>
  <c r="N140" i="1"/>
  <c r="N141" i="1"/>
  <c r="N142" i="1"/>
  <c r="N195" i="1"/>
  <c r="N196" i="1"/>
  <c r="N197" i="1"/>
  <c r="N198" i="1"/>
  <c r="N199" i="1"/>
  <c r="N200" i="1"/>
  <c r="N201" i="1"/>
  <c r="N2" i="1"/>
  <c r="N145" i="1"/>
  <c r="N6" i="1"/>
  <c r="N7" i="1"/>
  <c r="N8" i="1"/>
  <c r="N9" i="1"/>
  <c r="N15" i="1"/>
  <c r="N146" i="1"/>
  <c r="N45" i="1"/>
  <c r="N46" i="1"/>
  <c r="N47" i="1"/>
  <c r="N11" i="1"/>
  <c r="N12" i="1"/>
  <c r="N13" i="1"/>
  <c r="N14" i="1"/>
  <c r="N16" i="1"/>
  <c r="N17" i="1"/>
  <c r="N10" i="1"/>
  <c r="N162" i="1"/>
  <c r="N175" i="1"/>
  <c r="N3" i="1"/>
  <c r="N170" i="1"/>
  <c r="N4" i="1"/>
  <c r="N143" i="1"/>
  <c r="N115" i="1"/>
  <c r="N168" i="1"/>
  <c r="N167" i="1"/>
  <c r="N202" i="1"/>
  <c r="N19" i="1"/>
  <c r="N18" i="1"/>
  <c r="N20" i="1"/>
  <c r="N21" i="1"/>
  <c r="L152" i="1"/>
  <c r="L153" i="1"/>
  <c r="L154" i="1"/>
  <c r="L155" i="1"/>
  <c r="L156" i="1"/>
  <c r="L56" i="1"/>
  <c r="L157" i="1"/>
  <c r="L57" i="1"/>
  <c r="L58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159" i="1"/>
  <c r="L76" i="1"/>
  <c r="L160" i="1"/>
  <c r="L77" i="1"/>
  <c r="L78" i="1"/>
  <c r="L79" i="1"/>
  <c r="L80" i="1"/>
  <c r="L161" i="1"/>
  <c r="L81" i="1"/>
  <c r="L83" i="1"/>
  <c r="L84" i="1"/>
  <c r="L85" i="1"/>
  <c r="L163" i="1"/>
  <c r="L86" i="1"/>
  <c r="L87" i="1"/>
  <c r="L164" i="1"/>
  <c r="L88" i="1"/>
  <c r="L89" i="1"/>
  <c r="L90" i="1"/>
  <c r="L91" i="1"/>
  <c r="L92" i="1"/>
  <c r="L93" i="1"/>
  <c r="L94" i="1"/>
  <c r="L95" i="1"/>
  <c r="L96" i="1"/>
  <c r="L165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71" i="1"/>
  <c r="L110" i="1"/>
  <c r="L173" i="1"/>
  <c r="L112" i="1"/>
  <c r="L111" i="1"/>
  <c r="L174" i="1"/>
  <c r="L114" i="1"/>
  <c r="L178" i="1"/>
  <c r="L116" i="1"/>
  <c r="L179" i="1"/>
  <c r="L180" i="1"/>
  <c r="L117" i="1"/>
  <c r="L118" i="1"/>
  <c r="L182" i="1"/>
  <c r="L119" i="1"/>
  <c r="L120" i="1"/>
  <c r="L121" i="1"/>
  <c r="L122" i="1"/>
  <c r="L184" i="1"/>
  <c r="L123" i="1"/>
  <c r="L124" i="1"/>
  <c r="L125" i="1"/>
  <c r="L126" i="1"/>
  <c r="L187" i="1"/>
  <c r="L128" i="1"/>
  <c r="L129" i="1"/>
  <c r="L189" i="1"/>
  <c r="L130" i="1"/>
  <c r="L131" i="1"/>
  <c r="L192" i="1"/>
  <c r="L133" i="1"/>
  <c r="L134" i="1"/>
  <c r="L135" i="1"/>
  <c r="L136" i="1"/>
  <c r="L137" i="1"/>
  <c r="L139" i="1"/>
  <c r="L140" i="1"/>
  <c r="L141" i="1"/>
  <c r="L142" i="1"/>
  <c r="L195" i="1"/>
  <c r="L196" i="1"/>
  <c r="L197" i="1"/>
  <c r="L198" i="1"/>
  <c r="L199" i="1"/>
  <c r="L200" i="1"/>
  <c r="L201" i="1"/>
  <c r="L2" i="1"/>
  <c r="L145" i="1"/>
  <c r="L6" i="1"/>
  <c r="L7" i="1"/>
  <c r="L8" i="1"/>
  <c r="L9" i="1"/>
  <c r="L15" i="1"/>
  <c r="L146" i="1"/>
  <c r="L45" i="1"/>
  <c r="L46" i="1"/>
  <c r="L47" i="1"/>
  <c r="L11" i="1"/>
  <c r="L12" i="1"/>
  <c r="L13" i="1"/>
  <c r="L14" i="1"/>
  <c r="L16" i="1"/>
  <c r="L17" i="1"/>
  <c r="L10" i="1"/>
  <c r="L162" i="1"/>
  <c r="L175" i="1"/>
  <c r="L3" i="1"/>
  <c r="L170" i="1"/>
  <c r="L4" i="1"/>
  <c r="L143" i="1"/>
  <c r="L115" i="1"/>
  <c r="L168" i="1"/>
  <c r="L167" i="1"/>
  <c r="L202" i="1"/>
  <c r="L19" i="1"/>
  <c r="L18" i="1"/>
  <c r="L20" i="1"/>
  <c r="L21" i="1"/>
  <c r="J152" i="1"/>
  <c r="J153" i="1"/>
  <c r="J154" i="1"/>
  <c r="J155" i="1"/>
  <c r="J156" i="1"/>
  <c r="J55" i="1"/>
  <c r="J56" i="1"/>
  <c r="J157" i="1"/>
  <c r="J57" i="1"/>
  <c r="J58" i="1"/>
  <c r="J59" i="1"/>
  <c r="J60" i="1"/>
  <c r="J61" i="1"/>
  <c r="J62" i="1"/>
  <c r="J63" i="1"/>
  <c r="J158" i="1"/>
  <c r="J64" i="1"/>
  <c r="J65" i="1"/>
  <c r="J66" i="1"/>
  <c r="J67" i="1"/>
  <c r="J68" i="1"/>
  <c r="J69" i="1"/>
  <c r="J70" i="1"/>
  <c r="J71" i="1"/>
  <c r="J72" i="1"/>
  <c r="J73" i="1"/>
  <c r="J74" i="1"/>
  <c r="J75" i="1"/>
  <c r="J159" i="1"/>
  <c r="J76" i="1"/>
  <c r="J160" i="1"/>
  <c r="J77" i="1"/>
  <c r="J78" i="1"/>
  <c r="J79" i="1"/>
  <c r="J80" i="1"/>
  <c r="J161" i="1"/>
  <c r="J81" i="1"/>
  <c r="J83" i="1"/>
  <c r="J84" i="1"/>
  <c r="J85" i="1"/>
  <c r="J163" i="1"/>
  <c r="J86" i="1"/>
  <c r="J87" i="1"/>
  <c r="J164" i="1"/>
  <c r="J88" i="1"/>
  <c r="J89" i="1"/>
  <c r="J90" i="1"/>
  <c r="J91" i="1"/>
  <c r="J92" i="1"/>
  <c r="J93" i="1"/>
  <c r="J94" i="1"/>
  <c r="J95" i="1"/>
  <c r="J96" i="1"/>
  <c r="J165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71" i="1"/>
  <c r="J110" i="1"/>
  <c r="J173" i="1"/>
  <c r="J112" i="1"/>
  <c r="J111" i="1"/>
  <c r="J174" i="1"/>
  <c r="J114" i="1"/>
  <c r="J178" i="1"/>
  <c r="J116" i="1"/>
  <c r="J179" i="1"/>
  <c r="J180" i="1"/>
  <c r="J117" i="1"/>
  <c r="J118" i="1"/>
  <c r="J182" i="1"/>
  <c r="J119" i="1"/>
  <c r="J120" i="1"/>
  <c r="J121" i="1"/>
  <c r="J122" i="1"/>
  <c r="J184" i="1"/>
  <c r="J123" i="1"/>
  <c r="J124" i="1"/>
  <c r="J125" i="1"/>
  <c r="J126" i="1"/>
  <c r="J187" i="1"/>
  <c r="J128" i="1"/>
  <c r="J129" i="1"/>
  <c r="J189" i="1"/>
  <c r="J130" i="1"/>
  <c r="D3" i="3" s="1"/>
  <c r="J131" i="1"/>
  <c r="J192" i="1"/>
  <c r="J133" i="1"/>
  <c r="J134" i="1"/>
  <c r="J135" i="1"/>
  <c r="J136" i="1"/>
  <c r="J137" i="1"/>
  <c r="J139" i="1"/>
  <c r="J140" i="1"/>
  <c r="J141" i="1"/>
  <c r="J142" i="1"/>
  <c r="J195" i="1"/>
  <c r="J196" i="1"/>
  <c r="J197" i="1"/>
  <c r="J198" i="1"/>
  <c r="J199" i="1"/>
  <c r="J200" i="1"/>
  <c r="J201" i="1"/>
  <c r="J2" i="1"/>
  <c r="J145" i="1"/>
  <c r="J6" i="1"/>
  <c r="J7" i="1"/>
  <c r="J8" i="1"/>
  <c r="J9" i="1"/>
  <c r="J15" i="1"/>
  <c r="J146" i="1"/>
  <c r="J45" i="1"/>
  <c r="J46" i="1"/>
  <c r="J47" i="1"/>
  <c r="J11" i="1"/>
  <c r="J12" i="1"/>
  <c r="J13" i="1"/>
  <c r="J14" i="1"/>
  <c r="J16" i="1"/>
  <c r="J17" i="1"/>
  <c r="J10" i="1"/>
  <c r="J162" i="1"/>
  <c r="J175" i="1"/>
  <c r="J3" i="1"/>
  <c r="J170" i="1"/>
  <c r="J4" i="1"/>
  <c r="J143" i="1"/>
  <c r="J115" i="1"/>
  <c r="J168" i="1"/>
  <c r="J167" i="1"/>
  <c r="J202" i="1"/>
  <c r="J19" i="1"/>
  <c r="J21" i="1"/>
  <c r="N3" i="3" l="1"/>
  <c r="M3" i="3"/>
  <c r="J1" i="3"/>
  <c r="I14" i="3"/>
  <c r="I2" i="3"/>
  <c r="I8" i="3"/>
  <c r="A204" i="1"/>
  <c r="K1" i="3" l="1"/>
  <c r="J8" i="3"/>
  <c r="J2" i="3"/>
  <c r="J14" i="3"/>
  <c r="L1" i="3" l="1"/>
  <c r="K14" i="3"/>
  <c r="K2" i="3"/>
  <c r="K8" i="3"/>
  <c r="J151" i="1"/>
  <c r="L151" i="1"/>
  <c r="J210" i="1" l="1"/>
  <c r="J213" i="1"/>
  <c r="J212" i="1"/>
  <c r="J211" i="1"/>
  <c r="M1" i="3"/>
  <c r="L14" i="3"/>
  <c r="L2" i="3"/>
  <c r="L8" i="3"/>
  <c r="J204" i="1"/>
  <c r="N1" i="3" l="1"/>
  <c r="M8" i="3"/>
  <c r="M2" i="3"/>
  <c r="M14" i="3"/>
  <c r="E4" i="3" l="1"/>
  <c r="N8" i="3"/>
  <c r="N14" i="3"/>
  <c r="M18" i="3" s="1"/>
  <c r="N2" i="3"/>
  <c r="M4" i="3" s="1"/>
  <c r="K18" i="3"/>
  <c r="G18" i="3"/>
  <c r="C18" i="3"/>
  <c r="K17" i="3"/>
  <c r="G17" i="3"/>
  <c r="C17" i="3"/>
  <c r="K16" i="3"/>
  <c r="G16" i="3"/>
  <c r="C16" i="3"/>
  <c r="L18" i="3"/>
  <c r="H18" i="3"/>
  <c r="D18" i="3"/>
  <c r="L17" i="3"/>
  <c r="H17" i="3"/>
  <c r="D17" i="3"/>
  <c r="L16" i="3"/>
  <c r="H16" i="3"/>
  <c r="D16" i="3"/>
  <c r="I18" i="3"/>
  <c r="E18" i="3"/>
  <c r="I17" i="3"/>
  <c r="E17" i="3"/>
  <c r="M16" i="3"/>
  <c r="I16" i="3"/>
  <c r="E16" i="3"/>
  <c r="J18" i="3"/>
  <c r="F18" i="3"/>
  <c r="J17" i="3"/>
  <c r="F17" i="3"/>
  <c r="J16" i="3"/>
  <c r="F16" i="3"/>
  <c r="K12" i="3"/>
  <c r="G12" i="3"/>
  <c r="K11" i="3"/>
  <c r="G11" i="3"/>
  <c r="K10" i="3"/>
  <c r="G10" i="3"/>
  <c r="F12" i="3"/>
  <c r="F11" i="3"/>
  <c r="F10" i="3"/>
  <c r="L12" i="3"/>
  <c r="H12" i="3"/>
  <c r="L11" i="3"/>
  <c r="H11" i="3"/>
  <c r="L10" i="3"/>
  <c r="H10" i="3"/>
  <c r="J12" i="3"/>
  <c r="J11" i="3"/>
  <c r="J10" i="3"/>
  <c r="M12" i="3"/>
  <c r="I12" i="3"/>
  <c r="M11" i="3"/>
  <c r="I11" i="3"/>
  <c r="M10" i="3"/>
  <c r="I10" i="3"/>
  <c r="N12" i="3"/>
  <c r="N11" i="3"/>
  <c r="N10" i="3"/>
  <c r="E12" i="3"/>
  <c r="C11" i="3"/>
  <c r="D11" i="3"/>
  <c r="C12" i="3"/>
  <c r="D12" i="3"/>
  <c r="E10" i="3"/>
  <c r="D10" i="3"/>
  <c r="E11" i="3"/>
  <c r="C10" i="3"/>
  <c r="C6" i="3"/>
  <c r="G6" i="3"/>
  <c r="F6" i="3"/>
  <c r="E6" i="3"/>
  <c r="I6" i="3"/>
  <c r="D6" i="3"/>
  <c r="H6" i="3"/>
  <c r="K6" i="3"/>
  <c r="L6" i="3"/>
  <c r="M6" i="3"/>
  <c r="N6" i="3"/>
  <c r="J6" i="3"/>
  <c r="C5" i="3"/>
  <c r="G5" i="3"/>
  <c r="F5" i="3"/>
  <c r="E5" i="3"/>
  <c r="I5" i="3"/>
  <c r="D5" i="3"/>
  <c r="H5" i="3"/>
  <c r="K5" i="3"/>
  <c r="M5" i="3"/>
  <c r="N5" i="3"/>
  <c r="L5" i="3"/>
  <c r="J5" i="3"/>
  <c r="C4" i="3"/>
  <c r="L4" i="3"/>
  <c r="N4" i="3"/>
  <c r="I4" i="3"/>
  <c r="J4" i="3"/>
  <c r="D4" i="3"/>
  <c r="G4" i="3"/>
  <c r="H4" i="3"/>
  <c r="F4" i="3"/>
  <c r="K4" i="3"/>
  <c r="N16" i="3" l="1"/>
  <c r="B16" i="3" s="1"/>
  <c r="N18" i="3"/>
  <c r="B18" i="3" s="1"/>
  <c r="M17" i="3"/>
  <c r="B3" i="3"/>
  <c r="N17" i="3"/>
  <c r="B11" i="3"/>
  <c r="B12" i="3"/>
  <c r="B10" i="3"/>
  <c r="B4" i="3"/>
  <c r="B17" i="3" l="1"/>
  <c r="B5" i="3"/>
  <c r="B6" i="3"/>
</calcChain>
</file>

<file path=xl/sharedStrings.xml><?xml version="1.0" encoding="utf-8"?>
<sst xmlns="http://schemas.openxmlformats.org/spreadsheetml/2006/main" count="981" uniqueCount="395">
  <si>
    <t>Nom</t>
  </si>
  <si>
    <t>Montant HT</t>
  </si>
  <si>
    <t>Montant TTC</t>
  </si>
  <si>
    <t>TOTAL</t>
  </si>
  <si>
    <t>Virement</t>
  </si>
  <si>
    <t>Prélevement</t>
  </si>
  <si>
    <t>Mode de Règlement</t>
  </si>
  <si>
    <t>Date de Règlement</t>
  </si>
  <si>
    <t>TVA 20%</t>
  </si>
  <si>
    <t>N° Facture</t>
  </si>
  <si>
    <t>TVA 10%</t>
  </si>
  <si>
    <t>Avoir</t>
  </si>
  <si>
    <t>1-19-11-0003</t>
  </si>
  <si>
    <t>Sur Banque</t>
  </si>
  <si>
    <t>Banque Populaire</t>
  </si>
  <si>
    <t>Avoir Partiel</t>
  </si>
  <si>
    <t>Alféor</t>
  </si>
  <si>
    <t>Bisico (CU010409)</t>
  </si>
  <si>
    <t>BISICO</t>
  </si>
  <si>
    <t>CU010409</t>
  </si>
  <si>
    <t>208 Allée de la Coudoulette</t>
  </si>
  <si>
    <t>LANCON DE PROVENCE</t>
  </si>
  <si>
    <t>04 90 42 92 92</t>
  </si>
  <si>
    <t>Téléphone</t>
  </si>
  <si>
    <t>Ville</t>
  </si>
  <si>
    <t>Code Postal</t>
  </si>
  <si>
    <t xml:space="preserve">Adresse </t>
  </si>
  <si>
    <t>Code Client</t>
  </si>
  <si>
    <t>NOM du Fournisseur</t>
  </si>
  <si>
    <t>Email</t>
  </si>
  <si>
    <t>Email Comptabilité</t>
  </si>
  <si>
    <t>svce.commercial@bisico.fr</t>
  </si>
  <si>
    <t>Banque</t>
  </si>
  <si>
    <t>Société Générale</t>
  </si>
  <si>
    <t>IBAN</t>
  </si>
  <si>
    <t>FR76 30003 00024 00020100636 59</t>
  </si>
  <si>
    <t>BIC</t>
  </si>
  <si>
    <t>SOGEFRPP</t>
  </si>
  <si>
    <t>Sas CATAL Michel</t>
  </si>
  <si>
    <t>FA1802144</t>
  </si>
  <si>
    <t>CAFES TCHANQUES</t>
  </si>
  <si>
    <t>26 Rue des Maraîchers</t>
  </si>
  <si>
    <t>LA TESTE DE BUCH</t>
  </si>
  <si>
    <t>05 56 54 14 52</t>
  </si>
  <si>
    <t>contact@cafes-tchanque.fr</t>
  </si>
  <si>
    <t>Crédit Agricole</t>
  </si>
  <si>
    <t>FR76 1330 6003 4623 0873 8024 685</t>
  </si>
  <si>
    <t>AGRIFRPP833</t>
  </si>
  <si>
    <t>CORUS LSO</t>
  </si>
  <si>
    <t>26 Avenue du Domaine de Vialle</t>
  </si>
  <si>
    <t>BOULIAC</t>
  </si>
  <si>
    <t>05 56 96 74 80</t>
  </si>
  <si>
    <t>Site internet</t>
  </si>
  <si>
    <t>www.corusdental.com</t>
  </si>
  <si>
    <t>Mode de Paiement</t>
  </si>
  <si>
    <t>Virement bancaire</t>
  </si>
  <si>
    <t>Conditions Rglt</t>
  </si>
  <si>
    <t>A11819-01284</t>
  </si>
  <si>
    <t>Corus - LSO</t>
  </si>
  <si>
    <t>ACADEMIE D'ART DENTAIRE</t>
  </si>
  <si>
    <t>A003177</t>
  </si>
  <si>
    <t>A réception</t>
  </si>
  <si>
    <t>75 Rue Chevalier</t>
  </si>
  <si>
    <t>BORDEAUX</t>
  </si>
  <si>
    <t>05 56 98 25 09</t>
  </si>
  <si>
    <t>FR76 1780 7008 0603 2217 4956 195</t>
  </si>
  <si>
    <t>CCBPFRPPTLS</t>
  </si>
  <si>
    <t>J + 30</t>
  </si>
  <si>
    <t>J + 15</t>
  </si>
  <si>
    <t>FRANKEL</t>
  </si>
  <si>
    <t>J + 60</t>
  </si>
  <si>
    <t xml:space="preserve">137, Avenue René Morin               CS 72039 </t>
  </si>
  <si>
    <t>MORANGIS Cedex</t>
  </si>
  <si>
    <t>0825 35 85 85</t>
  </si>
  <si>
    <t>www.frankel.fr</t>
  </si>
  <si>
    <t>La Banque Postale</t>
  </si>
  <si>
    <t>FR33 2004 1000 0119 3023 8R2 097</t>
  </si>
  <si>
    <t>PSSTFRPPPAR</t>
  </si>
  <si>
    <t>GA33056121</t>
  </si>
  <si>
    <t>9-11 Rue du Débarcadère</t>
  </si>
  <si>
    <t>COLOMBES</t>
  </si>
  <si>
    <t>01 47 68 60 00</t>
  </si>
  <si>
    <t>GABA LABORATOIRES (Colgate PalmoliveSAS)</t>
  </si>
  <si>
    <t>Citibank International</t>
  </si>
  <si>
    <t>FR76 1168 9007 0000 6554 6202 345</t>
  </si>
  <si>
    <t>HENRY SCHEIN France</t>
  </si>
  <si>
    <t>4 Rue de Charenton</t>
  </si>
  <si>
    <t>ALFORTVILLE Cedex</t>
  </si>
  <si>
    <t>02 47 68 68 23</t>
  </si>
  <si>
    <t>www.henryschein.fr</t>
  </si>
  <si>
    <t>cabinet.dentaire@henryschein.fr</t>
  </si>
  <si>
    <t>Hsbc France</t>
  </si>
  <si>
    <t>FR76 3005 6002 3502 3520 0041 852</t>
  </si>
  <si>
    <t>CCFRFRPP</t>
  </si>
  <si>
    <t>FAC19423</t>
  </si>
  <si>
    <t>HYGISUD MEDICAL</t>
  </si>
  <si>
    <t>55 Chemin des Mûriers</t>
  </si>
  <si>
    <t>CABRIERES</t>
  </si>
  <si>
    <t>04 66 28 09 71</t>
  </si>
  <si>
    <t>www.hygisudmedical.com</t>
  </si>
  <si>
    <t>hygisud.medical@9online.fr</t>
  </si>
  <si>
    <t>FR76 1350 6100 0007 0332 7300 222</t>
  </si>
  <si>
    <t>FAC19417</t>
  </si>
  <si>
    <t>FAC19416</t>
  </si>
  <si>
    <t>FAC19387</t>
  </si>
  <si>
    <t>FAC19381</t>
  </si>
  <si>
    <t>FAC19361</t>
  </si>
  <si>
    <t>Innovortho-France</t>
  </si>
  <si>
    <t>DRU330</t>
  </si>
  <si>
    <t>INNOVORTHO France</t>
  </si>
  <si>
    <t>6 Rue du Parc de l' Aubépin         BP 40013</t>
  </si>
  <si>
    <t>SAINT GERVAIS LA FORET</t>
  </si>
  <si>
    <t>02 54 50 07 68</t>
  </si>
  <si>
    <t>FR69 3000 2086 4700 0011 7192 U15</t>
  </si>
  <si>
    <t>JAUREGUI MICHEL</t>
  </si>
  <si>
    <t>55 Impasse du Bosquet</t>
  </si>
  <si>
    <t>JMD102019</t>
  </si>
  <si>
    <t>SP102019</t>
  </si>
  <si>
    <t>SL102019</t>
  </si>
  <si>
    <t>AMS102019</t>
  </si>
  <si>
    <t>HDB10219</t>
  </si>
  <si>
    <t>IRSN</t>
  </si>
  <si>
    <t xml:space="preserve">BP 17 </t>
  </si>
  <si>
    <t>01 30 15 52 22</t>
  </si>
  <si>
    <t>CROISSY SUR SEINE Cedex</t>
  </si>
  <si>
    <t>dosimetrie@irsn.fr</t>
  </si>
  <si>
    <t>FR76 1007 1750 0000 0010 0054 885</t>
  </si>
  <si>
    <t>TRPUFRP1XXX</t>
  </si>
  <si>
    <t>SP092019</t>
  </si>
  <si>
    <t>VK/19071547</t>
  </si>
  <si>
    <t>KOMET</t>
  </si>
  <si>
    <t>J + 20</t>
  </si>
  <si>
    <t>BP 10726</t>
  </si>
  <si>
    <t>PARIS Cedex 17</t>
  </si>
  <si>
    <t>01 43 48 80 17</t>
  </si>
  <si>
    <t>www.komet.fr</t>
  </si>
  <si>
    <t>creditclient@komet.fr</t>
  </si>
  <si>
    <t>Caisse d'Epargne</t>
  </si>
  <si>
    <t>FR76 1751 5900 0008 1724 2874 191</t>
  </si>
  <si>
    <t>CEPAFRPP751</t>
  </si>
  <si>
    <t>VK/19069952</t>
  </si>
  <si>
    <t>SO00088717</t>
  </si>
  <si>
    <t>SO00083442</t>
  </si>
  <si>
    <t>MAKE IT SIMPLE</t>
  </si>
  <si>
    <t>F022998</t>
  </si>
  <si>
    <t>41 Rue Aristide Briand - CS 50045</t>
  </si>
  <si>
    <t>LEVALLOIS PERRET Cedex</t>
  </si>
  <si>
    <t>01 78 14 13 00</t>
  </si>
  <si>
    <t>www.misimplants.fr</t>
  </si>
  <si>
    <t>infos@mis-implants.fr</t>
  </si>
  <si>
    <t>NOBEL BIOCARE</t>
  </si>
  <si>
    <t>Immeuble Cap de Seine - 3ème étage          45-47 Bld Paul Vaillant Couturier</t>
  </si>
  <si>
    <t>IVRY-SUR-SEINE</t>
  </si>
  <si>
    <t>01 49 60 46 00</t>
  </si>
  <si>
    <t>www.nobelbiocare.fr</t>
  </si>
  <si>
    <t>order.france@nobelbiocare.com</t>
  </si>
  <si>
    <t>Deutsche Bank AG Paris</t>
  </si>
  <si>
    <t>FR76 1778 9000 0110 5117 8900 067</t>
  </si>
  <si>
    <t>DEUTFRPP</t>
  </si>
  <si>
    <t>PROMODENTAIRE</t>
  </si>
  <si>
    <t>J + 10</t>
  </si>
  <si>
    <t>2 bis Chemin du Loup</t>
  </si>
  <si>
    <t>TREMBLAY-EN-France-Cedex</t>
  </si>
  <si>
    <t>01 49 63 65 15</t>
  </si>
  <si>
    <t>FR29 2004 1000 0123 0810 0K02 040</t>
  </si>
  <si>
    <t>www.promodentaire.com</t>
  </si>
  <si>
    <t>PRED LABORATOIRES</t>
  </si>
  <si>
    <t>C2000477</t>
  </si>
  <si>
    <t>79 Avenue Aristide Briand - Bat 6 sur Parvis</t>
  </si>
  <si>
    <t>ARCUEIL CEDEX</t>
  </si>
  <si>
    <t>01 41 98 34 00</t>
  </si>
  <si>
    <t>www.pred.fr</t>
  </si>
  <si>
    <t>info.pred.fr</t>
  </si>
  <si>
    <t>FR76 3000 3038 7700 0207 0411 838</t>
  </si>
  <si>
    <t>INV282034</t>
  </si>
  <si>
    <t>RMO Europe</t>
  </si>
  <si>
    <t>C10265</t>
  </si>
  <si>
    <t>B.P. 20334 - 300, Rue Geller de Kaysersberg</t>
  </si>
  <si>
    <t>ILLKIRCH Cedex</t>
  </si>
  <si>
    <t>03 88 40 67 40</t>
  </si>
  <si>
    <t>info@rmoeurope.com</t>
  </si>
  <si>
    <t>Bnp Paribas</t>
  </si>
  <si>
    <t>FR76 3000 4004 8500 0102 8151 554</t>
  </si>
  <si>
    <t>Rouzes Océan</t>
  </si>
  <si>
    <t>ROUZES Océan</t>
  </si>
  <si>
    <t>178, Avenue Jean Mer</t>
  </si>
  <si>
    <t>EYSINES</t>
  </si>
  <si>
    <t>05 56 34 02 43</t>
  </si>
  <si>
    <t>rouzes.oocean@cloison.fr</t>
  </si>
  <si>
    <t>FR76 1780 7000 7735 3210 4456 651</t>
  </si>
  <si>
    <t>F02248</t>
  </si>
  <si>
    <t>SDMC</t>
  </si>
  <si>
    <t>104, Rue de La Pallue</t>
  </si>
  <si>
    <t>COGNAC</t>
  </si>
  <si>
    <t>09 80 38 59 76</t>
  </si>
  <si>
    <t>www.sdmc.fr</t>
  </si>
  <si>
    <t>info@sdmc.fr</t>
  </si>
  <si>
    <t>FR76 3000 3006 6000 0270 0222 311</t>
  </si>
  <si>
    <t>Stoma</t>
  </si>
  <si>
    <t>STOMA</t>
  </si>
  <si>
    <t>204, Avenue de Colmar</t>
  </si>
  <si>
    <t>STRASBOURG</t>
  </si>
  <si>
    <t>03 88 65 75 08</t>
  </si>
  <si>
    <t>www.stoma.de</t>
  </si>
  <si>
    <t>export@stoma.de</t>
  </si>
  <si>
    <t>FR76 1470 7000 1008 7210 0564 629</t>
  </si>
  <si>
    <t>CCBPFRPPMTZ</t>
  </si>
  <si>
    <t>SURF ON LINE</t>
  </si>
  <si>
    <t>320, Avenue du Parc des Expositions</t>
  </si>
  <si>
    <t>06 56 54 55 45</t>
  </si>
  <si>
    <t>contact@surfonline.fr</t>
  </si>
  <si>
    <t>FR71 3000 2018 3100 0007 3126 M81</t>
  </si>
  <si>
    <t>CRLYFRPP</t>
  </si>
  <si>
    <t>Surf On Line</t>
  </si>
  <si>
    <t xml:space="preserve">TVA 2,1% </t>
  </si>
  <si>
    <t>TVA 5,5%</t>
  </si>
  <si>
    <t>j + 8</t>
  </si>
  <si>
    <t>TRIDON VALERIE</t>
  </si>
  <si>
    <t>APPOL</t>
  </si>
  <si>
    <t>5 Rue Guynemer</t>
  </si>
  <si>
    <t>05 56 57 79 40</t>
  </si>
  <si>
    <t>Observation(s)</t>
  </si>
  <si>
    <t>AV 1907544</t>
  </si>
  <si>
    <t>AV1910118</t>
  </si>
  <si>
    <t>Thommen Medical (JMD) - 2942</t>
  </si>
  <si>
    <t>Thommen Medical (HDB) - 3616</t>
  </si>
  <si>
    <t>Thommen Medical (SP) - 3615</t>
  </si>
  <si>
    <t>Thommen Medical (AMS) - 3614</t>
  </si>
  <si>
    <t>Thommen Medical (SL) - 3613</t>
  </si>
  <si>
    <t>Thommen Medical (STOCK) - 3611</t>
  </si>
  <si>
    <t>XLR Parachutisme</t>
  </si>
  <si>
    <t>2019-218</t>
  </si>
  <si>
    <t>Reste un Solde d'avoir de 76,01€</t>
  </si>
  <si>
    <t xml:space="preserve">AlphaBio Tec </t>
  </si>
  <si>
    <t>AV1910771</t>
  </si>
  <si>
    <t>FAC19439</t>
  </si>
  <si>
    <t>Avoir de 742,47€ déuit (2091199° + Virement CA TOP3 de 310,94€)</t>
  </si>
  <si>
    <t>Avoir déduit de la facture 120386 du 03/10/2019 (201910144)</t>
  </si>
  <si>
    <t>Henry Schein France (53178)</t>
  </si>
  <si>
    <t>FA294676</t>
  </si>
  <si>
    <t>Praxis L'Instrumentiste (33046)</t>
  </si>
  <si>
    <t>PRAXIS L'INSTRUMENTISTE</t>
  </si>
  <si>
    <t>61, Rue du Maréchal Foch</t>
  </si>
  <si>
    <t>TOURNAN EN BRIE</t>
  </si>
  <si>
    <t>01 64 07 64 07</t>
  </si>
  <si>
    <t>www.praxisinstruments.fr</t>
  </si>
  <si>
    <t>contact@praxisinstruments.fr</t>
  </si>
  <si>
    <t>FR76 1870 6000 0022 6362 5000 056</t>
  </si>
  <si>
    <t>AGRIFRPP887</t>
  </si>
  <si>
    <t>Promodentaire (701 181 41)</t>
  </si>
  <si>
    <t>DEXTER</t>
  </si>
  <si>
    <t>J + 5</t>
  </si>
  <si>
    <t>111, Rue Henri Barbusse - CS 60157</t>
  </si>
  <si>
    <t>ARGENTEUIL</t>
  </si>
  <si>
    <t>01 34 34 38 10</t>
  </si>
  <si>
    <t>www.dexter.fr</t>
  </si>
  <si>
    <t>service.clients@dexter.fr</t>
  </si>
  <si>
    <t>Le Crédit Lyonnais</t>
  </si>
  <si>
    <t>FR04 3000 2056 8800 0007 0148 B47</t>
  </si>
  <si>
    <t>THOMMEN MEDICAL</t>
  </si>
  <si>
    <t>Prélèvement bancaire</t>
  </si>
  <si>
    <t>10, Avenue Gabriel Pierne</t>
  </si>
  <si>
    <t>ROISSY-EN-BRIE</t>
  </si>
  <si>
    <t>01 83 64 06 35</t>
  </si>
  <si>
    <t>CCM</t>
  </si>
  <si>
    <t>FR76 1027 8030 0000 0206 0924 541</t>
  </si>
  <si>
    <t>CMCIFR2A</t>
  </si>
  <si>
    <t>Orthoplus (117450)</t>
  </si>
  <si>
    <t>ORTHOPLUS</t>
  </si>
  <si>
    <t>28, Rue Ampère - BP 28</t>
  </si>
  <si>
    <t>IGNY</t>
  </si>
  <si>
    <t>01 69 41 90 28</t>
  </si>
  <si>
    <t>orthoplus@orthoplus.fr</t>
  </si>
  <si>
    <t>www.orthoplus.fr</t>
  </si>
  <si>
    <t>FR76 3000 4006 8400 0100 6858 330</t>
  </si>
  <si>
    <t>BNPAFRPPICP</t>
  </si>
  <si>
    <t>Nobel Biocare (716732)</t>
  </si>
  <si>
    <t>Dexter (882670)</t>
  </si>
  <si>
    <t>Frankel (1329801)</t>
  </si>
  <si>
    <t>Gaba Laboratoires (GA33056121)</t>
  </si>
  <si>
    <t>Hygisud Médical (DRU330)</t>
  </si>
  <si>
    <t>IRSN (82061)</t>
  </si>
  <si>
    <t>Komet (561354)</t>
  </si>
  <si>
    <t>Make It Simple (F022998)</t>
  </si>
  <si>
    <t>Pred Laboratoires (C2000477)</t>
  </si>
  <si>
    <t>RMO Europe (C10265)</t>
  </si>
  <si>
    <t>JAUREGUI Michel (SL)</t>
  </si>
  <si>
    <t>JAUREGUI Michel (SP)</t>
  </si>
  <si>
    <t>JAUREGUI Michel (JMD)</t>
  </si>
  <si>
    <t>JAUREGUI Michel (AMS)</t>
  </si>
  <si>
    <t>JAUREGUI Michel (HDB)</t>
  </si>
  <si>
    <t>Tridon Valérie (APPOL)</t>
  </si>
  <si>
    <t>Délai de paiement</t>
  </si>
  <si>
    <t>Fournisseurs</t>
  </si>
  <si>
    <t>FA1802272</t>
  </si>
  <si>
    <t>Etat de la facture</t>
  </si>
  <si>
    <t>Date Échéance</t>
  </si>
  <si>
    <t>Date Facture</t>
  </si>
  <si>
    <t>Pièce N°</t>
  </si>
  <si>
    <r>
      <rPr>
        <b/>
        <sz val="11"/>
        <color theme="1"/>
        <rFont val="Calibri"/>
        <family val="2"/>
        <scheme val="minor"/>
      </rPr>
      <t>(512)</t>
    </r>
    <r>
      <rPr>
        <sz val="11"/>
        <color theme="1"/>
        <rFont val="Calibri"/>
        <family val="2"/>
        <scheme val="minor"/>
      </rPr>
      <t xml:space="preserve"> BNP Paribas</t>
    </r>
  </si>
  <si>
    <r>
      <rPr>
        <b/>
        <sz val="11"/>
        <color rgb="FFFF0000"/>
        <rFont val="Calibri"/>
        <family val="2"/>
        <scheme val="minor"/>
      </rPr>
      <t>(BQ1)</t>
    </r>
    <r>
      <rPr>
        <sz val="11"/>
        <color theme="1"/>
        <rFont val="Calibri"/>
        <family val="2"/>
        <scheme val="minor"/>
      </rPr>
      <t xml:space="preserve"> Banque Populaire Selarl</t>
    </r>
  </si>
  <si>
    <r>
      <rPr>
        <b/>
        <sz val="11"/>
        <color rgb="FFFF0000"/>
        <rFont val="Calibri"/>
        <family val="2"/>
        <scheme val="minor"/>
      </rPr>
      <t>(BQ5)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Crédit Agricole La Teste</t>
    </r>
  </si>
  <si>
    <r>
      <rPr>
        <b/>
        <sz val="11"/>
        <color rgb="FFFF0000"/>
        <rFont val="Calibri"/>
        <family val="2"/>
        <scheme val="minor"/>
      </rPr>
      <t xml:space="preserve">(BQ4) </t>
    </r>
    <r>
      <rPr>
        <sz val="11"/>
        <color theme="1"/>
        <rFont val="Calibri"/>
        <family val="2"/>
        <scheme val="minor"/>
      </rPr>
      <t>Crédit Agricole Sanguinet</t>
    </r>
  </si>
  <si>
    <r>
      <rPr>
        <b/>
        <sz val="11"/>
        <color rgb="FFFF0000"/>
        <rFont val="Calibri"/>
        <family val="2"/>
        <scheme val="minor"/>
      </rPr>
      <t xml:space="preserve">(BQ) </t>
    </r>
    <r>
      <rPr>
        <sz val="11"/>
        <color theme="1"/>
        <rFont val="Calibri"/>
        <family val="2"/>
        <scheme val="minor"/>
      </rPr>
      <t>Banque Populaire Labo</t>
    </r>
  </si>
  <si>
    <t>PROSERVE DASRI</t>
  </si>
  <si>
    <t>G211U12834</t>
  </si>
  <si>
    <t>05 57 64 15 40</t>
  </si>
  <si>
    <t>advso@proserve-dasri.com</t>
  </si>
  <si>
    <t>14 Route de Saligney</t>
  </si>
  <si>
    <t>SERMANGE</t>
  </si>
  <si>
    <t>FR76 3000 3033 9100 0200 2547 937</t>
  </si>
  <si>
    <t>HYPER BURO</t>
  </si>
  <si>
    <t>A00869</t>
  </si>
  <si>
    <t>38 Chemin De La Hutte</t>
  </si>
  <si>
    <t>BRUGES</t>
  </si>
  <si>
    <t>05 56 69 39 00</t>
  </si>
  <si>
    <t>contact@abibordeaux.fr</t>
  </si>
  <si>
    <t>Credit Coopératif</t>
  </si>
  <si>
    <t>FR76 4255 9100 0008 0010 2488 960</t>
  </si>
  <si>
    <t>CCOPFRPPXXX</t>
  </si>
  <si>
    <t>F02261</t>
  </si>
  <si>
    <t>Chèque</t>
  </si>
  <si>
    <t>Prélèvement</t>
  </si>
  <si>
    <t>Autre (Voir obs.)</t>
  </si>
  <si>
    <t>(BQ5) Crédit Agricole La Teste</t>
  </si>
  <si>
    <t>FC4296</t>
  </si>
  <si>
    <t>Edent'X (1539 CB)</t>
  </si>
  <si>
    <t>EDENT'X</t>
  </si>
  <si>
    <t>1539 CB</t>
  </si>
  <si>
    <t>Beaume d'Estellan</t>
  </si>
  <si>
    <t>BONNIEUX</t>
  </si>
  <si>
    <t>04 90 75 61 84</t>
  </si>
  <si>
    <t>Bnp Paribas IDF</t>
  </si>
  <si>
    <t>CF0016012</t>
  </si>
  <si>
    <t>4 Prélèvements de 787,50€ (Du 25/01 au 25/04/2020 sur CA SGT)</t>
  </si>
  <si>
    <t>LA COMPAGNIE FIDUCIAIRE</t>
  </si>
  <si>
    <t>J + 55</t>
  </si>
  <si>
    <t>371, Avenue du Parc des Expositions</t>
  </si>
  <si>
    <t>05 56 22 36 36</t>
  </si>
  <si>
    <t>www.compagnie-fiduciaire.com</t>
  </si>
  <si>
    <t>cf-latesteàcompagnie-fiduciaire.com</t>
  </si>
  <si>
    <t>FAC19455</t>
  </si>
  <si>
    <t>(BQ4) Crédit Agricole Sanguinet</t>
  </si>
  <si>
    <t>(BQ1) Banque Populaire Selarl</t>
  </si>
  <si>
    <t>TOTAL Factures Réglées</t>
  </si>
  <si>
    <t>TOTAL Factures en Retard</t>
  </si>
  <si>
    <t>TOTAL Factures en Attente</t>
  </si>
  <si>
    <t>TOTAL Factures A Régler</t>
  </si>
  <si>
    <t>Thommen Medical (JMD) - 2943</t>
  </si>
  <si>
    <t>Thommen Medical (AMS) - 3615</t>
  </si>
  <si>
    <t>Académie d'Art Dentaire</t>
  </si>
  <si>
    <t>Cafés Tchanqué</t>
  </si>
  <si>
    <t>Proserve Dasri (G211U12834)</t>
  </si>
  <si>
    <t>Hyper Buro (A00869)</t>
  </si>
  <si>
    <t>EDENT'X (1539 CB)</t>
  </si>
  <si>
    <t>La Compagnie Fiduciaire</t>
  </si>
  <si>
    <t>Prélèvement le 17/12/2019 suite rejet 1er prélèvement du 20/11</t>
  </si>
  <si>
    <t>Choisir Mode de Rglt</t>
  </si>
  <si>
    <t>Choisir Banque</t>
  </si>
  <si>
    <t>PHARMACIE ST-EXUPERY</t>
  </si>
  <si>
    <t>virement bancaire</t>
  </si>
  <si>
    <t>2 Rue Louis Gaume</t>
  </si>
  <si>
    <t>05 56 66 41 64</t>
  </si>
  <si>
    <t>pharmaciesaintexupery33@orange.fr</t>
  </si>
  <si>
    <t>Ne pas effacer</t>
  </si>
  <si>
    <r>
      <rPr>
        <sz val="11"/>
        <color theme="1"/>
        <rFont val="Calibri"/>
        <family val="2"/>
        <scheme val="minor"/>
      </rPr>
      <t xml:space="preserve">Factures en attente de règlement </t>
    </r>
    <r>
      <rPr>
        <b/>
        <sz val="11"/>
        <color theme="1"/>
        <rFont val="Calibri"/>
        <family val="2"/>
        <scheme val="minor"/>
      </rPr>
      <t>(Echance non atteinte)</t>
    </r>
  </si>
  <si>
    <t>Total règlement factures du mois</t>
  </si>
  <si>
    <r>
      <rPr>
        <sz val="11"/>
        <color theme="1"/>
        <rFont val="Calibri"/>
        <family val="2"/>
        <scheme val="minor"/>
      </rPr>
      <t xml:space="preserve">Factures non payées et en retard de règlement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(</t>
    </r>
    <r>
      <rPr>
        <b/>
        <sz val="11"/>
        <color rgb="FFFF0000"/>
        <rFont val="Calibri"/>
        <family val="2"/>
        <scheme val="minor"/>
      </rPr>
      <t>Échéance dépassée</t>
    </r>
    <r>
      <rPr>
        <b/>
        <sz val="11"/>
        <color theme="1"/>
        <rFont val="Calibri"/>
        <family val="2"/>
        <scheme val="minor"/>
      </rPr>
      <t>)</t>
    </r>
  </si>
  <si>
    <r>
      <rPr>
        <b/>
        <u/>
        <sz val="11"/>
        <color theme="1"/>
        <rFont val="Calibri"/>
        <family val="2"/>
        <scheme val="minor"/>
      </rPr>
      <t xml:space="preserve">Dont </t>
    </r>
    <r>
      <rPr>
        <sz val="11"/>
        <color theme="1"/>
        <rFont val="Calibri"/>
        <family val="2"/>
        <scheme val="minor"/>
      </rPr>
      <t xml:space="preserve">Factures payées                                      </t>
    </r>
    <r>
      <rPr>
        <b/>
        <sz val="11"/>
        <color rgb="FF33CC33"/>
        <rFont val="Calibri"/>
        <family val="2"/>
        <scheme val="minor"/>
      </rPr>
      <t>à échéance respectée</t>
    </r>
    <r>
      <rPr>
        <b/>
        <sz val="11"/>
        <color theme="1"/>
        <rFont val="Calibri"/>
        <family val="2"/>
        <scheme val="minor"/>
      </rPr>
      <t xml:space="preserve">
</t>
    </r>
  </si>
  <si>
    <t>Total des factures payées</t>
  </si>
  <si>
    <t>Total des factures à régler</t>
  </si>
  <si>
    <t>Total des factures en retard de paiement</t>
  </si>
  <si>
    <t>Total des factures avec échéances à venir</t>
  </si>
  <si>
    <t>15-3587</t>
  </si>
  <si>
    <t>Kikopiki</t>
  </si>
  <si>
    <t>KIKOPIKI</t>
  </si>
  <si>
    <t>10 Rue Dr Aristide Ichard</t>
  </si>
  <si>
    <t>05 56 54 22 11</t>
  </si>
  <si>
    <t>www.kikopiki.com</t>
  </si>
  <si>
    <t>jerome@kikopiki.com</t>
  </si>
  <si>
    <t>FAC6346</t>
  </si>
  <si>
    <t>Le Nectar Traiteur (CLT0000375)</t>
  </si>
  <si>
    <t>LE NECTAR TRAITEUR</t>
  </si>
  <si>
    <t>CLT00000375</t>
  </si>
  <si>
    <t>J + 7</t>
  </si>
  <si>
    <t>20, Rue Marcelin Berthelot</t>
  </si>
  <si>
    <t>FLOIRAC</t>
  </si>
  <si>
    <t>05 56 32 15 30</t>
  </si>
  <si>
    <t>sebastien.fougere@lenectar.fr</t>
  </si>
  <si>
    <t>FR76 3000 3003 7000 0200 0418 415</t>
  </si>
  <si>
    <t>FAC19463</t>
  </si>
  <si>
    <t>Champagne Valery Robert (SELAR)</t>
  </si>
  <si>
    <t>FAC19469</t>
  </si>
  <si>
    <r>
      <t>TOTAL                                   (</t>
    </r>
    <r>
      <rPr>
        <b/>
        <u/>
        <sz val="11"/>
        <color theme="1"/>
        <rFont val="Calibri (Corps)"/>
      </rPr>
      <t>Tous Fournisseurs</t>
    </r>
    <r>
      <rPr>
        <sz val="11"/>
        <color theme="1"/>
        <rFont val="Calibri"/>
        <family val="2"/>
        <scheme val="minor"/>
      </rPr>
      <t>)</t>
    </r>
  </si>
  <si>
    <r>
      <t>SOUS-TOTAL                                   (</t>
    </r>
    <r>
      <rPr>
        <b/>
        <u/>
        <sz val="11"/>
        <color theme="1"/>
        <rFont val="Calibri (Corps)"/>
      </rPr>
      <t>Fournisseurs selectionnés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</si>
</sst>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€&quot;_-;\-* #,##0.00\ &quot;€&quot;_-;_-* &quot;-&quot;??\ &quot;€&quot;_-;_-@_-"/>
    <numFmt numFmtId="165" formatCode="#,##0.00\ _€"/>
    <numFmt numFmtId="166" formatCode="_-* #,##0.00\ [$€-40C]_-;\-* #,##0.00\ [$€-40C]_-;_-* &quot;-&quot;??\ [$€-40C]_-;_-@_-"/>
    <numFmt numFmtId="167" formatCode="#,##0.00\ &quot;€&quot;"/>
    <numFmt numFmtId="168" formatCode="dd/mm/yy;@"/>
    <numFmt numFmtId="169" formatCode="[=1]&quot;Retard &quot;0&quot; jour&quot;;[&gt;1]&quot;Retard &quot;#,##0&quot; jours&quot;;"/>
    <numFmt numFmtId="170" formatCode="0.0%"/>
    <numFmt numFmtId="171" formatCode="mmmm"/>
    <numFmt numFmtId="172" formatCode="[$-40C]d\ mmmm\ yyyy;@"/>
  </numFmts>
  <fonts count="4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33CC3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141414"/>
      <name val="Segoe UI"/>
      <family val="2"/>
    </font>
    <font>
      <b/>
      <sz val="11"/>
      <color rgb="FF33CC33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 (Corps)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 style="thin">
        <color theme="0" tint="-0.34998626667073579"/>
      </right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/>
      <diagonal/>
    </border>
    <border>
      <left style="thin">
        <color theme="0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4" fillId="0" borderId="0" xfId="2"/>
    <xf numFmtId="0" fontId="4" fillId="0" borderId="0" xfId="2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167" fontId="0" fillId="0" borderId="0" xfId="0" applyNumberFormat="1" applyAlignment="1">
      <alignment horizontal="right"/>
    </xf>
    <xf numFmtId="0" fontId="8" fillId="0" borderId="0" xfId="0" applyFont="1"/>
    <xf numFmtId="0" fontId="0" fillId="0" borderId="0" xfId="0" applyFont="1" applyAlignment="1">
      <alignment horizontal="right"/>
    </xf>
    <xf numFmtId="168" fontId="0" fillId="0" borderId="0" xfId="0" applyNumberFormat="1"/>
    <xf numFmtId="0" fontId="3" fillId="0" borderId="0" xfId="0" applyFont="1"/>
    <xf numFmtId="0" fontId="0" fillId="0" borderId="6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168" fontId="0" fillId="0" borderId="6" xfId="0" applyNumberForma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168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right"/>
    </xf>
    <xf numFmtId="0" fontId="8" fillId="0" borderId="6" xfId="0" applyNumberFormat="1" applyFont="1" applyFill="1" applyBorder="1" applyAlignment="1">
      <alignment horizontal="right"/>
    </xf>
    <xf numFmtId="0" fontId="0" fillId="0" borderId="6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168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168" fontId="8" fillId="0" borderId="6" xfId="0" applyNumberFormat="1" applyFont="1" applyBorder="1" applyAlignment="1">
      <alignment horizontal="center"/>
    </xf>
    <xf numFmtId="3" fontId="0" fillId="0" borderId="6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right"/>
    </xf>
    <xf numFmtId="0" fontId="0" fillId="0" borderId="6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0" fillId="0" borderId="0" xfId="0" applyFont="1" applyAlignment="1"/>
    <xf numFmtId="0" fontId="5" fillId="0" borderId="6" xfId="0" applyFont="1" applyFill="1" applyBorder="1" applyAlignment="1">
      <alignment horizontal="right" vertical="center"/>
    </xf>
    <xf numFmtId="168" fontId="9" fillId="0" borderId="6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right" vertical="center"/>
    </xf>
    <xf numFmtId="14" fontId="8" fillId="0" borderId="6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/>
    </xf>
    <xf numFmtId="168" fontId="5" fillId="0" borderId="6" xfId="0" applyNumberFormat="1" applyFont="1" applyFill="1" applyBorder="1" applyAlignment="1">
      <alignment horizontal="center"/>
    </xf>
    <xf numFmtId="169" fontId="0" fillId="0" borderId="6" xfId="0" applyNumberFormat="1" applyFill="1" applyBorder="1" applyAlignment="1">
      <alignment horizontal="center" vertical="center"/>
    </xf>
    <xf numFmtId="169" fontId="5" fillId="0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168" fontId="12" fillId="5" borderId="4" xfId="0" applyNumberFormat="1" applyFont="1" applyFill="1" applyBorder="1" applyAlignment="1">
      <alignment horizontal="left" vertical="top" wrapText="1"/>
    </xf>
    <xf numFmtId="165" fontId="12" fillId="5" borderId="4" xfId="1" applyNumberFormat="1" applyFont="1" applyFill="1" applyBorder="1" applyAlignment="1">
      <alignment horizontal="center" vertical="top" wrapText="1"/>
    </xf>
    <xf numFmtId="168" fontId="12" fillId="5" borderId="4" xfId="0" applyNumberFormat="1" applyFont="1" applyFill="1" applyBorder="1" applyAlignment="1">
      <alignment horizontal="center" vertical="top" wrapText="1"/>
    </xf>
    <xf numFmtId="167" fontId="6" fillId="0" borderId="0" xfId="0" applyNumberFormat="1" applyFont="1" applyFill="1" applyAlignment="1">
      <alignment horizontal="right"/>
    </xf>
    <xf numFmtId="167" fontId="14" fillId="5" borderId="4" xfId="1" applyNumberFormat="1" applyFont="1" applyFill="1" applyBorder="1" applyAlignment="1">
      <alignment horizontal="right" vertical="center"/>
    </xf>
    <xf numFmtId="167" fontId="12" fillId="2" borderId="4" xfId="1" applyNumberFormat="1" applyFont="1" applyFill="1" applyBorder="1" applyAlignment="1">
      <alignment horizontal="center" vertical="center"/>
    </xf>
    <xf numFmtId="167" fontId="12" fillId="2" borderId="4" xfId="1" applyNumberFormat="1" applyFont="1" applyFill="1" applyBorder="1" applyAlignment="1">
      <alignment horizontal="right" vertical="center"/>
    </xf>
    <xf numFmtId="0" fontId="13" fillId="5" borderId="4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/>
    </xf>
    <xf numFmtId="168" fontId="12" fillId="2" borderId="4" xfId="0" applyNumberFormat="1" applyFont="1" applyFill="1" applyBorder="1" applyAlignment="1">
      <alignment horizontal="center" vertical="center" wrapText="1"/>
    </xf>
    <xf numFmtId="14" fontId="12" fillId="2" borderId="4" xfId="0" applyNumberFormat="1" applyFont="1" applyFill="1" applyBorder="1" applyAlignment="1">
      <alignment horizontal="left" vertical="center" wrapText="1"/>
    </xf>
    <xf numFmtId="14" fontId="12" fillId="2" borderId="5" xfId="0" applyNumberFormat="1" applyFont="1" applyFill="1" applyBorder="1" applyAlignment="1">
      <alignment horizontal="center" vertical="center" wrapText="1"/>
    </xf>
    <xf numFmtId="165" fontId="12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horizontal="right"/>
    </xf>
    <xf numFmtId="0" fontId="16" fillId="7" borderId="7" xfId="0" applyFont="1" applyFill="1" applyBorder="1" applyAlignment="1"/>
    <xf numFmtId="0" fontId="0" fillId="0" borderId="6" xfId="0" applyBorder="1"/>
    <xf numFmtId="0" fontId="9" fillId="0" borderId="6" xfId="0" applyFont="1" applyBorder="1"/>
    <xf numFmtId="0" fontId="5" fillId="0" borderId="6" xfId="0" applyFont="1" applyBorder="1"/>
    <xf numFmtId="14" fontId="12" fillId="2" borderId="0" xfId="0" applyNumberFormat="1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/>
    </xf>
    <xf numFmtId="0" fontId="0" fillId="0" borderId="6" xfId="0" applyFont="1" applyBorder="1" applyAlignment="1"/>
    <xf numFmtId="167" fontId="17" fillId="7" borderId="8" xfId="0" applyNumberFormat="1" applyFont="1" applyFill="1" applyBorder="1" applyAlignment="1">
      <alignment horizontal="right"/>
    </xf>
    <xf numFmtId="168" fontId="8" fillId="8" borderId="0" xfId="0" applyNumberFormat="1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 vertical="center"/>
    </xf>
    <xf numFmtId="169" fontId="8" fillId="8" borderId="0" xfId="0" applyNumberFormat="1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168" fontId="0" fillId="8" borderId="0" xfId="0" applyNumberFormat="1" applyFill="1"/>
    <xf numFmtId="0" fontId="0" fillId="8" borderId="0" xfId="0" applyFill="1"/>
    <xf numFmtId="0" fontId="0" fillId="8" borderId="0" xfId="0" applyFill="1" applyAlignment="1">
      <alignment horizontal="left"/>
    </xf>
    <xf numFmtId="0" fontId="0" fillId="8" borderId="0" xfId="0" applyFont="1" applyFill="1" applyAlignment="1">
      <alignment horizontal="right"/>
    </xf>
    <xf numFmtId="0" fontId="0" fillId="8" borderId="0" xfId="0" applyFont="1" applyFill="1" applyAlignment="1"/>
    <xf numFmtId="167" fontId="0" fillId="8" borderId="0" xfId="0" applyNumberFormat="1" applyFill="1" applyAlignment="1">
      <alignment horizontal="right"/>
    </xf>
    <xf numFmtId="167" fontId="6" fillId="8" borderId="0" xfId="0" applyNumberFormat="1" applyFont="1" applyFill="1" applyAlignment="1">
      <alignment horizontal="right"/>
    </xf>
    <xf numFmtId="170" fontId="0" fillId="8" borderId="0" xfId="0" applyNumberFormat="1" applyFill="1"/>
    <xf numFmtId="0" fontId="8" fillId="8" borderId="1" xfId="0" applyFont="1" applyFill="1" applyBorder="1" applyAlignment="1">
      <alignment horizontal="left" vertical="center"/>
    </xf>
    <xf numFmtId="171" fontId="22" fillId="9" borderId="9" xfId="0" applyNumberFormat="1" applyFont="1" applyFill="1" applyBorder="1" applyAlignment="1">
      <alignment horizontal="center" vertical="center"/>
    </xf>
    <xf numFmtId="172" fontId="0" fillId="0" borderId="0" xfId="0" applyNumberForma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171" fontId="22" fillId="9" borderId="0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11" fillId="8" borderId="0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/>
    </xf>
    <xf numFmtId="0" fontId="27" fillId="8" borderId="0" xfId="0" applyFont="1" applyFill="1" applyProtection="1">
      <protection hidden="1"/>
    </xf>
    <xf numFmtId="0" fontId="28" fillId="8" borderId="0" xfId="0" applyFont="1" applyFill="1" applyProtection="1">
      <protection hidden="1"/>
    </xf>
    <xf numFmtId="0" fontId="27" fillId="8" borderId="0" xfId="0" applyFont="1" applyFill="1" applyAlignment="1" applyProtection="1">
      <alignment horizontal="center"/>
      <protection hidden="1"/>
    </xf>
    <xf numFmtId="0" fontId="24" fillId="2" borderId="16" xfId="0" applyFont="1" applyFill="1" applyBorder="1" applyAlignment="1" applyProtection="1">
      <alignment horizontal="center" vertical="center"/>
      <protection hidden="1"/>
    </xf>
    <xf numFmtId="171" fontId="24" fillId="2" borderId="19" xfId="0" applyNumberFormat="1" applyFont="1" applyFill="1" applyBorder="1" applyAlignment="1" applyProtection="1">
      <alignment horizontal="center" vertical="center"/>
      <protection hidden="1"/>
    </xf>
    <xf numFmtId="171" fontId="24" fillId="2" borderId="20" xfId="0" applyNumberFormat="1" applyFont="1" applyFill="1" applyBorder="1" applyAlignment="1" applyProtection="1">
      <alignment horizontal="center" vertical="center"/>
      <protection hidden="1"/>
    </xf>
    <xf numFmtId="0" fontId="5" fillId="8" borderId="10" xfId="0" applyFont="1" applyFill="1" applyBorder="1" applyAlignment="1" applyProtection="1">
      <alignment horizontal="left" vertical="center"/>
      <protection hidden="1"/>
    </xf>
    <xf numFmtId="164" fontId="17" fillId="2" borderId="21" xfId="0" applyNumberFormat="1" applyFont="1" applyFill="1" applyBorder="1" applyAlignment="1" applyProtection="1">
      <alignment vertical="center"/>
      <protection hidden="1"/>
    </xf>
    <xf numFmtId="164" fontId="25" fillId="0" borderId="10" xfId="0" applyNumberFormat="1" applyFont="1" applyBorder="1" applyAlignment="1" applyProtection="1">
      <alignment vertical="center"/>
      <protection hidden="1"/>
    </xf>
    <xf numFmtId="164" fontId="25" fillId="3" borderId="10" xfId="0" applyNumberFormat="1" applyFont="1" applyFill="1" applyBorder="1" applyAlignment="1" applyProtection="1">
      <alignment vertical="center"/>
      <protection hidden="1"/>
    </xf>
    <xf numFmtId="0" fontId="3" fillId="8" borderId="13" xfId="0" applyFont="1" applyFill="1" applyBorder="1" applyAlignment="1" applyProtection="1">
      <alignment horizontal="left" vertical="center" wrapText="1"/>
      <protection hidden="1"/>
    </xf>
    <xf numFmtId="166" fontId="17" fillId="2" borderId="22" xfId="0" applyNumberFormat="1" applyFont="1" applyFill="1" applyBorder="1" applyAlignment="1" applyProtection="1">
      <alignment vertical="center"/>
      <protection hidden="1"/>
    </xf>
    <xf numFmtId="166" fontId="18" fillId="8" borderId="10" xfId="0" applyNumberFormat="1" applyFont="1" applyFill="1" applyBorder="1" applyAlignment="1" applyProtection="1">
      <alignment vertical="center"/>
      <protection hidden="1"/>
    </xf>
    <xf numFmtId="166" fontId="18" fillId="3" borderId="10" xfId="0" applyNumberFormat="1" applyFont="1" applyFill="1" applyBorder="1" applyAlignment="1" applyProtection="1">
      <alignment vertical="center"/>
      <protection hidden="1"/>
    </xf>
    <xf numFmtId="0" fontId="3" fillId="8" borderId="10" xfId="0" applyFont="1" applyFill="1" applyBorder="1" applyAlignment="1" applyProtection="1">
      <alignment horizontal="left" vertical="center" wrapText="1"/>
      <protection hidden="1"/>
    </xf>
    <xf numFmtId="166" fontId="17" fillId="2" borderId="23" xfId="0" applyNumberFormat="1" applyFont="1" applyFill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171" fontId="24" fillId="2" borderId="16" xfId="0" applyNumberFormat="1" applyFont="1" applyFill="1" applyBorder="1" applyAlignment="1" applyProtection="1">
      <alignment horizontal="center" vertical="center"/>
      <protection hidden="1"/>
    </xf>
    <xf numFmtId="171" fontId="24" fillId="2" borderId="17" xfId="0" applyNumberFormat="1" applyFont="1" applyFill="1" applyBorder="1" applyAlignment="1" applyProtection="1">
      <alignment horizontal="center" vertical="center"/>
      <protection hidden="1"/>
    </xf>
    <xf numFmtId="0" fontId="5" fillId="8" borderId="12" xfId="0" applyFont="1" applyFill="1" applyBorder="1" applyAlignment="1" applyProtection="1">
      <alignment horizontal="left" vertical="center"/>
      <protection hidden="1"/>
    </xf>
    <xf numFmtId="166" fontId="17" fillId="2" borderId="11" xfId="0" applyNumberFormat="1" applyFont="1" applyFill="1" applyBorder="1" applyAlignment="1" applyProtection="1">
      <alignment vertical="center"/>
      <protection hidden="1"/>
    </xf>
    <xf numFmtId="166" fontId="18" fillId="8" borderId="14" xfId="0" applyNumberFormat="1" applyFont="1" applyFill="1" applyBorder="1" applyAlignment="1" applyProtection="1">
      <alignment vertical="center"/>
      <protection hidden="1"/>
    </xf>
    <xf numFmtId="166" fontId="17" fillId="2" borderId="18" xfId="0" applyNumberFormat="1" applyFont="1" applyFill="1" applyBorder="1" applyAlignment="1" applyProtection="1">
      <alignment vertical="center"/>
      <protection hidden="1"/>
    </xf>
    <xf numFmtId="0" fontId="11" fillId="2" borderId="24" xfId="0" applyFont="1" applyFill="1" applyBorder="1" applyAlignment="1" applyProtection="1">
      <alignment horizontal="center" vertical="center"/>
      <protection hidden="1"/>
    </xf>
    <xf numFmtId="0" fontId="11" fillId="2" borderId="15" xfId="0" applyFont="1" applyFill="1" applyBorder="1" applyAlignment="1" applyProtection="1">
      <alignment horizontal="center" vertical="center"/>
      <protection hidden="1"/>
    </xf>
    <xf numFmtId="0" fontId="30" fillId="0" borderId="6" xfId="0" applyFont="1" applyBorder="1" applyAlignment="1">
      <alignment horizontal="right"/>
    </xf>
    <xf numFmtId="0" fontId="31" fillId="0" borderId="6" xfId="0" applyFont="1" applyBorder="1" applyAlignment="1">
      <alignment horizontal="right"/>
    </xf>
    <xf numFmtId="169" fontId="33" fillId="0" borderId="6" xfId="0" applyNumberFormat="1" applyFont="1" applyFill="1" applyBorder="1" applyAlignment="1">
      <alignment horizontal="center" vertical="center"/>
    </xf>
    <xf numFmtId="0" fontId="34" fillId="0" borderId="6" xfId="0" applyFont="1" applyBorder="1" applyAlignment="1">
      <alignment horizontal="right"/>
    </xf>
    <xf numFmtId="0" fontId="35" fillId="0" borderId="6" xfId="0" applyFont="1" applyBorder="1" applyAlignment="1">
      <alignment horizontal="right"/>
    </xf>
    <xf numFmtId="165" fontId="37" fillId="0" borderId="6" xfId="0" applyNumberFormat="1" applyFont="1" applyFill="1" applyBorder="1" applyAlignment="1">
      <alignment horizontal="center" vertical="center"/>
    </xf>
    <xf numFmtId="169" fontId="38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right"/>
    </xf>
    <xf numFmtId="164" fontId="0" fillId="0" borderId="6" xfId="0" applyNumberFormat="1" applyFill="1" applyBorder="1" applyAlignment="1">
      <alignment horizontal="center"/>
    </xf>
    <xf numFmtId="164" fontId="15" fillId="0" borderId="6" xfId="0" applyNumberFormat="1" applyFont="1" applyFill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164" fontId="0" fillId="0" borderId="6" xfId="0" applyNumberFormat="1" applyBorder="1" applyAlignment="1">
      <alignment horizontal="center"/>
    </xf>
    <xf numFmtId="164" fontId="6" fillId="0" borderId="6" xfId="0" applyNumberFormat="1" applyFont="1" applyFill="1" applyBorder="1" applyAlignment="1">
      <alignment horizontal="right"/>
    </xf>
    <xf numFmtId="164" fontId="0" fillId="0" borderId="6" xfId="0" applyNumberFormat="1" applyFill="1" applyBorder="1" applyAlignment="1">
      <alignment horizontal="right" vertical="center"/>
    </xf>
    <xf numFmtId="164" fontId="5" fillId="0" borderId="6" xfId="0" applyNumberFormat="1" applyFont="1" applyBorder="1" applyAlignment="1">
      <alignment horizontal="right"/>
    </xf>
    <xf numFmtId="164" fontId="5" fillId="0" borderId="6" xfId="0" applyNumberFormat="1" applyFont="1" applyBorder="1" applyAlignment="1">
      <alignment horizontal="center"/>
    </xf>
    <xf numFmtId="164" fontId="14" fillId="0" borderId="6" xfId="0" applyNumberFormat="1" applyFont="1" applyFill="1" applyBorder="1" applyAlignment="1">
      <alignment horizontal="right"/>
    </xf>
    <xf numFmtId="164" fontId="32" fillId="0" borderId="6" xfId="0" applyNumberFormat="1" applyFont="1" applyFill="1" applyBorder="1" applyAlignment="1">
      <alignment horizontal="right"/>
    </xf>
    <xf numFmtId="164" fontId="36" fillId="0" borderId="6" xfId="0" applyNumberFormat="1" applyFont="1" applyFill="1" applyBorder="1" applyAlignment="1">
      <alignment horizontal="right"/>
    </xf>
    <xf numFmtId="164" fontId="8" fillId="0" borderId="6" xfId="0" applyNumberFormat="1" applyFont="1" applyBorder="1" applyAlignment="1">
      <alignment horizontal="right"/>
    </xf>
    <xf numFmtId="164" fontId="8" fillId="0" borderId="6" xfId="0" applyNumberFormat="1" applyFont="1" applyBorder="1" applyAlignment="1">
      <alignment horizontal="center"/>
    </xf>
    <xf numFmtId="164" fontId="0" fillId="0" borderId="6" xfId="0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center" vertical="center"/>
    </xf>
    <xf numFmtId="164" fontId="6" fillId="10" borderId="6" xfId="0" applyNumberFormat="1" applyFont="1" applyFill="1" applyBorder="1" applyAlignment="1">
      <alignment horizontal="right"/>
    </xf>
    <xf numFmtId="17" fontId="0" fillId="0" borderId="6" xfId="0" applyNumberFormat="1" applyFont="1" applyBorder="1" applyAlignment="1">
      <alignment horizontal="right"/>
    </xf>
    <xf numFmtId="0" fontId="0" fillId="0" borderId="6" xfId="0" applyNumberFormat="1" applyFont="1" applyBorder="1" applyAlignment="1">
      <alignment horizontal="right"/>
    </xf>
    <xf numFmtId="168" fontId="0" fillId="0" borderId="7" xfId="0" applyNumberFormat="1" applyFill="1" applyBorder="1" applyAlignment="1">
      <alignment horizontal="center"/>
    </xf>
    <xf numFmtId="169" fontId="0" fillId="0" borderId="7" xfId="0" applyNumberFormat="1" applyFill="1" applyBorder="1" applyAlignment="1">
      <alignment horizontal="center" vertical="center"/>
    </xf>
    <xf numFmtId="168" fontId="16" fillId="7" borderId="7" xfId="0" applyNumberFormat="1" applyFont="1" applyFill="1" applyBorder="1" applyAlignment="1">
      <alignment horizontal="center"/>
    </xf>
    <xf numFmtId="0" fontId="16" fillId="7" borderId="7" xfId="0" applyFont="1" applyFill="1" applyBorder="1" applyAlignment="1">
      <alignment horizontal="right"/>
    </xf>
    <xf numFmtId="170" fontId="21" fillId="8" borderId="0" xfId="3" applyNumberFormat="1" applyFont="1" applyFill="1" applyBorder="1"/>
    <xf numFmtId="170" fontId="20" fillId="8" borderId="0" xfId="3" applyNumberFormat="1" applyFont="1" applyFill="1" applyBorder="1"/>
    <xf numFmtId="170" fontId="8" fillId="8" borderId="0" xfId="3" applyNumberFormat="1" applyFont="1" applyFill="1" applyBorder="1"/>
    <xf numFmtId="170" fontId="2" fillId="8" borderId="0" xfId="3" applyNumberFormat="1" applyFont="1" applyFill="1" applyBorder="1"/>
    <xf numFmtId="167" fontId="0" fillId="8" borderId="25" xfId="0" applyNumberFormat="1" applyFont="1" applyFill="1" applyBorder="1" applyAlignment="1">
      <alignment horizontal="right"/>
    </xf>
    <xf numFmtId="167" fontId="16" fillId="8" borderId="25" xfId="0" applyNumberFormat="1" applyFont="1" applyFill="1" applyBorder="1" applyAlignment="1">
      <alignment horizontal="right"/>
    </xf>
    <xf numFmtId="167" fontId="0" fillId="8" borderId="27" xfId="0" applyNumberFormat="1" applyFont="1" applyFill="1" applyBorder="1" applyAlignment="1">
      <alignment horizontal="right"/>
    </xf>
    <xf numFmtId="167" fontId="18" fillId="6" borderId="28" xfId="0" applyNumberFormat="1" applyFont="1" applyFill="1" applyBorder="1" applyAlignment="1">
      <alignment horizontal="right"/>
    </xf>
    <xf numFmtId="167" fontId="0" fillId="5" borderId="30" xfId="0" applyNumberFormat="1" applyFont="1" applyFill="1" applyBorder="1" applyAlignment="1">
      <alignment horizontal="right"/>
    </xf>
    <xf numFmtId="167" fontId="19" fillId="4" borderId="30" xfId="0" applyNumberFormat="1" applyFont="1" applyFill="1" applyBorder="1" applyAlignment="1">
      <alignment horizontal="right"/>
    </xf>
    <xf numFmtId="167" fontId="0" fillId="8" borderId="32" xfId="0" applyNumberFormat="1" applyFont="1" applyFill="1" applyBorder="1" applyAlignment="1">
      <alignment horizontal="right"/>
    </xf>
    <xf numFmtId="167" fontId="18" fillId="8" borderId="33" xfId="0" applyNumberFormat="1" applyFont="1" applyFill="1" applyBorder="1" applyAlignment="1">
      <alignment horizontal="right"/>
    </xf>
    <xf numFmtId="167" fontId="1" fillId="6" borderId="28" xfId="0" applyNumberFormat="1" applyFont="1" applyFill="1" applyBorder="1" applyAlignment="1">
      <alignment horizontal="right"/>
    </xf>
    <xf numFmtId="168" fontId="0" fillId="8" borderId="26" xfId="0" applyNumberFormat="1" applyFill="1" applyBorder="1" applyAlignment="1">
      <alignment horizontal="center" vertical="center" wrapText="1"/>
    </xf>
    <xf numFmtId="168" fontId="0" fillId="8" borderId="27" xfId="0" applyNumberFormat="1" applyFill="1" applyBorder="1" applyAlignment="1">
      <alignment horizontal="center" vertical="center" wrapText="1"/>
    </xf>
    <xf numFmtId="168" fontId="0" fillId="8" borderId="29" xfId="0" applyNumberFormat="1" applyFill="1" applyBorder="1" applyAlignment="1">
      <alignment horizontal="center" vertical="center" wrapText="1"/>
    </xf>
    <xf numFmtId="168" fontId="0" fillId="8" borderId="25" xfId="0" applyNumberFormat="1" applyFill="1" applyBorder="1" applyAlignment="1">
      <alignment horizontal="center" vertical="center" wrapText="1"/>
    </xf>
    <xf numFmtId="168" fontId="0" fillId="8" borderId="31" xfId="0" applyNumberFormat="1" applyFill="1" applyBorder="1" applyAlignment="1">
      <alignment horizontal="center" vertical="center" wrapText="1"/>
    </xf>
    <xf numFmtId="168" fontId="0" fillId="8" borderId="32" xfId="0" applyNumberFormat="1" applyFill="1" applyBorder="1" applyAlignment="1">
      <alignment horizontal="center" vertical="center" wrapText="1"/>
    </xf>
    <xf numFmtId="0" fontId="0" fillId="6" borderId="27" xfId="0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16" fillId="4" borderId="25" xfId="0" applyFont="1" applyFill="1" applyBorder="1" applyAlignment="1">
      <alignment horizontal="center"/>
    </xf>
    <xf numFmtId="0" fontId="0" fillId="8" borderId="32" xfId="0" applyFont="1" applyFill="1" applyBorder="1" applyAlignment="1">
      <alignment horizontal="center"/>
    </xf>
    <xf numFmtId="0" fontId="0" fillId="0" borderId="32" xfId="0" applyFont="1" applyBorder="1" applyAlignment="1">
      <alignment horizontal="center"/>
    </xf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theme="0"/>
        </patternFill>
      </fill>
    </dxf>
    <dxf>
      <alignment horizontal="right" textRotation="0" wrapText="0" indent="0" justifyLastLine="0" shrinkToFit="0" readingOrder="0"/>
    </dxf>
    <dxf>
      <font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9" formatCode="[=1]&quot;Retard &quot;0&quot; jour&quot;;[&gt;1]&quot;Retard &quot;#,##0&quot; jours&quot;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[=1]&quot;Retard &quot;0&quot; jour&quot;;[&gt;1]&quot;Retard &quot;#,##0&quot; jours&quot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8" formatCode="dd/mm/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8" formatCode="dd/mm/yy;@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8" formatCode="dd/mm/yy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8" formatCode="dd/mm/yy;@"/>
      <alignment horizontal="center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numFmt numFmtId="16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numFmt numFmtId="16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numFmt numFmtId="16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7" formatCode="#,##0.00\ &quot;€&quot;"/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numFmt numFmtId="16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8" formatCode="dd/mm/yy;@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</border>
    </dxf>
    <dxf>
      <numFmt numFmtId="168" formatCode="dd/mm/yy;@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vertical="top" textRotation="0" indent="0" justifyLastLine="0" shrinkToFit="0" readingOrder="0"/>
    </dxf>
    <dxf>
      <fill>
        <patternFill>
          <bgColor rgb="FF33CC33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Q204" totalsRowCount="1" headerRowDxfId="47" totalsRowDxfId="46">
  <autoFilter ref="A1:Q203" xr:uid="{00000000-0009-0000-0100-000002000000}">
    <filterColumn colId="3">
      <filters>
        <filter val="Hygisud Médical (DRU330)"/>
      </filters>
    </filterColumn>
  </autoFilter>
  <sortState xmlns:xlrd2="http://schemas.microsoft.com/office/spreadsheetml/2017/richdata2" ref="A2:Q203">
    <sortCondition ref="L1:L203"/>
  </sortState>
  <tableColumns count="17">
    <tableColumn id="1" xr3:uid="{00000000-0010-0000-0000-000001000000}" name="N° Facture" totalsRowFunction="count" dataDxfId="45" totalsRowDxfId="44"/>
    <tableColumn id="18" xr3:uid="{00000000-0010-0000-0000-000012000000}" name="Pièce N°" dataDxfId="43" totalsRowDxfId="42"/>
    <tableColumn id="2" xr3:uid="{00000000-0010-0000-0000-000002000000}" name="Date Facture" dataDxfId="41" totalsRowDxfId="40"/>
    <tableColumn id="3" xr3:uid="{00000000-0010-0000-0000-000003000000}" name="Nom" totalsRowLabel="TOTAL" dataDxfId="39" totalsRowDxfId="38"/>
    <tableColumn id="5" xr3:uid="{00000000-0010-0000-0000-000005000000}" name="Montant HT" totalsRowFunction="sum" dataDxfId="37" totalsRowDxfId="36"/>
    <tableColumn id="6" xr3:uid="{00000000-0010-0000-0000-000006000000}" name="TVA 2,1% " totalsRowFunction="sum" dataDxfId="35" totalsRowDxfId="34"/>
    <tableColumn id="7" xr3:uid="{00000000-0010-0000-0000-000007000000}" name="TVA 5,5%" totalsRowFunction="sum" dataDxfId="33" totalsRowDxfId="32"/>
    <tableColumn id="8" xr3:uid="{00000000-0010-0000-0000-000008000000}" name="TVA 10%" totalsRowFunction="sum" dataDxfId="31" totalsRowDxfId="30"/>
    <tableColumn id="9" xr3:uid="{00000000-0010-0000-0000-000009000000}" name="TVA 20%" totalsRowFunction="sum" dataDxfId="29" totalsRowDxfId="28"/>
    <tableColumn id="10" xr3:uid="{00000000-0010-0000-0000-00000A000000}" name="Montant TTC" totalsRowFunction="sum" dataDxfId="27" totalsRowDxfId="26">
      <calculatedColumnFormula>IF(ISNUMBER(E2),E2+F2+G2+H2+I2," ")</calculatedColumnFormula>
    </tableColumn>
    <tableColumn id="12" xr3:uid="{00000000-0010-0000-0000-00000C000000}" name="Date Échéance" dataDxfId="25" totalsRowDxfId="24"/>
    <tableColumn id="11" xr3:uid="{00000000-0010-0000-0000-00000B000000}" name="Etat de la facture" dataDxfId="23" totalsRowDxfId="22">
      <calculatedColumnFormula>IF(ISBLANK(C2)," ",IF(ISNUMBER(M2),"Réglé",IF(K2&lt;TODAY(),"Retard",IF(K2=TODAY()," A régler","en attente"))))</calculatedColumnFormula>
    </tableColumn>
    <tableColumn id="13" xr3:uid="{00000000-0010-0000-0000-00000D000000}" name="Date de Règlement" dataDxfId="21" totalsRowDxfId="20"/>
    <tableColumn id="19" xr3:uid="{00000000-0010-0000-0000-000013000000}" name="Délai de paiement" dataDxfId="19" totalsRowDxfId="18">
      <calculatedColumnFormula>IF(ISBLANK(M2),TODAY()-K2,0)</calculatedColumnFormula>
    </tableColumn>
    <tableColumn id="14" xr3:uid="{00000000-0010-0000-0000-00000E000000}" name="Mode de Règlement" dataDxfId="17" totalsRowDxfId="16"/>
    <tableColumn id="17" xr3:uid="{00000000-0010-0000-0000-000011000000}" name="Sur Banque" dataDxfId="15" totalsRowDxfId="14"/>
    <tableColumn id="15" xr3:uid="{00000000-0010-0000-0000-00000F000000}" name="Observation(s)" dataDxfId="13" totalsRow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N35" totalsRowShown="0">
  <autoFilter ref="A1:N35" xr:uid="{00000000-0009-0000-0100-000001000000}"/>
  <sortState xmlns:xlrd2="http://schemas.microsoft.com/office/spreadsheetml/2017/richdata2" ref="A2:N35">
    <sortCondition ref="A2:A35"/>
  </sortState>
  <tableColumns count="14">
    <tableColumn id="1" xr3:uid="{00000000-0010-0000-0100-000001000000}" name="NOM du Fournisseur"/>
    <tableColumn id="15" xr3:uid="{00000000-0010-0000-0100-00000F000000}" name="Code Client" dataDxfId="10"/>
    <tableColumn id="14" xr3:uid="{00000000-0010-0000-0100-00000E000000}" name="Mode de Paiement"/>
    <tableColumn id="2" xr3:uid="{00000000-0010-0000-0100-000002000000}" name="Conditions Rglt"/>
    <tableColumn id="3" xr3:uid="{00000000-0010-0000-0100-000003000000}" name="Adresse "/>
    <tableColumn id="5" xr3:uid="{00000000-0010-0000-0100-000005000000}" name="Code Postal"/>
    <tableColumn id="6" xr3:uid="{00000000-0010-0000-0100-000006000000}" name="Ville"/>
    <tableColumn id="7" xr3:uid="{00000000-0010-0000-0100-000007000000}" name="Téléphone"/>
    <tableColumn id="8" xr3:uid="{00000000-0010-0000-0100-000008000000}" name="Site internet"/>
    <tableColumn id="9" xr3:uid="{00000000-0010-0000-0100-000009000000}" name="Email" dataCellStyle="Lien hypertexte"/>
    <tableColumn id="10" xr3:uid="{00000000-0010-0000-0100-00000A000000}" name="Email Comptabilité"/>
    <tableColumn id="11" xr3:uid="{00000000-0010-0000-0100-00000B000000}" name="Banque"/>
    <tableColumn id="12" xr3:uid="{00000000-0010-0000-0100-00000C000000}" name="IBAN"/>
    <tableColumn id="13" xr3:uid="{00000000-0010-0000-0100-00000D000000}" name="BIC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C39" totalsRowShown="0">
  <autoFilter ref="A1:C39" xr:uid="{00000000-0009-0000-0100-000003000000}"/>
  <tableColumns count="3">
    <tableColumn id="1" xr3:uid="{00000000-0010-0000-0200-000001000000}" name="Choisir Banque"/>
    <tableColumn id="2" xr3:uid="{00000000-0010-0000-0200-000002000000}" name="Fournisseurs" dataDxfId="0"/>
    <tableColumn id="3" xr3:uid="{00000000-0010-0000-0200-000003000000}" name="Choisir Mode de Rgl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s@mis-implants.fr" TargetMode="External"/><Relationship Id="rId18" Type="http://schemas.openxmlformats.org/officeDocument/2006/relationships/hyperlink" Target="mailto:info@rmoeurope.com" TargetMode="External"/><Relationship Id="rId26" Type="http://schemas.openxmlformats.org/officeDocument/2006/relationships/hyperlink" Target="mailto:contact@praxisinstruments.fr" TargetMode="External"/><Relationship Id="rId21" Type="http://schemas.openxmlformats.org/officeDocument/2006/relationships/hyperlink" Target="mailto:info@sdmc.fr" TargetMode="External"/><Relationship Id="rId34" Type="http://schemas.openxmlformats.org/officeDocument/2006/relationships/hyperlink" Target="mailto:pharmaciesaintexupery33@orange.fr" TargetMode="External"/><Relationship Id="rId7" Type="http://schemas.openxmlformats.org/officeDocument/2006/relationships/hyperlink" Target="http://www.hygisudmedical.com/" TargetMode="External"/><Relationship Id="rId12" Type="http://schemas.openxmlformats.org/officeDocument/2006/relationships/hyperlink" Target="http://www.misimplants.fr/" TargetMode="External"/><Relationship Id="rId17" Type="http://schemas.openxmlformats.org/officeDocument/2006/relationships/hyperlink" Target="http://www.pred.fr/" TargetMode="External"/><Relationship Id="rId25" Type="http://schemas.openxmlformats.org/officeDocument/2006/relationships/hyperlink" Target="http://www.praxisinstruments.fr/" TargetMode="External"/><Relationship Id="rId33" Type="http://schemas.openxmlformats.org/officeDocument/2006/relationships/hyperlink" Target="http://www.compagnie-fiduciaire.com/" TargetMode="External"/><Relationship Id="rId38" Type="http://schemas.openxmlformats.org/officeDocument/2006/relationships/table" Target="../tables/table2.xml"/><Relationship Id="rId2" Type="http://schemas.openxmlformats.org/officeDocument/2006/relationships/hyperlink" Target="mailto:contact@cafes-tchanque.fr" TargetMode="External"/><Relationship Id="rId16" Type="http://schemas.openxmlformats.org/officeDocument/2006/relationships/hyperlink" Target="http://www.promodentaire.com/" TargetMode="External"/><Relationship Id="rId20" Type="http://schemas.openxmlformats.org/officeDocument/2006/relationships/hyperlink" Target="http://www.sdmc.fr/" TargetMode="External"/><Relationship Id="rId29" Type="http://schemas.openxmlformats.org/officeDocument/2006/relationships/hyperlink" Target="mailto:orthoplus@orthoplus.fr" TargetMode="External"/><Relationship Id="rId1" Type="http://schemas.openxmlformats.org/officeDocument/2006/relationships/hyperlink" Target="mailto:svce.commercial@bisico.fr" TargetMode="External"/><Relationship Id="rId6" Type="http://schemas.openxmlformats.org/officeDocument/2006/relationships/hyperlink" Target="mailto:cabinet.dentaire@henryschein.fr" TargetMode="External"/><Relationship Id="rId11" Type="http://schemas.openxmlformats.org/officeDocument/2006/relationships/hyperlink" Target="mailto:creditclient@komet.fr" TargetMode="External"/><Relationship Id="rId24" Type="http://schemas.openxmlformats.org/officeDocument/2006/relationships/hyperlink" Target="mailto:contact@surfonline.fr" TargetMode="External"/><Relationship Id="rId32" Type="http://schemas.openxmlformats.org/officeDocument/2006/relationships/hyperlink" Target="mailto:contact@abibordeaux.fr" TargetMode="External"/><Relationship Id="rId37" Type="http://schemas.openxmlformats.org/officeDocument/2006/relationships/hyperlink" Target="mailto:sebastien.fougere@lenectar.fr" TargetMode="External"/><Relationship Id="rId5" Type="http://schemas.openxmlformats.org/officeDocument/2006/relationships/hyperlink" Target="http://www.henryschein.fr/" TargetMode="External"/><Relationship Id="rId15" Type="http://schemas.openxmlformats.org/officeDocument/2006/relationships/hyperlink" Target="mailto:order.france@nobelbiocare.com" TargetMode="External"/><Relationship Id="rId23" Type="http://schemas.openxmlformats.org/officeDocument/2006/relationships/hyperlink" Target="mailto:export@stoma.de" TargetMode="External"/><Relationship Id="rId28" Type="http://schemas.openxmlformats.org/officeDocument/2006/relationships/hyperlink" Target="mailto:service.clients@dexter.fr" TargetMode="External"/><Relationship Id="rId36" Type="http://schemas.openxmlformats.org/officeDocument/2006/relationships/hyperlink" Target="mailto:jerome@kikopiki.com" TargetMode="External"/><Relationship Id="rId10" Type="http://schemas.openxmlformats.org/officeDocument/2006/relationships/hyperlink" Target="http://www.komet.fr/" TargetMode="External"/><Relationship Id="rId19" Type="http://schemas.openxmlformats.org/officeDocument/2006/relationships/hyperlink" Target="mailto:rouzes.oocean@cloison.fr" TargetMode="External"/><Relationship Id="rId31" Type="http://schemas.openxmlformats.org/officeDocument/2006/relationships/hyperlink" Target="mailto:advso@proserve-dasri.com" TargetMode="External"/><Relationship Id="rId4" Type="http://schemas.openxmlformats.org/officeDocument/2006/relationships/hyperlink" Target="http://www.frankel.fr/" TargetMode="External"/><Relationship Id="rId9" Type="http://schemas.openxmlformats.org/officeDocument/2006/relationships/hyperlink" Target="mailto:dosimetrie@irsn.fr" TargetMode="External"/><Relationship Id="rId14" Type="http://schemas.openxmlformats.org/officeDocument/2006/relationships/hyperlink" Target="http://www.nobelbiocare.fr/" TargetMode="External"/><Relationship Id="rId22" Type="http://schemas.openxmlformats.org/officeDocument/2006/relationships/hyperlink" Target="http://www.stoma.de/" TargetMode="External"/><Relationship Id="rId27" Type="http://schemas.openxmlformats.org/officeDocument/2006/relationships/hyperlink" Target="http://www.dexter.fr/" TargetMode="External"/><Relationship Id="rId30" Type="http://schemas.openxmlformats.org/officeDocument/2006/relationships/hyperlink" Target="http://www.orthoplus.fr/" TargetMode="External"/><Relationship Id="rId35" Type="http://schemas.openxmlformats.org/officeDocument/2006/relationships/hyperlink" Target="http://www.kikopiki.com/" TargetMode="External"/><Relationship Id="rId8" Type="http://schemas.openxmlformats.org/officeDocument/2006/relationships/hyperlink" Target="mailto:hygisud.medical@9online.fr" TargetMode="External"/><Relationship Id="rId3" Type="http://schemas.openxmlformats.org/officeDocument/2006/relationships/hyperlink" Target="http://www.corusdental.com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  <pageSetUpPr fitToPage="1"/>
  </sheetPr>
  <dimension ref="A1:Q220"/>
  <sheetViews>
    <sheetView tabSelected="1" zoomScaleNormal="100" workbookViewId="0">
      <pane ySplit="1" topLeftCell="A22" activePane="bottomLeft" state="frozen"/>
      <selection pane="bottomLeft" activeCell="J210" sqref="J210"/>
    </sheetView>
  </sheetViews>
  <sheetFormatPr baseColWidth="10" defaultRowHeight="16"/>
  <cols>
    <col min="1" max="1" width="12.6640625" style="12" bestFit="1" customWidth="1"/>
    <col min="2" max="2" width="11" style="12" bestFit="1" customWidth="1"/>
    <col min="3" max="3" width="8.6640625" style="13" bestFit="1" customWidth="1"/>
    <col min="4" max="4" width="31" style="39" bestFit="1" customWidth="1"/>
    <col min="5" max="5" width="14.5" style="10" customWidth="1"/>
    <col min="6" max="6" width="11.6640625" style="10" hidden="1" customWidth="1"/>
    <col min="7" max="7" width="11.33203125" style="10" hidden="1" customWidth="1"/>
    <col min="8" max="9" width="10.6640625" style="10" hidden="1" customWidth="1"/>
    <col min="10" max="10" width="14.5" style="52" bestFit="1" customWidth="1"/>
    <col min="12" max="12" width="11.5" style="13" bestFit="1" customWidth="1"/>
    <col min="13" max="13" width="11.5" style="13" customWidth="1"/>
    <col min="14" max="14" width="22" style="13" bestFit="1" customWidth="1"/>
    <col min="15" max="15" width="21.5" style="13" bestFit="1" customWidth="1"/>
    <col min="16" max="16" width="29.33203125" bestFit="1" customWidth="1"/>
    <col min="17" max="17" width="59.33203125" style="9" bestFit="1" customWidth="1"/>
    <col min="18" max="18" width="59.33203125" bestFit="1" customWidth="1"/>
  </cols>
  <sheetData>
    <row r="1" spans="1:17" s="48" customFormat="1" ht="40.5" customHeight="1">
      <c r="A1" s="58" t="s">
        <v>9</v>
      </c>
      <c r="B1" s="57" t="s">
        <v>298</v>
      </c>
      <c r="C1" s="49" t="s">
        <v>297</v>
      </c>
      <c r="D1" s="56" t="s">
        <v>0</v>
      </c>
      <c r="E1" s="55" t="s">
        <v>1</v>
      </c>
      <c r="F1" s="54" t="s">
        <v>214</v>
      </c>
      <c r="G1" s="54" t="s">
        <v>215</v>
      </c>
      <c r="H1" s="54" t="s">
        <v>10</v>
      </c>
      <c r="I1" s="54" t="s">
        <v>8</v>
      </c>
      <c r="J1" s="53" t="s">
        <v>2</v>
      </c>
      <c r="K1" s="51" t="s">
        <v>296</v>
      </c>
      <c r="L1" s="50" t="s">
        <v>295</v>
      </c>
      <c r="M1" s="51" t="s">
        <v>7</v>
      </c>
      <c r="N1" s="59" t="s">
        <v>292</v>
      </c>
      <c r="O1" s="60" t="s">
        <v>6</v>
      </c>
      <c r="P1" s="61" t="s">
        <v>13</v>
      </c>
      <c r="Q1" s="69" t="s">
        <v>221</v>
      </c>
    </row>
    <row r="2" spans="1:17" s="1" customFormat="1" ht="18" hidden="1" customHeight="1">
      <c r="A2" s="15">
        <v>1910837</v>
      </c>
      <c r="B2" s="16">
        <v>201911100</v>
      </c>
      <c r="C2" s="17">
        <v>43798</v>
      </c>
      <c r="D2" s="66" t="s">
        <v>224</v>
      </c>
      <c r="E2" s="134">
        <v>319.44</v>
      </c>
      <c r="F2" s="142"/>
      <c r="G2" s="143"/>
      <c r="H2" s="142"/>
      <c r="I2" s="142"/>
      <c r="J2" s="133">
        <f t="shared" ref="J2:J65" si="0">IF(ISNUMBER(E2),E2+F2+G2+H2+I2," ")</f>
        <v>319.44</v>
      </c>
      <c r="K2" s="17">
        <v>43828</v>
      </c>
      <c r="L2" s="18" t="str">
        <f t="shared" ref="L2:L65" ca="1" si="1">IF(ISBLANK(C2)," ",IF(ISNUMBER(M2),"Réglé",IF(K2&lt;TODAY(),"Retard",IF(K2=TODAY()," A régler","en attente"))))</f>
        <v xml:space="preserve"> A régler</v>
      </c>
      <c r="M2" s="17"/>
      <c r="N2" s="46">
        <f t="shared" ref="N2:N65" ca="1" si="2">IF(ISBLANK(M2),TODAY()-K2,0)</f>
        <v>0</v>
      </c>
      <c r="O2" s="23" t="s">
        <v>322</v>
      </c>
      <c r="P2" s="19" t="s">
        <v>343</v>
      </c>
      <c r="Q2" s="35"/>
    </row>
    <row r="3" spans="1:17" s="1" customFormat="1" ht="18" hidden="1" customHeight="1">
      <c r="A3" s="34">
        <v>1664996</v>
      </c>
      <c r="B3" s="27">
        <v>201911132</v>
      </c>
      <c r="C3" s="33">
        <v>43798</v>
      </c>
      <c r="D3" s="68" t="s">
        <v>238</v>
      </c>
      <c r="E3" s="135">
        <v>378.33</v>
      </c>
      <c r="F3" s="135"/>
      <c r="G3" s="136"/>
      <c r="H3" s="135"/>
      <c r="I3" s="135"/>
      <c r="J3" s="137">
        <f t="shared" si="0"/>
        <v>378.33</v>
      </c>
      <c r="K3" s="33">
        <v>43828</v>
      </c>
      <c r="L3" s="18" t="str">
        <f t="shared" ca="1" si="1"/>
        <v xml:space="preserve"> A régler</v>
      </c>
      <c r="M3" s="33"/>
      <c r="N3" s="47">
        <f t="shared" ca="1" si="2"/>
        <v>0</v>
      </c>
      <c r="O3" s="23"/>
      <c r="P3" s="32"/>
      <c r="Q3" s="63"/>
    </row>
    <row r="4" spans="1:17" s="3" customFormat="1" ht="18" hidden="1" customHeight="1">
      <c r="A4" s="26">
        <v>1665958</v>
      </c>
      <c r="B4" s="27">
        <v>201911130</v>
      </c>
      <c r="C4" s="33">
        <v>43798</v>
      </c>
      <c r="D4" s="66" t="s">
        <v>238</v>
      </c>
      <c r="E4" s="135">
        <v>71.489999999999995</v>
      </c>
      <c r="F4" s="135"/>
      <c r="G4" s="136"/>
      <c r="H4" s="135"/>
      <c r="I4" s="135"/>
      <c r="J4" s="133">
        <f t="shared" si="0"/>
        <v>71.489999999999995</v>
      </c>
      <c r="K4" s="33">
        <v>43828</v>
      </c>
      <c r="L4" s="18" t="str">
        <f t="shared" ca="1" si="1"/>
        <v xml:space="preserve"> A régler</v>
      </c>
      <c r="M4" s="33"/>
      <c r="N4" s="47">
        <f t="shared" ca="1" si="2"/>
        <v>0</v>
      </c>
      <c r="O4" s="23"/>
      <c r="P4" s="32"/>
      <c r="Q4" s="63"/>
    </row>
    <row r="5" spans="1:17" s="3" customFormat="1" ht="18" hidden="1" customHeight="1">
      <c r="A5" s="124">
        <v>2200292711</v>
      </c>
      <c r="B5" s="125">
        <v>20191255</v>
      </c>
      <c r="C5" s="33">
        <v>43818</v>
      </c>
      <c r="D5" s="71" t="s">
        <v>249</v>
      </c>
      <c r="E5" s="135">
        <v>125.59</v>
      </c>
      <c r="F5" s="135"/>
      <c r="G5" s="136"/>
      <c r="H5" s="135"/>
      <c r="I5" s="135"/>
      <c r="J5" s="139">
        <f t="shared" si="0"/>
        <v>125.59</v>
      </c>
      <c r="K5" s="33">
        <v>43828</v>
      </c>
      <c r="L5" s="126" t="str">
        <f t="shared" ca="1" si="1"/>
        <v xml:space="preserve"> A régler</v>
      </c>
      <c r="M5" s="33"/>
      <c r="N5" s="127">
        <f t="shared" ca="1" si="2"/>
        <v>0</v>
      </c>
      <c r="O5" s="23"/>
      <c r="P5" s="19"/>
      <c r="Q5" s="35"/>
    </row>
    <row r="6" spans="1:17" s="3" customFormat="1" ht="18" hidden="1" customHeight="1">
      <c r="A6" s="20">
        <v>1910868</v>
      </c>
      <c r="B6" s="21">
        <v>20191207</v>
      </c>
      <c r="C6" s="22">
        <v>43801</v>
      </c>
      <c r="D6" s="66" t="s">
        <v>224</v>
      </c>
      <c r="E6" s="128">
        <v>597.76</v>
      </c>
      <c r="F6" s="131"/>
      <c r="G6" s="132"/>
      <c r="H6" s="131"/>
      <c r="I6" s="131"/>
      <c r="J6" s="133">
        <f t="shared" si="0"/>
        <v>597.76</v>
      </c>
      <c r="K6" s="22">
        <v>43831</v>
      </c>
      <c r="L6" s="18" t="str">
        <f t="shared" ca="1" si="1"/>
        <v>en attente</v>
      </c>
      <c r="M6" s="22"/>
      <c r="N6" s="46">
        <f t="shared" ca="1" si="2"/>
        <v>-3</v>
      </c>
      <c r="O6" s="23" t="s">
        <v>322</v>
      </c>
      <c r="P6" s="19" t="s">
        <v>343</v>
      </c>
      <c r="Q6" s="35"/>
    </row>
    <row r="7" spans="1:17" s="3" customFormat="1" ht="18" hidden="1" customHeight="1">
      <c r="A7" s="20">
        <v>1910879</v>
      </c>
      <c r="B7" s="21">
        <v>20191206</v>
      </c>
      <c r="C7" s="22">
        <v>43801</v>
      </c>
      <c r="D7" s="66" t="s">
        <v>228</v>
      </c>
      <c r="E7" s="128">
        <v>132.47999999999999</v>
      </c>
      <c r="F7" s="131"/>
      <c r="G7" s="132"/>
      <c r="H7" s="131"/>
      <c r="I7" s="131"/>
      <c r="J7" s="133">
        <f t="shared" si="0"/>
        <v>132.47999999999999</v>
      </c>
      <c r="K7" s="22">
        <v>43831</v>
      </c>
      <c r="L7" s="18" t="str">
        <f t="shared" ca="1" si="1"/>
        <v>en attente</v>
      </c>
      <c r="M7" s="22"/>
      <c r="N7" s="46">
        <f t="shared" ca="1" si="2"/>
        <v>-3</v>
      </c>
      <c r="O7" s="23" t="s">
        <v>322</v>
      </c>
      <c r="P7" s="19" t="s">
        <v>343</v>
      </c>
      <c r="Q7" s="35"/>
    </row>
    <row r="8" spans="1:17" s="3" customFormat="1" ht="18" hidden="1" customHeight="1">
      <c r="A8" s="20">
        <v>1910878</v>
      </c>
      <c r="B8" s="21">
        <v>20191205</v>
      </c>
      <c r="C8" s="22">
        <v>43801</v>
      </c>
      <c r="D8" s="66" t="s">
        <v>225</v>
      </c>
      <c r="E8" s="128">
        <v>132.47999999999999</v>
      </c>
      <c r="F8" s="131"/>
      <c r="G8" s="132"/>
      <c r="H8" s="131"/>
      <c r="I8" s="131"/>
      <c r="J8" s="133">
        <f t="shared" si="0"/>
        <v>132.47999999999999</v>
      </c>
      <c r="K8" s="22">
        <v>43831</v>
      </c>
      <c r="L8" s="18" t="str">
        <f t="shared" ca="1" si="1"/>
        <v>en attente</v>
      </c>
      <c r="M8" s="22"/>
      <c r="N8" s="46">
        <f t="shared" ca="1" si="2"/>
        <v>-3</v>
      </c>
      <c r="O8" s="23" t="s">
        <v>322</v>
      </c>
      <c r="P8" s="19" t="s">
        <v>343</v>
      </c>
      <c r="Q8" s="35"/>
    </row>
    <row r="9" spans="1:17" s="3" customFormat="1" ht="18" hidden="1" customHeight="1">
      <c r="A9" s="20">
        <v>1910917</v>
      </c>
      <c r="B9" s="21">
        <v>20191203</v>
      </c>
      <c r="C9" s="22">
        <v>43802</v>
      </c>
      <c r="D9" s="66" t="s">
        <v>224</v>
      </c>
      <c r="E9" s="128">
        <v>3230.79</v>
      </c>
      <c r="F9" s="131"/>
      <c r="G9" s="132"/>
      <c r="H9" s="131"/>
      <c r="I9" s="131"/>
      <c r="J9" s="133">
        <f t="shared" si="0"/>
        <v>3230.79</v>
      </c>
      <c r="K9" s="22">
        <v>43832</v>
      </c>
      <c r="L9" s="18" t="str">
        <f t="shared" ca="1" si="1"/>
        <v>en attente</v>
      </c>
      <c r="M9" s="22"/>
      <c r="N9" s="46">
        <f t="shared" ca="1" si="2"/>
        <v>-4</v>
      </c>
      <c r="O9" s="23" t="s">
        <v>322</v>
      </c>
      <c r="P9" s="19" t="s">
        <v>343</v>
      </c>
      <c r="Q9" s="35"/>
    </row>
    <row r="10" spans="1:17" s="3" customFormat="1" ht="18" hidden="1" customHeight="1">
      <c r="A10" s="20">
        <v>1671379</v>
      </c>
      <c r="B10" s="21">
        <v>20191218</v>
      </c>
      <c r="C10" s="22">
        <v>43802</v>
      </c>
      <c r="D10" s="66" t="s">
        <v>238</v>
      </c>
      <c r="E10" s="128">
        <v>428.19</v>
      </c>
      <c r="F10" s="131"/>
      <c r="G10" s="132"/>
      <c r="H10" s="131"/>
      <c r="I10" s="131"/>
      <c r="J10" s="133">
        <f t="shared" si="0"/>
        <v>428.19</v>
      </c>
      <c r="K10" s="22">
        <v>43832</v>
      </c>
      <c r="L10" s="18" t="str">
        <f t="shared" ca="1" si="1"/>
        <v>en attente</v>
      </c>
      <c r="M10" s="22"/>
      <c r="N10" s="46">
        <f t="shared" ca="1" si="2"/>
        <v>-4</v>
      </c>
      <c r="O10" s="23"/>
      <c r="P10" s="19"/>
      <c r="Q10" s="35"/>
    </row>
    <row r="11" spans="1:17" s="3" customFormat="1" ht="18" hidden="1" customHeight="1">
      <c r="A11" s="20">
        <v>1910992</v>
      </c>
      <c r="B11" s="21">
        <v>20191212</v>
      </c>
      <c r="C11" s="22">
        <v>43803</v>
      </c>
      <c r="D11" s="66" t="s">
        <v>226</v>
      </c>
      <c r="E11" s="128">
        <v>132.47999999999999</v>
      </c>
      <c r="F11" s="131"/>
      <c r="G11" s="132"/>
      <c r="H11" s="131"/>
      <c r="I11" s="131"/>
      <c r="J11" s="133">
        <f t="shared" si="0"/>
        <v>132.47999999999999</v>
      </c>
      <c r="K11" s="22">
        <v>43833</v>
      </c>
      <c r="L11" s="18" t="str">
        <f t="shared" ca="1" si="1"/>
        <v>en attente</v>
      </c>
      <c r="M11" s="22"/>
      <c r="N11" s="46">
        <f t="shared" ca="1" si="2"/>
        <v>-5</v>
      </c>
      <c r="O11" s="23" t="s">
        <v>322</v>
      </c>
      <c r="P11" s="19" t="s">
        <v>343</v>
      </c>
      <c r="Q11" s="35"/>
    </row>
    <row r="12" spans="1:17" s="3" customFormat="1" ht="18" hidden="1" customHeight="1">
      <c r="A12" s="20">
        <v>1910988</v>
      </c>
      <c r="B12" s="21">
        <v>20191211</v>
      </c>
      <c r="C12" s="22">
        <v>43803</v>
      </c>
      <c r="D12" s="66" t="s">
        <v>227</v>
      </c>
      <c r="E12" s="128">
        <v>230.77</v>
      </c>
      <c r="F12" s="131"/>
      <c r="G12" s="132"/>
      <c r="H12" s="131"/>
      <c r="I12" s="131"/>
      <c r="J12" s="133">
        <f t="shared" si="0"/>
        <v>230.77</v>
      </c>
      <c r="K12" s="22">
        <v>43833</v>
      </c>
      <c r="L12" s="18" t="str">
        <f t="shared" ca="1" si="1"/>
        <v>en attente</v>
      </c>
      <c r="M12" s="22"/>
      <c r="N12" s="46">
        <f t="shared" ca="1" si="2"/>
        <v>-5</v>
      </c>
      <c r="O12" s="23" t="s">
        <v>322</v>
      </c>
      <c r="P12" s="19" t="s">
        <v>343</v>
      </c>
      <c r="Q12" s="35"/>
    </row>
    <row r="13" spans="1:17" s="3" customFormat="1" ht="18" hidden="1" customHeight="1">
      <c r="A13" s="20">
        <v>1910974</v>
      </c>
      <c r="B13" s="21">
        <v>20191210</v>
      </c>
      <c r="C13" s="22">
        <v>43803</v>
      </c>
      <c r="D13" s="66" t="s">
        <v>224</v>
      </c>
      <c r="E13" s="128">
        <v>66.239999999999995</v>
      </c>
      <c r="F13" s="131"/>
      <c r="G13" s="132"/>
      <c r="H13" s="131"/>
      <c r="I13" s="131"/>
      <c r="J13" s="133">
        <f t="shared" si="0"/>
        <v>66.239999999999995</v>
      </c>
      <c r="K13" s="22">
        <v>43833</v>
      </c>
      <c r="L13" s="18" t="str">
        <f t="shared" ca="1" si="1"/>
        <v>en attente</v>
      </c>
      <c r="M13" s="22"/>
      <c r="N13" s="46">
        <f t="shared" ca="1" si="2"/>
        <v>-5</v>
      </c>
      <c r="O13" s="23" t="s">
        <v>322</v>
      </c>
      <c r="P13" s="19" t="s">
        <v>343</v>
      </c>
      <c r="Q13" s="35"/>
    </row>
    <row r="14" spans="1:17" s="3" customFormat="1" ht="18" hidden="1" customHeight="1">
      <c r="A14" s="20">
        <v>1910995</v>
      </c>
      <c r="B14" s="21">
        <v>20191209</v>
      </c>
      <c r="C14" s="22">
        <v>43803</v>
      </c>
      <c r="D14" s="66" t="s">
        <v>228</v>
      </c>
      <c r="E14" s="128">
        <v>66.239999999999995</v>
      </c>
      <c r="F14" s="131"/>
      <c r="G14" s="132"/>
      <c r="H14" s="131"/>
      <c r="I14" s="131"/>
      <c r="J14" s="133">
        <f t="shared" si="0"/>
        <v>66.239999999999995</v>
      </c>
      <c r="K14" s="22">
        <v>43833</v>
      </c>
      <c r="L14" s="18" t="str">
        <f t="shared" ca="1" si="1"/>
        <v>en attente</v>
      </c>
      <c r="M14" s="22"/>
      <c r="N14" s="46">
        <f t="shared" ca="1" si="2"/>
        <v>-5</v>
      </c>
      <c r="O14" s="23" t="s">
        <v>322</v>
      </c>
      <c r="P14" s="19" t="s">
        <v>343</v>
      </c>
      <c r="Q14" s="35"/>
    </row>
    <row r="15" spans="1:17" s="3" customFormat="1" ht="18" hidden="1" customHeight="1">
      <c r="A15" s="15">
        <v>1911072</v>
      </c>
      <c r="B15" s="16">
        <v>20191208</v>
      </c>
      <c r="C15" s="17">
        <v>43804</v>
      </c>
      <c r="D15" s="66" t="s">
        <v>224</v>
      </c>
      <c r="E15" s="134">
        <v>66.239999999999995</v>
      </c>
      <c r="F15" s="142"/>
      <c r="G15" s="143"/>
      <c r="H15" s="142"/>
      <c r="I15" s="142"/>
      <c r="J15" s="133">
        <f t="shared" si="0"/>
        <v>66.239999999999995</v>
      </c>
      <c r="K15" s="17">
        <v>43834</v>
      </c>
      <c r="L15" s="18" t="str">
        <f t="shared" ca="1" si="1"/>
        <v>en attente</v>
      </c>
      <c r="M15" s="17"/>
      <c r="N15" s="46">
        <f t="shared" ca="1" si="2"/>
        <v>-6</v>
      </c>
      <c r="O15" s="23" t="s">
        <v>322</v>
      </c>
      <c r="P15" s="19" t="s">
        <v>343</v>
      </c>
      <c r="Q15" s="35"/>
    </row>
    <row r="16" spans="1:17" s="3" customFormat="1" ht="18" hidden="1" customHeight="1">
      <c r="A16" s="20">
        <v>1911127</v>
      </c>
      <c r="B16" s="21">
        <v>20191217</v>
      </c>
      <c r="C16" s="22">
        <v>43805</v>
      </c>
      <c r="D16" s="66" t="s">
        <v>229</v>
      </c>
      <c r="E16" s="128">
        <v>211.2</v>
      </c>
      <c r="F16" s="131"/>
      <c r="G16" s="132"/>
      <c r="H16" s="131"/>
      <c r="I16" s="131"/>
      <c r="J16" s="133">
        <f t="shared" si="0"/>
        <v>211.2</v>
      </c>
      <c r="K16" s="22">
        <v>43835</v>
      </c>
      <c r="L16" s="18" t="str">
        <f t="shared" ca="1" si="1"/>
        <v>en attente</v>
      </c>
      <c r="M16" s="22"/>
      <c r="N16" s="46">
        <f t="shared" ca="1" si="2"/>
        <v>-7</v>
      </c>
      <c r="O16" s="23" t="s">
        <v>5</v>
      </c>
      <c r="P16" s="19" t="s">
        <v>343</v>
      </c>
      <c r="Q16" s="35"/>
    </row>
    <row r="17" spans="1:17" s="3" customFormat="1" ht="18" hidden="1" customHeight="1">
      <c r="A17" s="20">
        <v>1911112</v>
      </c>
      <c r="B17" s="21">
        <v>20191216</v>
      </c>
      <c r="C17" s="22">
        <v>43805</v>
      </c>
      <c r="D17" s="66" t="s">
        <v>224</v>
      </c>
      <c r="E17" s="128">
        <v>760.62</v>
      </c>
      <c r="F17" s="131"/>
      <c r="G17" s="132"/>
      <c r="H17" s="131"/>
      <c r="I17" s="131"/>
      <c r="J17" s="133">
        <f t="shared" si="0"/>
        <v>760.62</v>
      </c>
      <c r="K17" s="22">
        <v>43835</v>
      </c>
      <c r="L17" s="18" t="str">
        <f t="shared" ca="1" si="1"/>
        <v>en attente</v>
      </c>
      <c r="M17" s="22"/>
      <c r="N17" s="46">
        <f t="shared" ca="1" si="2"/>
        <v>-7</v>
      </c>
      <c r="O17" s="23" t="s">
        <v>322</v>
      </c>
      <c r="P17" s="19" t="s">
        <v>343</v>
      </c>
      <c r="Q17" s="35"/>
    </row>
    <row r="18" spans="1:17" s="3" customFormat="1" ht="18" hidden="1" customHeight="1">
      <c r="A18" s="26">
        <v>1911177</v>
      </c>
      <c r="B18" s="27">
        <v>20191226</v>
      </c>
      <c r="C18" s="33">
        <v>43808</v>
      </c>
      <c r="D18" s="66" t="s">
        <v>227</v>
      </c>
      <c r="E18" s="135">
        <v>264.95999999999998</v>
      </c>
      <c r="F18" s="135"/>
      <c r="G18" s="136"/>
      <c r="H18" s="135"/>
      <c r="I18" s="135"/>
      <c r="J18" s="137">
        <f t="shared" si="0"/>
        <v>264.95999999999998</v>
      </c>
      <c r="K18" s="33">
        <v>43838</v>
      </c>
      <c r="L18" s="18" t="str">
        <f t="shared" ca="1" si="1"/>
        <v>en attente</v>
      </c>
      <c r="M18" s="33"/>
      <c r="N18" s="47">
        <f t="shared" ca="1" si="2"/>
        <v>-10</v>
      </c>
      <c r="O18" s="23" t="s">
        <v>322</v>
      </c>
      <c r="P18" s="19" t="s">
        <v>343</v>
      </c>
      <c r="Q18" s="63"/>
    </row>
    <row r="19" spans="1:17" s="3" customFormat="1" ht="18" hidden="1" customHeight="1">
      <c r="A19" s="26" t="s">
        <v>294</v>
      </c>
      <c r="B19" s="27">
        <v>20191223</v>
      </c>
      <c r="C19" s="33">
        <v>43809</v>
      </c>
      <c r="D19" s="66" t="s">
        <v>351</v>
      </c>
      <c r="E19" s="135">
        <v>89.49</v>
      </c>
      <c r="F19" s="135"/>
      <c r="G19" s="136"/>
      <c r="H19" s="135"/>
      <c r="I19" s="135"/>
      <c r="J19" s="133">
        <f t="shared" si="0"/>
        <v>89.49</v>
      </c>
      <c r="K19" s="33">
        <v>43839</v>
      </c>
      <c r="L19" s="18" t="str">
        <f t="shared" ca="1" si="1"/>
        <v>en attente</v>
      </c>
      <c r="M19" s="33"/>
      <c r="N19" s="47">
        <f t="shared" ca="1" si="2"/>
        <v>-11</v>
      </c>
      <c r="O19" s="23"/>
      <c r="P19" s="32"/>
      <c r="Q19" s="63"/>
    </row>
    <row r="20" spans="1:17" s="3" customFormat="1" ht="18" hidden="1" customHeight="1">
      <c r="A20" s="26">
        <v>1911230</v>
      </c>
      <c r="B20" s="27">
        <v>20191224</v>
      </c>
      <c r="C20" s="33">
        <v>43809</v>
      </c>
      <c r="D20" s="66" t="s">
        <v>227</v>
      </c>
      <c r="E20" s="135">
        <v>198.72</v>
      </c>
      <c r="F20" s="135"/>
      <c r="G20" s="136"/>
      <c r="H20" s="135"/>
      <c r="I20" s="135"/>
      <c r="J20" s="133">
        <f t="shared" si="0"/>
        <v>198.72</v>
      </c>
      <c r="K20" s="33">
        <v>43839</v>
      </c>
      <c r="L20" s="18" t="str">
        <f t="shared" ca="1" si="1"/>
        <v>en attente</v>
      </c>
      <c r="M20" s="33"/>
      <c r="N20" s="47">
        <f t="shared" ca="1" si="2"/>
        <v>-11</v>
      </c>
      <c r="O20" s="23" t="s">
        <v>322</v>
      </c>
      <c r="P20" s="19" t="s">
        <v>343</v>
      </c>
      <c r="Q20" s="63"/>
    </row>
    <row r="21" spans="1:17" s="3" customFormat="1" ht="18" hidden="1" customHeight="1">
      <c r="A21" s="26">
        <v>1911203</v>
      </c>
      <c r="B21" s="27">
        <v>20191225</v>
      </c>
      <c r="C21" s="33">
        <v>43809</v>
      </c>
      <c r="D21" s="66" t="s">
        <v>227</v>
      </c>
      <c r="E21" s="135">
        <v>2076.9299999999998</v>
      </c>
      <c r="F21" s="135"/>
      <c r="G21" s="136"/>
      <c r="H21" s="135"/>
      <c r="I21" s="135"/>
      <c r="J21" s="133">
        <f t="shared" si="0"/>
        <v>2076.9299999999998</v>
      </c>
      <c r="K21" s="33">
        <v>43839</v>
      </c>
      <c r="L21" s="18" t="str">
        <f t="shared" ca="1" si="1"/>
        <v>en attente</v>
      </c>
      <c r="M21" s="33"/>
      <c r="N21" s="47">
        <f t="shared" ca="1" si="2"/>
        <v>-11</v>
      </c>
      <c r="O21" s="23" t="s">
        <v>322</v>
      </c>
      <c r="P21" s="19" t="s">
        <v>343</v>
      </c>
      <c r="Q21" s="63"/>
    </row>
    <row r="22" spans="1:17" s="4" customFormat="1" ht="18" customHeight="1">
      <c r="A22" s="26" t="s">
        <v>341</v>
      </c>
      <c r="B22" s="27">
        <v>20191232</v>
      </c>
      <c r="C22" s="33">
        <v>43809</v>
      </c>
      <c r="D22" s="66" t="s">
        <v>280</v>
      </c>
      <c r="E22" s="135">
        <v>522.9</v>
      </c>
      <c r="F22" s="135"/>
      <c r="G22" s="136"/>
      <c r="H22" s="135"/>
      <c r="I22" s="135"/>
      <c r="J22" s="133">
        <f t="shared" si="0"/>
        <v>522.9</v>
      </c>
      <c r="K22" s="33">
        <v>43839</v>
      </c>
      <c r="L22" s="62" t="str">
        <f t="shared" ca="1" si="1"/>
        <v>en attente</v>
      </c>
      <c r="M22" s="33"/>
      <c r="N22" s="47">
        <f t="shared" ca="1" si="2"/>
        <v>-11</v>
      </c>
      <c r="O22" s="23"/>
      <c r="P22" s="32"/>
      <c r="Q22" s="63"/>
    </row>
    <row r="23" spans="1:17" s="4" customFormat="1" ht="18" hidden="1" customHeight="1">
      <c r="A23" s="124">
        <v>2011135064</v>
      </c>
      <c r="B23" s="125">
        <v>20191268</v>
      </c>
      <c r="C23" s="33">
        <v>43809</v>
      </c>
      <c r="D23" s="71" t="s">
        <v>276</v>
      </c>
      <c r="E23" s="135">
        <v>38.17</v>
      </c>
      <c r="F23" s="135"/>
      <c r="G23" s="136"/>
      <c r="H23" s="135"/>
      <c r="I23" s="135"/>
      <c r="J23" s="139">
        <f t="shared" si="0"/>
        <v>38.17</v>
      </c>
      <c r="K23" s="33">
        <v>43839</v>
      </c>
      <c r="L23" s="126" t="str">
        <f t="shared" ca="1" si="1"/>
        <v>en attente</v>
      </c>
      <c r="M23" s="33"/>
      <c r="N23" s="127">
        <f t="shared" ca="1" si="2"/>
        <v>-11</v>
      </c>
      <c r="O23" s="23"/>
      <c r="P23" s="19"/>
      <c r="Q23" s="35"/>
    </row>
    <row r="24" spans="1:17" s="4" customFormat="1" ht="18" hidden="1" customHeight="1">
      <c r="A24" s="26">
        <v>1911296</v>
      </c>
      <c r="B24" s="27">
        <v>20191243</v>
      </c>
      <c r="C24" s="33">
        <v>43810</v>
      </c>
      <c r="D24" s="71" t="s">
        <v>228</v>
      </c>
      <c r="E24" s="135">
        <v>1615.39</v>
      </c>
      <c r="F24" s="135"/>
      <c r="G24" s="136"/>
      <c r="H24" s="135"/>
      <c r="I24" s="135"/>
      <c r="J24" s="133">
        <f t="shared" si="0"/>
        <v>1615.39</v>
      </c>
      <c r="K24" s="33">
        <v>43840</v>
      </c>
      <c r="L24" s="62" t="str">
        <f t="shared" ca="1" si="1"/>
        <v>en attente</v>
      </c>
      <c r="M24" s="33"/>
      <c r="N24" s="47">
        <f t="shared" ca="1" si="2"/>
        <v>-12</v>
      </c>
      <c r="O24" s="23" t="s">
        <v>322</v>
      </c>
      <c r="P24" s="19" t="s">
        <v>343</v>
      </c>
      <c r="Q24" s="35"/>
    </row>
    <row r="25" spans="1:17" s="4" customFormat="1" ht="18" hidden="1" customHeight="1">
      <c r="A25" s="26">
        <v>1911261</v>
      </c>
      <c r="B25" s="27">
        <v>20191242</v>
      </c>
      <c r="C25" s="33">
        <v>43810</v>
      </c>
      <c r="D25" s="71" t="s">
        <v>224</v>
      </c>
      <c r="E25" s="135">
        <v>230.77</v>
      </c>
      <c r="F25" s="135"/>
      <c r="G25" s="136"/>
      <c r="H25" s="135"/>
      <c r="I25" s="135"/>
      <c r="J25" s="133">
        <f t="shared" si="0"/>
        <v>230.77</v>
      </c>
      <c r="K25" s="33">
        <v>43840</v>
      </c>
      <c r="L25" s="62" t="str">
        <f t="shared" ca="1" si="1"/>
        <v>en attente</v>
      </c>
      <c r="M25" s="33"/>
      <c r="N25" s="47">
        <f t="shared" ca="1" si="2"/>
        <v>-12</v>
      </c>
      <c r="O25" s="23" t="s">
        <v>322</v>
      </c>
      <c r="P25" s="19" t="s">
        <v>343</v>
      </c>
      <c r="Q25" s="35"/>
    </row>
    <row r="26" spans="1:17" s="4" customFormat="1" ht="18" hidden="1" customHeight="1">
      <c r="A26" s="26">
        <v>1911248</v>
      </c>
      <c r="B26" s="27">
        <v>20191241</v>
      </c>
      <c r="C26" s="33">
        <v>43810</v>
      </c>
      <c r="D26" s="71" t="s">
        <v>227</v>
      </c>
      <c r="E26" s="140">
        <v>-1121.73</v>
      </c>
      <c r="F26" s="135"/>
      <c r="G26" s="136"/>
      <c r="H26" s="135"/>
      <c r="I26" s="135"/>
      <c r="J26" s="133">
        <f t="shared" si="0"/>
        <v>-1121.73</v>
      </c>
      <c r="K26" s="33">
        <v>43840</v>
      </c>
      <c r="L26" s="62" t="str">
        <f t="shared" ca="1" si="1"/>
        <v>en attente</v>
      </c>
      <c r="M26" s="33"/>
      <c r="N26" s="47">
        <f t="shared" ca="1" si="2"/>
        <v>-12</v>
      </c>
      <c r="O26" s="23" t="s">
        <v>11</v>
      </c>
      <c r="P26" s="19" t="s">
        <v>11</v>
      </c>
      <c r="Q26" s="35"/>
    </row>
    <row r="27" spans="1:17" s="4" customFormat="1" ht="18" hidden="1" customHeight="1">
      <c r="A27" s="124">
        <v>1682451</v>
      </c>
      <c r="B27" s="125">
        <v>20191266</v>
      </c>
      <c r="C27" s="33">
        <v>43810</v>
      </c>
      <c r="D27" s="71" t="s">
        <v>238</v>
      </c>
      <c r="E27" s="135">
        <v>417.37</v>
      </c>
      <c r="F27" s="135"/>
      <c r="G27" s="136"/>
      <c r="H27" s="135"/>
      <c r="I27" s="135"/>
      <c r="J27" s="139">
        <f t="shared" si="0"/>
        <v>417.37</v>
      </c>
      <c r="K27" s="33">
        <v>43840</v>
      </c>
      <c r="L27" s="126" t="str">
        <f t="shared" ca="1" si="1"/>
        <v>en attente</v>
      </c>
      <c r="M27" s="33"/>
      <c r="N27" s="127">
        <f t="shared" ca="1" si="2"/>
        <v>-12</v>
      </c>
      <c r="O27" s="23"/>
      <c r="P27" s="19"/>
      <c r="Q27" s="35"/>
    </row>
    <row r="28" spans="1:17" s="4" customFormat="1" ht="18" hidden="1" customHeight="1">
      <c r="A28" s="26">
        <v>19114029654</v>
      </c>
      <c r="B28" s="27">
        <v>201911145</v>
      </c>
      <c r="C28" s="33">
        <v>43796</v>
      </c>
      <c r="D28" s="66" t="s">
        <v>352</v>
      </c>
      <c r="E28" s="135">
        <v>102.02</v>
      </c>
      <c r="F28" s="135"/>
      <c r="G28" s="136"/>
      <c r="H28" s="135"/>
      <c r="I28" s="135"/>
      <c r="J28" s="133">
        <f t="shared" si="0"/>
        <v>102.02</v>
      </c>
      <c r="K28" s="33">
        <v>43841</v>
      </c>
      <c r="L28" s="62" t="str">
        <f t="shared" ca="1" si="1"/>
        <v>en attente</v>
      </c>
      <c r="M28" s="33"/>
      <c r="N28" s="47">
        <f t="shared" ca="1" si="2"/>
        <v>-13</v>
      </c>
      <c r="O28" s="23"/>
      <c r="P28" s="32"/>
      <c r="Q28" s="63"/>
    </row>
    <row r="29" spans="1:17" s="4" customFormat="1" ht="18" hidden="1" customHeight="1">
      <c r="A29" s="26">
        <v>1911383</v>
      </c>
      <c r="B29" s="27">
        <v>20191245</v>
      </c>
      <c r="C29" s="33">
        <v>43812</v>
      </c>
      <c r="D29" s="71" t="s">
        <v>224</v>
      </c>
      <c r="E29" s="135">
        <v>2026.08</v>
      </c>
      <c r="F29" s="135"/>
      <c r="G29" s="136"/>
      <c r="H29" s="135"/>
      <c r="I29" s="135"/>
      <c r="J29" s="133">
        <f t="shared" si="0"/>
        <v>2026.08</v>
      </c>
      <c r="K29" s="33">
        <v>43842</v>
      </c>
      <c r="L29" s="62" t="str">
        <f t="shared" ca="1" si="1"/>
        <v>en attente</v>
      </c>
      <c r="M29" s="33"/>
      <c r="N29" s="47">
        <f t="shared" ca="1" si="2"/>
        <v>-14</v>
      </c>
      <c r="O29" s="23" t="s">
        <v>322</v>
      </c>
      <c r="P29" s="19" t="s">
        <v>343</v>
      </c>
      <c r="Q29" s="35"/>
    </row>
    <row r="30" spans="1:17" s="4" customFormat="1" ht="18" hidden="1" customHeight="1">
      <c r="A30" s="26">
        <v>1911378</v>
      </c>
      <c r="B30" s="27">
        <v>20191246</v>
      </c>
      <c r="C30" s="33">
        <v>43812</v>
      </c>
      <c r="D30" s="71" t="s">
        <v>227</v>
      </c>
      <c r="E30" s="135">
        <v>132.47999999999999</v>
      </c>
      <c r="F30" s="135"/>
      <c r="G30" s="136"/>
      <c r="H30" s="135"/>
      <c r="I30" s="135"/>
      <c r="J30" s="133">
        <f t="shared" si="0"/>
        <v>132.47999999999999</v>
      </c>
      <c r="K30" s="33">
        <v>43842</v>
      </c>
      <c r="L30" s="62" t="str">
        <f t="shared" ca="1" si="1"/>
        <v>en attente</v>
      </c>
      <c r="M30" s="33"/>
      <c r="N30" s="47">
        <f t="shared" ca="1" si="2"/>
        <v>-14</v>
      </c>
      <c r="O30" s="23" t="s">
        <v>322</v>
      </c>
      <c r="P30" s="19" t="s">
        <v>343</v>
      </c>
      <c r="Q30" s="35"/>
    </row>
    <row r="31" spans="1:17" s="4" customFormat="1" ht="18" hidden="1" customHeight="1">
      <c r="A31" s="26">
        <v>1911437</v>
      </c>
      <c r="B31" s="27">
        <v>20191247</v>
      </c>
      <c r="C31" s="33">
        <v>43815</v>
      </c>
      <c r="D31" s="71" t="s">
        <v>227</v>
      </c>
      <c r="E31" s="135">
        <v>527.78</v>
      </c>
      <c r="F31" s="135"/>
      <c r="G31" s="136"/>
      <c r="H31" s="135"/>
      <c r="I31" s="135"/>
      <c r="J31" s="133">
        <f t="shared" si="0"/>
        <v>527.78</v>
      </c>
      <c r="K31" s="33">
        <v>43845</v>
      </c>
      <c r="L31" s="62" t="str">
        <f t="shared" ca="1" si="1"/>
        <v>en attente</v>
      </c>
      <c r="M31" s="33"/>
      <c r="N31" s="47">
        <f t="shared" ca="1" si="2"/>
        <v>-17</v>
      </c>
      <c r="O31" s="23" t="s">
        <v>322</v>
      </c>
      <c r="P31" s="19" t="s">
        <v>343</v>
      </c>
      <c r="Q31" s="35"/>
    </row>
    <row r="32" spans="1:17" s="4" customFormat="1" ht="18" customHeight="1">
      <c r="A32" s="26" t="s">
        <v>390</v>
      </c>
      <c r="B32" s="125">
        <v>20191267</v>
      </c>
      <c r="C32" s="33">
        <v>43815</v>
      </c>
      <c r="D32" s="71" t="s">
        <v>280</v>
      </c>
      <c r="E32" s="135">
        <v>522.9</v>
      </c>
      <c r="F32" s="135"/>
      <c r="G32" s="136"/>
      <c r="H32" s="135"/>
      <c r="I32" s="135"/>
      <c r="J32" s="139">
        <f t="shared" si="0"/>
        <v>522.9</v>
      </c>
      <c r="K32" s="33">
        <v>43845</v>
      </c>
      <c r="L32" s="126" t="str">
        <f t="shared" ca="1" si="1"/>
        <v>en attente</v>
      </c>
      <c r="M32" s="33"/>
      <c r="N32" s="127">
        <f t="shared" ca="1" si="2"/>
        <v>-17</v>
      </c>
      <c r="O32" s="23"/>
      <c r="P32" s="19"/>
      <c r="Q32" s="35"/>
    </row>
    <row r="33" spans="1:17" s="4" customFormat="1" ht="18" hidden="1" customHeight="1">
      <c r="A33" s="121">
        <v>1911483</v>
      </c>
      <c r="B33" s="122">
        <v>20191250</v>
      </c>
      <c r="C33" s="33">
        <v>43816</v>
      </c>
      <c r="D33" s="71" t="s">
        <v>224</v>
      </c>
      <c r="E33" s="135">
        <v>923.08</v>
      </c>
      <c r="F33" s="135"/>
      <c r="G33" s="136"/>
      <c r="H33" s="135"/>
      <c r="I33" s="135"/>
      <c r="J33" s="138">
        <f t="shared" si="0"/>
        <v>923.08</v>
      </c>
      <c r="K33" s="33">
        <v>43846</v>
      </c>
      <c r="L33" s="62" t="str">
        <f t="shared" ca="1" si="1"/>
        <v>en attente</v>
      </c>
      <c r="M33" s="33"/>
      <c r="N33" s="123">
        <f t="shared" ca="1" si="2"/>
        <v>-18</v>
      </c>
      <c r="O33" s="23" t="s">
        <v>322</v>
      </c>
      <c r="P33" s="19" t="s">
        <v>343</v>
      </c>
      <c r="Q33" s="35"/>
    </row>
    <row r="34" spans="1:17" s="4" customFormat="1" ht="18" hidden="1" customHeight="1">
      <c r="A34" s="121">
        <v>1911466</v>
      </c>
      <c r="B34" s="122">
        <v>20191248</v>
      </c>
      <c r="C34" s="33">
        <v>43816</v>
      </c>
      <c r="D34" s="71" t="s">
        <v>224</v>
      </c>
      <c r="E34" s="135">
        <v>500.47</v>
      </c>
      <c r="F34" s="135"/>
      <c r="G34" s="136"/>
      <c r="H34" s="135"/>
      <c r="I34" s="135"/>
      <c r="J34" s="138">
        <f t="shared" si="0"/>
        <v>500.47</v>
      </c>
      <c r="K34" s="33">
        <v>43846</v>
      </c>
      <c r="L34" s="62" t="str">
        <f t="shared" ca="1" si="1"/>
        <v>en attente</v>
      </c>
      <c r="M34" s="33"/>
      <c r="N34" s="123">
        <f t="shared" ca="1" si="2"/>
        <v>-18</v>
      </c>
      <c r="O34" s="23" t="s">
        <v>322</v>
      </c>
      <c r="P34" s="19" t="s">
        <v>343</v>
      </c>
      <c r="Q34" s="35"/>
    </row>
    <row r="35" spans="1:17" s="4" customFormat="1" ht="18" hidden="1" customHeight="1">
      <c r="A35" s="121">
        <v>1911482</v>
      </c>
      <c r="B35" s="122">
        <v>20191249</v>
      </c>
      <c r="C35" s="33">
        <v>43816</v>
      </c>
      <c r="D35" s="71" t="s">
        <v>228</v>
      </c>
      <c r="E35" s="135">
        <v>923.08</v>
      </c>
      <c r="F35" s="135"/>
      <c r="G35" s="136"/>
      <c r="H35" s="135"/>
      <c r="I35" s="135"/>
      <c r="J35" s="138">
        <f t="shared" si="0"/>
        <v>923.08</v>
      </c>
      <c r="K35" s="33">
        <v>43846</v>
      </c>
      <c r="L35" s="62" t="str">
        <f t="shared" ca="1" si="1"/>
        <v>en attente</v>
      </c>
      <c r="M35" s="33"/>
      <c r="N35" s="123">
        <f t="shared" ca="1" si="2"/>
        <v>-18</v>
      </c>
      <c r="O35" s="23" t="s">
        <v>322</v>
      </c>
      <c r="P35" s="19" t="s">
        <v>343</v>
      </c>
      <c r="Q35" s="35"/>
    </row>
    <row r="36" spans="1:17" s="4" customFormat="1" ht="18" hidden="1" customHeight="1">
      <c r="A36" s="121">
        <v>1911505</v>
      </c>
      <c r="B36" s="122">
        <v>20191252</v>
      </c>
      <c r="C36" s="33">
        <v>43817</v>
      </c>
      <c r="D36" s="71" t="s">
        <v>227</v>
      </c>
      <c r="E36" s="135">
        <v>331.2</v>
      </c>
      <c r="F36" s="135"/>
      <c r="G36" s="136"/>
      <c r="H36" s="135"/>
      <c r="I36" s="135"/>
      <c r="J36" s="138">
        <f t="shared" si="0"/>
        <v>331.2</v>
      </c>
      <c r="K36" s="33">
        <v>43847</v>
      </c>
      <c r="L36" s="62" t="str">
        <f t="shared" ca="1" si="1"/>
        <v>en attente</v>
      </c>
      <c r="M36" s="33"/>
      <c r="N36" s="123">
        <f t="shared" ca="1" si="2"/>
        <v>-19</v>
      </c>
      <c r="O36" s="23" t="s">
        <v>322</v>
      </c>
      <c r="P36" s="19" t="s">
        <v>343</v>
      </c>
      <c r="Q36" s="35"/>
    </row>
    <row r="37" spans="1:17" s="4" customFormat="1" ht="18" hidden="1" customHeight="1">
      <c r="A37" s="121">
        <v>1911525</v>
      </c>
      <c r="B37" s="122">
        <v>20191251</v>
      </c>
      <c r="C37" s="33">
        <v>43817</v>
      </c>
      <c r="D37" s="71" t="s">
        <v>224</v>
      </c>
      <c r="E37" s="135">
        <v>2436.7800000000002</v>
      </c>
      <c r="F37" s="135"/>
      <c r="G37" s="136"/>
      <c r="H37" s="135"/>
      <c r="I37" s="135"/>
      <c r="J37" s="138">
        <f t="shared" si="0"/>
        <v>2436.7800000000002</v>
      </c>
      <c r="K37" s="33">
        <v>43847</v>
      </c>
      <c r="L37" s="62" t="str">
        <f t="shared" ca="1" si="1"/>
        <v>en attente</v>
      </c>
      <c r="M37" s="33"/>
      <c r="N37" s="123">
        <f t="shared" ca="1" si="2"/>
        <v>-19</v>
      </c>
      <c r="O37" s="23" t="s">
        <v>322</v>
      </c>
      <c r="P37" s="19" t="s">
        <v>343</v>
      </c>
      <c r="Q37" s="35"/>
    </row>
    <row r="38" spans="1:17" s="4" customFormat="1" ht="18" hidden="1" customHeight="1">
      <c r="A38" s="124">
        <v>1911556</v>
      </c>
      <c r="B38" s="125">
        <v>20191273</v>
      </c>
      <c r="C38" s="33">
        <v>43818</v>
      </c>
      <c r="D38" s="71" t="s">
        <v>224</v>
      </c>
      <c r="E38" s="135">
        <v>230.77</v>
      </c>
      <c r="F38" s="135"/>
      <c r="G38" s="136"/>
      <c r="H38" s="135"/>
      <c r="I38" s="135"/>
      <c r="J38" s="139">
        <f t="shared" si="0"/>
        <v>230.77</v>
      </c>
      <c r="K38" s="33">
        <v>43848</v>
      </c>
      <c r="L38" s="126" t="str">
        <f t="shared" ca="1" si="1"/>
        <v>en attente</v>
      </c>
      <c r="M38" s="33"/>
      <c r="N38" s="127">
        <f t="shared" ca="1" si="2"/>
        <v>-20</v>
      </c>
      <c r="O38" s="23" t="s">
        <v>322</v>
      </c>
      <c r="P38" s="19" t="s">
        <v>343</v>
      </c>
      <c r="Q38" s="35"/>
    </row>
    <row r="39" spans="1:17" s="4" customFormat="1" ht="18" hidden="1" customHeight="1">
      <c r="A39" s="124">
        <v>1911544</v>
      </c>
      <c r="B39" s="125">
        <v>20191272</v>
      </c>
      <c r="C39" s="33">
        <v>43818</v>
      </c>
      <c r="D39" s="71" t="s">
        <v>229</v>
      </c>
      <c r="E39" s="135">
        <v>134.4</v>
      </c>
      <c r="F39" s="135"/>
      <c r="G39" s="136"/>
      <c r="H39" s="135"/>
      <c r="I39" s="135"/>
      <c r="J39" s="139">
        <f t="shared" si="0"/>
        <v>134.4</v>
      </c>
      <c r="K39" s="33">
        <v>43848</v>
      </c>
      <c r="L39" s="126" t="str">
        <f t="shared" ca="1" si="1"/>
        <v>en attente</v>
      </c>
      <c r="M39" s="33"/>
      <c r="N39" s="127">
        <f t="shared" ca="1" si="2"/>
        <v>-20</v>
      </c>
      <c r="O39" s="23" t="s">
        <v>322</v>
      </c>
      <c r="P39" s="19" t="s">
        <v>343</v>
      </c>
      <c r="Q39" s="35"/>
    </row>
    <row r="40" spans="1:17" s="4" customFormat="1" ht="18" hidden="1" customHeight="1">
      <c r="A40" s="124">
        <v>1911539</v>
      </c>
      <c r="B40" s="125">
        <v>20191271</v>
      </c>
      <c r="C40" s="33">
        <v>43818</v>
      </c>
      <c r="D40" s="71" t="s">
        <v>227</v>
      </c>
      <c r="E40" s="135">
        <v>1615.39</v>
      </c>
      <c r="F40" s="135"/>
      <c r="G40" s="136"/>
      <c r="H40" s="135"/>
      <c r="I40" s="135"/>
      <c r="J40" s="139">
        <f t="shared" si="0"/>
        <v>1615.39</v>
      </c>
      <c r="K40" s="33">
        <v>43848</v>
      </c>
      <c r="L40" s="126" t="str">
        <f t="shared" ca="1" si="1"/>
        <v>en attente</v>
      </c>
      <c r="M40" s="33"/>
      <c r="N40" s="127">
        <f t="shared" ca="1" si="2"/>
        <v>-20</v>
      </c>
      <c r="O40" s="23" t="s">
        <v>322</v>
      </c>
      <c r="P40" s="19" t="s">
        <v>343</v>
      </c>
      <c r="Q40" s="35"/>
    </row>
    <row r="41" spans="1:17" s="4" customFormat="1" ht="18" customHeight="1">
      <c r="A41" s="26" t="s">
        <v>392</v>
      </c>
      <c r="B41" s="125">
        <v>20191256</v>
      </c>
      <c r="C41" s="33">
        <v>43818</v>
      </c>
      <c r="D41" s="71" t="s">
        <v>280</v>
      </c>
      <c r="E41" s="135">
        <v>522.9</v>
      </c>
      <c r="F41" s="135"/>
      <c r="G41" s="136"/>
      <c r="H41" s="135"/>
      <c r="I41" s="135"/>
      <c r="J41" s="139">
        <f t="shared" si="0"/>
        <v>522.9</v>
      </c>
      <c r="K41" s="33">
        <v>43848</v>
      </c>
      <c r="L41" s="126" t="str">
        <f t="shared" ca="1" si="1"/>
        <v>en attente</v>
      </c>
      <c r="M41" s="33"/>
      <c r="N41" s="127">
        <f t="shared" ca="1" si="2"/>
        <v>-20</v>
      </c>
      <c r="O41" s="23"/>
      <c r="P41" s="19"/>
      <c r="Q41" s="35"/>
    </row>
    <row r="42" spans="1:17" s="4" customFormat="1" ht="18" hidden="1" customHeight="1">
      <c r="A42" s="124">
        <v>1911588</v>
      </c>
      <c r="B42" s="125">
        <v>20191275</v>
      </c>
      <c r="C42" s="33">
        <v>43819</v>
      </c>
      <c r="D42" s="71" t="s">
        <v>228</v>
      </c>
      <c r="E42" s="135">
        <v>198.72</v>
      </c>
      <c r="F42" s="135"/>
      <c r="G42" s="136"/>
      <c r="H42" s="135"/>
      <c r="I42" s="135"/>
      <c r="J42" s="139">
        <f t="shared" si="0"/>
        <v>198.72</v>
      </c>
      <c r="K42" s="33">
        <v>43849</v>
      </c>
      <c r="L42" s="126" t="str">
        <f t="shared" ca="1" si="1"/>
        <v>en attente</v>
      </c>
      <c r="M42" s="33"/>
      <c r="N42" s="127">
        <f t="shared" ca="1" si="2"/>
        <v>-21</v>
      </c>
      <c r="O42" s="23" t="s">
        <v>322</v>
      </c>
      <c r="P42" s="19" t="s">
        <v>343</v>
      </c>
      <c r="Q42" s="35"/>
    </row>
    <row r="43" spans="1:17" s="4" customFormat="1" ht="18" hidden="1" customHeight="1">
      <c r="A43" s="124">
        <v>1911581</v>
      </c>
      <c r="B43" s="125">
        <v>20191274</v>
      </c>
      <c r="C43" s="33">
        <v>43819</v>
      </c>
      <c r="D43" s="71" t="s">
        <v>227</v>
      </c>
      <c r="E43" s="135">
        <v>171.81</v>
      </c>
      <c r="F43" s="135"/>
      <c r="G43" s="136"/>
      <c r="H43" s="135"/>
      <c r="I43" s="135"/>
      <c r="J43" s="139">
        <f t="shared" si="0"/>
        <v>171.81</v>
      </c>
      <c r="K43" s="33">
        <v>43849</v>
      </c>
      <c r="L43" s="126" t="str">
        <f t="shared" ca="1" si="1"/>
        <v>en attente</v>
      </c>
      <c r="M43" s="33"/>
      <c r="N43" s="127">
        <f t="shared" ca="1" si="2"/>
        <v>-21</v>
      </c>
      <c r="O43" s="23" t="s">
        <v>322</v>
      </c>
      <c r="P43" s="19" t="s">
        <v>343</v>
      </c>
      <c r="Q43" s="35"/>
    </row>
    <row r="44" spans="1:17" s="4" customFormat="1" ht="18" hidden="1" customHeight="1">
      <c r="A44" s="26" t="s">
        <v>333</v>
      </c>
      <c r="B44" s="27">
        <v>20191234</v>
      </c>
      <c r="C44" s="33">
        <v>43804</v>
      </c>
      <c r="D44" s="66" t="s">
        <v>355</v>
      </c>
      <c r="E44" s="135">
        <v>3150</v>
      </c>
      <c r="F44" s="135"/>
      <c r="G44" s="136"/>
      <c r="H44" s="135"/>
      <c r="I44" s="135"/>
      <c r="J44" s="133">
        <f t="shared" si="0"/>
        <v>3150</v>
      </c>
      <c r="K44" s="33">
        <v>43855</v>
      </c>
      <c r="L44" s="62" t="str">
        <f t="shared" ca="1" si="1"/>
        <v>en attente</v>
      </c>
      <c r="M44" s="33"/>
      <c r="N44" s="47">
        <f t="shared" ca="1" si="2"/>
        <v>-27</v>
      </c>
      <c r="O44" s="23"/>
      <c r="P44" s="32"/>
      <c r="Q44" s="63" t="s">
        <v>334</v>
      </c>
    </row>
    <row r="45" spans="1:17" s="4" customFormat="1" ht="18" hidden="1" customHeight="1">
      <c r="A45" s="20" t="s">
        <v>231</v>
      </c>
      <c r="B45" s="21">
        <v>20191185</v>
      </c>
      <c r="C45" s="22">
        <v>43770</v>
      </c>
      <c r="D45" s="66" t="s">
        <v>230</v>
      </c>
      <c r="E45" s="128">
        <v>1000</v>
      </c>
      <c r="F45" s="131"/>
      <c r="G45" s="132"/>
      <c r="H45" s="131"/>
      <c r="I45" s="131"/>
      <c r="J45" s="133">
        <f t="shared" si="0"/>
        <v>1000</v>
      </c>
      <c r="K45" s="22">
        <v>43858</v>
      </c>
      <c r="L45" s="18" t="str">
        <f t="shared" ca="1" si="1"/>
        <v>en attente</v>
      </c>
      <c r="M45" s="22"/>
      <c r="N45" s="46">
        <f t="shared" ca="1" si="2"/>
        <v>-30</v>
      </c>
      <c r="O45" s="23" t="s">
        <v>5</v>
      </c>
      <c r="P45" s="19" t="s">
        <v>324</v>
      </c>
      <c r="Q45" s="35"/>
    </row>
    <row r="46" spans="1:17" s="4" customFormat="1" ht="18" hidden="1" customHeight="1">
      <c r="A46" s="20" t="s">
        <v>231</v>
      </c>
      <c r="B46" s="21">
        <v>20191185</v>
      </c>
      <c r="C46" s="22">
        <v>43770</v>
      </c>
      <c r="D46" s="66" t="s">
        <v>230</v>
      </c>
      <c r="E46" s="128">
        <v>1000</v>
      </c>
      <c r="F46" s="131"/>
      <c r="G46" s="132"/>
      <c r="H46" s="131"/>
      <c r="I46" s="131"/>
      <c r="J46" s="133">
        <f t="shared" si="0"/>
        <v>1000</v>
      </c>
      <c r="K46" s="22">
        <v>43889</v>
      </c>
      <c r="L46" s="18" t="str">
        <f t="shared" ca="1" si="1"/>
        <v>en attente</v>
      </c>
      <c r="M46" s="22"/>
      <c r="N46" s="46">
        <f t="shared" ca="1" si="2"/>
        <v>-61</v>
      </c>
      <c r="O46" s="23" t="s">
        <v>5</v>
      </c>
      <c r="P46" s="19" t="s">
        <v>324</v>
      </c>
      <c r="Q46" s="35"/>
    </row>
    <row r="47" spans="1:17" s="4" customFormat="1" ht="18" hidden="1" customHeight="1">
      <c r="A47" s="20" t="s">
        <v>231</v>
      </c>
      <c r="B47" s="21">
        <v>20191185</v>
      </c>
      <c r="C47" s="22">
        <v>43770</v>
      </c>
      <c r="D47" s="66" t="s">
        <v>230</v>
      </c>
      <c r="E47" s="128">
        <v>1000</v>
      </c>
      <c r="F47" s="131"/>
      <c r="G47" s="132"/>
      <c r="H47" s="131"/>
      <c r="I47" s="131"/>
      <c r="J47" s="133">
        <f t="shared" si="0"/>
        <v>1000</v>
      </c>
      <c r="K47" s="22">
        <v>43918</v>
      </c>
      <c r="L47" s="18" t="str">
        <f t="shared" ca="1" si="1"/>
        <v>en attente</v>
      </c>
      <c r="M47" s="22"/>
      <c r="N47" s="46">
        <f t="shared" ca="1" si="2"/>
        <v>-90</v>
      </c>
      <c r="O47" s="23" t="s">
        <v>5</v>
      </c>
      <c r="P47" s="19" t="s">
        <v>324</v>
      </c>
      <c r="Q47" s="35"/>
    </row>
    <row r="48" spans="1:17" s="4" customFormat="1" ht="18" hidden="1" customHeight="1">
      <c r="A48" s="124">
        <v>1911599</v>
      </c>
      <c r="B48" s="125">
        <v>20191278</v>
      </c>
      <c r="C48" s="33">
        <v>43822</v>
      </c>
      <c r="D48" s="71" t="s">
        <v>228</v>
      </c>
      <c r="E48" s="135">
        <v>1028.68</v>
      </c>
      <c r="F48" s="135"/>
      <c r="G48" s="136"/>
      <c r="H48" s="135"/>
      <c r="I48" s="135"/>
      <c r="J48" s="139">
        <f t="shared" si="0"/>
        <v>1028.68</v>
      </c>
      <c r="K48" s="33">
        <v>43852</v>
      </c>
      <c r="L48" s="126" t="str">
        <f t="shared" ca="1" si="1"/>
        <v>en attente</v>
      </c>
      <c r="M48" s="33"/>
      <c r="N48" s="127">
        <f t="shared" ca="1" si="2"/>
        <v>-24</v>
      </c>
      <c r="O48" s="23" t="s">
        <v>322</v>
      </c>
      <c r="P48" s="19" t="s">
        <v>343</v>
      </c>
      <c r="Q48" s="35"/>
    </row>
    <row r="49" spans="1:17" s="4" customFormat="1" ht="18" hidden="1" customHeight="1">
      <c r="A49" s="145">
        <v>43800</v>
      </c>
      <c r="B49" s="27">
        <v>20191288</v>
      </c>
      <c r="C49" s="33">
        <v>43830</v>
      </c>
      <c r="D49" s="71" t="s">
        <v>288</v>
      </c>
      <c r="E49" s="135">
        <v>5088.96</v>
      </c>
      <c r="F49" s="135"/>
      <c r="G49" s="136"/>
      <c r="H49" s="135"/>
      <c r="I49" s="135"/>
      <c r="J49" s="133">
        <f t="shared" si="0"/>
        <v>5088.96</v>
      </c>
      <c r="K49" s="33">
        <v>43861</v>
      </c>
      <c r="L49" s="62" t="str">
        <f t="shared" ca="1" si="1"/>
        <v>en attente</v>
      </c>
      <c r="M49" s="33"/>
      <c r="N49" s="47">
        <f t="shared" ca="1" si="2"/>
        <v>-33</v>
      </c>
      <c r="O49" s="23"/>
      <c r="P49" s="19"/>
      <c r="Q49" s="35"/>
    </row>
    <row r="50" spans="1:17" s="4" customFormat="1" ht="18" hidden="1" customHeight="1">
      <c r="A50" s="145">
        <v>43800</v>
      </c>
      <c r="B50" s="27">
        <v>20191287</v>
      </c>
      <c r="C50" s="33">
        <v>43830</v>
      </c>
      <c r="D50" s="71" t="s">
        <v>287</v>
      </c>
      <c r="E50" s="135">
        <v>2466.4699999999998</v>
      </c>
      <c r="F50" s="135"/>
      <c r="G50" s="136"/>
      <c r="H50" s="135"/>
      <c r="I50" s="135"/>
      <c r="J50" s="133">
        <f t="shared" si="0"/>
        <v>2466.4699999999998</v>
      </c>
      <c r="K50" s="33">
        <v>43861</v>
      </c>
      <c r="L50" s="62" t="str">
        <f t="shared" ca="1" si="1"/>
        <v>en attente</v>
      </c>
      <c r="M50" s="33"/>
      <c r="N50" s="47">
        <f t="shared" ca="1" si="2"/>
        <v>-33</v>
      </c>
      <c r="O50" s="23"/>
      <c r="P50" s="19"/>
      <c r="Q50" s="35"/>
    </row>
    <row r="51" spans="1:17" s="4" customFormat="1" ht="18" hidden="1" customHeight="1">
      <c r="A51" s="145">
        <v>43800</v>
      </c>
      <c r="B51" s="27">
        <v>20191286</v>
      </c>
      <c r="C51" s="33">
        <v>43830</v>
      </c>
      <c r="D51" s="71" t="s">
        <v>286</v>
      </c>
      <c r="E51" s="135">
        <v>3454.9</v>
      </c>
      <c r="F51" s="135"/>
      <c r="G51" s="136"/>
      <c r="H51" s="135"/>
      <c r="I51" s="135"/>
      <c r="J51" s="133">
        <f t="shared" si="0"/>
        <v>3454.9</v>
      </c>
      <c r="K51" s="33">
        <v>43861</v>
      </c>
      <c r="L51" s="62" t="str">
        <f t="shared" ca="1" si="1"/>
        <v>en attente</v>
      </c>
      <c r="M51" s="33"/>
      <c r="N51" s="47">
        <f t="shared" ca="1" si="2"/>
        <v>-33</v>
      </c>
      <c r="O51" s="23"/>
      <c r="P51" s="19"/>
      <c r="Q51" s="35"/>
    </row>
    <row r="52" spans="1:17" s="4" customFormat="1" ht="18" hidden="1" customHeight="1">
      <c r="A52" s="145">
        <v>43800</v>
      </c>
      <c r="B52" s="27">
        <v>20191285</v>
      </c>
      <c r="C52" s="33">
        <v>43830</v>
      </c>
      <c r="D52" s="71" t="s">
        <v>289</v>
      </c>
      <c r="E52" s="135">
        <v>4023.81</v>
      </c>
      <c r="F52" s="135"/>
      <c r="G52" s="136"/>
      <c r="H52" s="135"/>
      <c r="I52" s="135"/>
      <c r="J52" s="133">
        <f t="shared" si="0"/>
        <v>4023.81</v>
      </c>
      <c r="K52" s="33">
        <v>43861</v>
      </c>
      <c r="L52" s="62" t="str">
        <f t="shared" ca="1" si="1"/>
        <v>en attente</v>
      </c>
      <c r="M52" s="33"/>
      <c r="N52" s="47">
        <f t="shared" ca="1" si="2"/>
        <v>-33</v>
      </c>
      <c r="O52" s="23"/>
      <c r="P52" s="19"/>
      <c r="Q52" s="35"/>
    </row>
    <row r="53" spans="1:17" s="4" customFormat="1" ht="18" hidden="1" customHeight="1">
      <c r="A53" s="145">
        <v>43800</v>
      </c>
      <c r="B53" s="27">
        <v>20191284</v>
      </c>
      <c r="C53" s="33">
        <v>43830</v>
      </c>
      <c r="D53" s="71" t="s">
        <v>290</v>
      </c>
      <c r="E53" s="135">
        <v>3044.61</v>
      </c>
      <c r="F53" s="135"/>
      <c r="G53" s="136"/>
      <c r="H53" s="135"/>
      <c r="I53" s="135"/>
      <c r="J53" s="133">
        <f t="shared" si="0"/>
        <v>3044.61</v>
      </c>
      <c r="K53" s="33">
        <v>43861</v>
      </c>
      <c r="L53" s="62" t="str">
        <f t="shared" ca="1" si="1"/>
        <v>en attente</v>
      </c>
      <c r="M53" s="33"/>
      <c r="N53" s="47">
        <f t="shared" ca="1" si="2"/>
        <v>-33</v>
      </c>
      <c r="O53" s="23"/>
      <c r="P53" s="19"/>
      <c r="Q53" s="35"/>
    </row>
    <row r="54" spans="1:17" s="4" customFormat="1" ht="18" hidden="1" customHeight="1">
      <c r="A54" s="146">
        <v>2200293331</v>
      </c>
      <c r="B54" s="27">
        <v>20191283</v>
      </c>
      <c r="C54" s="33">
        <v>43822</v>
      </c>
      <c r="D54" s="71" t="s">
        <v>249</v>
      </c>
      <c r="E54" s="135">
        <v>418.2</v>
      </c>
      <c r="F54" s="135"/>
      <c r="G54" s="136"/>
      <c r="H54" s="135"/>
      <c r="I54" s="135"/>
      <c r="J54" s="133">
        <f t="shared" si="0"/>
        <v>418.2</v>
      </c>
      <c r="K54" s="33">
        <v>43832</v>
      </c>
      <c r="L54" s="62" t="str">
        <f t="shared" ca="1" si="1"/>
        <v>en attente</v>
      </c>
      <c r="M54" s="33"/>
      <c r="N54" s="47">
        <f t="shared" ca="1" si="2"/>
        <v>-4</v>
      </c>
      <c r="O54" s="23"/>
      <c r="P54" s="19"/>
      <c r="Q54" s="35"/>
    </row>
    <row r="55" spans="1:17" s="4" customFormat="1" ht="18" hidden="1" customHeight="1">
      <c r="A55" s="40">
        <v>1908557</v>
      </c>
      <c r="B55" s="16">
        <v>1908557</v>
      </c>
      <c r="C55" s="41">
        <v>43733</v>
      </c>
      <c r="D55" s="66" t="s">
        <v>349</v>
      </c>
      <c r="E55" s="128">
        <v>461.54</v>
      </c>
      <c r="F55" s="131"/>
      <c r="G55" s="132"/>
      <c r="H55" s="131"/>
      <c r="I55" s="131"/>
      <c r="J55" s="133">
        <f t="shared" si="0"/>
        <v>461.54</v>
      </c>
      <c r="K55" s="22">
        <v>43740</v>
      </c>
      <c r="L55" s="18" t="str">
        <f t="shared" ca="1" si="1"/>
        <v>Réglé</v>
      </c>
      <c r="M55" s="22">
        <v>43794</v>
      </c>
      <c r="N55" s="46">
        <f t="shared" ca="1" si="2"/>
        <v>0</v>
      </c>
      <c r="O55" s="23" t="s">
        <v>322</v>
      </c>
      <c r="P55" s="19" t="s">
        <v>343</v>
      </c>
      <c r="Q55" s="35"/>
    </row>
    <row r="56" spans="1:17" s="4" customFormat="1" ht="18" hidden="1" customHeight="1">
      <c r="A56" s="31">
        <v>120386</v>
      </c>
      <c r="B56" s="21">
        <v>201910144</v>
      </c>
      <c r="C56" s="22">
        <v>43741</v>
      </c>
      <c r="D56" s="66" t="s">
        <v>233</v>
      </c>
      <c r="E56" s="128">
        <v>1053.4100000000001</v>
      </c>
      <c r="F56" s="131"/>
      <c r="G56" s="132"/>
      <c r="H56" s="131"/>
      <c r="I56" s="131"/>
      <c r="J56" s="133">
        <f t="shared" si="0"/>
        <v>1053.4100000000001</v>
      </c>
      <c r="K56" s="22">
        <v>43741</v>
      </c>
      <c r="L56" s="18" t="str">
        <f t="shared" ca="1" si="1"/>
        <v>Réglé</v>
      </c>
      <c r="M56" s="22">
        <v>43805</v>
      </c>
      <c r="N56" s="46">
        <f t="shared" ca="1" si="2"/>
        <v>0</v>
      </c>
      <c r="O56" s="23" t="s">
        <v>4</v>
      </c>
      <c r="P56" s="19" t="s">
        <v>324</v>
      </c>
      <c r="Q56" s="35" t="s">
        <v>236</v>
      </c>
    </row>
    <row r="57" spans="1:17" s="4" customFormat="1" ht="18" hidden="1" customHeight="1">
      <c r="A57" s="40">
        <v>1908439</v>
      </c>
      <c r="B57" s="16">
        <v>1908439</v>
      </c>
      <c r="C57" s="41">
        <v>43731</v>
      </c>
      <c r="D57" s="66" t="s">
        <v>224</v>
      </c>
      <c r="E57" s="128">
        <v>230.77</v>
      </c>
      <c r="F57" s="131"/>
      <c r="G57" s="132"/>
      <c r="H57" s="131"/>
      <c r="I57" s="131"/>
      <c r="J57" s="133">
        <f t="shared" si="0"/>
        <v>230.77</v>
      </c>
      <c r="K57" s="22">
        <v>43761</v>
      </c>
      <c r="L57" s="18" t="str">
        <f t="shared" ca="1" si="1"/>
        <v>Réglé</v>
      </c>
      <c r="M57" s="22">
        <v>43794</v>
      </c>
      <c r="N57" s="46">
        <f t="shared" ca="1" si="2"/>
        <v>0</v>
      </c>
      <c r="O57" s="23" t="s">
        <v>322</v>
      </c>
      <c r="P57" s="19" t="s">
        <v>343</v>
      </c>
      <c r="Q57" s="35"/>
    </row>
    <row r="58" spans="1:17" s="4" customFormat="1" ht="18" hidden="1" customHeight="1">
      <c r="A58" s="40">
        <v>1908399</v>
      </c>
      <c r="B58" s="16">
        <v>1908399</v>
      </c>
      <c r="C58" s="41">
        <v>43731</v>
      </c>
      <c r="D58" s="66" t="s">
        <v>348</v>
      </c>
      <c r="E58" s="128">
        <v>230.77</v>
      </c>
      <c r="F58" s="131"/>
      <c r="G58" s="132"/>
      <c r="H58" s="131"/>
      <c r="I58" s="131"/>
      <c r="J58" s="133">
        <f t="shared" si="0"/>
        <v>230.77</v>
      </c>
      <c r="K58" s="22">
        <v>43761</v>
      </c>
      <c r="L58" s="18" t="str">
        <f t="shared" ca="1" si="1"/>
        <v>Réglé</v>
      </c>
      <c r="M58" s="22">
        <v>43794</v>
      </c>
      <c r="N58" s="46">
        <f t="shared" ca="1" si="2"/>
        <v>0</v>
      </c>
      <c r="O58" s="23" t="s">
        <v>322</v>
      </c>
      <c r="P58" s="19" t="s">
        <v>343</v>
      </c>
      <c r="Q58" s="35"/>
    </row>
    <row r="59" spans="1:17" s="4" customFormat="1" ht="18" hidden="1" customHeight="1">
      <c r="A59" s="40">
        <v>1908406</v>
      </c>
      <c r="B59" s="16">
        <v>1908406</v>
      </c>
      <c r="C59" s="41">
        <v>43731</v>
      </c>
      <c r="D59" s="67" t="s">
        <v>227</v>
      </c>
      <c r="E59" s="128">
        <v>461.54</v>
      </c>
      <c r="F59" s="131"/>
      <c r="G59" s="132"/>
      <c r="H59" s="131"/>
      <c r="I59" s="131"/>
      <c r="J59" s="133">
        <f t="shared" si="0"/>
        <v>461.54</v>
      </c>
      <c r="K59" s="22">
        <v>43762</v>
      </c>
      <c r="L59" s="18" t="str">
        <f t="shared" ca="1" si="1"/>
        <v>Réglé</v>
      </c>
      <c r="M59" s="22">
        <v>43794</v>
      </c>
      <c r="N59" s="46">
        <f t="shared" ca="1" si="2"/>
        <v>0</v>
      </c>
      <c r="O59" s="23" t="s">
        <v>322</v>
      </c>
      <c r="P59" s="19" t="s">
        <v>343</v>
      </c>
      <c r="Q59" s="35"/>
    </row>
    <row r="60" spans="1:17" s="4" customFormat="1" ht="18" hidden="1" customHeight="1">
      <c r="A60" s="40">
        <v>1908506</v>
      </c>
      <c r="B60" s="16">
        <v>1908506</v>
      </c>
      <c r="C60" s="41">
        <v>43732</v>
      </c>
      <c r="D60" s="67" t="s">
        <v>228</v>
      </c>
      <c r="E60" s="128">
        <v>132.47999999999999</v>
      </c>
      <c r="F60" s="131"/>
      <c r="G60" s="132"/>
      <c r="H60" s="131"/>
      <c r="I60" s="131"/>
      <c r="J60" s="133">
        <f t="shared" si="0"/>
        <v>132.47999999999999</v>
      </c>
      <c r="K60" s="22">
        <v>43762</v>
      </c>
      <c r="L60" s="18" t="str">
        <f t="shared" ca="1" si="1"/>
        <v>Réglé</v>
      </c>
      <c r="M60" s="22">
        <v>43794</v>
      </c>
      <c r="N60" s="46">
        <f t="shared" ca="1" si="2"/>
        <v>0</v>
      </c>
      <c r="O60" s="23" t="s">
        <v>322</v>
      </c>
      <c r="P60" s="19" t="s">
        <v>343</v>
      </c>
      <c r="Q60" s="35"/>
    </row>
    <row r="61" spans="1:17" s="4" customFormat="1" ht="18" hidden="1" customHeight="1">
      <c r="A61" s="40">
        <v>1908507</v>
      </c>
      <c r="B61" s="16">
        <v>1908507</v>
      </c>
      <c r="C61" s="41">
        <v>43732</v>
      </c>
      <c r="D61" s="67" t="s">
        <v>224</v>
      </c>
      <c r="E61" s="128">
        <v>132.47999999999999</v>
      </c>
      <c r="F61" s="131"/>
      <c r="G61" s="132"/>
      <c r="H61" s="131"/>
      <c r="I61" s="131"/>
      <c r="J61" s="133">
        <f t="shared" si="0"/>
        <v>132.47999999999999</v>
      </c>
      <c r="K61" s="22">
        <v>43762</v>
      </c>
      <c r="L61" s="18" t="str">
        <f t="shared" ca="1" si="1"/>
        <v>Réglé</v>
      </c>
      <c r="M61" s="22">
        <v>43794</v>
      </c>
      <c r="N61" s="46">
        <f t="shared" ca="1" si="2"/>
        <v>0</v>
      </c>
      <c r="O61" s="23" t="s">
        <v>322</v>
      </c>
      <c r="P61" s="19" t="s">
        <v>343</v>
      </c>
      <c r="Q61" s="35"/>
    </row>
    <row r="62" spans="1:17" s="4" customFormat="1" ht="18" hidden="1" customHeight="1">
      <c r="A62" s="40">
        <v>1908508</v>
      </c>
      <c r="B62" s="16">
        <v>1908508</v>
      </c>
      <c r="C62" s="41">
        <v>43732</v>
      </c>
      <c r="D62" s="67" t="s">
        <v>227</v>
      </c>
      <c r="E62" s="128">
        <v>66.239999999999995</v>
      </c>
      <c r="F62" s="131"/>
      <c r="G62" s="132"/>
      <c r="H62" s="131"/>
      <c r="I62" s="131"/>
      <c r="J62" s="133">
        <f t="shared" si="0"/>
        <v>66.239999999999995</v>
      </c>
      <c r="K62" s="22">
        <v>43763</v>
      </c>
      <c r="L62" s="18" t="str">
        <f t="shared" ca="1" si="1"/>
        <v>Réglé</v>
      </c>
      <c r="M62" s="22">
        <v>43794</v>
      </c>
      <c r="N62" s="46">
        <f t="shared" ca="1" si="2"/>
        <v>0</v>
      </c>
      <c r="O62" s="23" t="s">
        <v>322</v>
      </c>
      <c r="P62" s="19" t="s">
        <v>343</v>
      </c>
      <c r="Q62" s="35"/>
    </row>
    <row r="63" spans="1:17" s="4" customFormat="1" ht="18" customHeight="1">
      <c r="A63" s="15" t="s">
        <v>106</v>
      </c>
      <c r="B63" s="16">
        <v>201909124</v>
      </c>
      <c r="C63" s="17">
        <v>43735</v>
      </c>
      <c r="D63" s="66" t="s">
        <v>280</v>
      </c>
      <c r="E63" s="134">
        <v>522.9</v>
      </c>
      <c r="F63" s="131"/>
      <c r="G63" s="132"/>
      <c r="H63" s="131"/>
      <c r="I63" s="131"/>
      <c r="J63" s="133">
        <f t="shared" si="0"/>
        <v>522.9</v>
      </c>
      <c r="K63" s="17">
        <v>43765</v>
      </c>
      <c r="L63" s="18" t="str">
        <f t="shared" ca="1" si="1"/>
        <v>Réglé</v>
      </c>
      <c r="M63" s="17">
        <v>43806</v>
      </c>
      <c r="N63" s="46">
        <f t="shared" ca="1" si="2"/>
        <v>0</v>
      </c>
      <c r="O63" s="19" t="s">
        <v>4</v>
      </c>
      <c r="P63" s="19" t="s">
        <v>324</v>
      </c>
      <c r="Q63" s="35"/>
    </row>
    <row r="64" spans="1:17" s="4" customFormat="1" ht="18" hidden="1" customHeight="1">
      <c r="A64" s="40">
        <v>1908663</v>
      </c>
      <c r="B64" s="16">
        <v>1908663</v>
      </c>
      <c r="C64" s="41">
        <v>43735</v>
      </c>
      <c r="D64" s="67" t="s">
        <v>224</v>
      </c>
      <c r="E64" s="128">
        <v>230.77</v>
      </c>
      <c r="F64" s="131"/>
      <c r="G64" s="132"/>
      <c r="H64" s="131"/>
      <c r="I64" s="131"/>
      <c r="J64" s="133">
        <f t="shared" si="0"/>
        <v>230.77</v>
      </c>
      <c r="K64" s="22">
        <v>43766</v>
      </c>
      <c r="L64" s="18" t="str">
        <f t="shared" ca="1" si="1"/>
        <v>Réglé</v>
      </c>
      <c r="M64" s="22">
        <v>43794</v>
      </c>
      <c r="N64" s="46">
        <f t="shared" ca="1" si="2"/>
        <v>0</v>
      </c>
      <c r="O64" s="23" t="s">
        <v>322</v>
      </c>
      <c r="P64" s="19" t="s">
        <v>343</v>
      </c>
      <c r="Q64" s="35"/>
    </row>
    <row r="65" spans="1:17" s="4" customFormat="1" ht="18" hidden="1" customHeight="1">
      <c r="A65" s="20">
        <v>5153517</v>
      </c>
      <c r="B65" s="21">
        <v>201910138</v>
      </c>
      <c r="C65" s="22">
        <v>43768</v>
      </c>
      <c r="D65" s="66" t="s">
        <v>281</v>
      </c>
      <c r="E65" s="128">
        <v>908.26</v>
      </c>
      <c r="F65" s="131"/>
      <c r="G65" s="132"/>
      <c r="H65" s="131"/>
      <c r="I65" s="131"/>
      <c r="J65" s="133">
        <f t="shared" si="0"/>
        <v>908.26</v>
      </c>
      <c r="K65" s="22">
        <v>43768</v>
      </c>
      <c r="L65" s="18" t="str">
        <f t="shared" ca="1" si="1"/>
        <v>Réglé</v>
      </c>
      <c r="M65" s="22">
        <v>43806</v>
      </c>
      <c r="N65" s="46">
        <f t="shared" ca="1" si="2"/>
        <v>0</v>
      </c>
      <c r="O65" s="23" t="s">
        <v>4</v>
      </c>
      <c r="P65" s="19" t="s">
        <v>324</v>
      </c>
      <c r="Q65" s="35"/>
    </row>
    <row r="66" spans="1:17" s="4" customFormat="1" ht="18" hidden="1" customHeight="1">
      <c r="A66" s="20">
        <v>20190450</v>
      </c>
      <c r="B66" s="21">
        <v>201910114</v>
      </c>
      <c r="C66" s="22">
        <v>43769</v>
      </c>
      <c r="D66" s="66" t="s">
        <v>291</v>
      </c>
      <c r="E66" s="128">
        <v>1114.17</v>
      </c>
      <c r="F66" s="131"/>
      <c r="G66" s="132"/>
      <c r="H66" s="131"/>
      <c r="I66" s="131"/>
      <c r="J66" s="133">
        <f t="shared" ref="J66:J129" si="3">IF(ISNUMBER(E66),E66+F66+G66+H66+I66," ")</f>
        <v>1114.17</v>
      </c>
      <c r="K66" s="22">
        <v>43769</v>
      </c>
      <c r="L66" s="18" t="str">
        <f t="shared" ref="L66:L129" ca="1" si="4">IF(ISBLANK(C66)," ",IF(ISNUMBER(M66),"Réglé",IF(K66&lt;TODAY(),"Retard",IF(K66=TODAY()," A régler","en attente"))))</f>
        <v>Réglé</v>
      </c>
      <c r="M66" s="22">
        <v>43806</v>
      </c>
      <c r="N66" s="46">
        <f t="shared" ref="N66:N129" ca="1" si="5">IF(ISBLANK(M66),TODAY()-K66,0)</f>
        <v>0</v>
      </c>
      <c r="O66" s="23" t="s">
        <v>5</v>
      </c>
      <c r="P66" s="19" t="s">
        <v>324</v>
      </c>
      <c r="Q66" s="35"/>
    </row>
    <row r="67" spans="1:17" s="4" customFormat="1" ht="18" hidden="1" customHeight="1">
      <c r="A67" s="20">
        <v>20191674</v>
      </c>
      <c r="B67" s="21">
        <v>201910115</v>
      </c>
      <c r="C67" s="22">
        <v>43769</v>
      </c>
      <c r="D67" s="66" t="s">
        <v>107</v>
      </c>
      <c r="E67" s="128">
        <v>322.3</v>
      </c>
      <c r="F67" s="131"/>
      <c r="G67" s="132"/>
      <c r="H67" s="131"/>
      <c r="I67" s="131"/>
      <c r="J67" s="133">
        <f t="shared" si="3"/>
        <v>322.3</v>
      </c>
      <c r="K67" s="22">
        <v>43769</v>
      </c>
      <c r="L67" s="18" t="str">
        <f t="shared" ca="1" si="4"/>
        <v>Réglé</v>
      </c>
      <c r="M67" s="22">
        <v>43806</v>
      </c>
      <c r="N67" s="46">
        <f t="shared" ca="1" si="5"/>
        <v>0</v>
      </c>
      <c r="O67" s="23" t="s">
        <v>4</v>
      </c>
      <c r="P67" s="19" t="s">
        <v>324</v>
      </c>
      <c r="Q67" s="35"/>
    </row>
    <row r="68" spans="1:17" s="4" customFormat="1" ht="18" hidden="1" customHeight="1">
      <c r="A68" s="20" t="s">
        <v>128</v>
      </c>
      <c r="B68" s="21">
        <v>201909137</v>
      </c>
      <c r="C68" s="22">
        <v>43738</v>
      </c>
      <c r="D68" s="66" t="s">
        <v>287</v>
      </c>
      <c r="E68" s="128">
        <v>4773.43</v>
      </c>
      <c r="F68" s="131"/>
      <c r="G68" s="132"/>
      <c r="H68" s="131"/>
      <c r="I68" s="131"/>
      <c r="J68" s="133">
        <f t="shared" si="3"/>
        <v>4773.43</v>
      </c>
      <c r="K68" s="22">
        <v>43769</v>
      </c>
      <c r="L68" s="18" t="str">
        <f t="shared" ca="1" si="4"/>
        <v>Réglé</v>
      </c>
      <c r="M68" s="22">
        <v>43801</v>
      </c>
      <c r="N68" s="46">
        <f t="shared" ca="1" si="5"/>
        <v>0</v>
      </c>
      <c r="O68" s="23" t="s">
        <v>4</v>
      </c>
      <c r="P68" s="19" t="s">
        <v>324</v>
      </c>
      <c r="Q68" s="35"/>
    </row>
    <row r="69" spans="1:17" s="4" customFormat="1" ht="18" hidden="1" customHeight="1">
      <c r="A69" s="20">
        <v>5013419</v>
      </c>
      <c r="B69" s="21">
        <v>20191092</v>
      </c>
      <c r="C69" s="22">
        <v>43759</v>
      </c>
      <c r="D69" s="66" t="s">
        <v>198</v>
      </c>
      <c r="E69" s="128">
        <v>711.36</v>
      </c>
      <c r="F69" s="131"/>
      <c r="G69" s="132"/>
      <c r="H69" s="131"/>
      <c r="I69" s="131"/>
      <c r="J69" s="133">
        <f t="shared" si="3"/>
        <v>711.36</v>
      </c>
      <c r="K69" s="22">
        <v>43769</v>
      </c>
      <c r="L69" s="18" t="str">
        <f t="shared" ca="1" si="4"/>
        <v>Réglé</v>
      </c>
      <c r="M69" s="22">
        <v>43806</v>
      </c>
      <c r="N69" s="46">
        <f t="shared" ca="1" si="5"/>
        <v>0</v>
      </c>
      <c r="O69" s="23" t="s">
        <v>4</v>
      </c>
      <c r="P69" s="19" t="s">
        <v>324</v>
      </c>
      <c r="Q69" s="35"/>
    </row>
    <row r="70" spans="1:17" s="4" customFormat="1" ht="18" hidden="1" customHeight="1">
      <c r="A70" s="20">
        <v>1595360</v>
      </c>
      <c r="B70" s="21">
        <v>20191021</v>
      </c>
      <c r="C70" s="22">
        <v>43740</v>
      </c>
      <c r="D70" s="66" t="s">
        <v>238</v>
      </c>
      <c r="E70" s="128">
        <v>584.54999999999995</v>
      </c>
      <c r="F70" s="131"/>
      <c r="G70" s="132"/>
      <c r="H70" s="131"/>
      <c r="I70" s="131"/>
      <c r="J70" s="133">
        <f t="shared" si="3"/>
        <v>584.54999999999995</v>
      </c>
      <c r="K70" s="22">
        <v>43770</v>
      </c>
      <c r="L70" s="18" t="str">
        <f t="shared" ca="1" si="4"/>
        <v>Réglé</v>
      </c>
      <c r="M70" s="22">
        <v>43806</v>
      </c>
      <c r="N70" s="46">
        <f t="shared" ca="1" si="5"/>
        <v>0</v>
      </c>
      <c r="O70" s="23" t="s">
        <v>4</v>
      </c>
      <c r="P70" s="19" t="s">
        <v>324</v>
      </c>
      <c r="Q70" s="35"/>
    </row>
    <row r="71" spans="1:17" s="4" customFormat="1" ht="18" hidden="1" customHeight="1">
      <c r="A71" s="20">
        <v>2200278768</v>
      </c>
      <c r="B71" s="21">
        <v>201910108</v>
      </c>
      <c r="C71" s="22">
        <v>43761</v>
      </c>
      <c r="D71" s="66" t="s">
        <v>249</v>
      </c>
      <c r="E71" s="128">
        <v>615.87</v>
      </c>
      <c r="F71" s="131"/>
      <c r="G71" s="132"/>
      <c r="H71" s="131"/>
      <c r="I71" s="131"/>
      <c r="J71" s="133">
        <f t="shared" si="3"/>
        <v>615.87</v>
      </c>
      <c r="K71" s="22">
        <v>43771</v>
      </c>
      <c r="L71" s="18" t="str">
        <f t="shared" ca="1" si="4"/>
        <v>Réglé</v>
      </c>
      <c r="M71" s="22">
        <v>43811</v>
      </c>
      <c r="N71" s="46">
        <f t="shared" ca="1" si="5"/>
        <v>0</v>
      </c>
      <c r="O71" s="23" t="s">
        <v>4</v>
      </c>
      <c r="P71" s="19" t="s">
        <v>342</v>
      </c>
      <c r="Q71" s="35"/>
    </row>
    <row r="72" spans="1:17" s="4" customFormat="1" ht="18" hidden="1" customHeight="1">
      <c r="A72" s="40">
        <v>1909702</v>
      </c>
      <c r="B72" s="16">
        <v>20191097</v>
      </c>
      <c r="C72" s="41">
        <v>43766</v>
      </c>
      <c r="D72" s="67" t="s">
        <v>227</v>
      </c>
      <c r="E72" s="128">
        <v>2307.6999999999998</v>
      </c>
      <c r="F72" s="131"/>
      <c r="G72" s="132"/>
      <c r="H72" s="131"/>
      <c r="I72" s="131"/>
      <c r="J72" s="133">
        <f t="shared" si="3"/>
        <v>2307.6999999999998</v>
      </c>
      <c r="K72" s="22">
        <v>43771</v>
      </c>
      <c r="L72" s="18" t="str">
        <f t="shared" ca="1" si="4"/>
        <v>Réglé</v>
      </c>
      <c r="M72" s="22">
        <v>43796</v>
      </c>
      <c r="N72" s="46">
        <f t="shared" ca="1" si="5"/>
        <v>0</v>
      </c>
      <c r="O72" s="23" t="s">
        <v>322</v>
      </c>
      <c r="P72" s="19" t="s">
        <v>343</v>
      </c>
      <c r="Q72" s="35"/>
    </row>
    <row r="73" spans="1:17" s="4" customFormat="1" ht="18" hidden="1" customHeight="1">
      <c r="A73" s="15">
        <v>2200278956</v>
      </c>
      <c r="B73" s="16">
        <v>201910112</v>
      </c>
      <c r="C73" s="17">
        <v>43762</v>
      </c>
      <c r="D73" s="66" t="s">
        <v>249</v>
      </c>
      <c r="E73" s="134">
        <v>206.7</v>
      </c>
      <c r="F73" s="131"/>
      <c r="G73" s="132"/>
      <c r="H73" s="131"/>
      <c r="I73" s="131"/>
      <c r="J73" s="133">
        <f t="shared" si="3"/>
        <v>206.7</v>
      </c>
      <c r="K73" s="17">
        <v>43772</v>
      </c>
      <c r="L73" s="18" t="str">
        <f t="shared" ca="1" si="4"/>
        <v>Réglé</v>
      </c>
      <c r="M73" s="17">
        <v>43806</v>
      </c>
      <c r="N73" s="46">
        <f t="shared" ca="1" si="5"/>
        <v>0</v>
      </c>
      <c r="O73" s="19" t="s">
        <v>4</v>
      </c>
      <c r="P73" s="19" t="s">
        <v>324</v>
      </c>
      <c r="Q73" s="35"/>
    </row>
    <row r="74" spans="1:17" s="4" customFormat="1" ht="18" hidden="1" customHeight="1">
      <c r="A74" s="20">
        <v>2200279069</v>
      </c>
      <c r="B74" s="21">
        <v>201910107</v>
      </c>
      <c r="C74" s="22">
        <v>43763</v>
      </c>
      <c r="D74" s="66" t="s">
        <v>249</v>
      </c>
      <c r="E74" s="128">
        <v>108.8</v>
      </c>
      <c r="F74" s="131"/>
      <c r="G74" s="132"/>
      <c r="H74" s="131"/>
      <c r="I74" s="131"/>
      <c r="J74" s="133">
        <f t="shared" si="3"/>
        <v>108.8</v>
      </c>
      <c r="K74" s="22">
        <v>43773</v>
      </c>
      <c r="L74" s="18" t="str">
        <f t="shared" ca="1" si="4"/>
        <v>Réglé</v>
      </c>
      <c r="M74" s="22">
        <v>43806</v>
      </c>
      <c r="N74" s="46">
        <f t="shared" ca="1" si="5"/>
        <v>0</v>
      </c>
      <c r="O74" s="23" t="s">
        <v>4</v>
      </c>
      <c r="P74" s="19" t="s">
        <v>324</v>
      </c>
      <c r="Q74" s="35"/>
    </row>
    <row r="75" spans="1:17" s="4" customFormat="1" ht="18" hidden="1" customHeight="1">
      <c r="A75" s="31">
        <v>121996</v>
      </c>
      <c r="B75" s="21">
        <v>20191199</v>
      </c>
      <c r="C75" s="22">
        <v>43773</v>
      </c>
      <c r="D75" s="66" t="s">
        <v>233</v>
      </c>
      <c r="E75" s="128">
        <v>-742.47</v>
      </c>
      <c r="F75" s="131"/>
      <c r="G75" s="132"/>
      <c r="H75" s="131"/>
      <c r="I75" s="131"/>
      <c r="J75" s="133">
        <f t="shared" si="3"/>
        <v>-742.47</v>
      </c>
      <c r="K75" s="22">
        <v>43773</v>
      </c>
      <c r="L75" s="18" t="str">
        <f t="shared" ca="1" si="4"/>
        <v>Réglé</v>
      </c>
      <c r="M75" s="22">
        <v>43805</v>
      </c>
      <c r="N75" s="46">
        <f t="shared" ca="1" si="5"/>
        <v>0</v>
      </c>
      <c r="O75" s="23" t="s">
        <v>11</v>
      </c>
      <c r="P75" s="19" t="s">
        <v>11</v>
      </c>
      <c r="Q75" s="35" t="s">
        <v>237</v>
      </c>
    </row>
    <row r="76" spans="1:17" s="4" customFormat="1" ht="18" hidden="1" customHeight="1">
      <c r="A76" s="20">
        <v>2200279309</v>
      </c>
      <c r="B76" s="21">
        <v>201910111</v>
      </c>
      <c r="C76" s="22">
        <v>43764</v>
      </c>
      <c r="D76" s="66" t="s">
        <v>249</v>
      </c>
      <c r="E76" s="128">
        <v>54.4</v>
      </c>
      <c r="F76" s="131"/>
      <c r="G76" s="132"/>
      <c r="H76" s="131"/>
      <c r="I76" s="131"/>
      <c r="J76" s="133">
        <f t="shared" si="3"/>
        <v>54.4</v>
      </c>
      <c r="K76" s="22">
        <v>43774</v>
      </c>
      <c r="L76" s="18" t="str">
        <f t="shared" ca="1" si="4"/>
        <v>Réglé</v>
      </c>
      <c r="M76" s="22">
        <v>43806</v>
      </c>
      <c r="N76" s="46">
        <f t="shared" ca="1" si="5"/>
        <v>0</v>
      </c>
      <c r="O76" s="23" t="s">
        <v>4</v>
      </c>
      <c r="P76" s="19" t="s">
        <v>324</v>
      </c>
      <c r="Q76" s="35"/>
    </row>
    <row r="77" spans="1:17" s="4" customFormat="1" ht="18" hidden="1" customHeight="1">
      <c r="A77" s="20">
        <v>2200279318</v>
      </c>
      <c r="B77" s="21">
        <v>201910117</v>
      </c>
      <c r="C77" s="22">
        <v>43766</v>
      </c>
      <c r="D77" s="66" t="s">
        <v>249</v>
      </c>
      <c r="E77" s="128">
        <v>753.65</v>
      </c>
      <c r="F77" s="131"/>
      <c r="G77" s="132"/>
      <c r="H77" s="131"/>
      <c r="I77" s="131"/>
      <c r="J77" s="133">
        <f t="shared" si="3"/>
        <v>753.65</v>
      </c>
      <c r="K77" s="22">
        <v>43776</v>
      </c>
      <c r="L77" s="18" t="str">
        <f t="shared" ca="1" si="4"/>
        <v>Réglé</v>
      </c>
      <c r="M77" s="22">
        <v>43811</v>
      </c>
      <c r="N77" s="46">
        <f t="shared" ca="1" si="5"/>
        <v>0</v>
      </c>
      <c r="O77" s="23" t="s">
        <v>4</v>
      </c>
      <c r="P77" s="19" t="s">
        <v>342</v>
      </c>
      <c r="Q77" s="35"/>
    </row>
    <row r="78" spans="1:17" s="4" customFormat="1" ht="18" hidden="1" customHeight="1">
      <c r="A78" s="20">
        <v>20192076</v>
      </c>
      <c r="B78" s="21">
        <v>20191119</v>
      </c>
      <c r="C78" s="22">
        <v>43776</v>
      </c>
      <c r="D78" s="66" t="s">
        <v>213</v>
      </c>
      <c r="E78" s="128">
        <v>306.64999999999998</v>
      </c>
      <c r="F78" s="131"/>
      <c r="G78" s="132"/>
      <c r="H78" s="131"/>
      <c r="I78" s="131"/>
      <c r="J78" s="133">
        <f t="shared" si="3"/>
        <v>306.64999999999998</v>
      </c>
      <c r="K78" s="22">
        <v>43776</v>
      </c>
      <c r="L78" s="18" t="str">
        <f t="shared" ca="1" si="4"/>
        <v>Réglé</v>
      </c>
      <c r="M78" s="22">
        <v>43776</v>
      </c>
      <c r="N78" s="46">
        <f t="shared" ca="1" si="5"/>
        <v>0</v>
      </c>
      <c r="O78" s="23" t="s">
        <v>11</v>
      </c>
      <c r="P78" s="19" t="s">
        <v>15</v>
      </c>
      <c r="Q78" s="35"/>
    </row>
    <row r="79" spans="1:17" s="4" customFormat="1" ht="18" hidden="1" customHeight="1">
      <c r="A79" s="20">
        <v>1603462</v>
      </c>
      <c r="B79" s="21">
        <v>20191036</v>
      </c>
      <c r="C79" s="22">
        <v>43747</v>
      </c>
      <c r="D79" s="66" t="s">
        <v>238</v>
      </c>
      <c r="E79" s="128">
        <v>214.47</v>
      </c>
      <c r="F79" s="131"/>
      <c r="G79" s="132"/>
      <c r="H79" s="131"/>
      <c r="I79" s="131"/>
      <c r="J79" s="133">
        <f t="shared" si="3"/>
        <v>214.47</v>
      </c>
      <c r="K79" s="22">
        <v>43777</v>
      </c>
      <c r="L79" s="18" t="str">
        <f t="shared" ca="1" si="4"/>
        <v>Réglé</v>
      </c>
      <c r="M79" s="22">
        <v>43806</v>
      </c>
      <c r="N79" s="46">
        <f t="shared" ca="1" si="5"/>
        <v>0</v>
      </c>
      <c r="O79" s="23" t="s">
        <v>4</v>
      </c>
      <c r="P79" s="19" t="s">
        <v>324</v>
      </c>
      <c r="Q79" s="35"/>
    </row>
    <row r="80" spans="1:17" s="4" customFormat="1" ht="18" customHeight="1">
      <c r="A80" s="20" t="s">
        <v>105</v>
      </c>
      <c r="B80" s="21">
        <v>20191041</v>
      </c>
      <c r="C80" s="22">
        <v>43749</v>
      </c>
      <c r="D80" s="66" t="s">
        <v>280</v>
      </c>
      <c r="E80" s="128">
        <v>547.15</v>
      </c>
      <c r="F80" s="131"/>
      <c r="G80" s="132"/>
      <c r="H80" s="131"/>
      <c r="I80" s="131"/>
      <c r="J80" s="133">
        <f t="shared" si="3"/>
        <v>547.15</v>
      </c>
      <c r="K80" s="22">
        <v>43779</v>
      </c>
      <c r="L80" s="18" t="str">
        <f t="shared" ca="1" si="4"/>
        <v>Réglé</v>
      </c>
      <c r="M80" s="22">
        <v>43811</v>
      </c>
      <c r="N80" s="46">
        <f t="shared" ca="1" si="5"/>
        <v>0</v>
      </c>
      <c r="O80" s="23" t="s">
        <v>4</v>
      </c>
      <c r="P80" s="19" t="s">
        <v>342</v>
      </c>
      <c r="Q80" s="35"/>
    </row>
    <row r="81" spans="1:17" s="4" customFormat="1" ht="18" hidden="1" customHeight="1">
      <c r="A81" s="20" t="s">
        <v>57</v>
      </c>
      <c r="B81" s="21">
        <v>201910132</v>
      </c>
      <c r="C81" s="22">
        <v>43769</v>
      </c>
      <c r="D81" s="66" t="s">
        <v>58</v>
      </c>
      <c r="E81" s="128">
        <v>503.6</v>
      </c>
      <c r="F81" s="131"/>
      <c r="G81" s="132"/>
      <c r="H81" s="131"/>
      <c r="I81" s="131"/>
      <c r="J81" s="133">
        <f t="shared" si="3"/>
        <v>503.6</v>
      </c>
      <c r="K81" s="22">
        <v>43784</v>
      </c>
      <c r="L81" s="18" t="str">
        <f t="shared" ca="1" si="4"/>
        <v>Réglé</v>
      </c>
      <c r="M81" s="22">
        <v>43811</v>
      </c>
      <c r="N81" s="46">
        <f t="shared" ca="1" si="5"/>
        <v>0</v>
      </c>
      <c r="O81" s="23" t="s">
        <v>4</v>
      </c>
      <c r="P81" s="19" t="s">
        <v>342</v>
      </c>
      <c r="Q81" s="35"/>
    </row>
    <row r="82" spans="1:17" s="4" customFormat="1" ht="18" hidden="1" customHeight="1">
      <c r="A82" s="26">
        <v>1909339</v>
      </c>
      <c r="B82" s="27">
        <v>20191057</v>
      </c>
      <c r="C82" s="33">
        <v>43754</v>
      </c>
      <c r="D82" s="71" t="s">
        <v>227</v>
      </c>
      <c r="E82" s="135">
        <v>1846.16</v>
      </c>
      <c r="F82" s="135"/>
      <c r="G82" s="136"/>
      <c r="H82" s="135"/>
      <c r="I82" s="135"/>
      <c r="J82" s="133">
        <f t="shared" si="3"/>
        <v>1846.16</v>
      </c>
      <c r="K82" s="33">
        <v>43784</v>
      </c>
      <c r="L82" s="62" t="str">
        <f t="shared" ca="1" si="4"/>
        <v>Réglé</v>
      </c>
      <c r="M82" s="33">
        <v>43816</v>
      </c>
      <c r="N82" s="47">
        <f t="shared" ca="1" si="5"/>
        <v>0</v>
      </c>
      <c r="O82" s="23" t="s">
        <v>322</v>
      </c>
      <c r="P82" s="19" t="s">
        <v>343</v>
      </c>
      <c r="Q82" s="35" t="s">
        <v>356</v>
      </c>
    </row>
    <row r="83" spans="1:17" s="4" customFormat="1" ht="18" customHeight="1">
      <c r="A83" s="20" t="s">
        <v>104</v>
      </c>
      <c r="B83" s="21">
        <v>20191074</v>
      </c>
      <c r="C83" s="22">
        <v>43756</v>
      </c>
      <c r="D83" s="66" t="s">
        <v>280</v>
      </c>
      <c r="E83" s="128">
        <v>522.9</v>
      </c>
      <c r="F83" s="131"/>
      <c r="G83" s="132"/>
      <c r="H83" s="131"/>
      <c r="I83" s="131"/>
      <c r="J83" s="133">
        <f t="shared" si="3"/>
        <v>522.9</v>
      </c>
      <c r="K83" s="22">
        <v>43786</v>
      </c>
      <c r="L83" s="18" t="str">
        <f t="shared" ca="1" si="4"/>
        <v>Réglé</v>
      </c>
      <c r="M83" s="22">
        <v>43811</v>
      </c>
      <c r="N83" s="46">
        <f t="shared" ca="1" si="5"/>
        <v>0</v>
      </c>
      <c r="O83" s="23" t="s">
        <v>4</v>
      </c>
      <c r="P83" s="19" t="s">
        <v>342</v>
      </c>
      <c r="Q83" s="35"/>
    </row>
    <row r="84" spans="1:17" s="4" customFormat="1" ht="18" hidden="1" customHeight="1">
      <c r="A84" s="20">
        <v>2200281865</v>
      </c>
      <c r="B84" s="21">
        <v>20191144</v>
      </c>
      <c r="C84" s="22">
        <v>43776</v>
      </c>
      <c r="D84" s="66" t="s">
        <v>249</v>
      </c>
      <c r="E84" s="128">
        <v>1184.72</v>
      </c>
      <c r="F84" s="131"/>
      <c r="G84" s="132"/>
      <c r="H84" s="131"/>
      <c r="I84" s="131"/>
      <c r="J84" s="133">
        <f t="shared" si="3"/>
        <v>1184.72</v>
      </c>
      <c r="K84" s="22">
        <v>43786</v>
      </c>
      <c r="L84" s="18" t="str">
        <f t="shared" ca="1" si="4"/>
        <v>Réglé</v>
      </c>
      <c r="M84" s="22">
        <v>43811</v>
      </c>
      <c r="N84" s="46">
        <f t="shared" ca="1" si="5"/>
        <v>0</v>
      </c>
      <c r="O84" s="23" t="s">
        <v>4</v>
      </c>
      <c r="P84" s="19" t="s">
        <v>342</v>
      </c>
      <c r="Q84" s="35"/>
    </row>
    <row r="85" spans="1:17" s="4" customFormat="1" ht="18" hidden="1" customHeight="1">
      <c r="A85" s="40">
        <v>1910010</v>
      </c>
      <c r="B85" s="16">
        <v>1910010</v>
      </c>
      <c r="C85" s="41">
        <v>43775</v>
      </c>
      <c r="D85" s="67" t="s">
        <v>227</v>
      </c>
      <c r="E85" s="128">
        <v>198.72</v>
      </c>
      <c r="F85" s="131"/>
      <c r="G85" s="132"/>
      <c r="H85" s="131"/>
      <c r="I85" s="131"/>
      <c r="J85" s="133">
        <f t="shared" si="3"/>
        <v>198.72</v>
      </c>
      <c r="K85" s="22">
        <v>43786</v>
      </c>
      <c r="L85" s="18" t="str">
        <f t="shared" ca="1" si="4"/>
        <v>Réglé</v>
      </c>
      <c r="M85" s="22">
        <v>43805</v>
      </c>
      <c r="N85" s="46">
        <f t="shared" ca="1" si="5"/>
        <v>0</v>
      </c>
      <c r="O85" s="23" t="s">
        <v>322</v>
      </c>
      <c r="P85" s="19" t="s">
        <v>343</v>
      </c>
      <c r="Q85" s="35"/>
    </row>
    <row r="86" spans="1:17" s="4" customFormat="1" ht="18" hidden="1" customHeight="1">
      <c r="A86" s="20" t="s">
        <v>140</v>
      </c>
      <c r="B86" s="21">
        <v>201910116</v>
      </c>
      <c r="C86" s="22">
        <v>43769</v>
      </c>
      <c r="D86" s="66" t="s">
        <v>282</v>
      </c>
      <c r="E86" s="128">
        <v>285.77999999999997</v>
      </c>
      <c r="F86" s="128"/>
      <c r="G86" s="129"/>
      <c r="H86" s="128"/>
      <c r="I86" s="128"/>
      <c r="J86" s="133">
        <f t="shared" si="3"/>
        <v>285.77999999999997</v>
      </c>
      <c r="K86" s="22">
        <v>43789</v>
      </c>
      <c r="L86" s="18" t="str">
        <f t="shared" ca="1" si="4"/>
        <v>Réglé</v>
      </c>
      <c r="M86" s="22">
        <v>43811</v>
      </c>
      <c r="N86" s="46">
        <f t="shared" ca="1" si="5"/>
        <v>0</v>
      </c>
      <c r="O86" s="23" t="s">
        <v>4</v>
      </c>
      <c r="P86" s="19" t="s">
        <v>342</v>
      </c>
      <c r="Q86" s="35"/>
    </row>
    <row r="87" spans="1:17" s="4" customFormat="1" ht="18" hidden="1" customHeight="1">
      <c r="A87" s="20">
        <v>1617929</v>
      </c>
      <c r="B87" s="21">
        <v>20191088</v>
      </c>
      <c r="C87" s="22">
        <v>43760</v>
      </c>
      <c r="D87" s="66" t="s">
        <v>238</v>
      </c>
      <c r="E87" s="128">
        <v>378.95</v>
      </c>
      <c r="F87" s="131"/>
      <c r="G87" s="132"/>
      <c r="H87" s="131"/>
      <c r="I87" s="131"/>
      <c r="J87" s="133">
        <f t="shared" si="3"/>
        <v>378.95</v>
      </c>
      <c r="K87" s="22">
        <v>43790</v>
      </c>
      <c r="L87" s="18" t="str">
        <f t="shared" ca="1" si="4"/>
        <v>Réglé</v>
      </c>
      <c r="M87" s="22">
        <v>43811</v>
      </c>
      <c r="N87" s="46">
        <f t="shared" ca="1" si="5"/>
        <v>0</v>
      </c>
      <c r="O87" s="23" t="s">
        <v>4</v>
      </c>
      <c r="P87" s="19" t="s">
        <v>342</v>
      </c>
      <c r="Q87" s="35"/>
    </row>
    <row r="88" spans="1:17" s="4" customFormat="1" ht="18" hidden="1" customHeight="1">
      <c r="A88" s="15">
        <v>809745</v>
      </c>
      <c r="B88" s="16">
        <v>20191151</v>
      </c>
      <c r="C88" s="17">
        <v>43781</v>
      </c>
      <c r="D88" s="66" t="s">
        <v>284</v>
      </c>
      <c r="E88" s="134">
        <v>1117</v>
      </c>
      <c r="F88" s="131"/>
      <c r="G88" s="132"/>
      <c r="H88" s="131"/>
      <c r="I88" s="131"/>
      <c r="J88" s="133">
        <f t="shared" si="3"/>
        <v>1117</v>
      </c>
      <c r="K88" s="17">
        <v>43791</v>
      </c>
      <c r="L88" s="18" t="str">
        <f t="shared" ca="1" si="4"/>
        <v>Réglé</v>
      </c>
      <c r="M88" s="17">
        <v>43811</v>
      </c>
      <c r="N88" s="46">
        <f t="shared" ca="1" si="5"/>
        <v>0</v>
      </c>
      <c r="O88" s="23" t="s">
        <v>4</v>
      </c>
      <c r="P88" s="19" t="s">
        <v>342</v>
      </c>
      <c r="Q88" s="35"/>
    </row>
    <row r="89" spans="1:17" s="4" customFormat="1" ht="18" hidden="1" customHeight="1">
      <c r="A89" s="20" t="s">
        <v>190</v>
      </c>
      <c r="B89" s="21">
        <v>20191178</v>
      </c>
      <c r="C89" s="22">
        <v>43791</v>
      </c>
      <c r="D89" s="68" t="s">
        <v>191</v>
      </c>
      <c r="E89" s="128">
        <v>482.71</v>
      </c>
      <c r="F89" s="131"/>
      <c r="G89" s="132"/>
      <c r="H89" s="131"/>
      <c r="I89" s="131"/>
      <c r="J89" s="133">
        <f t="shared" si="3"/>
        <v>482.71</v>
      </c>
      <c r="K89" s="22">
        <v>43791</v>
      </c>
      <c r="L89" s="18" t="str">
        <f t="shared" ca="1" si="4"/>
        <v>Réglé</v>
      </c>
      <c r="M89" s="22">
        <v>43781</v>
      </c>
      <c r="N89" s="46">
        <f t="shared" ca="1" si="5"/>
        <v>0</v>
      </c>
      <c r="O89" s="23" t="s">
        <v>4</v>
      </c>
      <c r="P89" s="19" t="s">
        <v>342</v>
      </c>
      <c r="Q89" s="35"/>
    </row>
    <row r="90" spans="1:17" s="4" customFormat="1" ht="18" hidden="1" customHeight="1">
      <c r="A90" s="40">
        <v>1909439</v>
      </c>
      <c r="B90" s="16">
        <v>1909439</v>
      </c>
      <c r="C90" s="41">
        <v>43756</v>
      </c>
      <c r="D90" s="67" t="s">
        <v>224</v>
      </c>
      <c r="E90" s="128">
        <v>3676.41</v>
      </c>
      <c r="F90" s="131"/>
      <c r="G90" s="132"/>
      <c r="H90" s="131"/>
      <c r="I90" s="131"/>
      <c r="J90" s="133">
        <f t="shared" si="3"/>
        <v>3676.41</v>
      </c>
      <c r="K90" s="22">
        <v>43791</v>
      </c>
      <c r="L90" s="18" t="str">
        <f t="shared" ca="1" si="4"/>
        <v>Réglé</v>
      </c>
      <c r="M90" s="22">
        <v>43816</v>
      </c>
      <c r="N90" s="46">
        <f t="shared" ca="1" si="5"/>
        <v>0</v>
      </c>
      <c r="O90" s="23" t="s">
        <v>322</v>
      </c>
      <c r="P90" s="19" t="s">
        <v>343</v>
      </c>
      <c r="Q90" s="35" t="s">
        <v>356</v>
      </c>
    </row>
    <row r="91" spans="1:17" s="4" customFormat="1" ht="18" hidden="1" customHeight="1">
      <c r="A91" s="40">
        <v>1909593</v>
      </c>
      <c r="B91" s="16">
        <v>1909593</v>
      </c>
      <c r="C91" s="41">
        <v>43761</v>
      </c>
      <c r="D91" s="67" t="s">
        <v>226</v>
      </c>
      <c r="E91" s="128">
        <v>66.239999999999995</v>
      </c>
      <c r="F91" s="131"/>
      <c r="G91" s="132"/>
      <c r="H91" s="131"/>
      <c r="I91" s="131"/>
      <c r="J91" s="133">
        <f t="shared" si="3"/>
        <v>66.239999999999995</v>
      </c>
      <c r="K91" s="22">
        <v>43791</v>
      </c>
      <c r="L91" s="18" t="str">
        <f t="shared" ca="1" si="4"/>
        <v>Réglé</v>
      </c>
      <c r="M91" s="22">
        <v>43791</v>
      </c>
      <c r="N91" s="46">
        <f t="shared" ca="1" si="5"/>
        <v>0</v>
      </c>
      <c r="O91" s="23" t="s">
        <v>322</v>
      </c>
      <c r="P91" s="19" t="s">
        <v>343</v>
      </c>
      <c r="Q91" s="35"/>
    </row>
    <row r="92" spans="1:17" s="4" customFormat="1" ht="18" hidden="1" customHeight="1">
      <c r="A92" s="40">
        <v>1909592</v>
      </c>
      <c r="B92" s="16">
        <v>1909592</v>
      </c>
      <c r="C92" s="41">
        <v>43761</v>
      </c>
      <c r="D92" s="67" t="s">
        <v>228</v>
      </c>
      <c r="E92" s="128">
        <v>132.47999999999999</v>
      </c>
      <c r="F92" s="131"/>
      <c r="G92" s="132"/>
      <c r="H92" s="131"/>
      <c r="I92" s="131"/>
      <c r="J92" s="133">
        <f t="shared" si="3"/>
        <v>132.47999999999999</v>
      </c>
      <c r="K92" s="22">
        <v>43791</v>
      </c>
      <c r="L92" s="18" t="str">
        <f t="shared" ca="1" si="4"/>
        <v>Réglé</v>
      </c>
      <c r="M92" s="22">
        <v>43791</v>
      </c>
      <c r="N92" s="46">
        <f t="shared" ca="1" si="5"/>
        <v>0</v>
      </c>
      <c r="O92" s="23" t="s">
        <v>322</v>
      </c>
      <c r="P92" s="19" t="s">
        <v>343</v>
      </c>
      <c r="Q92" s="35"/>
    </row>
    <row r="93" spans="1:17" s="4" customFormat="1" ht="18" hidden="1" customHeight="1">
      <c r="A93" s="15">
        <v>2011125037</v>
      </c>
      <c r="B93" s="16">
        <v>201910106</v>
      </c>
      <c r="C93" s="17">
        <v>43762</v>
      </c>
      <c r="D93" s="66" t="s">
        <v>276</v>
      </c>
      <c r="E93" s="134">
        <v>180.6</v>
      </c>
      <c r="F93" s="131"/>
      <c r="G93" s="132"/>
      <c r="H93" s="131"/>
      <c r="I93" s="131"/>
      <c r="J93" s="133">
        <f t="shared" si="3"/>
        <v>180.6</v>
      </c>
      <c r="K93" s="17">
        <v>43792</v>
      </c>
      <c r="L93" s="18" t="str">
        <f t="shared" ca="1" si="4"/>
        <v>Réglé</v>
      </c>
      <c r="M93" s="17">
        <v>43811</v>
      </c>
      <c r="N93" s="46">
        <f t="shared" ca="1" si="5"/>
        <v>0</v>
      </c>
      <c r="O93" s="23" t="s">
        <v>4</v>
      </c>
      <c r="P93" s="19" t="s">
        <v>342</v>
      </c>
      <c r="Q93" s="35"/>
    </row>
    <row r="94" spans="1:17" s="4" customFormat="1" ht="18" hidden="1" customHeight="1">
      <c r="A94" s="15">
        <v>2200283094</v>
      </c>
      <c r="B94" s="16">
        <v>20191157</v>
      </c>
      <c r="C94" s="17">
        <v>43782</v>
      </c>
      <c r="D94" s="66" t="s">
        <v>249</v>
      </c>
      <c r="E94" s="134">
        <v>679.48</v>
      </c>
      <c r="F94" s="131"/>
      <c r="G94" s="132"/>
      <c r="H94" s="131"/>
      <c r="I94" s="131"/>
      <c r="J94" s="133">
        <f t="shared" si="3"/>
        <v>679.48</v>
      </c>
      <c r="K94" s="17">
        <v>43792</v>
      </c>
      <c r="L94" s="18" t="str">
        <f t="shared" ca="1" si="4"/>
        <v>Réglé</v>
      </c>
      <c r="M94" s="17">
        <v>43811</v>
      </c>
      <c r="N94" s="46">
        <f t="shared" ca="1" si="5"/>
        <v>0</v>
      </c>
      <c r="O94" s="23" t="s">
        <v>4</v>
      </c>
      <c r="P94" s="19" t="s">
        <v>342</v>
      </c>
      <c r="Q94" s="35"/>
    </row>
    <row r="95" spans="1:17" s="4" customFormat="1" ht="18" hidden="1" customHeight="1">
      <c r="A95" s="40">
        <v>1909598</v>
      </c>
      <c r="B95" s="16">
        <v>1909598</v>
      </c>
      <c r="C95" s="41">
        <v>43761</v>
      </c>
      <c r="D95" s="67" t="s">
        <v>224</v>
      </c>
      <c r="E95" s="128">
        <v>2076.9299999999998</v>
      </c>
      <c r="F95" s="131"/>
      <c r="G95" s="132"/>
      <c r="H95" s="131"/>
      <c r="I95" s="131"/>
      <c r="J95" s="133">
        <f t="shared" si="3"/>
        <v>2076.9299999999998</v>
      </c>
      <c r="K95" s="22">
        <v>43792</v>
      </c>
      <c r="L95" s="18" t="str">
        <f t="shared" ca="1" si="4"/>
        <v>Réglé</v>
      </c>
      <c r="M95" s="22">
        <v>43791</v>
      </c>
      <c r="N95" s="46">
        <f t="shared" ca="1" si="5"/>
        <v>0</v>
      </c>
      <c r="O95" s="23" t="s">
        <v>322</v>
      </c>
      <c r="P95" s="19" t="s">
        <v>343</v>
      </c>
      <c r="Q95" s="35"/>
    </row>
    <row r="96" spans="1:17" s="4" customFormat="1" ht="18" hidden="1" customHeight="1">
      <c r="A96" s="40">
        <v>1909647</v>
      </c>
      <c r="B96" s="16">
        <v>1909647</v>
      </c>
      <c r="C96" s="41">
        <v>43762</v>
      </c>
      <c r="D96" s="67" t="s">
        <v>228</v>
      </c>
      <c r="E96" s="128">
        <v>66.239999999999995</v>
      </c>
      <c r="F96" s="131"/>
      <c r="G96" s="132"/>
      <c r="H96" s="131"/>
      <c r="I96" s="131"/>
      <c r="J96" s="133">
        <f t="shared" si="3"/>
        <v>66.239999999999995</v>
      </c>
      <c r="K96" s="22">
        <v>43793</v>
      </c>
      <c r="L96" s="18" t="str">
        <f t="shared" ca="1" si="4"/>
        <v>Réglé</v>
      </c>
      <c r="M96" s="22">
        <v>43794</v>
      </c>
      <c r="N96" s="46">
        <f t="shared" ca="1" si="5"/>
        <v>0</v>
      </c>
      <c r="O96" s="23" t="s">
        <v>322</v>
      </c>
      <c r="P96" s="19" t="s">
        <v>343</v>
      </c>
      <c r="Q96" s="35"/>
    </row>
    <row r="97" spans="1:17" s="4" customFormat="1" ht="18" hidden="1" customHeight="1">
      <c r="A97" s="20" t="s">
        <v>231</v>
      </c>
      <c r="B97" s="21">
        <v>20191185</v>
      </c>
      <c r="C97" s="22">
        <v>43770</v>
      </c>
      <c r="D97" s="66" t="s">
        <v>230</v>
      </c>
      <c r="E97" s="128">
        <v>1000</v>
      </c>
      <c r="F97" s="131"/>
      <c r="G97" s="132"/>
      <c r="H97" s="131"/>
      <c r="I97" s="131"/>
      <c r="J97" s="133">
        <f t="shared" si="3"/>
        <v>1000</v>
      </c>
      <c r="K97" s="22">
        <v>43797</v>
      </c>
      <c r="L97" s="18" t="str">
        <f t="shared" ca="1" si="4"/>
        <v>Réglé</v>
      </c>
      <c r="M97" s="22">
        <v>43797</v>
      </c>
      <c r="N97" s="46">
        <f t="shared" ca="1" si="5"/>
        <v>0</v>
      </c>
      <c r="O97" s="23" t="s">
        <v>5</v>
      </c>
      <c r="P97" s="19" t="s">
        <v>324</v>
      </c>
      <c r="Q97" s="35"/>
    </row>
    <row r="98" spans="1:17" s="4" customFormat="1" ht="18" hidden="1" customHeight="1">
      <c r="A98" s="24">
        <v>20191776</v>
      </c>
      <c r="B98" s="25">
        <v>20191168</v>
      </c>
      <c r="C98" s="22">
        <v>43784</v>
      </c>
      <c r="D98" s="66" t="s">
        <v>107</v>
      </c>
      <c r="E98" s="128">
        <v>22</v>
      </c>
      <c r="F98" s="131"/>
      <c r="G98" s="132"/>
      <c r="H98" s="131"/>
      <c r="I98" s="131"/>
      <c r="J98" s="133">
        <f t="shared" si="3"/>
        <v>22</v>
      </c>
      <c r="K98" s="22">
        <v>43799</v>
      </c>
      <c r="L98" s="18" t="str">
        <f t="shared" ca="1" si="4"/>
        <v>Réglé</v>
      </c>
      <c r="M98" s="22">
        <v>43811</v>
      </c>
      <c r="N98" s="46">
        <f t="shared" ca="1" si="5"/>
        <v>0</v>
      </c>
      <c r="O98" s="23" t="s">
        <v>4</v>
      </c>
      <c r="P98" s="19" t="s">
        <v>342</v>
      </c>
      <c r="Q98" s="35"/>
    </row>
    <row r="99" spans="1:17" s="4" customFormat="1" ht="18" hidden="1" customHeight="1">
      <c r="A99" s="15" t="s">
        <v>116</v>
      </c>
      <c r="B99" s="16">
        <v>201910139</v>
      </c>
      <c r="C99" s="17">
        <v>43769</v>
      </c>
      <c r="D99" s="66" t="s">
        <v>288</v>
      </c>
      <c r="E99" s="134">
        <v>7625.2</v>
      </c>
      <c r="F99" s="131"/>
      <c r="G99" s="132"/>
      <c r="H99" s="131"/>
      <c r="I99" s="131"/>
      <c r="J99" s="133">
        <f t="shared" si="3"/>
        <v>7625.2</v>
      </c>
      <c r="K99" s="17">
        <v>43799</v>
      </c>
      <c r="L99" s="18" t="str">
        <f t="shared" ca="1" si="4"/>
        <v>Réglé</v>
      </c>
      <c r="M99" s="17">
        <v>43811</v>
      </c>
      <c r="N99" s="46">
        <f t="shared" ca="1" si="5"/>
        <v>0</v>
      </c>
      <c r="O99" s="23" t="s">
        <v>4</v>
      </c>
      <c r="P99" s="19" t="s">
        <v>342</v>
      </c>
      <c r="Q99" s="35"/>
    </row>
    <row r="100" spans="1:17" s="4" customFormat="1" ht="18" hidden="1" customHeight="1">
      <c r="A100" s="15" t="s">
        <v>117</v>
      </c>
      <c r="B100" s="16">
        <v>201910140</v>
      </c>
      <c r="C100" s="17">
        <v>43769</v>
      </c>
      <c r="D100" s="66" t="s">
        <v>287</v>
      </c>
      <c r="E100" s="134">
        <v>3751.15</v>
      </c>
      <c r="F100" s="131"/>
      <c r="G100" s="132"/>
      <c r="H100" s="131"/>
      <c r="I100" s="131"/>
      <c r="J100" s="133">
        <f t="shared" si="3"/>
        <v>3751.15</v>
      </c>
      <c r="K100" s="17">
        <v>43799</v>
      </c>
      <c r="L100" s="18" t="str">
        <f t="shared" ca="1" si="4"/>
        <v>Réglé</v>
      </c>
      <c r="M100" s="17">
        <v>43806</v>
      </c>
      <c r="N100" s="46">
        <f t="shared" ca="1" si="5"/>
        <v>0</v>
      </c>
      <c r="O100" s="19" t="s">
        <v>4</v>
      </c>
      <c r="P100" s="19" t="s">
        <v>324</v>
      </c>
      <c r="Q100" s="35"/>
    </row>
    <row r="101" spans="1:17" s="4" customFormat="1" ht="18" hidden="1" customHeight="1">
      <c r="A101" s="20" t="s">
        <v>118</v>
      </c>
      <c r="B101" s="21">
        <v>201910141</v>
      </c>
      <c r="C101" s="22">
        <v>43769</v>
      </c>
      <c r="D101" s="66" t="s">
        <v>286</v>
      </c>
      <c r="E101" s="128">
        <v>4315.8500000000004</v>
      </c>
      <c r="F101" s="131"/>
      <c r="G101" s="132"/>
      <c r="H101" s="131"/>
      <c r="I101" s="131"/>
      <c r="J101" s="133">
        <f t="shared" si="3"/>
        <v>4315.8500000000004</v>
      </c>
      <c r="K101" s="22">
        <v>43799</v>
      </c>
      <c r="L101" s="18" t="str">
        <f t="shared" ca="1" si="4"/>
        <v>Réglé</v>
      </c>
      <c r="M101" s="22">
        <v>43811</v>
      </c>
      <c r="N101" s="46">
        <f t="shared" ca="1" si="5"/>
        <v>0</v>
      </c>
      <c r="O101" s="23" t="s">
        <v>4</v>
      </c>
      <c r="P101" s="19" t="s">
        <v>342</v>
      </c>
      <c r="Q101" s="35"/>
    </row>
    <row r="102" spans="1:17" s="4" customFormat="1" ht="18" hidden="1" customHeight="1">
      <c r="A102" s="15" t="s">
        <v>119</v>
      </c>
      <c r="B102" s="16">
        <v>201910142</v>
      </c>
      <c r="C102" s="17">
        <v>43769</v>
      </c>
      <c r="D102" s="66" t="s">
        <v>289</v>
      </c>
      <c r="E102" s="134">
        <v>3876.3</v>
      </c>
      <c r="F102" s="131"/>
      <c r="G102" s="132"/>
      <c r="H102" s="131"/>
      <c r="I102" s="131"/>
      <c r="J102" s="133">
        <f t="shared" si="3"/>
        <v>3876.3</v>
      </c>
      <c r="K102" s="17">
        <v>43799</v>
      </c>
      <c r="L102" s="18" t="str">
        <f t="shared" ca="1" si="4"/>
        <v>Réglé</v>
      </c>
      <c r="M102" s="17">
        <v>43811</v>
      </c>
      <c r="N102" s="46">
        <f t="shared" ca="1" si="5"/>
        <v>0</v>
      </c>
      <c r="O102" s="23" t="s">
        <v>4</v>
      </c>
      <c r="P102" s="19" t="s">
        <v>342</v>
      </c>
      <c r="Q102" s="35"/>
    </row>
    <row r="103" spans="1:17" s="4" customFormat="1" ht="18" hidden="1" customHeight="1">
      <c r="A103" s="15" t="s">
        <v>120</v>
      </c>
      <c r="B103" s="16">
        <v>201910143</v>
      </c>
      <c r="C103" s="17">
        <v>43769</v>
      </c>
      <c r="D103" s="66" t="s">
        <v>290</v>
      </c>
      <c r="E103" s="134">
        <v>3767.2</v>
      </c>
      <c r="F103" s="131"/>
      <c r="G103" s="132"/>
      <c r="H103" s="131"/>
      <c r="I103" s="131"/>
      <c r="J103" s="133">
        <f t="shared" si="3"/>
        <v>3767.2</v>
      </c>
      <c r="K103" s="17">
        <v>43799</v>
      </c>
      <c r="L103" s="18" t="str">
        <f t="shared" ca="1" si="4"/>
        <v>Réglé</v>
      </c>
      <c r="M103" s="17">
        <v>43811</v>
      </c>
      <c r="N103" s="46">
        <f t="shared" ca="1" si="5"/>
        <v>0</v>
      </c>
      <c r="O103" s="23" t="s">
        <v>4</v>
      </c>
      <c r="P103" s="19" t="s">
        <v>342</v>
      </c>
      <c r="Q103" s="35"/>
    </row>
    <row r="104" spans="1:17" s="4" customFormat="1" ht="18" hidden="1" customHeight="1">
      <c r="A104" s="20">
        <v>2200284969</v>
      </c>
      <c r="B104" s="21">
        <v>20191183</v>
      </c>
      <c r="C104" s="22">
        <v>43789</v>
      </c>
      <c r="D104" s="66" t="s">
        <v>249</v>
      </c>
      <c r="E104" s="131">
        <v>125.28</v>
      </c>
      <c r="F104" s="131"/>
      <c r="G104" s="132"/>
      <c r="H104" s="131"/>
      <c r="I104" s="131"/>
      <c r="J104" s="133">
        <f t="shared" si="3"/>
        <v>125.28</v>
      </c>
      <c r="K104" s="28">
        <v>43799</v>
      </c>
      <c r="L104" s="18" t="str">
        <f t="shared" ca="1" si="4"/>
        <v>Réglé</v>
      </c>
      <c r="M104" s="28">
        <v>43811</v>
      </c>
      <c r="N104" s="46">
        <f t="shared" ca="1" si="5"/>
        <v>0</v>
      </c>
      <c r="O104" s="23" t="s">
        <v>4</v>
      </c>
      <c r="P104" s="19" t="s">
        <v>342</v>
      </c>
      <c r="Q104" s="35"/>
    </row>
    <row r="105" spans="1:17" s="4" customFormat="1" ht="18" hidden="1" customHeight="1">
      <c r="A105" s="20">
        <v>20192236</v>
      </c>
      <c r="B105" s="21">
        <v>20191204</v>
      </c>
      <c r="C105" s="22">
        <v>43802</v>
      </c>
      <c r="D105" s="66" t="s">
        <v>213</v>
      </c>
      <c r="E105" s="128">
        <v>85.01</v>
      </c>
      <c r="F105" s="131"/>
      <c r="G105" s="132"/>
      <c r="H105" s="131"/>
      <c r="I105" s="131"/>
      <c r="J105" s="133">
        <f t="shared" si="3"/>
        <v>85.01</v>
      </c>
      <c r="K105" s="22">
        <v>43802</v>
      </c>
      <c r="L105" s="18" t="str">
        <f t="shared" ca="1" si="4"/>
        <v>Réglé</v>
      </c>
      <c r="M105" s="22">
        <v>43802</v>
      </c>
      <c r="N105" s="46">
        <f t="shared" ca="1" si="5"/>
        <v>0</v>
      </c>
      <c r="O105" s="23" t="s">
        <v>11</v>
      </c>
      <c r="P105" s="19" t="s">
        <v>11</v>
      </c>
      <c r="Q105" s="35" t="s">
        <v>232</v>
      </c>
    </row>
    <row r="106" spans="1:17" s="4" customFormat="1" ht="18" hidden="1" customHeight="1">
      <c r="A106" s="40">
        <v>1909681</v>
      </c>
      <c r="B106" s="16">
        <v>1909681</v>
      </c>
      <c r="C106" s="41">
        <v>43763</v>
      </c>
      <c r="D106" s="67" t="s">
        <v>227</v>
      </c>
      <c r="E106" s="128">
        <v>66.239999999999995</v>
      </c>
      <c r="F106" s="131"/>
      <c r="G106" s="132"/>
      <c r="H106" s="131"/>
      <c r="I106" s="131"/>
      <c r="J106" s="133">
        <f t="shared" si="3"/>
        <v>66.239999999999995</v>
      </c>
      <c r="K106" s="22">
        <v>43803</v>
      </c>
      <c r="L106" s="18" t="str">
        <f t="shared" ca="1" si="4"/>
        <v>Réglé</v>
      </c>
      <c r="M106" s="22">
        <v>43794</v>
      </c>
      <c r="N106" s="46">
        <f t="shared" ca="1" si="5"/>
        <v>0</v>
      </c>
      <c r="O106" s="23" t="s">
        <v>322</v>
      </c>
      <c r="P106" s="19" t="s">
        <v>343</v>
      </c>
      <c r="Q106" s="35"/>
    </row>
    <row r="107" spans="1:17" s="4" customFormat="1" ht="18" hidden="1" customHeight="1">
      <c r="A107" s="40">
        <v>1909886</v>
      </c>
      <c r="B107" s="16">
        <v>1909886</v>
      </c>
      <c r="C107" s="41">
        <v>43773</v>
      </c>
      <c r="D107" s="67" t="s">
        <v>225</v>
      </c>
      <c r="E107" s="128">
        <v>539.4</v>
      </c>
      <c r="F107" s="131"/>
      <c r="G107" s="132"/>
      <c r="H107" s="131"/>
      <c r="I107" s="131"/>
      <c r="J107" s="133">
        <f t="shared" si="3"/>
        <v>539.4</v>
      </c>
      <c r="K107" s="22">
        <v>43803</v>
      </c>
      <c r="L107" s="18" t="str">
        <f t="shared" ca="1" si="4"/>
        <v>Réglé</v>
      </c>
      <c r="M107" s="22">
        <v>43803</v>
      </c>
      <c r="N107" s="46">
        <f t="shared" ca="1" si="5"/>
        <v>0</v>
      </c>
      <c r="O107" s="23" t="s">
        <v>322</v>
      </c>
      <c r="P107" s="19" t="s">
        <v>343</v>
      </c>
      <c r="Q107" s="35"/>
    </row>
    <row r="108" spans="1:17" s="4" customFormat="1" ht="18" hidden="1" customHeight="1">
      <c r="A108" s="40">
        <v>1909891</v>
      </c>
      <c r="B108" s="16">
        <v>1909891</v>
      </c>
      <c r="C108" s="41">
        <v>43773</v>
      </c>
      <c r="D108" s="67" t="s">
        <v>227</v>
      </c>
      <c r="E108" s="128">
        <v>858.84</v>
      </c>
      <c r="F108" s="131"/>
      <c r="G108" s="132"/>
      <c r="H108" s="131"/>
      <c r="I108" s="131"/>
      <c r="J108" s="133">
        <f t="shared" si="3"/>
        <v>858.84</v>
      </c>
      <c r="K108" s="22">
        <v>43803</v>
      </c>
      <c r="L108" s="18" t="str">
        <f t="shared" ca="1" si="4"/>
        <v>Réglé</v>
      </c>
      <c r="M108" s="22">
        <v>43803</v>
      </c>
      <c r="N108" s="46">
        <f t="shared" ca="1" si="5"/>
        <v>0</v>
      </c>
      <c r="O108" s="23" t="s">
        <v>322</v>
      </c>
      <c r="P108" s="19" t="s">
        <v>343</v>
      </c>
      <c r="Q108" s="35"/>
    </row>
    <row r="109" spans="1:17" s="4" customFormat="1" ht="18" hidden="1" customHeight="1">
      <c r="A109" s="20">
        <v>2011126888</v>
      </c>
      <c r="B109" s="21">
        <v>20191125</v>
      </c>
      <c r="C109" s="22">
        <v>43774</v>
      </c>
      <c r="D109" s="66" t="s">
        <v>276</v>
      </c>
      <c r="E109" s="128">
        <v>68.08</v>
      </c>
      <c r="F109" s="131"/>
      <c r="G109" s="132"/>
      <c r="H109" s="131"/>
      <c r="I109" s="131"/>
      <c r="J109" s="133">
        <f t="shared" si="3"/>
        <v>68.08</v>
      </c>
      <c r="K109" s="22">
        <v>43804</v>
      </c>
      <c r="L109" s="18" t="str">
        <f t="shared" ca="1" si="4"/>
        <v>Réglé</v>
      </c>
      <c r="M109" s="22">
        <v>43811</v>
      </c>
      <c r="N109" s="46">
        <f t="shared" ca="1" si="5"/>
        <v>0</v>
      </c>
      <c r="O109" s="23" t="s">
        <v>4</v>
      </c>
      <c r="P109" s="19" t="s">
        <v>342</v>
      </c>
      <c r="Q109" s="35"/>
    </row>
    <row r="110" spans="1:17" s="4" customFormat="1" ht="18" hidden="1" customHeight="1">
      <c r="A110" s="40">
        <v>1909950</v>
      </c>
      <c r="B110" s="16">
        <v>1909950</v>
      </c>
      <c r="C110" s="41">
        <v>43774</v>
      </c>
      <c r="D110" s="67" t="s">
        <v>224</v>
      </c>
      <c r="E110" s="128">
        <v>66.239999999999995</v>
      </c>
      <c r="F110" s="131"/>
      <c r="G110" s="132"/>
      <c r="H110" s="131"/>
      <c r="I110" s="131"/>
      <c r="J110" s="133">
        <f t="shared" si="3"/>
        <v>66.239999999999995</v>
      </c>
      <c r="K110" s="22">
        <v>43804</v>
      </c>
      <c r="L110" s="18" t="str">
        <f t="shared" ca="1" si="4"/>
        <v>Réglé</v>
      </c>
      <c r="M110" s="22">
        <v>43804</v>
      </c>
      <c r="N110" s="46">
        <f t="shared" ca="1" si="5"/>
        <v>0</v>
      </c>
      <c r="O110" s="23" t="s">
        <v>322</v>
      </c>
      <c r="P110" s="19" t="s">
        <v>343</v>
      </c>
      <c r="Q110" s="35"/>
    </row>
    <row r="111" spans="1:17" s="4" customFormat="1" ht="18" hidden="1" customHeight="1">
      <c r="A111" s="40">
        <v>1909913</v>
      </c>
      <c r="B111" s="16">
        <v>1909913</v>
      </c>
      <c r="C111" s="41">
        <v>43774</v>
      </c>
      <c r="D111" s="67" t="s">
        <v>224</v>
      </c>
      <c r="E111" s="128">
        <v>429.49</v>
      </c>
      <c r="F111" s="131"/>
      <c r="G111" s="132"/>
      <c r="H111" s="131"/>
      <c r="I111" s="131"/>
      <c r="J111" s="133">
        <f t="shared" si="3"/>
        <v>429.49</v>
      </c>
      <c r="K111" s="22">
        <v>43804</v>
      </c>
      <c r="L111" s="18" t="str">
        <f t="shared" ca="1" si="4"/>
        <v>Réglé</v>
      </c>
      <c r="M111" s="22">
        <v>43804</v>
      </c>
      <c r="N111" s="46">
        <f t="shared" ca="1" si="5"/>
        <v>0</v>
      </c>
      <c r="O111" s="23" t="s">
        <v>322</v>
      </c>
      <c r="P111" s="19" t="s">
        <v>343</v>
      </c>
      <c r="Q111" s="35"/>
    </row>
    <row r="112" spans="1:17" s="4" customFormat="1" ht="18" hidden="1" customHeight="1">
      <c r="A112" s="44">
        <v>2200286235</v>
      </c>
      <c r="B112" s="21">
        <v>201911116</v>
      </c>
      <c r="C112" s="45">
        <v>43795</v>
      </c>
      <c r="D112" s="66" t="s">
        <v>249</v>
      </c>
      <c r="E112" s="135">
        <v>127.56</v>
      </c>
      <c r="F112" s="135"/>
      <c r="G112" s="136"/>
      <c r="H112" s="135"/>
      <c r="I112" s="135"/>
      <c r="J112" s="137">
        <f t="shared" si="3"/>
        <v>127.56</v>
      </c>
      <c r="K112" s="33">
        <v>43805</v>
      </c>
      <c r="L112" s="18" t="str">
        <f t="shared" ca="1" si="4"/>
        <v>Réglé</v>
      </c>
      <c r="M112" s="33">
        <v>43811</v>
      </c>
      <c r="N112" s="47">
        <f t="shared" ca="1" si="5"/>
        <v>0</v>
      </c>
      <c r="O112" s="23" t="s">
        <v>4</v>
      </c>
      <c r="P112" s="32" t="s">
        <v>342</v>
      </c>
      <c r="Q112" s="63"/>
    </row>
    <row r="113" spans="1:17" s="4" customFormat="1" ht="18" hidden="1" customHeight="1">
      <c r="A113" s="26" t="s">
        <v>320</v>
      </c>
      <c r="B113" s="27">
        <v>20191238</v>
      </c>
      <c r="C113" s="33">
        <v>43805</v>
      </c>
      <c r="D113" s="66" t="s">
        <v>191</v>
      </c>
      <c r="E113" s="135">
        <v>502.72</v>
      </c>
      <c r="F113" s="135"/>
      <c r="G113" s="136"/>
      <c r="H113" s="135"/>
      <c r="I113" s="135"/>
      <c r="J113" s="133">
        <f t="shared" si="3"/>
        <v>502.72</v>
      </c>
      <c r="K113" s="33">
        <v>43805</v>
      </c>
      <c r="L113" s="62" t="str">
        <f t="shared" ca="1" si="4"/>
        <v>Réglé</v>
      </c>
      <c r="M113" s="33">
        <v>43811</v>
      </c>
      <c r="N113" s="47">
        <f t="shared" ca="1" si="5"/>
        <v>0</v>
      </c>
      <c r="O113" s="23" t="s">
        <v>4</v>
      </c>
      <c r="P113" s="19" t="s">
        <v>324</v>
      </c>
      <c r="Q113" s="63"/>
    </row>
    <row r="114" spans="1:17" s="4" customFormat="1" ht="18" hidden="1" customHeight="1">
      <c r="A114" s="40">
        <v>1910043</v>
      </c>
      <c r="B114" s="16">
        <v>1910043</v>
      </c>
      <c r="C114" s="41">
        <v>43776</v>
      </c>
      <c r="D114" s="67" t="s">
        <v>224</v>
      </c>
      <c r="E114" s="128">
        <v>923.08</v>
      </c>
      <c r="F114" s="131"/>
      <c r="G114" s="132"/>
      <c r="H114" s="131"/>
      <c r="I114" s="131"/>
      <c r="J114" s="133">
        <f t="shared" si="3"/>
        <v>923.08</v>
      </c>
      <c r="K114" s="22">
        <v>43807</v>
      </c>
      <c r="L114" s="18" t="str">
        <f t="shared" ca="1" si="4"/>
        <v>Réglé</v>
      </c>
      <c r="M114" s="22">
        <v>43808</v>
      </c>
      <c r="N114" s="46">
        <f t="shared" ca="1" si="5"/>
        <v>0</v>
      </c>
      <c r="O114" s="23" t="s">
        <v>322</v>
      </c>
      <c r="P114" s="19" t="s">
        <v>343</v>
      </c>
      <c r="Q114" s="35"/>
    </row>
    <row r="115" spans="1:17" s="4" customFormat="1" ht="18" hidden="1" customHeight="1">
      <c r="A115" s="34">
        <v>2200287403</v>
      </c>
      <c r="B115" s="27">
        <v>201911128</v>
      </c>
      <c r="C115" s="33">
        <v>43798</v>
      </c>
      <c r="D115" s="68" t="s">
        <v>249</v>
      </c>
      <c r="E115" s="135">
        <v>12</v>
      </c>
      <c r="F115" s="135"/>
      <c r="G115" s="136"/>
      <c r="H115" s="135"/>
      <c r="I115" s="135"/>
      <c r="J115" s="137">
        <f t="shared" si="3"/>
        <v>12</v>
      </c>
      <c r="K115" s="33">
        <v>43808</v>
      </c>
      <c r="L115" s="18" t="str">
        <f t="shared" ca="1" si="4"/>
        <v>Réglé</v>
      </c>
      <c r="M115" s="33">
        <v>43811</v>
      </c>
      <c r="N115" s="47">
        <f t="shared" ca="1" si="5"/>
        <v>0</v>
      </c>
      <c r="O115" s="23" t="s">
        <v>4</v>
      </c>
      <c r="P115" s="32" t="s">
        <v>342</v>
      </c>
      <c r="Q115" s="63"/>
    </row>
    <row r="116" spans="1:17" s="4" customFormat="1" ht="18" hidden="1" customHeight="1">
      <c r="A116" s="40">
        <v>1910107</v>
      </c>
      <c r="B116" s="16">
        <v>1910107</v>
      </c>
      <c r="C116" s="41">
        <v>43777</v>
      </c>
      <c r="D116" s="67" t="s">
        <v>227</v>
      </c>
      <c r="E116" s="128">
        <v>93.12</v>
      </c>
      <c r="F116" s="131"/>
      <c r="G116" s="132"/>
      <c r="H116" s="131"/>
      <c r="I116" s="131"/>
      <c r="J116" s="133">
        <f t="shared" si="3"/>
        <v>93.12</v>
      </c>
      <c r="K116" s="22">
        <v>43811</v>
      </c>
      <c r="L116" s="18" t="str">
        <f t="shared" ca="1" si="4"/>
        <v>Réglé</v>
      </c>
      <c r="M116" s="22">
        <v>43808</v>
      </c>
      <c r="N116" s="46">
        <f t="shared" ca="1" si="5"/>
        <v>0</v>
      </c>
      <c r="O116" s="23" t="s">
        <v>322</v>
      </c>
      <c r="P116" s="19" t="s">
        <v>343</v>
      </c>
      <c r="Q116" s="35"/>
    </row>
    <row r="117" spans="1:17" s="4" customFormat="1" ht="18" hidden="1" customHeight="1">
      <c r="A117" s="20">
        <v>2011128553</v>
      </c>
      <c r="B117" s="21">
        <v>20191161</v>
      </c>
      <c r="C117" s="22">
        <v>43782</v>
      </c>
      <c r="D117" s="66" t="s">
        <v>276</v>
      </c>
      <c r="E117" s="128">
        <v>27.1</v>
      </c>
      <c r="F117" s="131"/>
      <c r="G117" s="132"/>
      <c r="H117" s="131"/>
      <c r="I117" s="131"/>
      <c r="J117" s="133">
        <f t="shared" si="3"/>
        <v>27.1</v>
      </c>
      <c r="K117" s="22">
        <v>43812</v>
      </c>
      <c r="L117" s="18" t="str">
        <f t="shared" ca="1" si="4"/>
        <v>Réglé</v>
      </c>
      <c r="M117" s="22">
        <v>43811</v>
      </c>
      <c r="N117" s="46">
        <f t="shared" ca="1" si="5"/>
        <v>0</v>
      </c>
      <c r="O117" s="23" t="s">
        <v>4</v>
      </c>
      <c r="P117" s="19" t="s">
        <v>342</v>
      </c>
      <c r="Q117" s="35"/>
    </row>
    <row r="118" spans="1:17" hidden="1">
      <c r="A118" s="20" t="s">
        <v>39</v>
      </c>
      <c r="B118" s="21">
        <v>20191148</v>
      </c>
      <c r="C118" s="22">
        <v>43783</v>
      </c>
      <c r="D118" s="66" t="s">
        <v>351</v>
      </c>
      <c r="E118" s="128">
        <v>99.09</v>
      </c>
      <c r="F118" s="131"/>
      <c r="G118" s="132"/>
      <c r="H118" s="131"/>
      <c r="I118" s="131"/>
      <c r="J118" s="133">
        <f t="shared" si="3"/>
        <v>99.09</v>
      </c>
      <c r="K118" s="22">
        <v>43813</v>
      </c>
      <c r="L118" s="18" t="str">
        <f t="shared" ca="1" si="4"/>
        <v>Réglé</v>
      </c>
      <c r="M118" s="22">
        <v>43806</v>
      </c>
      <c r="N118" s="46">
        <f t="shared" ca="1" si="5"/>
        <v>0</v>
      </c>
      <c r="O118" s="23" t="s">
        <v>4</v>
      </c>
      <c r="P118" s="19" t="s">
        <v>324</v>
      </c>
      <c r="Q118" s="35"/>
    </row>
    <row r="119" spans="1:17" s="11" customFormat="1" hidden="1">
      <c r="A119" s="40">
        <v>1910273</v>
      </c>
      <c r="B119" s="16">
        <v>1910273</v>
      </c>
      <c r="C119" s="41">
        <v>43783</v>
      </c>
      <c r="D119" s="67" t="s">
        <v>224</v>
      </c>
      <c r="E119" s="128">
        <v>692.31</v>
      </c>
      <c r="F119" s="131"/>
      <c r="G119" s="132"/>
      <c r="H119" s="131"/>
      <c r="I119" s="131"/>
      <c r="J119" s="133">
        <f t="shared" si="3"/>
        <v>692.31</v>
      </c>
      <c r="K119" s="22">
        <v>43813</v>
      </c>
      <c r="L119" s="18" t="str">
        <f t="shared" ca="1" si="4"/>
        <v>Réglé</v>
      </c>
      <c r="M119" s="22">
        <v>43815</v>
      </c>
      <c r="N119" s="46">
        <f t="shared" ca="1" si="5"/>
        <v>0</v>
      </c>
      <c r="O119" s="23" t="s">
        <v>322</v>
      </c>
      <c r="P119" s="19" t="s">
        <v>343</v>
      </c>
      <c r="Q119" s="35"/>
    </row>
    <row r="120" spans="1:17" hidden="1">
      <c r="A120" s="40">
        <v>1910253</v>
      </c>
      <c r="B120" s="16">
        <v>1910253</v>
      </c>
      <c r="C120" s="41">
        <v>43783</v>
      </c>
      <c r="D120" s="67" t="s">
        <v>225</v>
      </c>
      <c r="E120" s="128">
        <v>93.12</v>
      </c>
      <c r="F120" s="131"/>
      <c r="G120" s="132"/>
      <c r="H120" s="131"/>
      <c r="I120" s="131"/>
      <c r="J120" s="133">
        <f t="shared" si="3"/>
        <v>93.12</v>
      </c>
      <c r="K120" s="22">
        <v>43813</v>
      </c>
      <c r="L120" s="18" t="str">
        <f t="shared" ca="1" si="4"/>
        <v>Réglé</v>
      </c>
      <c r="M120" s="22">
        <v>43815</v>
      </c>
      <c r="N120" s="46">
        <f t="shared" ca="1" si="5"/>
        <v>0</v>
      </c>
      <c r="O120" s="23" t="s">
        <v>322</v>
      </c>
      <c r="P120" s="19" t="s">
        <v>343</v>
      </c>
      <c r="Q120" s="35"/>
    </row>
    <row r="121" spans="1:17" hidden="1">
      <c r="A121" s="40">
        <v>1910245</v>
      </c>
      <c r="B121" s="16">
        <v>1910245</v>
      </c>
      <c r="C121" s="41">
        <v>43783</v>
      </c>
      <c r="D121" s="67" t="s">
        <v>225</v>
      </c>
      <c r="E121" s="128">
        <v>66.239999999999995</v>
      </c>
      <c r="F121" s="131"/>
      <c r="G121" s="132"/>
      <c r="H121" s="131"/>
      <c r="I121" s="131"/>
      <c r="J121" s="133">
        <f t="shared" si="3"/>
        <v>66.239999999999995</v>
      </c>
      <c r="K121" s="22">
        <v>43813</v>
      </c>
      <c r="L121" s="18" t="str">
        <f t="shared" ca="1" si="4"/>
        <v>Réglé</v>
      </c>
      <c r="M121" s="22">
        <v>43815</v>
      </c>
      <c r="N121" s="46">
        <f t="shared" ca="1" si="5"/>
        <v>0</v>
      </c>
      <c r="O121" s="23" t="s">
        <v>322</v>
      </c>
      <c r="P121" s="19" t="s">
        <v>343</v>
      </c>
      <c r="Q121" s="35"/>
    </row>
    <row r="122" spans="1:17" hidden="1">
      <c r="A122" s="40">
        <v>1910244</v>
      </c>
      <c r="B122" s="16">
        <v>1910244</v>
      </c>
      <c r="C122" s="41">
        <v>43783</v>
      </c>
      <c r="D122" s="67" t="s">
        <v>224</v>
      </c>
      <c r="E122" s="128">
        <v>146.88</v>
      </c>
      <c r="F122" s="131"/>
      <c r="G122" s="132"/>
      <c r="H122" s="131"/>
      <c r="I122" s="131"/>
      <c r="J122" s="133">
        <f t="shared" si="3"/>
        <v>146.88</v>
      </c>
      <c r="K122" s="22">
        <v>43813</v>
      </c>
      <c r="L122" s="18" t="str">
        <f t="shared" ca="1" si="4"/>
        <v>Réglé</v>
      </c>
      <c r="M122" s="22">
        <v>43815</v>
      </c>
      <c r="N122" s="46">
        <f t="shared" ca="1" si="5"/>
        <v>0</v>
      </c>
      <c r="O122" s="23" t="s">
        <v>322</v>
      </c>
      <c r="P122" s="19" t="s">
        <v>343</v>
      </c>
      <c r="Q122" s="35"/>
    </row>
    <row r="123" spans="1:17" hidden="1">
      <c r="A123" s="40">
        <v>1910240</v>
      </c>
      <c r="B123" s="16">
        <v>1910240</v>
      </c>
      <c r="C123" s="41">
        <v>43783</v>
      </c>
      <c r="D123" s="67" t="s">
        <v>227</v>
      </c>
      <c r="E123" s="128">
        <v>230.77</v>
      </c>
      <c r="F123" s="131"/>
      <c r="G123" s="132"/>
      <c r="H123" s="131"/>
      <c r="I123" s="131"/>
      <c r="J123" s="133">
        <f t="shared" si="3"/>
        <v>230.77</v>
      </c>
      <c r="K123" s="22">
        <v>43814</v>
      </c>
      <c r="L123" s="18" t="str">
        <f t="shared" ca="1" si="4"/>
        <v>Réglé</v>
      </c>
      <c r="M123" s="22">
        <v>43815</v>
      </c>
      <c r="N123" s="46">
        <f t="shared" ca="1" si="5"/>
        <v>0</v>
      </c>
      <c r="O123" s="23" t="s">
        <v>322</v>
      </c>
      <c r="P123" s="19" t="s">
        <v>343</v>
      </c>
      <c r="Q123" s="35"/>
    </row>
    <row r="124" spans="1:17" hidden="1">
      <c r="A124" s="40">
        <v>1910319</v>
      </c>
      <c r="B124" s="16">
        <v>1910319</v>
      </c>
      <c r="C124" s="41">
        <v>43784</v>
      </c>
      <c r="D124" s="67" t="s">
        <v>225</v>
      </c>
      <c r="E124" s="128">
        <v>26.88</v>
      </c>
      <c r="F124" s="131"/>
      <c r="G124" s="132"/>
      <c r="H124" s="131"/>
      <c r="I124" s="131"/>
      <c r="J124" s="133">
        <f t="shared" si="3"/>
        <v>26.88</v>
      </c>
      <c r="K124" s="22">
        <v>43814</v>
      </c>
      <c r="L124" s="18" t="str">
        <f t="shared" ca="1" si="4"/>
        <v>Réglé</v>
      </c>
      <c r="M124" s="22">
        <v>43815</v>
      </c>
      <c r="N124" s="46">
        <f t="shared" ca="1" si="5"/>
        <v>0</v>
      </c>
      <c r="O124" s="23" t="s">
        <v>322</v>
      </c>
      <c r="P124" s="19" t="s">
        <v>343</v>
      </c>
      <c r="Q124" s="35"/>
    </row>
    <row r="125" spans="1:17" hidden="1">
      <c r="A125" s="40">
        <v>1910318</v>
      </c>
      <c r="B125" s="16">
        <v>1910318</v>
      </c>
      <c r="C125" s="41">
        <v>43784</v>
      </c>
      <c r="D125" s="67" t="s">
        <v>227</v>
      </c>
      <c r="E125" s="128">
        <v>132.47999999999999</v>
      </c>
      <c r="F125" s="131"/>
      <c r="G125" s="132"/>
      <c r="H125" s="131"/>
      <c r="I125" s="131"/>
      <c r="J125" s="133">
        <f t="shared" si="3"/>
        <v>132.47999999999999</v>
      </c>
      <c r="K125" s="22">
        <v>43817</v>
      </c>
      <c r="L125" s="18" t="str">
        <f t="shared" ca="1" si="4"/>
        <v>Réglé</v>
      </c>
      <c r="M125" s="22">
        <v>43815</v>
      </c>
      <c r="N125" s="46">
        <f t="shared" ca="1" si="5"/>
        <v>0</v>
      </c>
      <c r="O125" s="23" t="s">
        <v>322</v>
      </c>
      <c r="P125" s="19" t="s">
        <v>343</v>
      </c>
      <c r="Q125" s="35"/>
    </row>
    <row r="126" spans="1:17" hidden="1">
      <c r="A126" s="40">
        <v>1910362</v>
      </c>
      <c r="B126" s="16">
        <v>1910362</v>
      </c>
      <c r="C126" s="41">
        <v>43787</v>
      </c>
      <c r="D126" s="67" t="s">
        <v>224</v>
      </c>
      <c r="E126" s="128">
        <v>66.239999999999995</v>
      </c>
      <c r="F126" s="131"/>
      <c r="G126" s="132"/>
      <c r="H126" s="131"/>
      <c r="I126" s="131"/>
      <c r="J126" s="133">
        <f t="shared" si="3"/>
        <v>66.239999999999995</v>
      </c>
      <c r="K126" s="22">
        <v>43817</v>
      </c>
      <c r="L126" s="18" t="str">
        <f t="shared" ca="1" si="4"/>
        <v>Réglé</v>
      </c>
      <c r="M126" s="22">
        <v>43817</v>
      </c>
      <c r="N126" s="46">
        <f t="shared" ca="1" si="5"/>
        <v>0</v>
      </c>
      <c r="O126" s="23" t="s">
        <v>322</v>
      </c>
      <c r="P126" s="19" t="s">
        <v>343</v>
      </c>
      <c r="Q126" s="35"/>
    </row>
    <row r="127" spans="1:17" hidden="1">
      <c r="A127" s="26" t="s">
        <v>373</v>
      </c>
      <c r="B127" s="122">
        <v>20191276</v>
      </c>
      <c r="C127" s="33">
        <v>43817</v>
      </c>
      <c r="D127" s="71" t="s">
        <v>374</v>
      </c>
      <c r="E127" s="135">
        <v>306</v>
      </c>
      <c r="F127" s="135"/>
      <c r="G127" s="136"/>
      <c r="H127" s="135"/>
      <c r="I127" s="135"/>
      <c r="J127" s="138">
        <f t="shared" si="3"/>
        <v>306</v>
      </c>
      <c r="K127" s="33">
        <v>43817</v>
      </c>
      <c r="L127" s="62" t="str">
        <f t="shared" ca="1" si="4"/>
        <v>Réglé</v>
      </c>
      <c r="M127" s="33">
        <v>43820</v>
      </c>
      <c r="N127" s="123">
        <f t="shared" ca="1" si="5"/>
        <v>0</v>
      </c>
      <c r="O127" s="23" t="s">
        <v>4</v>
      </c>
      <c r="P127" s="19" t="s">
        <v>342</v>
      </c>
      <c r="Q127" s="35"/>
    </row>
    <row r="128" spans="1:17" hidden="1">
      <c r="A128" s="40">
        <v>1910377</v>
      </c>
      <c r="B128" s="16">
        <v>1910377</v>
      </c>
      <c r="C128" s="41">
        <v>43788</v>
      </c>
      <c r="D128" s="67" t="s">
        <v>229</v>
      </c>
      <c r="E128" s="128">
        <v>2820.11</v>
      </c>
      <c r="F128" s="131"/>
      <c r="G128" s="132"/>
      <c r="H128" s="131"/>
      <c r="I128" s="131"/>
      <c r="J128" s="133">
        <f t="shared" si="3"/>
        <v>2820.11</v>
      </c>
      <c r="K128" s="22">
        <v>43818</v>
      </c>
      <c r="L128" s="18" t="str">
        <f t="shared" ca="1" si="4"/>
        <v>Réglé</v>
      </c>
      <c r="M128" s="22">
        <v>43817</v>
      </c>
      <c r="N128" s="46">
        <f t="shared" ca="1" si="5"/>
        <v>0</v>
      </c>
      <c r="O128" s="23" t="s">
        <v>5</v>
      </c>
      <c r="P128" s="19" t="s">
        <v>343</v>
      </c>
      <c r="Q128" s="35"/>
    </row>
    <row r="129" spans="1:17" hidden="1">
      <c r="A129" s="40">
        <v>1910468</v>
      </c>
      <c r="B129" s="16">
        <v>1910468</v>
      </c>
      <c r="C129" s="41">
        <v>43788</v>
      </c>
      <c r="D129" s="67" t="s">
        <v>224</v>
      </c>
      <c r="E129" s="128">
        <v>132.47999999999999</v>
      </c>
      <c r="F129" s="131"/>
      <c r="G129" s="132"/>
      <c r="H129" s="131"/>
      <c r="I129" s="131"/>
      <c r="J129" s="133">
        <f t="shared" si="3"/>
        <v>132.47999999999999</v>
      </c>
      <c r="K129" s="22">
        <v>43818</v>
      </c>
      <c r="L129" s="18" t="str">
        <f t="shared" ca="1" si="4"/>
        <v>Réglé</v>
      </c>
      <c r="M129" s="22">
        <v>43818</v>
      </c>
      <c r="N129" s="46">
        <f t="shared" ca="1" si="5"/>
        <v>0</v>
      </c>
      <c r="O129" s="23" t="s">
        <v>322</v>
      </c>
      <c r="P129" s="19" t="s">
        <v>343</v>
      </c>
      <c r="Q129" s="35"/>
    </row>
    <row r="130" spans="1:17" hidden="1">
      <c r="A130" s="40">
        <v>1910436</v>
      </c>
      <c r="B130" s="16">
        <v>1910436</v>
      </c>
      <c r="C130" s="41">
        <v>43788</v>
      </c>
      <c r="D130" s="67" t="s">
        <v>225</v>
      </c>
      <c r="E130" s="128">
        <v>159.72</v>
      </c>
      <c r="F130" s="131"/>
      <c r="G130" s="132"/>
      <c r="H130" s="131"/>
      <c r="I130" s="131"/>
      <c r="J130" s="133">
        <f t="shared" ref="J130:J193" si="6">IF(ISNUMBER(E130),E130+F130+G130+H130+I130," ")</f>
        <v>159.72</v>
      </c>
      <c r="K130" s="22">
        <v>43819</v>
      </c>
      <c r="L130" s="18" t="str">
        <f t="shared" ref="L130:L193" ca="1" si="7">IF(ISBLANK(C130)," ",IF(ISNUMBER(M130),"Réglé",IF(K130&lt;TODAY(),"Retard",IF(K130=TODAY()," A régler","en attente"))))</f>
        <v>Réglé</v>
      </c>
      <c r="M130" s="22">
        <v>43515</v>
      </c>
      <c r="N130" s="46">
        <f t="shared" ref="N130:N193" ca="1" si="8">IF(ISBLANK(M130),TODAY()-K130,0)</f>
        <v>0</v>
      </c>
      <c r="O130" s="23" t="s">
        <v>322</v>
      </c>
      <c r="P130" s="19" t="s">
        <v>343</v>
      </c>
      <c r="Q130" s="35"/>
    </row>
    <row r="131" spans="1:17" hidden="1">
      <c r="A131" s="40">
        <v>1910517</v>
      </c>
      <c r="B131" s="16">
        <v>1910517</v>
      </c>
      <c r="C131" s="41">
        <v>43789</v>
      </c>
      <c r="D131" s="67" t="s">
        <v>224</v>
      </c>
      <c r="E131" s="128">
        <v>166.89</v>
      </c>
      <c r="F131" s="131"/>
      <c r="G131" s="132"/>
      <c r="H131" s="131"/>
      <c r="I131" s="131"/>
      <c r="J131" s="133">
        <f t="shared" si="6"/>
        <v>166.89</v>
      </c>
      <c r="K131" s="22">
        <v>43819</v>
      </c>
      <c r="L131" s="18" t="str">
        <f t="shared" ca="1" si="7"/>
        <v>Réglé</v>
      </c>
      <c r="M131" s="22">
        <v>43819</v>
      </c>
      <c r="N131" s="46">
        <f t="shared" ca="1" si="8"/>
        <v>0</v>
      </c>
      <c r="O131" s="23" t="s">
        <v>322</v>
      </c>
      <c r="P131" s="19" t="s">
        <v>343</v>
      </c>
      <c r="Q131" s="35"/>
    </row>
    <row r="132" spans="1:17" hidden="1">
      <c r="A132" s="121">
        <v>1910476</v>
      </c>
      <c r="B132" s="122">
        <v>201911146</v>
      </c>
      <c r="C132" s="33">
        <v>43789</v>
      </c>
      <c r="D132" s="71" t="s">
        <v>229</v>
      </c>
      <c r="E132" s="135">
        <v>219.96</v>
      </c>
      <c r="F132" s="135"/>
      <c r="G132" s="136"/>
      <c r="H132" s="135"/>
      <c r="I132" s="135"/>
      <c r="J132" s="138">
        <f t="shared" si="6"/>
        <v>219.96</v>
      </c>
      <c r="K132" s="33">
        <v>43819</v>
      </c>
      <c r="L132" s="62" t="str">
        <f t="shared" ca="1" si="7"/>
        <v>Réglé</v>
      </c>
      <c r="M132" s="33">
        <v>43819</v>
      </c>
      <c r="N132" s="123">
        <f t="shared" ca="1" si="8"/>
        <v>0</v>
      </c>
      <c r="O132" s="23" t="s">
        <v>322</v>
      </c>
      <c r="P132" s="19" t="s">
        <v>343</v>
      </c>
      <c r="Q132" s="35"/>
    </row>
    <row r="133" spans="1:17" hidden="1">
      <c r="A133" s="40">
        <v>1910688</v>
      </c>
      <c r="B133" s="16">
        <v>1910688</v>
      </c>
      <c r="C133" s="41">
        <v>43795</v>
      </c>
      <c r="D133" s="67" t="s">
        <v>226</v>
      </c>
      <c r="E133" s="128">
        <v>975.2</v>
      </c>
      <c r="F133" s="131"/>
      <c r="G133" s="132"/>
      <c r="H133" s="131"/>
      <c r="I133" s="131"/>
      <c r="J133" s="133">
        <f t="shared" si="6"/>
        <v>975.2</v>
      </c>
      <c r="K133" s="22">
        <v>43821</v>
      </c>
      <c r="L133" s="18" t="str">
        <f t="shared" ca="1" si="7"/>
        <v>Réglé</v>
      </c>
      <c r="M133" s="22">
        <v>43826</v>
      </c>
      <c r="N133" s="46">
        <f t="shared" ca="1" si="8"/>
        <v>0</v>
      </c>
      <c r="O133" s="23" t="s">
        <v>322</v>
      </c>
      <c r="P133" s="19" t="s">
        <v>343</v>
      </c>
      <c r="Q133" s="35"/>
    </row>
    <row r="134" spans="1:17" hidden="1">
      <c r="A134" s="40">
        <v>1910614</v>
      </c>
      <c r="B134" s="16">
        <v>1910614</v>
      </c>
      <c r="C134" s="41">
        <v>43791</v>
      </c>
      <c r="D134" s="67" t="s">
        <v>224</v>
      </c>
      <c r="E134" s="128">
        <v>718.52</v>
      </c>
      <c r="F134" s="131"/>
      <c r="G134" s="132"/>
      <c r="H134" s="131"/>
      <c r="I134" s="131"/>
      <c r="J134" s="133">
        <f t="shared" si="6"/>
        <v>718.52</v>
      </c>
      <c r="K134" s="22">
        <v>43821</v>
      </c>
      <c r="L134" s="18" t="str">
        <f t="shared" ca="1" si="7"/>
        <v>Réglé</v>
      </c>
      <c r="M134" s="22">
        <v>43822</v>
      </c>
      <c r="N134" s="46">
        <f t="shared" ca="1" si="8"/>
        <v>0</v>
      </c>
      <c r="O134" s="23" t="s">
        <v>322</v>
      </c>
      <c r="P134" s="19" t="s">
        <v>343</v>
      </c>
      <c r="Q134" s="35"/>
    </row>
    <row r="135" spans="1:17" hidden="1">
      <c r="A135" s="40">
        <v>1910477</v>
      </c>
      <c r="B135" s="16">
        <v>1910477</v>
      </c>
      <c r="C135" s="41">
        <v>43789</v>
      </c>
      <c r="D135" s="67" t="s">
        <v>224</v>
      </c>
      <c r="E135" s="128">
        <v>4153.8599999999997</v>
      </c>
      <c r="F135" s="131"/>
      <c r="G135" s="132"/>
      <c r="H135" s="131"/>
      <c r="I135" s="131"/>
      <c r="J135" s="133">
        <f t="shared" si="6"/>
        <v>4153.8599999999997</v>
      </c>
      <c r="K135" s="22">
        <v>43824</v>
      </c>
      <c r="L135" s="18" t="str">
        <f t="shared" ca="1" si="7"/>
        <v>Réglé</v>
      </c>
      <c r="M135" s="22">
        <v>43819</v>
      </c>
      <c r="N135" s="46">
        <f t="shared" ca="1" si="8"/>
        <v>0</v>
      </c>
      <c r="O135" s="23" t="s">
        <v>322</v>
      </c>
      <c r="P135" s="19" t="s">
        <v>343</v>
      </c>
      <c r="Q135" s="35"/>
    </row>
    <row r="136" spans="1:17" hidden="1">
      <c r="A136" s="40">
        <v>1910672</v>
      </c>
      <c r="B136" s="16">
        <v>1910672</v>
      </c>
      <c r="C136" s="41">
        <v>43794</v>
      </c>
      <c r="D136" s="67" t="s">
        <v>224</v>
      </c>
      <c r="E136" s="128">
        <v>132.47999999999999</v>
      </c>
      <c r="F136" s="131"/>
      <c r="G136" s="132"/>
      <c r="H136" s="131"/>
      <c r="I136" s="131"/>
      <c r="J136" s="144">
        <f t="shared" si="6"/>
        <v>132.47999999999999</v>
      </c>
      <c r="K136" s="22">
        <v>43824</v>
      </c>
      <c r="L136" s="18" t="str">
        <f t="shared" ca="1" si="7"/>
        <v>Réglé</v>
      </c>
      <c r="M136" s="22">
        <v>43826</v>
      </c>
      <c r="N136" s="46">
        <f t="shared" ca="1" si="8"/>
        <v>0</v>
      </c>
      <c r="O136" s="23" t="s">
        <v>322</v>
      </c>
      <c r="P136" s="19" t="s">
        <v>343</v>
      </c>
      <c r="Q136" s="35"/>
    </row>
    <row r="137" spans="1:17" hidden="1">
      <c r="A137" s="40">
        <v>1910673</v>
      </c>
      <c r="B137" s="16">
        <v>1910673</v>
      </c>
      <c r="C137" s="41">
        <v>43794</v>
      </c>
      <c r="D137" s="67" t="s">
        <v>228</v>
      </c>
      <c r="E137" s="128">
        <v>662.4</v>
      </c>
      <c r="F137" s="131"/>
      <c r="G137" s="132"/>
      <c r="H137" s="131"/>
      <c r="I137" s="131"/>
      <c r="J137" s="133">
        <f t="shared" si="6"/>
        <v>662.4</v>
      </c>
      <c r="K137" s="22">
        <v>43824</v>
      </c>
      <c r="L137" s="18" t="str">
        <f t="shared" ca="1" si="7"/>
        <v>Réglé</v>
      </c>
      <c r="M137" s="22">
        <v>43826</v>
      </c>
      <c r="N137" s="46">
        <f t="shared" ca="1" si="8"/>
        <v>0</v>
      </c>
      <c r="O137" s="23" t="s">
        <v>322</v>
      </c>
      <c r="P137" s="19" t="s">
        <v>343</v>
      </c>
      <c r="Q137" s="35"/>
    </row>
    <row r="138" spans="1:17" hidden="1">
      <c r="A138" s="26" t="s">
        <v>380</v>
      </c>
      <c r="B138" s="125">
        <v>20191270</v>
      </c>
      <c r="C138" s="33">
        <v>43818</v>
      </c>
      <c r="D138" s="71" t="s">
        <v>381</v>
      </c>
      <c r="E138" s="135">
        <v>612.36</v>
      </c>
      <c r="F138" s="135"/>
      <c r="G138" s="136"/>
      <c r="H138" s="135"/>
      <c r="I138" s="135"/>
      <c r="J138" s="139">
        <f t="shared" si="6"/>
        <v>612.36</v>
      </c>
      <c r="K138" s="33">
        <v>43824</v>
      </c>
      <c r="L138" s="126" t="str">
        <f t="shared" ca="1" si="7"/>
        <v>Réglé</v>
      </c>
      <c r="M138" s="33">
        <v>43820</v>
      </c>
      <c r="N138" s="127">
        <f t="shared" ca="1" si="8"/>
        <v>0</v>
      </c>
      <c r="O138" s="23" t="s">
        <v>4</v>
      </c>
      <c r="P138" s="19" t="s">
        <v>342</v>
      </c>
      <c r="Q138" s="35"/>
    </row>
    <row r="139" spans="1:17" hidden="1">
      <c r="A139" s="40">
        <v>1910677</v>
      </c>
      <c r="B139" s="16">
        <v>1910677</v>
      </c>
      <c r="C139" s="41">
        <v>43794</v>
      </c>
      <c r="D139" s="67" t="s">
        <v>224</v>
      </c>
      <c r="E139" s="128">
        <v>58.46</v>
      </c>
      <c r="F139" s="131"/>
      <c r="G139" s="132"/>
      <c r="H139" s="131"/>
      <c r="I139" s="131"/>
      <c r="J139" s="144">
        <f t="shared" si="6"/>
        <v>58.46</v>
      </c>
      <c r="K139" s="22">
        <v>43825</v>
      </c>
      <c r="L139" s="18" t="str">
        <f t="shared" ca="1" si="7"/>
        <v>Réglé</v>
      </c>
      <c r="M139" s="22">
        <v>43826</v>
      </c>
      <c r="N139" s="46">
        <f t="shared" ca="1" si="8"/>
        <v>0</v>
      </c>
      <c r="O139" s="23" t="s">
        <v>322</v>
      </c>
      <c r="P139" s="19" t="s">
        <v>343</v>
      </c>
      <c r="Q139" s="35"/>
    </row>
    <row r="140" spans="1:17" hidden="1">
      <c r="A140" s="40">
        <v>1910714</v>
      </c>
      <c r="B140" s="16">
        <v>1910714</v>
      </c>
      <c r="C140" s="41">
        <v>43795</v>
      </c>
      <c r="D140" s="67" t="s">
        <v>224</v>
      </c>
      <c r="E140" s="128">
        <v>105.6</v>
      </c>
      <c r="F140" s="131"/>
      <c r="G140" s="132"/>
      <c r="H140" s="131"/>
      <c r="I140" s="131"/>
      <c r="J140" s="133">
        <f t="shared" si="6"/>
        <v>105.6</v>
      </c>
      <c r="K140" s="22">
        <v>43825</v>
      </c>
      <c r="L140" s="18" t="str">
        <f t="shared" ca="1" si="7"/>
        <v>Réglé</v>
      </c>
      <c r="M140" s="22">
        <v>43826</v>
      </c>
      <c r="N140" s="46">
        <f t="shared" ca="1" si="8"/>
        <v>0</v>
      </c>
      <c r="O140" s="23" t="s">
        <v>322</v>
      </c>
      <c r="P140" s="19" t="s">
        <v>343</v>
      </c>
      <c r="Q140" s="35"/>
    </row>
    <row r="141" spans="1:17" hidden="1">
      <c r="A141" s="40">
        <v>1910689</v>
      </c>
      <c r="B141" s="16">
        <v>1910689</v>
      </c>
      <c r="C141" s="41">
        <v>43795</v>
      </c>
      <c r="D141" s="67" t="s">
        <v>227</v>
      </c>
      <c r="E141" s="128">
        <v>1615.39</v>
      </c>
      <c r="F141" s="131"/>
      <c r="G141" s="132"/>
      <c r="H141" s="131"/>
      <c r="I141" s="131"/>
      <c r="J141" s="133">
        <f t="shared" si="6"/>
        <v>1615.39</v>
      </c>
      <c r="K141" s="22">
        <v>43825</v>
      </c>
      <c r="L141" s="18" t="str">
        <f t="shared" ca="1" si="7"/>
        <v>Réglé</v>
      </c>
      <c r="M141" s="22">
        <v>43826</v>
      </c>
      <c r="N141" s="46">
        <f t="shared" ca="1" si="8"/>
        <v>0</v>
      </c>
      <c r="O141" s="23" t="s">
        <v>322</v>
      </c>
      <c r="P141" s="19" t="s">
        <v>343</v>
      </c>
      <c r="Q141" s="35"/>
    </row>
    <row r="142" spans="1:17" hidden="1">
      <c r="A142" s="44">
        <v>1910742</v>
      </c>
      <c r="B142" s="21">
        <v>201911117</v>
      </c>
      <c r="C142" s="45">
        <v>43796</v>
      </c>
      <c r="D142" s="68" t="s">
        <v>228</v>
      </c>
      <c r="E142" s="135">
        <v>132.47999999999999</v>
      </c>
      <c r="F142" s="135"/>
      <c r="G142" s="136"/>
      <c r="H142" s="135"/>
      <c r="I142" s="135"/>
      <c r="J142" s="137">
        <f t="shared" si="6"/>
        <v>132.47999999999999</v>
      </c>
      <c r="K142" s="33">
        <v>43826</v>
      </c>
      <c r="L142" s="18" t="str">
        <f t="shared" ca="1" si="7"/>
        <v>Réglé</v>
      </c>
      <c r="M142" s="33">
        <v>43826</v>
      </c>
      <c r="N142" s="47">
        <f t="shared" ca="1" si="8"/>
        <v>0</v>
      </c>
      <c r="O142" s="23" t="s">
        <v>322</v>
      </c>
      <c r="P142" s="19" t="s">
        <v>343</v>
      </c>
      <c r="Q142" s="63"/>
    </row>
    <row r="143" spans="1:17" hidden="1">
      <c r="A143" s="34">
        <v>1910743</v>
      </c>
      <c r="B143" s="27">
        <v>201911129</v>
      </c>
      <c r="C143" s="33">
        <v>43796</v>
      </c>
      <c r="D143" s="68" t="s">
        <v>227</v>
      </c>
      <c r="E143" s="135">
        <v>66.239999999999995</v>
      </c>
      <c r="F143" s="135"/>
      <c r="G143" s="136"/>
      <c r="H143" s="135"/>
      <c r="I143" s="135"/>
      <c r="J143" s="137">
        <f t="shared" si="6"/>
        <v>66.239999999999995</v>
      </c>
      <c r="K143" s="33">
        <v>43826</v>
      </c>
      <c r="L143" s="18" t="str">
        <f t="shared" ca="1" si="7"/>
        <v>Réglé</v>
      </c>
      <c r="M143" s="33">
        <v>43826</v>
      </c>
      <c r="N143" s="47">
        <f t="shared" ca="1" si="8"/>
        <v>0</v>
      </c>
      <c r="O143" s="23" t="s">
        <v>322</v>
      </c>
      <c r="P143" s="19" t="s">
        <v>343</v>
      </c>
      <c r="Q143" s="63"/>
    </row>
    <row r="144" spans="1:17" hidden="1">
      <c r="A144" s="26">
        <v>107864</v>
      </c>
      <c r="B144" s="27">
        <v>201911144</v>
      </c>
      <c r="C144" s="33">
        <v>43799</v>
      </c>
      <c r="D144" s="66" t="s">
        <v>353</v>
      </c>
      <c r="E144" s="135">
        <v>180.42</v>
      </c>
      <c r="F144" s="135"/>
      <c r="G144" s="136"/>
      <c r="H144" s="135"/>
      <c r="I144" s="135"/>
      <c r="J144" s="133">
        <f t="shared" si="6"/>
        <v>180.42</v>
      </c>
      <c r="K144" s="33">
        <v>43829</v>
      </c>
      <c r="L144" s="62" t="str">
        <f t="shared" ca="1" si="7"/>
        <v>Réglé</v>
      </c>
      <c r="M144" s="33">
        <v>43811</v>
      </c>
      <c r="N144" s="47">
        <f t="shared" ca="1" si="8"/>
        <v>0</v>
      </c>
      <c r="O144" s="23" t="s">
        <v>4</v>
      </c>
      <c r="P144" s="19" t="s">
        <v>342</v>
      </c>
      <c r="Q144" s="63"/>
    </row>
    <row r="145" spans="1:17" hidden="1">
      <c r="A145" s="20">
        <v>3098</v>
      </c>
      <c r="B145" s="21">
        <v>20191163</v>
      </c>
      <c r="C145" s="22">
        <v>43798</v>
      </c>
      <c r="D145" s="66" t="s">
        <v>183</v>
      </c>
      <c r="E145" s="128">
        <v>529.20000000000005</v>
      </c>
      <c r="F145" s="131"/>
      <c r="G145" s="132"/>
      <c r="H145" s="131"/>
      <c r="I145" s="131"/>
      <c r="J145" s="133">
        <f t="shared" si="6"/>
        <v>529.20000000000005</v>
      </c>
      <c r="K145" s="22">
        <v>43830</v>
      </c>
      <c r="L145" s="18" t="str">
        <f t="shared" ca="1" si="7"/>
        <v>Réglé</v>
      </c>
      <c r="M145" s="22">
        <v>43810</v>
      </c>
      <c r="N145" s="46">
        <f t="shared" ca="1" si="8"/>
        <v>0</v>
      </c>
      <c r="O145" s="23" t="s">
        <v>4</v>
      </c>
      <c r="P145" s="19" t="s">
        <v>342</v>
      </c>
      <c r="Q145" s="35"/>
    </row>
    <row r="146" spans="1:17" hidden="1">
      <c r="A146" s="20">
        <v>2656952</v>
      </c>
      <c r="B146" s="21">
        <v>20191124</v>
      </c>
      <c r="C146" s="22">
        <v>43774</v>
      </c>
      <c r="D146" s="66" t="s">
        <v>278</v>
      </c>
      <c r="E146" s="128">
        <v>2233.63</v>
      </c>
      <c r="F146" s="131"/>
      <c r="G146" s="132"/>
      <c r="H146" s="131"/>
      <c r="I146" s="131"/>
      <c r="J146" s="133">
        <f t="shared" si="6"/>
        <v>2233.63</v>
      </c>
      <c r="K146" s="22">
        <v>43835</v>
      </c>
      <c r="L146" s="18" t="str">
        <f t="shared" ca="1" si="7"/>
        <v>Réglé</v>
      </c>
      <c r="M146" s="22">
        <v>43811</v>
      </c>
      <c r="N146" s="46">
        <f t="shared" ca="1" si="8"/>
        <v>0</v>
      </c>
      <c r="O146" s="23" t="s">
        <v>4</v>
      </c>
      <c r="P146" s="19" t="s">
        <v>342</v>
      </c>
      <c r="Q146" s="35"/>
    </row>
    <row r="147" spans="1:17" hidden="1">
      <c r="A147" s="145">
        <v>43770</v>
      </c>
      <c r="B147" s="27">
        <v>201911150</v>
      </c>
      <c r="C147" s="33">
        <v>43799</v>
      </c>
      <c r="D147" s="71" t="s">
        <v>289</v>
      </c>
      <c r="E147" s="135">
        <v>5779.02</v>
      </c>
      <c r="F147" s="135"/>
      <c r="G147" s="136"/>
      <c r="H147" s="135"/>
      <c r="I147" s="135"/>
      <c r="J147" s="133">
        <f t="shared" si="6"/>
        <v>5779.02</v>
      </c>
      <c r="K147" s="33">
        <v>43830</v>
      </c>
      <c r="L147" s="62" t="str">
        <f t="shared" ca="1" si="7"/>
        <v>Réglé</v>
      </c>
      <c r="M147" s="33">
        <v>43828</v>
      </c>
      <c r="N147" s="47">
        <f t="shared" ca="1" si="8"/>
        <v>0</v>
      </c>
      <c r="O147" s="23" t="s">
        <v>4</v>
      </c>
      <c r="P147" s="19" t="s">
        <v>324</v>
      </c>
      <c r="Q147" s="35"/>
    </row>
    <row r="148" spans="1:17" hidden="1">
      <c r="A148" s="145">
        <v>43770</v>
      </c>
      <c r="B148" s="27">
        <v>201911151</v>
      </c>
      <c r="C148" s="33">
        <v>43799</v>
      </c>
      <c r="D148" s="71" t="s">
        <v>288</v>
      </c>
      <c r="E148" s="135">
        <v>3343.35</v>
      </c>
      <c r="F148" s="135"/>
      <c r="G148" s="136"/>
      <c r="H148" s="135"/>
      <c r="I148" s="135"/>
      <c r="J148" s="133">
        <f t="shared" si="6"/>
        <v>3343.35</v>
      </c>
      <c r="K148" s="33">
        <v>43830</v>
      </c>
      <c r="L148" s="62" t="str">
        <f t="shared" ca="1" si="7"/>
        <v>Réglé</v>
      </c>
      <c r="M148" s="33">
        <v>43828</v>
      </c>
      <c r="N148" s="47">
        <f t="shared" ca="1" si="8"/>
        <v>0</v>
      </c>
      <c r="O148" s="23" t="s">
        <v>4</v>
      </c>
      <c r="P148" s="19" t="s">
        <v>324</v>
      </c>
      <c r="Q148" s="35"/>
    </row>
    <row r="149" spans="1:17" hidden="1">
      <c r="A149" s="145">
        <v>43770</v>
      </c>
      <c r="B149" s="27">
        <v>201911152</v>
      </c>
      <c r="C149" s="33">
        <v>43799</v>
      </c>
      <c r="D149" s="71" t="s">
        <v>286</v>
      </c>
      <c r="E149" s="135">
        <v>1406.01</v>
      </c>
      <c r="F149" s="135"/>
      <c r="G149" s="136"/>
      <c r="H149" s="135"/>
      <c r="I149" s="135"/>
      <c r="J149" s="133">
        <f t="shared" si="6"/>
        <v>1406.01</v>
      </c>
      <c r="K149" s="33">
        <v>43830</v>
      </c>
      <c r="L149" s="62" t="str">
        <f t="shared" ca="1" si="7"/>
        <v>Réglé</v>
      </c>
      <c r="M149" s="33">
        <v>43828</v>
      </c>
      <c r="N149" s="47">
        <f t="shared" ca="1" si="8"/>
        <v>0</v>
      </c>
      <c r="O149" s="23" t="s">
        <v>4</v>
      </c>
      <c r="P149" s="19" t="s">
        <v>324</v>
      </c>
      <c r="Q149" s="35"/>
    </row>
    <row r="150" spans="1:17" hidden="1">
      <c r="A150" s="145">
        <v>43770</v>
      </c>
      <c r="B150" s="27">
        <v>201911153</v>
      </c>
      <c r="C150" s="33">
        <v>43799</v>
      </c>
      <c r="D150" s="71" t="s">
        <v>290</v>
      </c>
      <c r="E150" s="135">
        <v>2066.8000000000002</v>
      </c>
      <c r="F150" s="135"/>
      <c r="G150" s="136"/>
      <c r="H150" s="135"/>
      <c r="I150" s="135"/>
      <c r="J150" s="133">
        <f t="shared" si="6"/>
        <v>2066.8000000000002</v>
      </c>
      <c r="K150" s="33">
        <v>43830</v>
      </c>
      <c r="L150" s="62" t="str">
        <f t="shared" ca="1" si="7"/>
        <v>Réglé</v>
      </c>
      <c r="M150" s="33">
        <v>43828</v>
      </c>
      <c r="N150" s="47">
        <f t="shared" ca="1" si="8"/>
        <v>0</v>
      </c>
      <c r="O150" s="23" t="s">
        <v>4</v>
      </c>
      <c r="P150" s="19" t="s">
        <v>324</v>
      </c>
      <c r="Q150" s="35"/>
    </row>
    <row r="151" spans="1:17" hidden="1">
      <c r="A151" s="20" t="s">
        <v>141</v>
      </c>
      <c r="B151" s="21">
        <v>201907137</v>
      </c>
      <c r="C151" s="22">
        <v>43675</v>
      </c>
      <c r="D151" s="66" t="s">
        <v>283</v>
      </c>
      <c r="E151" s="128">
        <v>-64.72</v>
      </c>
      <c r="F151" s="128"/>
      <c r="G151" s="129"/>
      <c r="H151" s="128"/>
      <c r="I151" s="128"/>
      <c r="J151" s="130">
        <f t="shared" si="6"/>
        <v>-64.72</v>
      </c>
      <c r="K151" s="22">
        <v>43706</v>
      </c>
      <c r="L151" s="18" t="str">
        <f t="shared" ca="1" si="7"/>
        <v>Retard</v>
      </c>
      <c r="M151" s="22"/>
      <c r="N151" s="46">
        <f t="shared" ca="1" si="8"/>
        <v>122</v>
      </c>
      <c r="O151" s="23" t="s">
        <v>11</v>
      </c>
      <c r="P151" s="19"/>
      <c r="Q151" s="35"/>
    </row>
    <row r="152" spans="1:17" hidden="1">
      <c r="A152" s="20" t="s">
        <v>142</v>
      </c>
      <c r="B152" s="21">
        <v>201907136</v>
      </c>
      <c r="C152" s="22">
        <v>43675</v>
      </c>
      <c r="D152" s="66" t="s">
        <v>283</v>
      </c>
      <c r="E152" s="128">
        <v>-62.16</v>
      </c>
      <c r="F152" s="131"/>
      <c r="G152" s="132"/>
      <c r="H152" s="131"/>
      <c r="I152" s="131"/>
      <c r="J152" s="130">
        <f t="shared" si="6"/>
        <v>-62.16</v>
      </c>
      <c r="K152" s="22">
        <v>43706</v>
      </c>
      <c r="L152" s="18" t="str">
        <f t="shared" ca="1" si="7"/>
        <v>Retard</v>
      </c>
      <c r="M152" s="22"/>
      <c r="N152" s="46">
        <f t="shared" ca="1" si="8"/>
        <v>122</v>
      </c>
      <c r="O152" s="23" t="s">
        <v>11</v>
      </c>
      <c r="P152" s="19"/>
      <c r="Q152" s="35"/>
    </row>
    <row r="153" spans="1:17" hidden="1">
      <c r="A153" s="40">
        <v>1907185</v>
      </c>
      <c r="B153" s="16">
        <v>1907185</v>
      </c>
      <c r="C153" s="41">
        <v>43676</v>
      </c>
      <c r="D153" s="66" t="s">
        <v>224</v>
      </c>
      <c r="E153" s="128">
        <v>1615.4</v>
      </c>
      <c r="F153" s="131"/>
      <c r="G153" s="132"/>
      <c r="H153" s="131"/>
      <c r="I153" s="131"/>
      <c r="J153" s="133">
        <f t="shared" si="6"/>
        <v>1615.4</v>
      </c>
      <c r="K153" s="22">
        <v>43722</v>
      </c>
      <c r="L153" s="18" t="str">
        <f t="shared" ca="1" si="7"/>
        <v>Retard</v>
      </c>
      <c r="M153" s="22"/>
      <c r="N153" s="46">
        <f t="shared" ca="1" si="8"/>
        <v>106</v>
      </c>
      <c r="O153" s="23" t="s">
        <v>322</v>
      </c>
      <c r="P153" s="19" t="s">
        <v>343</v>
      </c>
      <c r="Q153" s="35"/>
    </row>
    <row r="154" spans="1:17" hidden="1">
      <c r="A154" s="40">
        <v>1906796</v>
      </c>
      <c r="B154" s="16">
        <v>1906796</v>
      </c>
      <c r="C154" s="41">
        <v>43661</v>
      </c>
      <c r="D154" s="66" t="s">
        <v>348</v>
      </c>
      <c r="E154" s="128">
        <v>66.239999999999995</v>
      </c>
      <c r="F154" s="131"/>
      <c r="G154" s="132"/>
      <c r="H154" s="131"/>
      <c r="I154" s="131"/>
      <c r="J154" s="133">
        <f t="shared" si="6"/>
        <v>66.239999999999995</v>
      </c>
      <c r="K154" s="22">
        <v>43722</v>
      </c>
      <c r="L154" s="18" t="str">
        <f t="shared" ca="1" si="7"/>
        <v>Retard</v>
      </c>
      <c r="M154" s="22"/>
      <c r="N154" s="46">
        <f t="shared" ca="1" si="8"/>
        <v>106</v>
      </c>
      <c r="O154" s="23" t="s">
        <v>322</v>
      </c>
      <c r="P154" s="19" t="s">
        <v>343</v>
      </c>
      <c r="Q154" s="35"/>
    </row>
    <row r="155" spans="1:17" hidden="1">
      <c r="A155" s="40">
        <v>1906798</v>
      </c>
      <c r="B155" s="16">
        <v>1906798</v>
      </c>
      <c r="C155" s="41">
        <v>43661</v>
      </c>
      <c r="D155" s="66" t="s">
        <v>228</v>
      </c>
      <c r="E155" s="128">
        <v>66.239999999999995</v>
      </c>
      <c r="F155" s="131"/>
      <c r="G155" s="132"/>
      <c r="H155" s="131"/>
      <c r="I155" s="131"/>
      <c r="J155" s="133">
        <f t="shared" si="6"/>
        <v>66.239999999999995</v>
      </c>
      <c r="K155" s="22">
        <v>43733</v>
      </c>
      <c r="L155" s="18" t="str">
        <f t="shared" ca="1" si="7"/>
        <v>Retard</v>
      </c>
      <c r="M155" s="22"/>
      <c r="N155" s="46">
        <f t="shared" ca="1" si="8"/>
        <v>95</v>
      </c>
      <c r="O155" s="23"/>
      <c r="P155" s="19"/>
      <c r="Q155" s="35"/>
    </row>
    <row r="156" spans="1:17" hidden="1">
      <c r="A156" s="40">
        <v>1907359</v>
      </c>
      <c r="B156" s="16">
        <v>1907359</v>
      </c>
      <c r="C156" s="41">
        <v>43703</v>
      </c>
      <c r="D156" s="66" t="s">
        <v>227</v>
      </c>
      <c r="E156" s="128">
        <v>66.239999999999995</v>
      </c>
      <c r="F156" s="131"/>
      <c r="G156" s="132"/>
      <c r="H156" s="131"/>
      <c r="I156" s="131"/>
      <c r="J156" s="133">
        <f t="shared" si="6"/>
        <v>66.239999999999995</v>
      </c>
      <c r="K156" s="22">
        <v>43733</v>
      </c>
      <c r="L156" s="18" t="str">
        <f t="shared" ca="1" si="7"/>
        <v>Retard</v>
      </c>
      <c r="M156" s="22"/>
      <c r="N156" s="46">
        <f t="shared" ca="1" si="8"/>
        <v>95</v>
      </c>
      <c r="O156" s="23" t="s">
        <v>322</v>
      </c>
      <c r="P156" s="19" t="s">
        <v>343</v>
      </c>
      <c r="Q156" s="35"/>
    </row>
    <row r="157" spans="1:17" hidden="1">
      <c r="A157" s="42" t="s">
        <v>222</v>
      </c>
      <c r="B157" s="43" t="s">
        <v>222</v>
      </c>
      <c r="C157" s="41">
        <v>43710</v>
      </c>
      <c r="D157" s="66" t="s">
        <v>228</v>
      </c>
      <c r="E157" s="128">
        <v>-1615.39</v>
      </c>
      <c r="F157" s="131"/>
      <c r="G157" s="132"/>
      <c r="H157" s="131"/>
      <c r="I157" s="131"/>
      <c r="J157" s="130">
        <f t="shared" si="6"/>
        <v>-1615.39</v>
      </c>
      <c r="K157" s="22">
        <v>43761</v>
      </c>
      <c r="L157" s="18" t="str">
        <f t="shared" ca="1" si="7"/>
        <v>Retard</v>
      </c>
      <c r="M157" s="22"/>
      <c r="N157" s="46">
        <f t="shared" ca="1" si="8"/>
        <v>67</v>
      </c>
      <c r="O157" s="23" t="s">
        <v>322</v>
      </c>
      <c r="P157" s="19" t="s">
        <v>343</v>
      </c>
      <c r="Q157" s="35"/>
    </row>
    <row r="158" spans="1:17" hidden="1">
      <c r="A158" s="40">
        <v>1908540</v>
      </c>
      <c r="B158" s="16">
        <v>1908540</v>
      </c>
      <c r="C158" s="41">
        <v>43733</v>
      </c>
      <c r="D158" s="67" t="s">
        <v>224</v>
      </c>
      <c r="E158" s="128">
        <v>2737.19</v>
      </c>
      <c r="F158" s="131"/>
      <c r="G158" s="132"/>
      <c r="H158" s="131"/>
      <c r="I158" s="131"/>
      <c r="J158" s="133">
        <f t="shared" si="6"/>
        <v>2737.19</v>
      </c>
      <c r="K158" s="22">
        <v>43765</v>
      </c>
      <c r="L158" s="18" t="str">
        <f t="shared" ca="1" si="7"/>
        <v>Retard</v>
      </c>
      <c r="M158" s="22"/>
      <c r="N158" s="46">
        <f t="shared" ca="1" si="8"/>
        <v>63</v>
      </c>
      <c r="O158" s="23" t="s">
        <v>322</v>
      </c>
      <c r="P158" s="19" t="s">
        <v>343</v>
      </c>
      <c r="Q158" s="35"/>
    </row>
    <row r="159" spans="1:17" hidden="1">
      <c r="A159" s="15" t="s">
        <v>12</v>
      </c>
      <c r="B159" s="16">
        <v>20191147</v>
      </c>
      <c r="C159" s="17">
        <v>43774</v>
      </c>
      <c r="D159" s="66" t="s">
        <v>350</v>
      </c>
      <c r="E159" s="134">
        <v>600</v>
      </c>
      <c r="F159" s="131"/>
      <c r="G159" s="132"/>
      <c r="H159" s="131"/>
      <c r="I159" s="131"/>
      <c r="J159" s="133">
        <f t="shared" si="6"/>
        <v>600</v>
      </c>
      <c r="K159" s="17">
        <v>43774</v>
      </c>
      <c r="L159" s="18" t="str">
        <f t="shared" ca="1" si="7"/>
        <v>Retard</v>
      </c>
      <c r="M159" s="17"/>
      <c r="N159" s="46">
        <f t="shared" ca="1" si="8"/>
        <v>54</v>
      </c>
      <c r="O159" s="23"/>
      <c r="P159" s="19"/>
      <c r="Q159" s="35"/>
    </row>
    <row r="160" spans="1:17" hidden="1">
      <c r="A160" s="40">
        <v>1908853</v>
      </c>
      <c r="B160" s="16">
        <v>1908853</v>
      </c>
      <c r="C160" s="41">
        <v>43741</v>
      </c>
      <c r="D160" s="67" t="s">
        <v>227</v>
      </c>
      <c r="E160" s="128">
        <v>1153.8499999999999</v>
      </c>
      <c r="F160" s="131"/>
      <c r="G160" s="132"/>
      <c r="H160" s="131"/>
      <c r="I160" s="131"/>
      <c r="J160" s="133">
        <f t="shared" si="6"/>
        <v>1153.8499999999999</v>
      </c>
      <c r="K160" s="22">
        <v>43775</v>
      </c>
      <c r="L160" s="18" t="str">
        <f t="shared" ca="1" si="7"/>
        <v>Retard</v>
      </c>
      <c r="M160" s="22"/>
      <c r="N160" s="46">
        <f t="shared" ca="1" si="8"/>
        <v>53</v>
      </c>
      <c r="O160" s="23" t="s">
        <v>322</v>
      </c>
      <c r="P160" s="19" t="s">
        <v>343</v>
      </c>
      <c r="Q160" s="35"/>
    </row>
    <row r="161" spans="1:17" hidden="1">
      <c r="A161" s="20" t="s">
        <v>174</v>
      </c>
      <c r="B161" s="21">
        <v>20191186</v>
      </c>
      <c r="C161" s="22">
        <v>43775</v>
      </c>
      <c r="D161" s="66" t="s">
        <v>285</v>
      </c>
      <c r="E161" s="128">
        <v>1653</v>
      </c>
      <c r="F161" s="131"/>
      <c r="G161" s="132"/>
      <c r="H161" s="131"/>
      <c r="I161" s="131"/>
      <c r="J161" s="133">
        <f t="shared" si="6"/>
        <v>1653</v>
      </c>
      <c r="K161" s="22">
        <v>43783</v>
      </c>
      <c r="L161" s="18" t="str">
        <f t="shared" ca="1" si="7"/>
        <v>Retard</v>
      </c>
      <c r="M161" s="22"/>
      <c r="N161" s="46">
        <f t="shared" ca="1" si="8"/>
        <v>45</v>
      </c>
      <c r="O161" s="23"/>
      <c r="P161" s="19"/>
      <c r="Q161" s="35"/>
    </row>
    <row r="162" spans="1:17" hidden="1">
      <c r="A162" s="20" t="s">
        <v>239</v>
      </c>
      <c r="B162" s="21">
        <v>201911134</v>
      </c>
      <c r="C162" s="22">
        <v>43784</v>
      </c>
      <c r="D162" s="66" t="s">
        <v>240</v>
      </c>
      <c r="E162" s="128">
        <v>328.96</v>
      </c>
      <c r="F162" s="131"/>
      <c r="G162" s="132"/>
      <c r="H162" s="131"/>
      <c r="I162" s="131"/>
      <c r="J162" s="133">
        <f t="shared" si="6"/>
        <v>328.96</v>
      </c>
      <c r="K162" s="22">
        <v>43784</v>
      </c>
      <c r="L162" s="18" t="str">
        <f t="shared" ca="1" si="7"/>
        <v>Retard</v>
      </c>
      <c r="M162" s="22"/>
      <c r="N162" s="46">
        <f t="shared" ca="1" si="8"/>
        <v>44</v>
      </c>
      <c r="O162" s="23"/>
      <c r="P162" s="19"/>
      <c r="Q162" s="35"/>
    </row>
    <row r="163" spans="1:17" hidden="1">
      <c r="A163" s="20">
        <v>1959772</v>
      </c>
      <c r="B163" s="21">
        <v>20191184</v>
      </c>
      <c r="C163" s="22">
        <v>43789</v>
      </c>
      <c r="D163" s="66" t="s">
        <v>38</v>
      </c>
      <c r="E163" s="128">
        <v>909</v>
      </c>
      <c r="F163" s="131"/>
      <c r="G163" s="132"/>
      <c r="H163" s="131"/>
      <c r="I163" s="131"/>
      <c r="J163" s="133">
        <f t="shared" si="6"/>
        <v>909</v>
      </c>
      <c r="K163" s="22">
        <v>43789</v>
      </c>
      <c r="L163" s="18" t="str">
        <f t="shared" ca="1" si="7"/>
        <v>Retard</v>
      </c>
      <c r="M163" s="22"/>
      <c r="N163" s="46">
        <f t="shared" ca="1" si="8"/>
        <v>39</v>
      </c>
      <c r="O163" s="23"/>
      <c r="P163" s="19"/>
      <c r="Q163" s="35"/>
    </row>
    <row r="164" spans="1:17" hidden="1">
      <c r="A164" s="20">
        <v>21630914</v>
      </c>
      <c r="B164" s="21">
        <v>20191176</v>
      </c>
      <c r="C164" s="22">
        <v>43791</v>
      </c>
      <c r="D164" s="66" t="s">
        <v>17</v>
      </c>
      <c r="E164" s="128">
        <v>358.4</v>
      </c>
      <c r="F164" s="131"/>
      <c r="G164" s="132"/>
      <c r="H164" s="131"/>
      <c r="I164" s="131"/>
      <c r="J164" s="133">
        <f t="shared" si="6"/>
        <v>358.4</v>
      </c>
      <c r="K164" s="22">
        <v>43791</v>
      </c>
      <c r="L164" s="18" t="str">
        <f t="shared" ca="1" si="7"/>
        <v>Retard</v>
      </c>
      <c r="M164" s="22"/>
      <c r="N164" s="46">
        <f t="shared" ca="1" si="8"/>
        <v>37</v>
      </c>
      <c r="O164" s="23"/>
      <c r="P164" s="19"/>
      <c r="Q164" s="35"/>
    </row>
    <row r="165" spans="1:17" hidden="1">
      <c r="A165" s="20" t="s">
        <v>129</v>
      </c>
      <c r="B165" s="21">
        <v>20191126</v>
      </c>
      <c r="C165" s="22">
        <v>43776</v>
      </c>
      <c r="D165" s="66" t="s">
        <v>282</v>
      </c>
      <c r="E165" s="128">
        <v>494.76</v>
      </c>
      <c r="F165" s="131"/>
      <c r="G165" s="132"/>
      <c r="H165" s="131"/>
      <c r="I165" s="131"/>
      <c r="J165" s="133">
        <f t="shared" si="6"/>
        <v>494.76</v>
      </c>
      <c r="K165" s="22">
        <v>43796</v>
      </c>
      <c r="L165" s="18" t="str">
        <f t="shared" ca="1" si="7"/>
        <v>Retard</v>
      </c>
      <c r="M165" s="22"/>
      <c r="N165" s="46">
        <f t="shared" ca="1" si="8"/>
        <v>32</v>
      </c>
      <c r="O165" s="23"/>
      <c r="P165" s="19"/>
      <c r="Q165" s="35"/>
    </row>
    <row r="166" spans="1:17" hidden="1">
      <c r="A166" s="26" t="s">
        <v>325</v>
      </c>
      <c r="B166" s="27">
        <v>201911141</v>
      </c>
      <c r="C166" s="33">
        <v>43796</v>
      </c>
      <c r="D166" s="66" t="s">
        <v>354</v>
      </c>
      <c r="E166" s="135">
        <v>349</v>
      </c>
      <c r="F166" s="135"/>
      <c r="G166" s="136"/>
      <c r="H166" s="135"/>
      <c r="I166" s="135"/>
      <c r="J166" s="133">
        <f t="shared" si="6"/>
        <v>349</v>
      </c>
      <c r="K166" s="33">
        <v>43796</v>
      </c>
      <c r="L166" s="62" t="str">
        <f t="shared" ca="1" si="7"/>
        <v>Retard</v>
      </c>
      <c r="M166" s="33"/>
      <c r="N166" s="47">
        <f t="shared" ca="1" si="8"/>
        <v>32</v>
      </c>
      <c r="O166" s="23"/>
      <c r="P166" s="32"/>
      <c r="Q166" s="63"/>
    </row>
    <row r="167" spans="1:17" hidden="1">
      <c r="A167" s="26">
        <v>191114843</v>
      </c>
      <c r="B167" s="27">
        <v>201911127</v>
      </c>
      <c r="C167" s="33">
        <v>43797</v>
      </c>
      <c r="D167" s="66" t="s">
        <v>267</v>
      </c>
      <c r="E167" s="135">
        <v>946.22</v>
      </c>
      <c r="F167" s="135"/>
      <c r="G167" s="136"/>
      <c r="H167" s="135"/>
      <c r="I167" s="135"/>
      <c r="J167" s="133">
        <f t="shared" si="6"/>
        <v>946.22</v>
      </c>
      <c r="K167" s="33">
        <v>43797</v>
      </c>
      <c r="L167" s="18" t="str">
        <f t="shared" ca="1" si="7"/>
        <v>Retard</v>
      </c>
      <c r="M167" s="33"/>
      <c r="N167" s="47">
        <f t="shared" ca="1" si="8"/>
        <v>31</v>
      </c>
      <c r="O167" s="23"/>
      <c r="P167" s="32"/>
      <c r="Q167" s="63"/>
    </row>
    <row r="168" spans="1:17" hidden="1">
      <c r="A168" s="26">
        <v>191114934</v>
      </c>
      <c r="B168" s="27">
        <v>201911135</v>
      </c>
      <c r="C168" s="33">
        <v>43798</v>
      </c>
      <c r="D168" s="66" t="s">
        <v>267</v>
      </c>
      <c r="E168" s="135">
        <v>214.02</v>
      </c>
      <c r="F168" s="135"/>
      <c r="G168" s="136"/>
      <c r="H168" s="135"/>
      <c r="I168" s="135"/>
      <c r="J168" s="133">
        <f t="shared" si="6"/>
        <v>214.02</v>
      </c>
      <c r="K168" s="33">
        <v>43798</v>
      </c>
      <c r="L168" s="18" t="str">
        <f t="shared" ca="1" si="7"/>
        <v>Retard</v>
      </c>
      <c r="M168" s="33"/>
      <c r="N168" s="47">
        <f t="shared" ca="1" si="8"/>
        <v>30</v>
      </c>
      <c r="O168" s="23"/>
      <c r="P168" s="32"/>
      <c r="Q168" s="63"/>
    </row>
    <row r="169" spans="1:17" hidden="1">
      <c r="A169" s="26">
        <v>20190495</v>
      </c>
      <c r="B169" s="27">
        <v>201911143</v>
      </c>
      <c r="C169" s="33">
        <v>43799</v>
      </c>
      <c r="D169" s="66" t="s">
        <v>291</v>
      </c>
      <c r="E169" s="135">
        <v>606.41</v>
      </c>
      <c r="F169" s="135"/>
      <c r="G169" s="136"/>
      <c r="H169" s="135"/>
      <c r="I169" s="135"/>
      <c r="J169" s="133">
        <f t="shared" si="6"/>
        <v>606.41</v>
      </c>
      <c r="K169" s="33">
        <v>43799</v>
      </c>
      <c r="L169" s="62" t="str">
        <f t="shared" ca="1" si="7"/>
        <v>Retard</v>
      </c>
      <c r="M169" s="33"/>
      <c r="N169" s="47">
        <f t="shared" ca="1" si="8"/>
        <v>29</v>
      </c>
      <c r="O169" s="29" t="s">
        <v>4</v>
      </c>
      <c r="P169" s="32" t="s">
        <v>324</v>
      </c>
      <c r="Q169" s="63"/>
    </row>
    <row r="170" spans="1:17" hidden="1">
      <c r="A170" s="26">
        <v>2019028396</v>
      </c>
      <c r="B170" s="27">
        <v>201911131</v>
      </c>
      <c r="C170" s="33">
        <v>43798</v>
      </c>
      <c r="D170" s="66" t="s">
        <v>277</v>
      </c>
      <c r="E170" s="135">
        <v>168.48</v>
      </c>
      <c r="F170" s="135"/>
      <c r="G170" s="136"/>
      <c r="H170" s="135"/>
      <c r="I170" s="135"/>
      <c r="J170" s="133">
        <f t="shared" si="6"/>
        <v>168.48</v>
      </c>
      <c r="K170" s="33">
        <v>43803</v>
      </c>
      <c r="L170" s="18" t="str">
        <f t="shared" ca="1" si="7"/>
        <v>Retard</v>
      </c>
      <c r="M170" s="33"/>
      <c r="N170" s="47">
        <f t="shared" ca="1" si="8"/>
        <v>25</v>
      </c>
      <c r="O170" s="23"/>
      <c r="P170" s="32"/>
      <c r="Q170" s="63"/>
    </row>
    <row r="171" spans="1:17" hidden="1">
      <c r="A171" s="40">
        <v>1909871</v>
      </c>
      <c r="B171" s="16">
        <v>1909871</v>
      </c>
      <c r="C171" s="41">
        <v>43773</v>
      </c>
      <c r="D171" s="67" t="s">
        <v>228</v>
      </c>
      <c r="E171" s="128">
        <v>1384.63</v>
      </c>
      <c r="F171" s="131"/>
      <c r="G171" s="132"/>
      <c r="H171" s="131"/>
      <c r="I171" s="131"/>
      <c r="J171" s="133">
        <f t="shared" si="6"/>
        <v>1384.63</v>
      </c>
      <c r="K171" s="22">
        <v>43804</v>
      </c>
      <c r="L171" s="18" t="str">
        <f t="shared" ca="1" si="7"/>
        <v>Retard</v>
      </c>
      <c r="M171" s="22"/>
      <c r="N171" s="46">
        <f t="shared" ca="1" si="8"/>
        <v>24</v>
      </c>
      <c r="O171" s="23" t="s">
        <v>322</v>
      </c>
      <c r="P171" s="19" t="s">
        <v>343</v>
      </c>
      <c r="Q171" s="35"/>
    </row>
    <row r="172" spans="1:17" hidden="1">
      <c r="A172" s="26">
        <v>191215188</v>
      </c>
      <c r="B172" s="27">
        <v>20191237</v>
      </c>
      <c r="C172" s="33">
        <v>43804</v>
      </c>
      <c r="D172" s="66" t="s">
        <v>267</v>
      </c>
      <c r="E172" s="135">
        <v>380.71</v>
      </c>
      <c r="F172" s="135"/>
      <c r="G172" s="136"/>
      <c r="H172" s="135"/>
      <c r="I172" s="135"/>
      <c r="J172" s="133">
        <f t="shared" si="6"/>
        <v>380.71</v>
      </c>
      <c r="K172" s="33">
        <v>43804</v>
      </c>
      <c r="L172" s="62" t="str">
        <f t="shared" ca="1" si="7"/>
        <v>Retard</v>
      </c>
      <c r="M172" s="33"/>
      <c r="N172" s="47">
        <f t="shared" ca="1" si="8"/>
        <v>24</v>
      </c>
      <c r="O172" s="23"/>
      <c r="P172" s="32"/>
      <c r="Q172" s="63"/>
    </row>
    <row r="173" spans="1:17" hidden="1">
      <c r="A173" s="20">
        <v>1637495</v>
      </c>
      <c r="B173" s="21">
        <v>20191143</v>
      </c>
      <c r="C173" s="22">
        <v>43775</v>
      </c>
      <c r="D173" s="66" t="s">
        <v>238</v>
      </c>
      <c r="E173" s="128">
        <v>1080.93</v>
      </c>
      <c r="F173" s="131"/>
      <c r="G173" s="132"/>
      <c r="H173" s="131"/>
      <c r="I173" s="131"/>
      <c r="J173" s="133">
        <f t="shared" si="6"/>
        <v>1080.93</v>
      </c>
      <c r="K173" s="22">
        <v>43805</v>
      </c>
      <c r="L173" s="18" t="str">
        <f t="shared" ca="1" si="7"/>
        <v>Retard</v>
      </c>
      <c r="M173" s="22"/>
      <c r="N173" s="46">
        <f t="shared" ca="1" si="8"/>
        <v>23</v>
      </c>
      <c r="O173" s="23"/>
      <c r="P173" s="19"/>
      <c r="Q173" s="35"/>
    </row>
    <row r="174" spans="1:17">
      <c r="A174" s="20" t="s">
        <v>103</v>
      </c>
      <c r="B174" s="21">
        <v>20191152</v>
      </c>
      <c r="C174" s="22">
        <v>43777</v>
      </c>
      <c r="D174" s="66" t="s">
        <v>280</v>
      </c>
      <c r="E174" s="128">
        <v>166.59</v>
      </c>
      <c r="F174" s="131"/>
      <c r="G174" s="132"/>
      <c r="H174" s="131"/>
      <c r="I174" s="131"/>
      <c r="J174" s="133">
        <f t="shared" si="6"/>
        <v>166.59</v>
      </c>
      <c r="K174" s="22">
        <v>43807</v>
      </c>
      <c r="L174" s="18" t="str">
        <f t="shared" ca="1" si="7"/>
        <v>Retard</v>
      </c>
      <c r="M174" s="22"/>
      <c r="N174" s="46">
        <f t="shared" ca="1" si="8"/>
        <v>21</v>
      </c>
      <c r="O174" s="23"/>
      <c r="P174" s="19"/>
      <c r="Q174" s="35"/>
    </row>
    <row r="175" spans="1:17" hidden="1">
      <c r="A175" s="24">
        <v>2200287112</v>
      </c>
      <c r="B175" s="21">
        <v>201911133</v>
      </c>
      <c r="C175" s="22">
        <v>43807</v>
      </c>
      <c r="D175" s="66" t="s">
        <v>249</v>
      </c>
      <c r="E175" s="128">
        <v>1850.31</v>
      </c>
      <c r="F175" s="131"/>
      <c r="G175" s="132"/>
      <c r="H175" s="131"/>
      <c r="I175" s="131"/>
      <c r="J175" s="133">
        <f t="shared" si="6"/>
        <v>1850.31</v>
      </c>
      <c r="K175" s="22">
        <v>43807</v>
      </c>
      <c r="L175" s="18" t="str">
        <f t="shared" ca="1" si="7"/>
        <v>Retard</v>
      </c>
      <c r="M175" s="22"/>
      <c r="N175" s="46">
        <f t="shared" ca="1" si="8"/>
        <v>21</v>
      </c>
      <c r="O175" s="23"/>
      <c r="P175" s="19"/>
      <c r="Q175" s="35"/>
    </row>
    <row r="176" spans="1:17" hidden="1">
      <c r="A176" s="26">
        <v>191215364</v>
      </c>
      <c r="B176" s="27">
        <v>20191235</v>
      </c>
      <c r="C176" s="33">
        <v>43808</v>
      </c>
      <c r="D176" s="66" t="s">
        <v>267</v>
      </c>
      <c r="E176" s="135">
        <v>1944.23</v>
      </c>
      <c r="F176" s="135"/>
      <c r="G176" s="136"/>
      <c r="H176" s="135"/>
      <c r="I176" s="135"/>
      <c r="J176" s="133">
        <f t="shared" si="6"/>
        <v>1944.23</v>
      </c>
      <c r="K176" s="33">
        <v>43808</v>
      </c>
      <c r="L176" s="62" t="str">
        <f t="shared" ca="1" si="7"/>
        <v>Retard</v>
      </c>
      <c r="M176" s="33"/>
      <c r="N176" s="47">
        <f t="shared" ca="1" si="8"/>
        <v>20</v>
      </c>
      <c r="O176" s="23"/>
      <c r="P176" s="32"/>
      <c r="Q176" s="63"/>
    </row>
    <row r="177" spans="1:17" hidden="1">
      <c r="A177" s="121">
        <v>191215465</v>
      </c>
      <c r="B177" s="122">
        <v>20191260</v>
      </c>
      <c r="C177" s="33">
        <v>43810</v>
      </c>
      <c r="D177" s="71" t="s">
        <v>267</v>
      </c>
      <c r="E177" s="135">
        <v>633.98</v>
      </c>
      <c r="F177" s="135"/>
      <c r="G177" s="136"/>
      <c r="H177" s="135"/>
      <c r="I177" s="135"/>
      <c r="J177" s="138">
        <f t="shared" si="6"/>
        <v>633.98</v>
      </c>
      <c r="K177" s="33">
        <v>43810</v>
      </c>
      <c r="L177" s="62" t="str">
        <f t="shared" ca="1" si="7"/>
        <v>Retard</v>
      </c>
      <c r="M177" s="33"/>
      <c r="N177" s="123">
        <f t="shared" ca="1" si="8"/>
        <v>18</v>
      </c>
      <c r="O177" s="23"/>
      <c r="P177" s="19" t="s">
        <v>358</v>
      </c>
      <c r="Q177" s="35"/>
    </row>
    <row r="178" spans="1:17">
      <c r="A178" s="20" t="s">
        <v>102</v>
      </c>
      <c r="B178" s="21">
        <v>20191153</v>
      </c>
      <c r="C178" s="22">
        <v>43781</v>
      </c>
      <c r="D178" s="66" t="s">
        <v>280</v>
      </c>
      <c r="E178" s="128">
        <v>203.31</v>
      </c>
      <c r="F178" s="131"/>
      <c r="G178" s="132"/>
      <c r="H178" s="131"/>
      <c r="I178" s="131"/>
      <c r="J178" s="133">
        <f t="shared" si="6"/>
        <v>203.31</v>
      </c>
      <c r="K178" s="22">
        <v>43811</v>
      </c>
      <c r="L178" s="18" t="str">
        <f t="shared" ca="1" si="7"/>
        <v>Retard</v>
      </c>
      <c r="M178" s="22"/>
      <c r="N178" s="46">
        <f t="shared" ca="1" si="8"/>
        <v>17</v>
      </c>
      <c r="O178" s="23"/>
      <c r="P178" s="19"/>
      <c r="Q178" s="35"/>
    </row>
    <row r="179" spans="1:17" hidden="1">
      <c r="A179" s="40" t="s">
        <v>223</v>
      </c>
      <c r="B179" s="16" t="s">
        <v>223</v>
      </c>
      <c r="C179" s="41">
        <v>43781</v>
      </c>
      <c r="D179" s="67" t="s">
        <v>227</v>
      </c>
      <c r="E179" s="128">
        <v>-1384.62</v>
      </c>
      <c r="F179" s="131"/>
      <c r="G179" s="132"/>
      <c r="H179" s="131"/>
      <c r="I179" s="131"/>
      <c r="J179" s="133">
        <f t="shared" si="6"/>
        <v>-1384.62</v>
      </c>
      <c r="K179" s="22">
        <v>43811</v>
      </c>
      <c r="L179" s="18" t="str">
        <f t="shared" ca="1" si="7"/>
        <v>Retard</v>
      </c>
      <c r="M179" s="22"/>
      <c r="N179" s="46">
        <f t="shared" ca="1" si="8"/>
        <v>17</v>
      </c>
      <c r="O179" s="23" t="s">
        <v>322</v>
      </c>
      <c r="P179" s="19" t="s">
        <v>343</v>
      </c>
      <c r="Q179" s="35"/>
    </row>
    <row r="180" spans="1:17" hidden="1">
      <c r="A180" s="40">
        <v>1910156</v>
      </c>
      <c r="B180" s="16">
        <v>1910156</v>
      </c>
      <c r="C180" s="41">
        <v>43781</v>
      </c>
      <c r="D180" s="67" t="s">
        <v>228</v>
      </c>
      <c r="E180" s="128">
        <v>66.239999999999995</v>
      </c>
      <c r="F180" s="131"/>
      <c r="G180" s="132"/>
      <c r="H180" s="131"/>
      <c r="I180" s="131"/>
      <c r="J180" s="133">
        <f t="shared" si="6"/>
        <v>66.239999999999995</v>
      </c>
      <c r="K180" s="22">
        <v>43811</v>
      </c>
      <c r="L180" s="18" t="str">
        <f t="shared" ca="1" si="7"/>
        <v>Retard</v>
      </c>
      <c r="M180" s="22"/>
      <c r="N180" s="46">
        <f t="shared" ca="1" si="8"/>
        <v>17</v>
      </c>
      <c r="O180" s="23" t="s">
        <v>322</v>
      </c>
      <c r="P180" s="19" t="s">
        <v>343</v>
      </c>
      <c r="Q180" s="35"/>
    </row>
    <row r="181" spans="1:17" hidden="1">
      <c r="A181" s="124">
        <v>191215575</v>
      </c>
      <c r="B181" s="125">
        <v>20191265</v>
      </c>
      <c r="C181" s="33">
        <v>43811</v>
      </c>
      <c r="D181" s="71" t="s">
        <v>267</v>
      </c>
      <c r="E181" s="135">
        <v>683.64</v>
      </c>
      <c r="F181" s="135"/>
      <c r="G181" s="136"/>
      <c r="H181" s="135"/>
      <c r="I181" s="135"/>
      <c r="J181" s="139">
        <f t="shared" si="6"/>
        <v>683.64</v>
      </c>
      <c r="K181" s="33">
        <v>43811</v>
      </c>
      <c r="L181" s="126" t="str">
        <f t="shared" ca="1" si="7"/>
        <v>Retard</v>
      </c>
      <c r="M181" s="33"/>
      <c r="N181" s="127">
        <f t="shared" ca="1" si="8"/>
        <v>17</v>
      </c>
      <c r="O181" s="23"/>
      <c r="P181" s="19"/>
      <c r="Q181" s="35"/>
    </row>
    <row r="182" spans="1:17" hidden="1">
      <c r="A182" s="40">
        <v>1910155</v>
      </c>
      <c r="B182" s="16">
        <v>1910155</v>
      </c>
      <c r="C182" s="41">
        <v>43781</v>
      </c>
      <c r="D182" s="67" t="s">
        <v>224</v>
      </c>
      <c r="E182" s="128">
        <v>495.66</v>
      </c>
      <c r="F182" s="131"/>
      <c r="G182" s="132"/>
      <c r="H182" s="131"/>
      <c r="I182" s="131"/>
      <c r="J182" s="133">
        <f t="shared" si="6"/>
        <v>495.66</v>
      </c>
      <c r="K182" s="22">
        <v>43813</v>
      </c>
      <c r="L182" s="18" t="str">
        <f t="shared" ca="1" si="7"/>
        <v>Retard</v>
      </c>
      <c r="M182" s="22"/>
      <c r="N182" s="46">
        <f t="shared" ca="1" si="8"/>
        <v>15</v>
      </c>
      <c r="O182" s="23" t="s">
        <v>322</v>
      </c>
      <c r="P182" s="19" t="s">
        <v>343</v>
      </c>
      <c r="Q182" s="35"/>
    </row>
    <row r="183" spans="1:17" hidden="1">
      <c r="A183" s="26">
        <v>2200288997</v>
      </c>
      <c r="B183" s="27">
        <v>20191229</v>
      </c>
      <c r="C183" s="33">
        <v>43803</v>
      </c>
      <c r="D183" s="66" t="s">
        <v>249</v>
      </c>
      <c r="E183" s="135">
        <v>1261.48</v>
      </c>
      <c r="F183" s="135"/>
      <c r="G183" s="136"/>
      <c r="H183" s="135"/>
      <c r="I183" s="135"/>
      <c r="J183" s="133">
        <f t="shared" si="6"/>
        <v>1261.48</v>
      </c>
      <c r="K183" s="33">
        <v>43813</v>
      </c>
      <c r="L183" s="62" t="str">
        <f t="shared" ca="1" si="7"/>
        <v>Retard</v>
      </c>
      <c r="M183" s="33"/>
      <c r="N183" s="47">
        <f t="shared" ca="1" si="8"/>
        <v>15</v>
      </c>
      <c r="O183" s="23"/>
      <c r="P183" s="32"/>
      <c r="Q183" s="63"/>
    </row>
    <row r="184" spans="1:17" hidden="1">
      <c r="A184" s="20">
        <v>14695</v>
      </c>
      <c r="B184" s="21">
        <v>20191145</v>
      </c>
      <c r="C184" s="22">
        <v>43784</v>
      </c>
      <c r="D184" s="66" t="s">
        <v>16</v>
      </c>
      <c r="E184" s="128">
        <v>448.8</v>
      </c>
      <c r="F184" s="128"/>
      <c r="G184" s="129"/>
      <c r="H184" s="128"/>
      <c r="I184" s="128"/>
      <c r="J184" s="133">
        <f t="shared" si="6"/>
        <v>448.8</v>
      </c>
      <c r="K184" s="22">
        <v>43814</v>
      </c>
      <c r="L184" s="18" t="str">
        <f t="shared" ca="1" si="7"/>
        <v>Retard</v>
      </c>
      <c r="M184" s="22"/>
      <c r="N184" s="46">
        <f t="shared" ca="1" si="8"/>
        <v>14</v>
      </c>
      <c r="O184" s="23"/>
      <c r="P184" s="19"/>
      <c r="Q184" s="35"/>
    </row>
    <row r="185" spans="1:17" hidden="1">
      <c r="A185" s="121">
        <v>190595</v>
      </c>
      <c r="B185" s="122">
        <v>20191257</v>
      </c>
      <c r="C185" s="33">
        <v>43810</v>
      </c>
      <c r="D185" s="71" t="s">
        <v>391</v>
      </c>
      <c r="E185" s="135">
        <v>3354.6</v>
      </c>
      <c r="F185" s="135"/>
      <c r="G185" s="136"/>
      <c r="H185" s="135"/>
      <c r="I185" s="135"/>
      <c r="J185" s="138">
        <f t="shared" si="6"/>
        <v>3354.6</v>
      </c>
      <c r="K185" s="33">
        <v>43815</v>
      </c>
      <c r="L185" s="62" t="str">
        <f t="shared" ca="1" si="7"/>
        <v>Retard</v>
      </c>
      <c r="M185" s="33"/>
      <c r="N185" s="123">
        <f t="shared" ca="1" si="8"/>
        <v>13</v>
      </c>
      <c r="O185" s="23"/>
      <c r="P185" s="19" t="s">
        <v>358</v>
      </c>
      <c r="Q185" s="35"/>
    </row>
    <row r="186" spans="1:17" hidden="1">
      <c r="A186" s="26">
        <v>2200289838</v>
      </c>
      <c r="B186" s="27">
        <v>20191233</v>
      </c>
      <c r="C186" s="33">
        <v>43806</v>
      </c>
      <c r="D186" s="66" t="s">
        <v>249</v>
      </c>
      <c r="E186" s="135">
        <v>125.59</v>
      </c>
      <c r="F186" s="135"/>
      <c r="G186" s="136"/>
      <c r="H186" s="135"/>
      <c r="I186" s="135"/>
      <c r="J186" s="133">
        <f t="shared" si="6"/>
        <v>125.59</v>
      </c>
      <c r="K186" s="33">
        <v>43816</v>
      </c>
      <c r="L186" s="62" t="str">
        <f t="shared" ca="1" si="7"/>
        <v>Retard</v>
      </c>
      <c r="M186" s="33"/>
      <c r="N186" s="47">
        <f t="shared" ca="1" si="8"/>
        <v>12</v>
      </c>
      <c r="O186" s="23"/>
      <c r="P186" s="32"/>
      <c r="Q186" s="63"/>
    </row>
    <row r="187" spans="1:17" hidden="1">
      <c r="A187" s="20">
        <v>940541174</v>
      </c>
      <c r="B187" s="21">
        <v>20191169</v>
      </c>
      <c r="C187" s="22">
        <v>43788</v>
      </c>
      <c r="D187" s="66" t="s">
        <v>279</v>
      </c>
      <c r="E187" s="128">
        <v>204.17</v>
      </c>
      <c r="F187" s="131"/>
      <c r="G187" s="132"/>
      <c r="H187" s="131"/>
      <c r="I187" s="131"/>
      <c r="J187" s="133">
        <f t="shared" si="6"/>
        <v>204.17</v>
      </c>
      <c r="K187" s="147">
        <v>43818</v>
      </c>
      <c r="L187" s="18" t="str">
        <f t="shared" ca="1" si="7"/>
        <v>Retard</v>
      </c>
      <c r="M187" s="147"/>
      <c r="N187" s="148">
        <f t="shared" ca="1" si="8"/>
        <v>10</v>
      </c>
      <c r="O187" s="23"/>
      <c r="P187" s="19"/>
      <c r="Q187" s="92"/>
    </row>
    <row r="188" spans="1:17" hidden="1">
      <c r="A188" s="26">
        <v>2200289872</v>
      </c>
      <c r="B188" s="27">
        <v>20191236</v>
      </c>
      <c r="C188" s="33">
        <v>43808</v>
      </c>
      <c r="D188" s="66" t="s">
        <v>249</v>
      </c>
      <c r="E188" s="135">
        <v>658.87</v>
      </c>
      <c r="F188" s="135"/>
      <c r="G188" s="136"/>
      <c r="H188" s="135"/>
      <c r="I188" s="135"/>
      <c r="J188" s="133">
        <f t="shared" si="6"/>
        <v>658.87</v>
      </c>
      <c r="K188" s="33">
        <v>43818</v>
      </c>
      <c r="L188" s="62" t="str">
        <f t="shared" ca="1" si="7"/>
        <v>Retard</v>
      </c>
      <c r="M188" s="33"/>
      <c r="N188" s="47">
        <f t="shared" ca="1" si="8"/>
        <v>10</v>
      </c>
      <c r="O188" s="23"/>
      <c r="P188" s="32"/>
      <c r="Q188" s="63"/>
    </row>
    <row r="189" spans="1:17">
      <c r="A189" s="20" t="s">
        <v>94</v>
      </c>
      <c r="B189" s="21">
        <v>20191172</v>
      </c>
      <c r="C189" s="22">
        <v>43789</v>
      </c>
      <c r="D189" s="66" t="s">
        <v>280</v>
      </c>
      <c r="E189" s="128">
        <v>522.9</v>
      </c>
      <c r="F189" s="131"/>
      <c r="G189" s="132"/>
      <c r="H189" s="131"/>
      <c r="I189" s="131"/>
      <c r="J189" s="133">
        <f t="shared" si="6"/>
        <v>522.9</v>
      </c>
      <c r="K189" s="22">
        <v>43819</v>
      </c>
      <c r="L189" s="18" t="str">
        <f t="shared" ca="1" si="7"/>
        <v>Retard</v>
      </c>
      <c r="M189" s="22"/>
      <c r="N189" s="46">
        <f t="shared" ca="1" si="8"/>
        <v>9</v>
      </c>
      <c r="O189" s="23"/>
      <c r="P189" s="19"/>
      <c r="Q189" s="35"/>
    </row>
    <row r="190" spans="1:17" hidden="1">
      <c r="A190" s="121">
        <v>2200290757</v>
      </c>
      <c r="B190" s="122">
        <v>20191262</v>
      </c>
      <c r="C190" s="33">
        <v>43810</v>
      </c>
      <c r="D190" s="71" t="s">
        <v>249</v>
      </c>
      <c r="E190" s="135">
        <v>369</v>
      </c>
      <c r="F190" s="135"/>
      <c r="G190" s="136"/>
      <c r="H190" s="135"/>
      <c r="I190" s="135"/>
      <c r="J190" s="138">
        <f t="shared" si="6"/>
        <v>369</v>
      </c>
      <c r="K190" s="33">
        <v>43820</v>
      </c>
      <c r="L190" s="62" t="str">
        <f t="shared" ca="1" si="7"/>
        <v>Retard</v>
      </c>
      <c r="M190" s="33"/>
      <c r="N190" s="123">
        <f t="shared" ca="1" si="8"/>
        <v>8</v>
      </c>
      <c r="O190" s="23"/>
      <c r="P190" s="19" t="s">
        <v>358</v>
      </c>
      <c r="Q190" s="35"/>
    </row>
    <row r="191" spans="1:17" hidden="1">
      <c r="A191" s="26">
        <v>2200290759</v>
      </c>
      <c r="B191" s="27">
        <v>20191261</v>
      </c>
      <c r="C191" s="33">
        <v>43810</v>
      </c>
      <c r="D191" s="71" t="s">
        <v>249</v>
      </c>
      <c r="E191" s="135">
        <v>359.14</v>
      </c>
      <c r="F191" s="135"/>
      <c r="G191" s="136"/>
      <c r="H191" s="135"/>
      <c r="I191" s="135"/>
      <c r="J191" s="133">
        <f t="shared" si="6"/>
        <v>359.14</v>
      </c>
      <c r="K191" s="33">
        <v>43820</v>
      </c>
      <c r="L191" s="62" t="str">
        <f t="shared" ca="1" si="7"/>
        <v>Retard</v>
      </c>
      <c r="M191" s="33"/>
      <c r="N191" s="47">
        <f t="shared" ca="1" si="8"/>
        <v>8</v>
      </c>
      <c r="O191" s="23"/>
      <c r="P191" s="19" t="s">
        <v>358</v>
      </c>
      <c r="Q191" s="35"/>
    </row>
    <row r="192" spans="1:17" hidden="1">
      <c r="A192" s="20">
        <v>1657958</v>
      </c>
      <c r="B192" s="21">
        <v>20191187</v>
      </c>
      <c r="C192" s="22">
        <v>43791</v>
      </c>
      <c r="D192" s="66" t="s">
        <v>238</v>
      </c>
      <c r="E192" s="128">
        <v>79.98</v>
      </c>
      <c r="F192" s="131"/>
      <c r="G192" s="132"/>
      <c r="H192" s="131"/>
      <c r="I192" s="131"/>
      <c r="J192" s="133">
        <f t="shared" si="6"/>
        <v>79.98</v>
      </c>
      <c r="K192" s="22">
        <v>43821</v>
      </c>
      <c r="L192" s="18" t="str">
        <f t="shared" ca="1" si="7"/>
        <v>Retard</v>
      </c>
      <c r="M192" s="22"/>
      <c r="N192" s="46">
        <f t="shared" ca="1" si="8"/>
        <v>7</v>
      </c>
      <c r="O192" s="23"/>
      <c r="P192" s="19"/>
      <c r="Q192" s="35"/>
    </row>
    <row r="193" spans="1:17" hidden="1">
      <c r="A193" s="121">
        <v>2200291233</v>
      </c>
      <c r="B193" s="122">
        <v>20191263</v>
      </c>
      <c r="C193" s="33">
        <v>43812</v>
      </c>
      <c r="D193" s="71" t="s">
        <v>249</v>
      </c>
      <c r="E193" s="135">
        <v>86.52</v>
      </c>
      <c r="F193" s="135"/>
      <c r="G193" s="136"/>
      <c r="H193" s="135"/>
      <c r="I193" s="135"/>
      <c r="J193" s="138">
        <f t="shared" si="6"/>
        <v>86.52</v>
      </c>
      <c r="K193" s="33">
        <v>43822</v>
      </c>
      <c r="L193" s="62" t="str">
        <f t="shared" ca="1" si="7"/>
        <v>Retard</v>
      </c>
      <c r="M193" s="33"/>
      <c r="N193" s="123">
        <f t="shared" ca="1" si="8"/>
        <v>6</v>
      </c>
      <c r="O193" s="23"/>
      <c r="P193" s="19" t="s">
        <v>358</v>
      </c>
      <c r="Q193" s="35"/>
    </row>
    <row r="194" spans="1:17" hidden="1">
      <c r="A194" s="124">
        <v>815128</v>
      </c>
      <c r="B194" s="125">
        <v>20191264</v>
      </c>
      <c r="C194" s="33">
        <v>43815</v>
      </c>
      <c r="D194" s="71" t="s">
        <v>284</v>
      </c>
      <c r="E194" s="135">
        <v>992</v>
      </c>
      <c r="F194" s="135"/>
      <c r="G194" s="136"/>
      <c r="H194" s="135"/>
      <c r="I194" s="135"/>
      <c r="J194" s="139">
        <f t="shared" ref="J194:J203" si="9">IF(ISNUMBER(E194),E194+F194+G194+H194+I194," ")</f>
        <v>992</v>
      </c>
      <c r="K194" s="33">
        <v>43825</v>
      </c>
      <c r="L194" s="126" t="str">
        <f t="shared" ref="L194:L203" ca="1" si="10">IF(ISBLANK(C194)," ",IF(ISNUMBER(M194),"Réglé",IF(K194&lt;TODAY(),"Retard",IF(K194=TODAY()," A régler","en attente"))))</f>
        <v>Retard</v>
      </c>
      <c r="M194" s="33"/>
      <c r="N194" s="127">
        <f t="shared" ref="N194:N203" ca="1" si="11">IF(ISBLANK(M194),TODAY()-K194,0)</f>
        <v>3</v>
      </c>
      <c r="O194" s="23"/>
      <c r="P194" s="19"/>
      <c r="Q194" s="35"/>
    </row>
    <row r="195" spans="1:17" hidden="1">
      <c r="A195" s="20" t="s">
        <v>231</v>
      </c>
      <c r="B195" s="21">
        <v>20191185</v>
      </c>
      <c r="C195" s="22">
        <v>43770</v>
      </c>
      <c r="D195" s="66" t="s">
        <v>230</v>
      </c>
      <c r="E195" s="128">
        <v>1000</v>
      </c>
      <c r="F195" s="131"/>
      <c r="G195" s="132"/>
      <c r="H195" s="131"/>
      <c r="I195" s="131"/>
      <c r="J195" s="133">
        <f t="shared" si="9"/>
        <v>1000</v>
      </c>
      <c r="K195" s="22">
        <v>43827</v>
      </c>
      <c r="L195" s="18" t="str">
        <f t="shared" ca="1" si="10"/>
        <v>Retard</v>
      </c>
      <c r="M195" s="22"/>
      <c r="N195" s="46">
        <f t="shared" ca="1" si="11"/>
        <v>1</v>
      </c>
      <c r="O195" s="23" t="s">
        <v>5</v>
      </c>
      <c r="P195" s="19" t="s">
        <v>324</v>
      </c>
      <c r="Q195" s="35"/>
    </row>
    <row r="196" spans="1:17" hidden="1">
      <c r="A196" s="20" t="s">
        <v>234</v>
      </c>
      <c r="B196" s="21">
        <v>201911101</v>
      </c>
      <c r="C196" s="22">
        <v>43797</v>
      </c>
      <c r="D196" s="66" t="s">
        <v>224</v>
      </c>
      <c r="E196" s="131">
        <v>-304.41000000000003</v>
      </c>
      <c r="F196" s="131"/>
      <c r="G196" s="132"/>
      <c r="H196" s="131"/>
      <c r="I196" s="131"/>
      <c r="J196" s="133">
        <f t="shared" si="9"/>
        <v>-304.41000000000003</v>
      </c>
      <c r="K196" s="28">
        <v>43827</v>
      </c>
      <c r="L196" s="18" t="str">
        <f t="shared" ca="1" si="10"/>
        <v>Retard</v>
      </c>
      <c r="M196" s="28"/>
      <c r="N196" s="46">
        <f t="shared" ca="1" si="11"/>
        <v>1</v>
      </c>
      <c r="O196" s="23" t="s">
        <v>11</v>
      </c>
      <c r="P196" s="19" t="s">
        <v>11</v>
      </c>
      <c r="Q196" s="35"/>
    </row>
    <row r="197" spans="1:17" hidden="1">
      <c r="A197" s="20">
        <v>1910772</v>
      </c>
      <c r="B197" s="21">
        <v>201911102</v>
      </c>
      <c r="C197" s="22">
        <v>43797</v>
      </c>
      <c r="D197" s="66" t="s">
        <v>224</v>
      </c>
      <c r="E197" s="131">
        <v>53.76</v>
      </c>
      <c r="F197" s="131"/>
      <c r="G197" s="132"/>
      <c r="H197" s="131"/>
      <c r="I197" s="131"/>
      <c r="J197" s="133">
        <f t="shared" si="9"/>
        <v>53.76</v>
      </c>
      <c r="K197" s="28">
        <v>43827</v>
      </c>
      <c r="L197" s="18" t="str">
        <f t="shared" ca="1" si="10"/>
        <v>Retard</v>
      </c>
      <c r="M197" s="28"/>
      <c r="N197" s="46">
        <f t="shared" ca="1" si="11"/>
        <v>1</v>
      </c>
      <c r="O197" s="23" t="s">
        <v>322</v>
      </c>
      <c r="P197" s="19" t="s">
        <v>343</v>
      </c>
      <c r="Q197" s="35"/>
    </row>
    <row r="198" spans="1:17" hidden="1">
      <c r="A198" s="20">
        <v>1910782</v>
      </c>
      <c r="B198" s="21">
        <v>201911103</v>
      </c>
      <c r="C198" s="22">
        <v>43797</v>
      </c>
      <c r="D198" s="66" t="s">
        <v>228</v>
      </c>
      <c r="E198" s="131">
        <v>1011.75</v>
      </c>
      <c r="F198" s="131"/>
      <c r="G198" s="132"/>
      <c r="H198" s="131"/>
      <c r="I198" s="131"/>
      <c r="J198" s="133">
        <f t="shared" si="9"/>
        <v>1011.75</v>
      </c>
      <c r="K198" s="28">
        <v>43827</v>
      </c>
      <c r="L198" s="18" t="str">
        <f t="shared" ca="1" si="10"/>
        <v>Retard</v>
      </c>
      <c r="M198" s="28"/>
      <c r="N198" s="46">
        <f t="shared" ca="1" si="11"/>
        <v>1</v>
      </c>
      <c r="O198" s="23" t="s">
        <v>322</v>
      </c>
      <c r="P198" s="19" t="s">
        <v>343</v>
      </c>
      <c r="Q198" s="35"/>
    </row>
    <row r="199" spans="1:17" hidden="1">
      <c r="A199" s="20">
        <v>1910788</v>
      </c>
      <c r="B199" s="21">
        <v>201911104</v>
      </c>
      <c r="C199" s="45">
        <v>43797</v>
      </c>
      <c r="D199" s="66" t="s">
        <v>227</v>
      </c>
      <c r="E199" s="135">
        <v>230.77</v>
      </c>
      <c r="F199" s="140"/>
      <c r="G199" s="141"/>
      <c r="H199" s="140"/>
      <c r="I199" s="140"/>
      <c r="J199" s="133">
        <f t="shared" si="9"/>
        <v>230.77</v>
      </c>
      <c r="K199" s="33">
        <v>43827</v>
      </c>
      <c r="L199" s="18" t="str">
        <f t="shared" ca="1" si="10"/>
        <v>Retard</v>
      </c>
      <c r="M199" s="30"/>
      <c r="N199" s="46">
        <f t="shared" ca="1" si="11"/>
        <v>1</v>
      </c>
      <c r="O199" s="23" t="s">
        <v>322</v>
      </c>
      <c r="P199" s="19" t="s">
        <v>343</v>
      </c>
      <c r="Q199" s="70"/>
    </row>
    <row r="200" spans="1:17" hidden="1">
      <c r="A200" s="44">
        <v>1910793</v>
      </c>
      <c r="B200" s="21">
        <v>201911105</v>
      </c>
      <c r="C200" s="45">
        <v>43797</v>
      </c>
      <c r="D200" s="68" t="s">
        <v>224</v>
      </c>
      <c r="E200" s="135">
        <v>1755.54</v>
      </c>
      <c r="F200" s="135"/>
      <c r="G200" s="136"/>
      <c r="H200" s="135"/>
      <c r="I200" s="135"/>
      <c r="J200" s="137">
        <f t="shared" si="9"/>
        <v>1755.54</v>
      </c>
      <c r="K200" s="33">
        <v>43827</v>
      </c>
      <c r="L200" s="18" t="str">
        <f t="shared" ca="1" si="10"/>
        <v>Retard</v>
      </c>
      <c r="M200" s="33"/>
      <c r="N200" s="47">
        <f t="shared" ca="1" si="11"/>
        <v>1</v>
      </c>
      <c r="O200" s="23" t="s">
        <v>322</v>
      </c>
      <c r="P200" s="19" t="s">
        <v>343</v>
      </c>
      <c r="Q200" s="63"/>
    </row>
    <row r="201" spans="1:17">
      <c r="A201" s="44" t="s">
        <v>235</v>
      </c>
      <c r="B201" s="21">
        <v>201911111</v>
      </c>
      <c r="C201" s="45">
        <v>43797</v>
      </c>
      <c r="D201" s="68" t="s">
        <v>280</v>
      </c>
      <c r="E201" s="135">
        <v>310.68</v>
      </c>
      <c r="F201" s="135"/>
      <c r="G201" s="136"/>
      <c r="H201" s="135"/>
      <c r="I201" s="135"/>
      <c r="J201" s="137">
        <f t="shared" si="9"/>
        <v>310.68</v>
      </c>
      <c r="K201" s="33">
        <v>43827</v>
      </c>
      <c r="L201" s="18" t="str">
        <f t="shared" ca="1" si="10"/>
        <v>Retard</v>
      </c>
      <c r="M201" s="33"/>
      <c r="N201" s="47">
        <f t="shared" ca="1" si="11"/>
        <v>1</v>
      </c>
      <c r="O201" s="23"/>
      <c r="P201" s="32"/>
      <c r="Q201" s="63"/>
    </row>
    <row r="202" spans="1:17" hidden="1">
      <c r="A202" s="26">
        <v>2011132417</v>
      </c>
      <c r="B202" s="27">
        <v>201911125</v>
      </c>
      <c r="C202" s="33">
        <v>43797</v>
      </c>
      <c r="D202" s="66" t="s">
        <v>276</v>
      </c>
      <c r="E202" s="135">
        <v>144.4</v>
      </c>
      <c r="F202" s="135"/>
      <c r="G202" s="136"/>
      <c r="H202" s="135"/>
      <c r="I202" s="135"/>
      <c r="J202" s="133">
        <f t="shared" si="9"/>
        <v>144.4</v>
      </c>
      <c r="K202" s="33">
        <v>43827</v>
      </c>
      <c r="L202" s="18" t="str">
        <f t="shared" ca="1" si="10"/>
        <v>Retard</v>
      </c>
      <c r="M202" s="33"/>
      <c r="N202" s="47">
        <f t="shared" ca="1" si="11"/>
        <v>1</v>
      </c>
      <c r="O202" s="23"/>
      <c r="P202" s="32"/>
      <c r="Q202" s="63"/>
    </row>
    <row r="203" spans="1:17" hidden="1">
      <c r="A203" s="124">
        <v>2200290769</v>
      </c>
      <c r="B203" s="125">
        <v>20191279</v>
      </c>
      <c r="C203" s="33">
        <v>43810</v>
      </c>
      <c r="D203" s="71" t="s">
        <v>249</v>
      </c>
      <c r="E203" s="135">
        <v>1323.65</v>
      </c>
      <c r="F203" s="135"/>
      <c r="G203" s="136"/>
      <c r="H203" s="135"/>
      <c r="I203" s="135"/>
      <c r="J203" s="139">
        <f t="shared" si="9"/>
        <v>1323.65</v>
      </c>
      <c r="K203" s="33">
        <v>43820</v>
      </c>
      <c r="L203" s="126" t="str">
        <f t="shared" ca="1" si="10"/>
        <v>Retard</v>
      </c>
      <c r="M203" s="33"/>
      <c r="N203" s="127">
        <f t="shared" ca="1" si="11"/>
        <v>8</v>
      </c>
      <c r="O203" s="23"/>
      <c r="P203" s="19"/>
      <c r="Q203" s="35"/>
    </row>
    <row r="204" spans="1:17" ht="17" thickBot="1">
      <c r="A204" s="64">
        <f>SUBTOTAL(103,Tableau2[N° Facture])</f>
        <v>10</v>
      </c>
      <c r="B204" s="150"/>
      <c r="C204" s="149"/>
      <c r="D204" s="65" t="s">
        <v>3</v>
      </c>
      <c r="E204" s="72">
        <f>SUBTOTAL(109,Tableau2[Montant HT])</f>
        <v>4365.13</v>
      </c>
      <c r="F204" s="72">
        <f>SUBTOTAL(109,Tableau2[TVA 2,1% ])</f>
        <v>0</v>
      </c>
      <c r="G204" s="72">
        <f>SUBTOTAL(109,Tableau2[TVA 5,5%])</f>
        <v>0</v>
      </c>
      <c r="H204" s="72">
        <f>SUBTOTAL(109,Tableau2[TVA 10%])</f>
        <v>0</v>
      </c>
      <c r="I204" s="72">
        <f>SUBTOTAL(109,Tableau2[TVA 20%])</f>
        <v>0</v>
      </c>
      <c r="J204" s="72">
        <f>SUBTOTAL(109,Tableau2[Montant TTC])</f>
        <v>4365.13</v>
      </c>
      <c r="K204" s="73"/>
      <c r="L204" s="74"/>
      <c r="M204" s="73"/>
      <c r="N204" s="75"/>
      <c r="O204" s="76"/>
      <c r="P204" s="77"/>
      <c r="Q204" s="86"/>
    </row>
    <row r="205" spans="1:17">
      <c r="A205" s="81"/>
      <c r="B205" s="164" t="s">
        <v>394</v>
      </c>
      <c r="C205" s="165"/>
      <c r="D205" s="170" t="s">
        <v>369</v>
      </c>
      <c r="E205" s="170"/>
      <c r="F205" s="157"/>
      <c r="G205" s="170" t="s">
        <v>344</v>
      </c>
      <c r="H205" s="170"/>
      <c r="I205" s="170"/>
      <c r="J205" s="163"/>
      <c r="K205" s="151"/>
      <c r="L205" s="78"/>
      <c r="M205" s="78"/>
      <c r="N205" s="78"/>
      <c r="O205" s="78"/>
      <c r="P205" s="79"/>
      <c r="Q205" s="80"/>
    </row>
    <row r="206" spans="1:17" ht="15">
      <c r="A206" s="81"/>
      <c r="B206" s="166"/>
      <c r="C206" s="167"/>
      <c r="D206" s="171" t="s">
        <v>370</v>
      </c>
      <c r="E206" s="171"/>
      <c r="F206" s="155"/>
      <c r="G206" s="171" t="s">
        <v>347</v>
      </c>
      <c r="H206" s="171"/>
      <c r="I206" s="171"/>
      <c r="J206" s="159"/>
      <c r="K206" s="152"/>
      <c r="L206" s="78"/>
      <c r="M206" s="78"/>
      <c r="N206" s="78"/>
      <c r="O206" s="78"/>
      <c r="P206" s="79"/>
      <c r="Q206" s="80"/>
    </row>
    <row r="207" spans="1:17">
      <c r="A207" s="81"/>
      <c r="B207" s="166"/>
      <c r="C207" s="167"/>
      <c r="D207" s="172" t="s">
        <v>371</v>
      </c>
      <c r="E207" s="172"/>
      <c r="F207" s="156"/>
      <c r="G207" s="172" t="s">
        <v>345</v>
      </c>
      <c r="H207" s="172"/>
      <c r="I207" s="172"/>
      <c r="J207" s="160"/>
      <c r="K207" s="153"/>
      <c r="L207" s="78"/>
      <c r="M207" s="78"/>
      <c r="N207" s="78"/>
      <c r="O207" s="78"/>
      <c r="P207" s="79"/>
      <c r="Q207" s="80"/>
    </row>
    <row r="208" spans="1:17" ht="17" thickBot="1">
      <c r="A208" s="81"/>
      <c r="B208" s="168"/>
      <c r="C208" s="169"/>
      <c r="D208" s="173" t="s">
        <v>372</v>
      </c>
      <c r="E208" s="173"/>
      <c r="F208" s="161"/>
      <c r="G208" s="174" t="s">
        <v>346</v>
      </c>
      <c r="H208" s="174"/>
      <c r="I208" s="174"/>
      <c r="J208" s="162"/>
      <c r="K208" s="154"/>
      <c r="L208" s="78"/>
      <c r="M208" s="78"/>
      <c r="N208" s="78"/>
      <c r="O208" s="78"/>
      <c r="P208" s="79"/>
      <c r="Q208" s="80"/>
    </row>
    <row r="209" spans="1:17" ht="17" thickBot="1">
      <c r="A209" s="81"/>
      <c r="B209" s="81"/>
      <c r="C209" s="78"/>
      <c r="D209" s="82"/>
      <c r="E209" s="83"/>
      <c r="F209" s="83"/>
      <c r="G209" s="83"/>
      <c r="H209" s="83"/>
      <c r="I209" s="83"/>
      <c r="J209" s="84"/>
      <c r="K209" s="85"/>
      <c r="L209" s="78"/>
      <c r="M209" s="78"/>
      <c r="N209" s="78"/>
      <c r="O209" s="78"/>
      <c r="P209" s="79"/>
      <c r="Q209" s="80"/>
    </row>
    <row r="210" spans="1:17">
      <c r="A210" s="81"/>
      <c r="B210" s="164" t="s">
        <v>393</v>
      </c>
      <c r="C210" s="165"/>
      <c r="D210" s="170" t="s">
        <v>369</v>
      </c>
      <c r="E210" s="170"/>
      <c r="F210" s="157"/>
      <c r="G210" s="170" t="s">
        <v>344</v>
      </c>
      <c r="H210" s="170"/>
      <c r="I210" s="170"/>
      <c r="J210" s="158">
        <f ca="1">SUMIF(Tableau2[Etat de la facture],"Réglé",Tableau2[Montant TTC])</f>
        <v>88121.26</v>
      </c>
      <c r="K210" s="79"/>
      <c r="L210" s="78"/>
      <c r="M210" s="78"/>
      <c r="N210" s="78"/>
      <c r="O210" s="78"/>
      <c r="P210" s="79"/>
      <c r="Q210" s="80"/>
    </row>
    <row r="211" spans="1:17" ht="15">
      <c r="A211" s="81"/>
      <c r="B211" s="166"/>
      <c r="C211" s="167"/>
      <c r="D211" s="171" t="s">
        <v>370</v>
      </c>
      <c r="E211" s="171"/>
      <c r="F211" s="155"/>
      <c r="G211" s="171" t="s">
        <v>347</v>
      </c>
      <c r="H211" s="171"/>
      <c r="I211" s="171"/>
      <c r="J211" s="159">
        <f ca="1">SUMIF(Tableau2[Etat de la facture]," A régler",Tableau2[Montant TTC])</f>
        <v>894.85</v>
      </c>
      <c r="K211" s="79"/>
      <c r="L211" s="78"/>
      <c r="M211" s="78"/>
      <c r="N211" s="78"/>
      <c r="O211" s="78"/>
      <c r="P211" s="79"/>
      <c r="Q211" s="80"/>
    </row>
    <row r="212" spans="1:17">
      <c r="A212" s="81"/>
      <c r="B212" s="166"/>
      <c r="C212" s="167"/>
      <c r="D212" s="172" t="s">
        <v>371</v>
      </c>
      <c r="E212" s="172"/>
      <c r="F212" s="156"/>
      <c r="G212" s="172" t="s">
        <v>345</v>
      </c>
      <c r="H212" s="172"/>
      <c r="I212" s="172"/>
      <c r="J212" s="160">
        <f ca="1">SUMIF(Tableau2[Etat de la facture],"Retard",Tableau2[Montant TTC])</f>
        <v>32085.94</v>
      </c>
      <c r="K212" s="79"/>
      <c r="L212" s="78"/>
      <c r="M212" s="78"/>
      <c r="N212" s="78"/>
      <c r="O212" s="78"/>
      <c r="P212" s="79"/>
      <c r="Q212" s="80"/>
    </row>
    <row r="213" spans="1:17" ht="17" thickBot="1">
      <c r="A213" s="81"/>
      <c r="B213" s="168"/>
      <c r="C213" s="169"/>
      <c r="D213" s="173" t="s">
        <v>372</v>
      </c>
      <c r="E213" s="173"/>
      <c r="F213" s="161"/>
      <c r="G213" s="174" t="s">
        <v>346</v>
      </c>
      <c r="H213" s="174"/>
      <c r="I213" s="174"/>
      <c r="J213" s="162">
        <f ca="1">SUMIF(Tableau2[Etat de la facture],"en attente",Tableau2[Montant TTC])</f>
        <v>47363.950000000004</v>
      </c>
      <c r="K213" s="79"/>
      <c r="L213" s="78"/>
      <c r="M213" s="78"/>
      <c r="N213" s="78"/>
      <c r="O213" s="78"/>
      <c r="P213" s="79"/>
      <c r="Q213" s="80"/>
    </row>
    <row r="214" spans="1:17">
      <c r="A214" s="81"/>
      <c r="B214" s="81"/>
      <c r="C214" s="78"/>
      <c r="D214" s="82"/>
      <c r="E214" s="83"/>
      <c r="F214" s="83"/>
      <c r="G214" s="83"/>
      <c r="H214" s="83"/>
      <c r="I214" s="83"/>
      <c r="J214" s="84"/>
      <c r="K214" s="79"/>
      <c r="L214" s="78"/>
      <c r="M214" s="78"/>
      <c r="N214" s="78"/>
      <c r="O214" s="78"/>
      <c r="P214" s="79"/>
      <c r="Q214" s="80"/>
    </row>
    <row r="215" spans="1:17">
      <c r="A215" s="81"/>
      <c r="B215" s="81"/>
      <c r="C215" s="78"/>
      <c r="D215" s="82"/>
      <c r="E215" s="83"/>
      <c r="F215" s="83"/>
      <c r="G215" s="83"/>
      <c r="H215" s="83"/>
      <c r="I215" s="83"/>
      <c r="J215" s="84"/>
      <c r="K215" s="79"/>
      <c r="L215" s="78"/>
      <c r="M215" s="78"/>
      <c r="N215" s="78"/>
      <c r="O215" s="78"/>
      <c r="P215" s="79"/>
      <c r="Q215" s="80"/>
    </row>
    <row r="216" spans="1:17">
      <c r="A216" s="81"/>
      <c r="B216" s="81"/>
      <c r="C216" s="78"/>
      <c r="D216" s="82"/>
      <c r="E216" s="83"/>
      <c r="F216" s="83"/>
      <c r="G216" s="83"/>
      <c r="H216" s="83"/>
      <c r="I216" s="83"/>
      <c r="J216" s="84"/>
      <c r="K216" s="79"/>
      <c r="L216" s="78"/>
      <c r="M216" s="78"/>
      <c r="N216" s="78"/>
      <c r="O216" s="78"/>
      <c r="P216" s="79"/>
      <c r="Q216" s="80"/>
    </row>
    <row r="217" spans="1:17">
      <c r="A217" s="81"/>
      <c r="B217" s="81"/>
      <c r="C217" s="78"/>
      <c r="D217" s="82"/>
      <c r="E217" s="83"/>
      <c r="F217" s="83"/>
      <c r="G217" s="83"/>
      <c r="H217" s="83"/>
      <c r="I217" s="83"/>
      <c r="J217" s="84"/>
      <c r="K217" s="79"/>
      <c r="L217" s="78"/>
      <c r="M217" s="78"/>
      <c r="N217" s="78"/>
      <c r="O217" s="78"/>
      <c r="P217" s="79"/>
      <c r="Q217" s="80"/>
    </row>
    <row r="218" spans="1:17">
      <c r="A218" s="81"/>
      <c r="B218" s="81"/>
      <c r="C218" s="78"/>
      <c r="D218" s="82"/>
      <c r="E218" s="83"/>
      <c r="F218" s="83"/>
      <c r="G218" s="83"/>
      <c r="H218" s="83"/>
      <c r="I218" s="83"/>
      <c r="J218" s="84"/>
      <c r="K218" s="79"/>
      <c r="L218" s="78"/>
      <c r="M218" s="78"/>
      <c r="N218" s="78"/>
      <c r="O218" s="78"/>
      <c r="P218" s="79"/>
      <c r="Q218" s="80"/>
    </row>
    <row r="219" spans="1:17">
      <c r="A219" s="81"/>
      <c r="B219" s="81"/>
      <c r="C219" s="78"/>
      <c r="D219" s="82"/>
      <c r="E219" s="83"/>
      <c r="F219" s="83"/>
      <c r="G219" s="83"/>
      <c r="H219" s="83"/>
      <c r="I219" s="83"/>
      <c r="J219" s="84"/>
      <c r="K219" s="79"/>
      <c r="L219" s="78"/>
      <c r="M219" s="78"/>
      <c r="N219" s="78"/>
      <c r="O219" s="78"/>
      <c r="P219" s="79"/>
      <c r="Q219" s="80"/>
    </row>
    <row r="220" spans="1:17">
      <c r="A220" s="81"/>
      <c r="B220" s="81"/>
      <c r="C220" s="78"/>
      <c r="D220" s="82"/>
      <c r="E220" s="83"/>
      <c r="F220" s="83"/>
      <c r="G220" s="83"/>
      <c r="H220" s="83"/>
      <c r="I220" s="83"/>
      <c r="J220" s="84"/>
      <c r="K220" s="79"/>
      <c r="L220" s="78"/>
      <c r="M220" s="78"/>
      <c r="N220" s="78"/>
      <c r="O220" s="78"/>
      <c r="P220" s="79"/>
      <c r="Q220" s="80"/>
    </row>
  </sheetData>
  <mergeCells count="18">
    <mergeCell ref="B205:C208"/>
    <mergeCell ref="G205:I205"/>
    <mergeCell ref="G206:I206"/>
    <mergeCell ref="G208:I208"/>
    <mergeCell ref="G207:I207"/>
    <mergeCell ref="D205:E205"/>
    <mergeCell ref="D206:E206"/>
    <mergeCell ref="D207:E207"/>
    <mergeCell ref="D208:E208"/>
    <mergeCell ref="B210:C213"/>
    <mergeCell ref="D210:E210"/>
    <mergeCell ref="G210:I210"/>
    <mergeCell ref="D211:E211"/>
    <mergeCell ref="G211:I211"/>
    <mergeCell ref="D212:E212"/>
    <mergeCell ref="G212:I212"/>
    <mergeCell ref="D213:E213"/>
    <mergeCell ref="G213:I213"/>
  </mergeCells>
  <phoneticPr fontId="10" type="noConversion"/>
  <conditionalFormatting sqref="L2:L203">
    <cfRule type="expression" dxfId="51" priority="1">
      <formula>$L2=" A régler"</formula>
    </cfRule>
    <cfRule type="expression" dxfId="50" priority="3">
      <formula>$L2="en attente"</formula>
    </cfRule>
    <cfRule type="expression" dxfId="49" priority="4">
      <formula>$L2="Retard"</formula>
    </cfRule>
    <cfRule type="expression" dxfId="48" priority="5">
      <formula>$L2="Réglé"</formula>
    </cfRule>
  </conditionalFormatting>
  <dataValidations count="4">
    <dataValidation type="list" allowBlank="1" showInputMessage="1" showErrorMessage="1" sqref="O109 O94 O82 O9 O17 O124:O126 O20:O25 O32 O35:O36 O28:O30 O131 O65 O60 O57" xr:uid="{00000000-0002-0000-0000-000000000000}">
      <formula1>TypeRgmt</formula1>
    </dataValidation>
    <dataValidation type="list" allowBlank="1" showInputMessage="1" showErrorMessage="1" sqref="D144 D2:D12" xr:uid="{00000000-0002-0000-0000-000001000000}">
      <formula1>ListeFrn</formula1>
    </dataValidation>
    <dataValidation type="list" allowBlank="1" showInputMessage="1" showErrorMessage="1" sqref="O10:O16 O18:O19 O2:O8 O33:O34 O66:O81 O83:O93 O95:O108 O110:O123 O127:O130 O61:O64 O26:O27 O31 O37:O56 O58:O59 O132:O189" xr:uid="{00000000-0002-0000-0000-000002000000}">
      <formula1>Mode</formula1>
    </dataValidation>
    <dataValidation type="list" allowBlank="1" showInputMessage="1" showErrorMessage="1" sqref="P145:P147 P2:P143 P149:P151 P160:P189 P192:P197" xr:uid="{00000000-0002-0000-0000-000003000000}">
      <formula1>Banque</formula1>
    </dataValidation>
  </dataValidations>
  <pageMargins left="0.25" right="0.25" top="0.75" bottom="0.75" header="0.3" footer="0.3"/>
  <pageSetup paperSize="8" scale="6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/>
    <pageSetUpPr fitToPage="1"/>
  </sheetPr>
  <dimension ref="A1:R21"/>
  <sheetViews>
    <sheetView zoomScaleNormal="100" workbookViewId="0">
      <pane xSplit="2" ySplit="2" topLeftCell="C11" activePane="bottomRight" state="frozenSplit"/>
      <selection pane="topRight" activeCell="C1" sqref="C1"/>
      <selection pane="bottomLeft" activeCell="A2" sqref="A2"/>
      <selection pane="bottomRight" activeCell="B15" sqref="B15:N18"/>
    </sheetView>
  </sheetViews>
  <sheetFormatPr baseColWidth="10" defaultRowHeight="15"/>
  <cols>
    <col min="1" max="1" width="32" customWidth="1"/>
    <col min="2" max="2" width="13.6640625" style="14" customWidth="1"/>
    <col min="3" max="14" width="13.6640625" customWidth="1"/>
    <col min="15" max="15" width="6.33203125" hidden="1" customWidth="1"/>
    <col min="17" max="17" width="13.6640625" bestFit="1" customWidth="1"/>
    <col min="18" max="18" width="16.1640625" bestFit="1" customWidth="1"/>
  </cols>
  <sheetData>
    <row r="1" spans="1:18" s="89" customFormat="1" ht="12" thickBot="1">
      <c r="A1" s="95"/>
      <c r="B1" s="96"/>
      <c r="C1" s="97">
        <v>1</v>
      </c>
      <c r="D1" s="97">
        <f>C1+1</f>
        <v>2</v>
      </c>
      <c r="E1" s="97">
        <f t="shared" ref="E1:N1" si="0">D1+1</f>
        <v>3</v>
      </c>
      <c r="F1" s="97">
        <f t="shared" si="0"/>
        <v>4</v>
      </c>
      <c r="G1" s="97">
        <f t="shared" si="0"/>
        <v>5</v>
      </c>
      <c r="H1" s="97">
        <f t="shared" si="0"/>
        <v>6</v>
      </c>
      <c r="I1" s="97">
        <f t="shared" si="0"/>
        <v>7</v>
      </c>
      <c r="J1" s="97">
        <f t="shared" si="0"/>
        <v>8</v>
      </c>
      <c r="K1" s="97">
        <f t="shared" si="0"/>
        <v>9</v>
      </c>
      <c r="L1" s="97">
        <f t="shared" si="0"/>
        <v>10</v>
      </c>
      <c r="M1" s="97">
        <f t="shared" si="0"/>
        <v>11</v>
      </c>
      <c r="N1" s="97">
        <f t="shared" si="0"/>
        <v>12</v>
      </c>
      <c r="O1" s="90">
        <v>1</v>
      </c>
    </row>
    <row r="2" spans="1:18" s="1" customFormat="1" ht="51.75" customHeight="1" thickBot="1">
      <c r="A2" s="119">
        <v>2019</v>
      </c>
      <c r="B2" s="98" t="s">
        <v>3</v>
      </c>
      <c r="C2" s="99">
        <f>VALUE("1/"&amp;C$1&amp;"/"&amp;$A2)</f>
        <v>43466</v>
      </c>
      <c r="D2" s="99">
        <f t="shared" ref="D2:N2" si="1">VALUE("1/"&amp;D$1&amp;"/"&amp;$A2)</f>
        <v>43497</v>
      </c>
      <c r="E2" s="99">
        <f t="shared" si="1"/>
        <v>43525</v>
      </c>
      <c r="F2" s="99">
        <f t="shared" si="1"/>
        <v>43556</v>
      </c>
      <c r="G2" s="99">
        <f t="shared" si="1"/>
        <v>43586</v>
      </c>
      <c r="H2" s="99">
        <f t="shared" si="1"/>
        <v>43617</v>
      </c>
      <c r="I2" s="99">
        <f t="shared" si="1"/>
        <v>43647</v>
      </c>
      <c r="J2" s="99">
        <f t="shared" si="1"/>
        <v>43678</v>
      </c>
      <c r="K2" s="99">
        <f t="shared" si="1"/>
        <v>43709</v>
      </c>
      <c r="L2" s="99">
        <f t="shared" si="1"/>
        <v>43739</v>
      </c>
      <c r="M2" s="99">
        <f t="shared" si="1"/>
        <v>43770</v>
      </c>
      <c r="N2" s="100">
        <f t="shared" si="1"/>
        <v>43800</v>
      </c>
      <c r="O2" s="87">
        <f>VALUE("1/"&amp;O$1&amp;"/"&amp;$A8)</f>
        <v>43831</v>
      </c>
    </row>
    <row r="3" spans="1:18" s="1" customFormat="1" ht="51.75" customHeight="1">
      <c r="A3" s="101" t="s">
        <v>366</v>
      </c>
      <c r="B3" s="102">
        <f>SUM(C3:N3)</f>
        <v>88121.25999999998</v>
      </c>
      <c r="C3" s="103">
        <f>SUMIFS(Factures!$J:$J,Factures!$M:$M,"&gt;=01/01/2019",Factures!$M:$M,"&lt;01/02/2019")</f>
        <v>0</v>
      </c>
      <c r="D3" s="104">
        <f>SUMIFS(Factures!$J:$J,Factures!$M:$M,"&gt;=01/02/2019",Factures!$M:$M,"&lt;01/03/2019")</f>
        <v>159.72</v>
      </c>
      <c r="E3" s="103">
        <f>SUMIFS(Factures!$J:$J,Factures!$M:$M,"&gt;=01/03/2019",Factures!$M:$M,"&lt;01/04/2019")</f>
        <v>0</v>
      </c>
      <c r="F3" s="104">
        <f>SUMIFS(Factures!$J:$J,Factures!$M:$M,"&gt;=01/04/2019",Factures!$M:$M,"&lt;01/05/2019")</f>
        <v>0</v>
      </c>
      <c r="G3" s="103">
        <f>SUMIFS(Factures!$J:$J,Factures!$M:$M,"&gt;=01/05/2019",Factures!$M:$M,"&lt;01/06/2019")</f>
        <v>0</v>
      </c>
      <c r="H3" s="104">
        <f>SUMIFS(Factures!$J:$J,Factures!$M:$M,"&gt;=01/06/2019",Factures!$M:$M,"&lt;01/07/2019")</f>
        <v>0</v>
      </c>
      <c r="I3" s="103">
        <f>SUMIFS(Factures!$J:$J,Factures!$M:$M,"&gt;=01/07/2019",Factures!$M:$M,"&lt;01/08/2019")</f>
        <v>0</v>
      </c>
      <c r="J3" s="104">
        <f>SUMIFS(Factures!$J:$J,Factures!$M:$M,"&gt;=01/08/2019",Factures!$M:$M,"&lt;01/09/2019")</f>
        <v>0</v>
      </c>
      <c r="K3" s="103">
        <f>SUMIFS(Factures!$J:$J,Factures!$M:$M,"&gt;=01/09/2019",Factures!$M:$M,"&lt;01/10/2019")</f>
        <v>0</v>
      </c>
      <c r="L3" s="104">
        <f>SUMIFS(Factures!$J:$J,Factures!$M:$M,"&gt;=01/10/2019",Factures!$M:$M,"&lt;01/11/2019")</f>
        <v>0</v>
      </c>
      <c r="M3" s="103">
        <f>SUMIFS(Factures!$J:$J,Factures!$M:$M,"&gt;=01/11/2019",Factures!$M:$M,"&lt;01/12/2019")</f>
        <v>8451.7799999999988</v>
      </c>
      <c r="N3" s="104">
        <f>SUMIFS(Factures!J:J,Factures!M:M,"&gt;=01/12/2019",Factures!M:M,"&lt;01/01/2020")</f>
        <v>79509.75999999998</v>
      </c>
      <c r="O3" s="91"/>
    </row>
    <row r="4" spans="1:18" s="1" customFormat="1" ht="51.75" customHeight="1">
      <c r="A4" s="105" t="s">
        <v>368</v>
      </c>
      <c r="B4" s="106">
        <f ca="1">SUM(C4:N4)</f>
        <v>85887.63</v>
      </c>
      <c r="C4" s="107">
        <f t="shared" ref="C4:N4" si="2">SUMIFS(Montant,Date_,"&gt;="&amp;C2,Date_,"&lt;"&amp;D2,Etat,"Réglé")</f>
        <v>0</v>
      </c>
      <c r="D4" s="108">
        <f t="shared" si="2"/>
        <v>0</v>
      </c>
      <c r="E4" s="107">
        <f t="shared" si="2"/>
        <v>0</v>
      </c>
      <c r="F4" s="108">
        <f t="shared" si="2"/>
        <v>0</v>
      </c>
      <c r="G4" s="107">
        <f t="shared" si="2"/>
        <v>0</v>
      </c>
      <c r="H4" s="108">
        <f t="shared" si="2"/>
        <v>0</v>
      </c>
      <c r="I4" s="107">
        <f t="shared" si="2"/>
        <v>0</v>
      </c>
      <c r="J4" s="108">
        <f t="shared" ca="1" si="2"/>
        <v>0</v>
      </c>
      <c r="K4" s="107">
        <f t="shared" ca="1" si="2"/>
        <v>0</v>
      </c>
      <c r="L4" s="108">
        <f t="shared" ca="1" si="2"/>
        <v>11352.420000000002</v>
      </c>
      <c r="M4" s="107">
        <f t="shared" ca="1" si="2"/>
        <v>42839.37</v>
      </c>
      <c r="N4" s="108">
        <f t="shared" ca="1" si="2"/>
        <v>31695.839999999989</v>
      </c>
      <c r="Q4" s="88"/>
      <c r="R4" s="88"/>
    </row>
    <row r="5" spans="1:18" s="1" customFormat="1" ht="51.75" customHeight="1">
      <c r="A5" s="105" t="s">
        <v>367</v>
      </c>
      <c r="B5" s="106">
        <f ca="1">SUM(C5:N5)</f>
        <v>32085.940000000002</v>
      </c>
      <c r="C5" s="107">
        <f t="shared" ref="C5:N5" si="3">SUMIFS(Montant,Date_,"&gt;="&amp;C2,Date_,"&lt;"&amp;D2,Etat,"Retard")</f>
        <v>0</v>
      </c>
      <c r="D5" s="108">
        <f t="shared" si="3"/>
        <v>0</v>
      </c>
      <c r="E5" s="107">
        <f t="shared" si="3"/>
        <v>0</v>
      </c>
      <c r="F5" s="108">
        <f t="shared" si="3"/>
        <v>0</v>
      </c>
      <c r="G5" s="107">
        <f t="shared" si="3"/>
        <v>0</v>
      </c>
      <c r="H5" s="108">
        <f t="shared" si="3"/>
        <v>0</v>
      </c>
      <c r="I5" s="107">
        <f t="shared" si="3"/>
        <v>0</v>
      </c>
      <c r="J5" s="108">
        <f t="shared" ca="1" si="3"/>
        <v>-126.88</v>
      </c>
      <c r="K5" s="107">
        <f t="shared" ca="1" si="3"/>
        <v>1814.1200000000001</v>
      </c>
      <c r="L5" s="108">
        <f t="shared" ca="1" si="3"/>
        <v>1121.8</v>
      </c>
      <c r="M5" s="107">
        <f t="shared" ca="1" si="3"/>
        <v>7613.62</v>
      </c>
      <c r="N5" s="108">
        <f t="shared" ca="1" si="3"/>
        <v>21663.280000000002</v>
      </c>
    </row>
    <row r="6" spans="1:18" s="1" customFormat="1" ht="51.75" customHeight="1">
      <c r="A6" s="109" t="s">
        <v>365</v>
      </c>
      <c r="B6" s="110">
        <f ca="1">SUM(C6:N6)</f>
        <v>0</v>
      </c>
      <c r="C6" s="107">
        <f t="shared" ref="C6:N6" si="4">SUMIFS(Montant,Date_,"&gt;="&amp;C2,Date_,"&lt;"&amp;D2,Etat,"en attente")</f>
        <v>0</v>
      </c>
      <c r="D6" s="108">
        <f t="shared" si="4"/>
        <v>0</v>
      </c>
      <c r="E6" s="107">
        <f t="shared" si="4"/>
        <v>0</v>
      </c>
      <c r="F6" s="108">
        <f t="shared" si="4"/>
        <v>0</v>
      </c>
      <c r="G6" s="107">
        <f t="shared" si="4"/>
        <v>0</v>
      </c>
      <c r="H6" s="108">
        <f t="shared" si="4"/>
        <v>0</v>
      </c>
      <c r="I6" s="107">
        <f t="shared" si="4"/>
        <v>0</v>
      </c>
      <c r="J6" s="108">
        <f t="shared" ca="1" si="4"/>
        <v>0</v>
      </c>
      <c r="K6" s="107">
        <f t="shared" ca="1" si="4"/>
        <v>0</v>
      </c>
      <c r="L6" s="108">
        <f t="shared" ca="1" si="4"/>
        <v>0</v>
      </c>
      <c r="M6" s="107">
        <f t="shared" ca="1" si="4"/>
        <v>0</v>
      </c>
      <c r="N6" s="108">
        <f t="shared" ca="1" si="4"/>
        <v>0</v>
      </c>
    </row>
    <row r="7" spans="1:18" ht="16" thickBot="1">
      <c r="A7" s="111"/>
      <c r="B7" s="112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</row>
    <row r="8" spans="1:18" ht="51.75" customHeight="1" thickBot="1">
      <c r="A8" s="120">
        <v>2020</v>
      </c>
      <c r="B8" s="98" t="s">
        <v>3</v>
      </c>
      <c r="C8" s="113">
        <f>VALUE("1/"&amp;C$1&amp;"/"&amp;$A8)</f>
        <v>43831</v>
      </c>
      <c r="D8" s="113">
        <f t="shared" ref="D8:N8" si="5">VALUE("1/"&amp;D$1&amp;"/"&amp;$A8)</f>
        <v>43862</v>
      </c>
      <c r="E8" s="113">
        <f t="shared" si="5"/>
        <v>43891</v>
      </c>
      <c r="F8" s="113">
        <f t="shared" si="5"/>
        <v>43922</v>
      </c>
      <c r="G8" s="113">
        <f t="shared" si="5"/>
        <v>43952</v>
      </c>
      <c r="H8" s="113">
        <f t="shared" si="5"/>
        <v>43983</v>
      </c>
      <c r="I8" s="113">
        <f t="shared" si="5"/>
        <v>44013</v>
      </c>
      <c r="J8" s="113">
        <f t="shared" si="5"/>
        <v>44044</v>
      </c>
      <c r="K8" s="113">
        <f t="shared" si="5"/>
        <v>44075</v>
      </c>
      <c r="L8" s="113">
        <f t="shared" si="5"/>
        <v>44105</v>
      </c>
      <c r="M8" s="113">
        <f t="shared" si="5"/>
        <v>44136</v>
      </c>
      <c r="N8" s="114">
        <f t="shared" si="5"/>
        <v>44166</v>
      </c>
      <c r="O8" s="87">
        <f>VALUE("1/"&amp;O$1&amp;"/"&amp;$A14)</f>
        <v>44197</v>
      </c>
    </row>
    <row r="9" spans="1:18" ht="51.75" customHeight="1">
      <c r="A9" s="115" t="s">
        <v>366</v>
      </c>
      <c r="B9" s="116">
        <f>SUM(C9:N9)</f>
        <v>0</v>
      </c>
      <c r="C9" s="103">
        <f>SUMIFS(Factures!$J:$J,Factures!$M:$M,"&gt;=01/01/2020",Factures!$M:$M,"&lt;01/02/2020")</f>
        <v>0</v>
      </c>
      <c r="D9" s="104">
        <f>SUMIFS(Factures!$J:$J,Factures!$M:$M,"&gt;=01/02/2020",Factures!$M:$M,"&lt;01/03/2020")</f>
        <v>0</v>
      </c>
      <c r="E9" s="103">
        <f>SUMIFS(Factures!$J:$J,Factures!$M:$M,"&gt;=01/03/2020",Factures!$M:$M,"&lt;01/04/2020")</f>
        <v>0</v>
      </c>
      <c r="F9" s="104">
        <f>SUMIFS(Factures!$J:$J,Factures!$M:$M,"&gt;=01/04/2020",Factures!$M:$M,"&lt;01/05/2020")</f>
        <v>0</v>
      </c>
      <c r="G9" s="103">
        <f>SUMIFS(Factures!$J:$J,Factures!$M:$M,"&gt;=01/05/2020",Factures!$M:$M,"&lt;01/06/2020")</f>
        <v>0</v>
      </c>
      <c r="H9" s="104">
        <f>SUMIFS(Factures!$J:$J,Factures!$M:$M,"&gt;=01/06/2020",Factures!$M:$M,"&lt;01/07/2020")</f>
        <v>0</v>
      </c>
      <c r="I9" s="103">
        <f>SUMIFS(Factures!$J:$J,Factures!$M:$M,"&gt;=01/07/2020",Factures!$M:$M,"&lt;01/08/2020")</f>
        <v>0</v>
      </c>
      <c r="J9" s="104">
        <f>SUMIFS(Factures!$J:$J,Factures!$M:$M,"&gt;=01/08/2020",Factures!$M:$M,"&lt;01/09/2020")</f>
        <v>0</v>
      </c>
      <c r="K9" s="103">
        <f>SUMIFS(Factures!$J:$J,Factures!$M:$M,"&gt;=01/09/2020",Factures!$M:$M,"&lt;01/10/2020")</f>
        <v>0</v>
      </c>
      <c r="L9" s="104">
        <f>SUMIFS(Factures!$J:$J,Factures!$M:$M,"&gt;=01/10/2020",Factures!$M:$M,"&lt;01/11/2020")</f>
        <v>0</v>
      </c>
      <c r="M9" s="103">
        <f>SUMIFS(Factures!$J:$J,Factures!$M:$M,"&gt;=01/11/2020",Factures!$M:$M,"&lt;01/12/2020")</f>
        <v>0</v>
      </c>
      <c r="N9" s="104">
        <f>SUMIFS(Factures!J:J,Factures!M:M,"&gt;=01/12/2020",Factures!M:M,"&lt;01/01/2021")</f>
        <v>0</v>
      </c>
      <c r="O9" s="91"/>
    </row>
    <row r="10" spans="1:18" ht="51.75" customHeight="1">
      <c r="A10" s="105" t="s">
        <v>368</v>
      </c>
      <c r="B10" s="116">
        <f ca="1">SUM(C10:N10)</f>
        <v>2233.63</v>
      </c>
      <c r="C10" s="117">
        <f t="shared" ref="C10:N10" ca="1" si="6">SUMIFS(Montant,Date_,"&gt;="&amp;C8,Date_,"&lt;"&amp;D8,Etat,"Réglé")</f>
        <v>2233.63</v>
      </c>
      <c r="D10" s="108">
        <f t="shared" ca="1" si="6"/>
        <v>0</v>
      </c>
      <c r="E10" s="107">
        <f t="shared" ca="1" si="6"/>
        <v>0</v>
      </c>
      <c r="F10" s="108">
        <f t="shared" si="6"/>
        <v>0</v>
      </c>
      <c r="G10" s="107">
        <f t="shared" si="6"/>
        <v>0</v>
      </c>
      <c r="H10" s="108">
        <f t="shared" si="6"/>
        <v>0</v>
      </c>
      <c r="I10" s="107">
        <f t="shared" si="6"/>
        <v>0</v>
      </c>
      <c r="J10" s="108">
        <f t="shared" si="6"/>
        <v>0</v>
      </c>
      <c r="K10" s="107">
        <f t="shared" si="6"/>
        <v>0</v>
      </c>
      <c r="L10" s="108">
        <f t="shared" si="6"/>
        <v>0</v>
      </c>
      <c r="M10" s="107">
        <f t="shared" si="6"/>
        <v>0</v>
      </c>
      <c r="N10" s="108">
        <f t="shared" si="6"/>
        <v>0</v>
      </c>
    </row>
    <row r="11" spans="1:18" ht="51.75" customHeight="1">
      <c r="A11" s="105" t="s">
        <v>367</v>
      </c>
      <c r="B11" s="116">
        <f ca="1">SUM(C11:N11)</f>
        <v>0</v>
      </c>
      <c r="C11" s="117">
        <f t="shared" ref="C11:N11" ca="1" si="7">SUMIFS(Montant,Date_,"&gt;="&amp;C8,Date_,"&lt;"&amp;D8,Etat,"Retard")</f>
        <v>0</v>
      </c>
      <c r="D11" s="108">
        <f t="shared" ca="1" si="7"/>
        <v>0</v>
      </c>
      <c r="E11" s="107">
        <f t="shared" ca="1" si="7"/>
        <v>0</v>
      </c>
      <c r="F11" s="108">
        <f t="shared" si="7"/>
        <v>0</v>
      </c>
      <c r="G11" s="107">
        <f t="shared" si="7"/>
        <v>0</v>
      </c>
      <c r="H11" s="108">
        <f t="shared" si="7"/>
        <v>0</v>
      </c>
      <c r="I11" s="107">
        <f t="shared" si="7"/>
        <v>0</v>
      </c>
      <c r="J11" s="108">
        <f t="shared" si="7"/>
        <v>0</v>
      </c>
      <c r="K11" s="107">
        <f t="shared" si="7"/>
        <v>0</v>
      </c>
      <c r="L11" s="108">
        <f t="shared" si="7"/>
        <v>0</v>
      </c>
      <c r="M11" s="107">
        <f t="shared" si="7"/>
        <v>0</v>
      </c>
      <c r="N11" s="108">
        <f t="shared" si="7"/>
        <v>0</v>
      </c>
    </row>
    <row r="12" spans="1:18" ht="51.75" customHeight="1">
      <c r="A12" s="105" t="s">
        <v>365</v>
      </c>
      <c r="B12" s="118">
        <f ca="1">SUM(C12:N12)</f>
        <v>47363.95</v>
      </c>
      <c r="C12" s="117">
        <f t="shared" ref="C12:N12" ca="1" si="8">SUMIFS(Montant,Date_,"&gt;="&amp;C8,Date_,"&lt;"&amp;D8,Etat,"en attente")</f>
        <v>45363.95</v>
      </c>
      <c r="D12" s="108">
        <f t="shared" ca="1" si="8"/>
        <v>1000</v>
      </c>
      <c r="E12" s="107">
        <f t="shared" ca="1" si="8"/>
        <v>1000</v>
      </c>
      <c r="F12" s="108">
        <f t="shared" si="8"/>
        <v>0</v>
      </c>
      <c r="G12" s="107">
        <f t="shared" si="8"/>
        <v>0</v>
      </c>
      <c r="H12" s="108">
        <f t="shared" si="8"/>
        <v>0</v>
      </c>
      <c r="I12" s="107">
        <f t="shared" si="8"/>
        <v>0</v>
      </c>
      <c r="J12" s="108">
        <f t="shared" si="8"/>
        <v>0</v>
      </c>
      <c r="K12" s="107">
        <f t="shared" si="8"/>
        <v>0</v>
      </c>
      <c r="L12" s="108">
        <f t="shared" si="8"/>
        <v>0</v>
      </c>
      <c r="M12" s="107">
        <f t="shared" si="8"/>
        <v>0</v>
      </c>
      <c r="N12" s="108">
        <f t="shared" si="8"/>
        <v>0</v>
      </c>
    </row>
    <row r="13" spans="1:18" ht="16" thickBot="1">
      <c r="A13" s="111"/>
      <c r="B13" s="112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</row>
    <row r="14" spans="1:18" ht="51.75" customHeight="1" thickBot="1">
      <c r="A14" s="120">
        <v>2021</v>
      </c>
      <c r="B14" s="98" t="s">
        <v>3</v>
      </c>
      <c r="C14" s="113">
        <f>VALUE("1/"&amp;C$1&amp;"/"&amp;$A14)</f>
        <v>44197</v>
      </c>
      <c r="D14" s="113">
        <f t="shared" ref="D14:N14" si="9">VALUE("1/"&amp;D$1&amp;"/"&amp;$A14)</f>
        <v>44228</v>
      </c>
      <c r="E14" s="113">
        <f t="shared" si="9"/>
        <v>44256</v>
      </c>
      <c r="F14" s="113">
        <f t="shared" si="9"/>
        <v>44287</v>
      </c>
      <c r="G14" s="113">
        <f t="shared" si="9"/>
        <v>44317</v>
      </c>
      <c r="H14" s="113">
        <f t="shared" si="9"/>
        <v>44348</v>
      </c>
      <c r="I14" s="113">
        <f t="shared" si="9"/>
        <v>44378</v>
      </c>
      <c r="J14" s="113">
        <f t="shared" si="9"/>
        <v>44409</v>
      </c>
      <c r="K14" s="113">
        <f t="shared" si="9"/>
        <v>44440</v>
      </c>
      <c r="L14" s="113">
        <f t="shared" si="9"/>
        <v>44470</v>
      </c>
      <c r="M14" s="113">
        <f t="shared" si="9"/>
        <v>44501</v>
      </c>
      <c r="N14" s="114">
        <f t="shared" si="9"/>
        <v>44531</v>
      </c>
      <c r="O14" s="87">
        <f>VALUE("1/"&amp;O$1&amp;"/"&amp;$A20)</f>
        <v>44197</v>
      </c>
    </row>
    <row r="15" spans="1:18" ht="51.75" customHeight="1">
      <c r="A15" s="115" t="s">
        <v>366</v>
      </c>
      <c r="B15" s="116">
        <f>SUM(C15:N15)</f>
        <v>0</v>
      </c>
      <c r="C15" s="103">
        <f>SUMIFS(Factures!$J:$J,Factures!$M:$M,"&gt;=01/01/2021",Factures!$M:$M,"&lt;01/02/2021")</f>
        <v>0</v>
      </c>
      <c r="D15" s="104">
        <f>SUMIFS(Factures!$J:$J,Factures!$M:$M,"&gt;=01/02/2021",Factures!$M:$M,"&lt;01/03/2021")</f>
        <v>0</v>
      </c>
      <c r="E15" s="103">
        <f>SUMIFS(Factures!$J:$J,Factures!$M:$M,"&gt;=01/03/2021",Factures!$M:$M,"&lt;01/04/2021")</f>
        <v>0</v>
      </c>
      <c r="F15" s="104">
        <f>SUMIFS(Factures!$J:$J,Factures!$M:$M,"&gt;=01/04/2021",Factures!$M:$M,"&lt;01/05/2021")</f>
        <v>0</v>
      </c>
      <c r="G15" s="103">
        <f>SUMIFS(Factures!$J:$J,Factures!$M:$M,"&gt;=01/05/2021",Factures!$M:$M,"&lt;01/06/2021")</f>
        <v>0</v>
      </c>
      <c r="H15" s="104">
        <f>SUMIFS(Factures!$J:$J,Factures!$M:$M,"&gt;=01/06/2021",Factures!$M:$M,"&lt;01/07/2021")</f>
        <v>0</v>
      </c>
      <c r="I15" s="103">
        <f>SUMIFS(Factures!$J:$J,Factures!$M:$M,"&gt;=01/07/2021",Factures!$M:$M,"&lt;01/08/2021")</f>
        <v>0</v>
      </c>
      <c r="J15" s="104">
        <f>SUMIFS(Factures!$J:$J,Factures!$M:$M,"&gt;=01/08/2021",Factures!$M:$M,"&lt;01/09/2021")</f>
        <v>0</v>
      </c>
      <c r="K15" s="103">
        <f>SUMIFS(Factures!$J:$J,Factures!$M:$M,"&gt;=01/09/2021",Factures!$M:$M,"&lt;01/10/2021")</f>
        <v>0</v>
      </c>
      <c r="L15" s="104">
        <f>SUMIFS(Factures!$J:$J,Factures!$M:$M,"&gt;=01/10/2021",Factures!$M:$M,"&lt;01/11/2021")</f>
        <v>0</v>
      </c>
      <c r="M15" s="103">
        <f>SUMIFS(Factures!$J:$J,Factures!$M:$M,"&gt;=01/11/2021",Factures!$M:$M,"&lt;01/12/2021")</f>
        <v>0</v>
      </c>
      <c r="N15" s="104">
        <f>SUMIFS(Factures!J:J,Factures!M:M,"&gt;=01/12/2021",Factures!M:M,"&lt;01/01/2022")</f>
        <v>0</v>
      </c>
      <c r="O15" s="91"/>
    </row>
    <row r="16" spans="1:18" ht="51.75" customHeight="1">
      <c r="A16" s="105" t="s">
        <v>368</v>
      </c>
      <c r="B16" s="116">
        <f>SUM(C16:N16)</f>
        <v>0</v>
      </c>
      <c r="C16" s="117">
        <f t="shared" ref="C16:N16" si="10">SUMIFS(Montant,Date_,"&gt;="&amp;C14,Date_,"&lt;"&amp;D14,Etat,"Réglé")</f>
        <v>0</v>
      </c>
      <c r="D16" s="108">
        <f t="shared" si="10"/>
        <v>0</v>
      </c>
      <c r="E16" s="107">
        <f t="shared" si="10"/>
        <v>0</v>
      </c>
      <c r="F16" s="108">
        <f t="shared" si="10"/>
        <v>0</v>
      </c>
      <c r="G16" s="107">
        <f t="shared" si="10"/>
        <v>0</v>
      </c>
      <c r="H16" s="108">
        <f t="shared" si="10"/>
        <v>0</v>
      </c>
      <c r="I16" s="107">
        <f t="shared" si="10"/>
        <v>0</v>
      </c>
      <c r="J16" s="108">
        <f t="shared" si="10"/>
        <v>0</v>
      </c>
      <c r="K16" s="107">
        <f t="shared" si="10"/>
        <v>0</v>
      </c>
      <c r="L16" s="108">
        <f t="shared" si="10"/>
        <v>0</v>
      </c>
      <c r="M16" s="107">
        <f t="shared" si="10"/>
        <v>0</v>
      </c>
      <c r="N16" s="108">
        <f t="shared" si="10"/>
        <v>0</v>
      </c>
    </row>
    <row r="17" spans="1:14" ht="51.75" customHeight="1">
      <c r="A17" s="105" t="s">
        <v>367</v>
      </c>
      <c r="B17" s="116">
        <f>SUM(C17:N17)</f>
        <v>0</v>
      </c>
      <c r="C17" s="117">
        <f t="shared" ref="C17:N17" si="11">SUMIFS(Montant,Date_,"&gt;="&amp;C14,Date_,"&lt;"&amp;D14,Etat,"Retard")</f>
        <v>0</v>
      </c>
      <c r="D17" s="108">
        <f t="shared" si="11"/>
        <v>0</v>
      </c>
      <c r="E17" s="107">
        <f t="shared" si="11"/>
        <v>0</v>
      </c>
      <c r="F17" s="108">
        <f t="shared" si="11"/>
        <v>0</v>
      </c>
      <c r="G17" s="107">
        <f t="shared" si="11"/>
        <v>0</v>
      </c>
      <c r="H17" s="108">
        <f t="shared" si="11"/>
        <v>0</v>
      </c>
      <c r="I17" s="107">
        <f t="shared" si="11"/>
        <v>0</v>
      </c>
      <c r="J17" s="108">
        <f t="shared" si="11"/>
        <v>0</v>
      </c>
      <c r="K17" s="107">
        <f t="shared" si="11"/>
        <v>0</v>
      </c>
      <c r="L17" s="108">
        <f t="shared" si="11"/>
        <v>0</v>
      </c>
      <c r="M17" s="107">
        <f t="shared" si="11"/>
        <v>0</v>
      </c>
      <c r="N17" s="108">
        <f t="shared" si="11"/>
        <v>0</v>
      </c>
    </row>
    <row r="18" spans="1:14" ht="51.75" customHeight="1">
      <c r="A18" s="105" t="s">
        <v>365</v>
      </c>
      <c r="B18" s="118">
        <f>SUM(C18:N18)</f>
        <v>0</v>
      </c>
      <c r="C18" s="117">
        <f t="shared" ref="C18:N18" si="12">SUMIFS(Montant,Date_,"&gt;="&amp;C14,Date_,"&lt;"&amp;D14,Etat,"en attente")</f>
        <v>0</v>
      </c>
      <c r="D18" s="108">
        <f t="shared" si="12"/>
        <v>0</v>
      </c>
      <c r="E18" s="107">
        <f t="shared" si="12"/>
        <v>0</v>
      </c>
      <c r="F18" s="108">
        <f t="shared" si="12"/>
        <v>0</v>
      </c>
      <c r="G18" s="107">
        <f t="shared" si="12"/>
        <v>0</v>
      </c>
      <c r="H18" s="108">
        <f t="shared" si="12"/>
        <v>0</v>
      </c>
      <c r="I18" s="107">
        <f t="shared" si="12"/>
        <v>0</v>
      </c>
      <c r="J18" s="108">
        <f t="shared" si="12"/>
        <v>0</v>
      </c>
      <c r="K18" s="107">
        <f t="shared" si="12"/>
        <v>0</v>
      </c>
      <c r="L18" s="108">
        <f t="shared" si="12"/>
        <v>0</v>
      </c>
      <c r="M18" s="107">
        <f t="shared" si="12"/>
        <v>0</v>
      </c>
      <c r="N18" s="108">
        <f t="shared" si="12"/>
        <v>0</v>
      </c>
    </row>
    <row r="19" spans="1:14">
      <c r="A19" s="111"/>
      <c r="B19" s="112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</row>
    <row r="20" spans="1:14" ht="21">
      <c r="A20" s="93">
        <v>2021</v>
      </c>
    </row>
    <row r="21" spans="1:14">
      <c r="A21" s="94" t="s">
        <v>364</v>
      </c>
    </row>
  </sheetData>
  <sheetProtection selectLockedCells="1" selectUnlockedCells="1"/>
  <phoneticPr fontId="10" type="noConversion"/>
  <conditionalFormatting sqref="B3 B4:N8 B10:N14 B9 B16:N18 B15">
    <cfRule type="cellIs" dxfId="11" priority="1" operator="lessThan">
      <formula>0</formula>
    </cfRule>
  </conditionalFormatting>
  <printOptions horizontalCentered="1"/>
  <pageMargins left="0.25" right="0.25" top="0.75" bottom="0.75" header="0.3" footer="0.3"/>
  <pageSetup paperSize="8" scale="86" fitToWidth="0" orientation="landscape" r:id="rId1"/>
  <headerFooter>
    <oddHeader>&amp;F</oddHead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C000"/>
  </sheetPr>
  <dimension ref="A1:N35"/>
  <sheetViews>
    <sheetView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N20" sqref="N20"/>
    </sheetView>
  </sheetViews>
  <sheetFormatPr baseColWidth="10" defaultRowHeight="15"/>
  <cols>
    <col min="1" max="1" width="25.33203125" bestFit="1" customWidth="1"/>
    <col min="2" max="2" width="13.5" style="7" bestFit="1" customWidth="1"/>
    <col min="3" max="3" width="20.5" bestFit="1" customWidth="1"/>
    <col min="4" max="4" width="16.6640625" bestFit="1" customWidth="1"/>
    <col min="5" max="5" width="39.5" customWidth="1"/>
    <col min="6" max="6" width="13.6640625" bestFit="1" customWidth="1"/>
    <col min="7" max="7" width="27.6640625" bestFit="1" customWidth="1"/>
    <col min="8" max="8" width="12.83203125" bestFit="1" customWidth="1"/>
    <col min="9" max="9" width="29.6640625" bestFit="1" customWidth="1"/>
    <col min="10" max="10" width="34.1640625" bestFit="1" customWidth="1"/>
    <col min="11" max="11" width="25.5" bestFit="1" customWidth="1"/>
    <col min="12" max="12" width="22" bestFit="1" customWidth="1"/>
    <col min="13" max="13" width="31.1640625" bestFit="1" customWidth="1"/>
    <col min="14" max="14" width="13.33203125" bestFit="1" customWidth="1"/>
  </cols>
  <sheetData>
    <row r="1" spans="1:14">
      <c r="A1" t="s">
        <v>28</v>
      </c>
      <c r="B1" s="9" t="s">
        <v>27</v>
      </c>
      <c r="C1" t="s">
        <v>54</v>
      </c>
      <c r="D1" t="s">
        <v>56</v>
      </c>
      <c r="E1" t="s">
        <v>26</v>
      </c>
      <c r="F1" t="s">
        <v>25</v>
      </c>
      <c r="G1" t="s">
        <v>24</v>
      </c>
      <c r="H1" t="s">
        <v>23</v>
      </c>
      <c r="I1" t="s">
        <v>52</v>
      </c>
      <c r="J1" t="s">
        <v>29</v>
      </c>
      <c r="K1" t="s">
        <v>30</v>
      </c>
      <c r="L1" t="s">
        <v>32</v>
      </c>
      <c r="M1" t="s">
        <v>34</v>
      </c>
      <c r="N1" t="s">
        <v>36</v>
      </c>
    </row>
    <row r="2" spans="1:14">
      <c r="A2" t="s">
        <v>59</v>
      </c>
      <c r="B2" s="7" t="s">
        <v>60</v>
      </c>
      <c r="C2" t="s">
        <v>55</v>
      </c>
      <c r="D2" t="s">
        <v>61</v>
      </c>
      <c r="E2" t="s">
        <v>62</v>
      </c>
      <c r="F2">
        <v>33000</v>
      </c>
      <c r="G2" t="s">
        <v>63</v>
      </c>
      <c r="H2" t="s">
        <v>64</v>
      </c>
      <c r="J2" s="5"/>
      <c r="M2" t="s">
        <v>65</v>
      </c>
      <c r="N2" t="s">
        <v>66</v>
      </c>
    </row>
    <row r="3" spans="1:14">
      <c r="A3" t="s">
        <v>18</v>
      </c>
      <c r="B3" s="7" t="s">
        <v>19</v>
      </c>
      <c r="C3" t="s">
        <v>61</v>
      </c>
      <c r="E3" t="s">
        <v>20</v>
      </c>
      <c r="F3">
        <v>13680</v>
      </c>
      <c r="G3" t="s">
        <v>21</v>
      </c>
      <c r="H3" t="s">
        <v>22</v>
      </c>
      <c r="J3" s="5" t="s">
        <v>31</v>
      </c>
      <c r="L3" t="s">
        <v>33</v>
      </c>
      <c r="M3" t="s">
        <v>35</v>
      </c>
      <c r="N3" t="s">
        <v>37</v>
      </c>
    </row>
    <row r="4" spans="1:14">
      <c r="A4" t="s">
        <v>40</v>
      </c>
      <c r="C4" t="s">
        <v>67</v>
      </c>
      <c r="E4" t="s">
        <v>41</v>
      </c>
      <c r="F4">
        <v>33260</v>
      </c>
      <c r="G4" t="s">
        <v>42</v>
      </c>
      <c r="H4" t="s">
        <v>43</v>
      </c>
      <c r="J4" s="5" t="s">
        <v>44</v>
      </c>
      <c r="L4" t="s">
        <v>45</v>
      </c>
      <c r="M4" t="s">
        <v>46</v>
      </c>
      <c r="N4" t="s">
        <v>47</v>
      </c>
    </row>
    <row r="5" spans="1:14">
      <c r="A5" t="s">
        <v>48</v>
      </c>
      <c r="C5" t="s">
        <v>55</v>
      </c>
      <c r="D5" t="s">
        <v>68</v>
      </c>
      <c r="E5" t="s">
        <v>49</v>
      </c>
      <c r="F5">
        <v>33270</v>
      </c>
      <c r="G5" t="s">
        <v>50</v>
      </c>
      <c r="H5" t="s">
        <v>51</v>
      </c>
      <c r="I5" s="5" t="s">
        <v>53</v>
      </c>
      <c r="J5" s="5"/>
    </row>
    <row r="6" spans="1:14">
      <c r="A6" t="s">
        <v>250</v>
      </c>
      <c r="B6" s="7">
        <v>882670</v>
      </c>
      <c r="C6" t="s">
        <v>55</v>
      </c>
      <c r="D6" t="s">
        <v>251</v>
      </c>
      <c r="E6" t="s">
        <v>252</v>
      </c>
      <c r="F6">
        <v>95105</v>
      </c>
      <c r="G6" t="s">
        <v>253</v>
      </c>
      <c r="H6" t="s">
        <v>254</v>
      </c>
      <c r="I6" s="5" t="s">
        <v>255</v>
      </c>
      <c r="J6" s="5" t="s">
        <v>256</v>
      </c>
      <c r="L6" t="s">
        <v>257</v>
      </c>
      <c r="M6" t="s">
        <v>258</v>
      </c>
      <c r="N6" t="s">
        <v>212</v>
      </c>
    </row>
    <row r="7" spans="1:14">
      <c r="A7" t="s">
        <v>327</v>
      </c>
      <c r="B7" s="7" t="s">
        <v>328</v>
      </c>
      <c r="C7" t="s">
        <v>55</v>
      </c>
      <c r="D7" t="s">
        <v>61</v>
      </c>
      <c r="E7" t="s">
        <v>329</v>
      </c>
      <c r="F7">
        <v>84480</v>
      </c>
      <c r="G7" t="s">
        <v>330</v>
      </c>
      <c r="H7" t="s">
        <v>331</v>
      </c>
      <c r="I7" s="5"/>
      <c r="J7" s="5"/>
    </row>
    <row r="8" spans="1:14" s="1" customFormat="1" ht="16">
      <c r="A8" s="1" t="s">
        <v>69</v>
      </c>
      <c r="B8" s="8">
        <v>1328901</v>
      </c>
      <c r="C8" s="1" t="s">
        <v>55</v>
      </c>
      <c r="D8" s="1" t="s">
        <v>70</v>
      </c>
      <c r="E8" s="2" t="s">
        <v>71</v>
      </c>
      <c r="F8" s="1">
        <v>91424</v>
      </c>
      <c r="G8" s="1" t="s">
        <v>72</v>
      </c>
      <c r="H8" s="1" t="s">
        <v>73</v>
      </c>
      <c r="I8" s="6" t="s">
        <v>74</v>
      </c>
      <c r="J8" s="6"/>
      <c r="L8" s="1" t="s">
        <v>75</v>
      </c>
      <c r="M8" s="1" t="s">
        <v>76</v>
      </c>
      <c r="N8" s="1" t="s">
        <v>77</v>
      </c>
    </row>
    <row r="9" spans="1:14" s="1" customFormat="1" ht="32">
      <c r="A9" s="2" t="s">
        <v>82</v>
      </c>
      <c r="B9" s="8" t="s">
        <v>78</v>
      </c>
      <c r="C9" s="1" t="s">
        <v>55</v>
      </c>
      <c r="D9" s="1" t="s">
        <v>67</v>
      </c>
      <c r="E9" s="1" t="s">
        <v>79</v>
      </c>
      <c r="F9" s="1">
        <v>92700</v>
      </c>
      <c r="G9" s="1" t="s">
        <v>80</v>
      </c>
      <c r="H9" s="1" t="s">
        <v>81</v>
      </c>
      <c r="J9" s="6"/>
      <c r="L9" s="1" t="s">
        <v>83</v>
      </c>
      <c r="M9" s="1" t="s">
        <v>84</v>
      </c>
    </row>
    <row r="10" spans="1:14">
      <c r="A10" t="s">
        <v>85</v>
      </c>
      <c r="B10" s="7">
        <v>53178</v>
      </c>
      <c r="C10" t="s">
        <v>55</v>
      </c>
      <c r="D10" t="s">
        <v>67</v>
      </c>
      <c r="E10" t="s">
        <v>86</v>
      </c>
      <c r="F10">
        <v>94140</v>
      </c>
      <c r="G10" t="s">
        <v>87</v>
      </c>
      <c r="H10" t="s">
        <v>88</v>
      </c>
      <c r="I10" s="5" t="s">
        <v>89</v>
      </c>
      <c r="J10" s="5" t="s">
        <v>90</v>
      </c>
      <c r="L10" t="s">
        <v>91</v>
      </c>
      <c r="M10" t="s">
        <v>92</v>
      </c>
      <c r="N10" t="s">
        <v>93</v>
      </c>
    </row>
    <row r="11" spans="1:14">
      <c r="A11" t="s">
        <v>95</v>
      </c>
      <c r="B11" s="7" t="s">
        <v>108</v>
      </c>
      <c r="C11" t="s">
        <v>55</v>
      </c>
      <c r="D11" t="s">
        <v>67</v>
      </c>
      <c r="E11" t="s">
        <v>96</v>
      </c>
      <c r="F11">
        <v>30210</v>
      </c>
      <c r="G11" t="s">
        <v>97</v>
      </c>
      <c r="H11" t="s">
        <v>98</v>
      </c>
      <c r="I11" s="5" t="s">
        <v>99</v>
      </c>
      <c r="J11" s="5" t="s">
        <v>100</v>
      </c>
      <c r="M11" t="s">
        <v>101</v>
      </c>
    </row>
    <row r="12" spans="1:14">
      <c r="A12" t="s">
        <v>311</v>
      </c>
      <c r="B12" s="7" t="s">
        <v>312</v>
      </c>
      <c r="C12" t="s">
        <v>55</v>
      </c>
      <c r="D12" t="s">
        <v>67</v>
      </c>
      <c r="E12" t="s">
        <v>313</v>
      </c>
      <c r="F12">
        <v>33520</v>
      </c>
      <c r="G12" t="s">
        <v>314</v>
      </c>
      <c r="H12" t="s">
        <v>315</v>
      </c>
      <c r="I12" s="5"/>
      <c r="J12" s="5" t="s">
        <v>316</v>
      </c>
      <c r="L12" t="s">
        <v>317</v>
      </c>
      <c r="M12" t="s">
        <v>318</v>
      </c>
      <c r="N12" t="s">
        <v>319</v>
      </c>
    </row>
    <row r="13" spans="1:14" s="1" customFormat="1" ht="16">
      <c r="A13" s="1" t="s">
        <v>109</v>
      </c>
      <c r="B13" s="8"/>
      <c r="C13" s="1" t="s">
        <v>55</v>
      </c>
      <c r="D13" s="1" t="s">
        <v>68</v>
      </c>
      <c r="E13" s="2" t="s">
        <v>110</v>
      </c>
      <c r="F13" s="1">
        <v>41355</v>
      </c>
      <c r="G13" s="1" t="s">
        <v>111</v>
      </c>
      <c r="H13" s="1" t="s">
        <v>112</v>
      </c>
      <c r="J13" s="6"/>
      <c r="M13" s="1" t="s">
        <v>113</v>
      </c>
    </row>
    <row r="14" spans="1:14">
      <c r="A14" t="s">
        <v>121</v>
      </c>
      <c r="B14" s="7">
        <v>82061</v>
      </c>
      <c r="C14" t="s">
        <v>55</v>
      </c>
      <c r="D14" t="s">
        <v>61</v>
      </c>
      <c r="E14" t="s">
        <v>122</v>
      </c>
      <c r="F14">
        <v>78294</v>
      </c>
      <c r="G14" t="s">
        <v>124</v>
      </c>
      <c r="H14" t="s">
        <v>123</v>
      </c>
      <c r="J14" s="5"/>
      <c r="K14" s="5" t="s">
        <v>125</v>
      </c>
      <c r="M14" t="s">
        <v>126</v>
      </c>
      <c r="N14" t="s">
        <v>127</v>
      </c>
    </row>
    <row r="15" spans="1:14">
      <c r="A15" t="s">
        <v>114</v>
      </c>
      <c r="C15" t="s">
        <v>55</v>
      </c>
      <c r="D15" t="s">
        <v>67</v>
      </c>
      <c r="E15" t="s">
        <v>115</v>
      </c>
      <c r="F15">
        <v>33260</v>
      </c>
      <c r="G15" t="s">
        <v>42</v>
      </c>
      <c r="J15" s="5"/>
    </row>
    <row r="16" spans="1:14">
      <c r="A16" t="s">
        <v>375</v>
      </c>
      <c r="C16" t="s">
        <v>55</v>
      </c>
      <c r="D16" t="s">
        <v>61</v>
      </c>
      <c r="E16" t="s">
        <v>376</v>
      </c>
      <c r="F16">
        <v>33260</v>
      </c>
      <c r="G16" t="s">
        <v>42</v>
      </c>
      <c r="H16" t="s">
        <v>377</v>
      </c>
      <c r="I16" s="5" t="s">
        <v>378</v>
      </c>
      <c r="J16" s="5" t="s">
        <v>379</v>
      </c>
    </row>
    <row r="17" spans="1:14">
      <c r="A17" t="s">
        <v>130</v>
      </c>
      <c r="B17" s="7">
        <v>561354</v>
      </c>
      <c r="C17" t="s">
        <v>55</v>
      </c>
      <c r="D17" t="s">
        <v>131</v>
      </c>
      <c r="E17" t="s">
        <v>132</v>
      </c>
      <c r="F17">
        <v>75827</v>
      </c>
      <c r="G17" t="s">
        <v>133</v>
      </c>
      <c r="H17" t="s">
        <v>134</v>
      </c>
      <c r="I17" s="5" t="s">
        <v>135</v>
      </c>
      <c r="J17" s="5"/>
      <c r="K17" s="5" t="s">
        <v>136</v>
      </c>
      <c r="L17" t="s">
        <v>137</v>
      </c>
      <c r="M17" t="s">
        <v>138</v>
      </c>
      <c r="N17" t="s">
        <v>139</v>
      </c>
    </row>
    <row r="18" spans="1:14">
      <c r="A18" t="s">
        <v>335</v>
      </c>
      <c r="B18" s="7">
        <v>93000111</v>
      </c>
      <c r="C18" t="s">
        <v>260</v>
      </c>
      <c r="D18" t="s">
        <v>336</v>
      </c>
      <c r="E18" t="s">
        <v>337</v>
      </c>
      <c r="F18">
        <v>33260</v>
      </c>
      <c r="G18" t="s">
        <v>42</v>
      </c>
      <c r="H18" t="s">
        <v>338</v>
      </c>
      <c r="I18" s="5" t="s">
        <v>339</v>
      </c>
      <c r="J18" s="5" t="s">
        <v>340</v>
      </c>
      <c r="K18" s="5"/>
    </row>
    <row r="19" spans="1:14">
      <c r="A19" t="s">
        <v>382</v>
      </c>
      <c r="B19" s="7" t="s">
        <v>383</v>
      </c>
      <c r="C19" t="s">
        <v>55</v>
      </c>
      <c r="D19" t="s">
        <v>384</v>
      </c>
      <c r="E19" t="s">
        <v>385</v>
      </c>
      <c r="F19">
        <v>33270</v>
      </c>
      <c r="G19" t="s">
        <v>386</v>
      </c>
      <c r="H19" t="s">
        <v>387</v>
      </c>
      <c r="I19" s="5"/>
      <c r="J19" s="5" t="s">
        <v>388</v>
      </c>
      <c r="K19" s="5"/>
      <c r="L19" t="s">
        <v>33</v>
      </c>
      <c r="M19" t="s">
        <v>389</v>
      </c>
      <c r="N19" t="s">
        <v>37</v>
      </c>
    </row>
    <row r="20" spans="1:14">
      <c r="A20" t="s">
        <v>143</v>
      </c>
      <c r="B20" s="7" t="s">
        <v>144</v>
      </c>
      <c r="C20" t="s">
        <v>55</v>
      </c>
      <c r="D20" t="s">
        <v>67</v>
      </c>
      <c r="E20" t="s">
        <v>145</v>
      </c>
      <c r="F20">
        <v>92309</v>
      </c>
      <c r="G20" t="s">
        <v>146</v>
      </c>
      <c r="H20" t="s">
        <v>147</v>
      </c>
      <c r="I20" s="5" t="s">
        <v>148</v>
      </c>
      <c r="J20" s="5" t="s">
        <v>149</v>
      </c>
    </row>
    <row r="21" spans="1:14" s="1" customFormat="1" ht="32">
      <c r="A21" s="1" t="s">
        <v>150</v>
      </c>
      <c r="B21" s="8">
        <v>716732</v>
      </c>
      <c r="C21" s="1" t="s">
        <v>55</v>
      </c>
      <c r="D21" s="1" t="s">
        <v>67</v>
      </c>
      <c r="E21" s="2" t="s">
        <v>151</v>
      </c>
      <c r="F21" s="1">
        <v>94200</v>
      </c>
      <c r="G21" s="1" t="s">
        <v>152</v>
      </c>
      <c r="H21" s="1" t="s">
        <v>153</v>
      </c>
      <c r="I21" s="6" t="s">
        <v>154</v>
      </c>
      <c r="J21" s="6" t="s">
        <v>155</v>
      </c>
      <c r="L21" s="1" t="s">
        <v>156</v>
      </c>
      <c r="M21" s="1" t="s">
        <v>157</v>
      </c>
      <c r="N21" s="1" t="s">
        <v>158</v>
      </c>
    </row>
    <row r="22" spans="1:14" s="1" customFormat="1" ht="16">
      <c r="A22" s="1" t="s">
        <v>268</v>
      </c>
      <c r="B22" s="8">
        <v>117450</v>
      </c>
      <c r="C22" s="1" t="s">
        <v>55</v>
      </c>
      <c r="D22" s="1" t="s">
        <v>61</v>
      </c>
      <c r="E22" s="2" t="s">
        <v>269</v>
      </c>
      <c r="F22" s="1">
        <v>91430</v>
      </c>
      <c r="G22" s="1" t="s">
        <v>270</v>
      </c>
      <c r="H22" s="1" t="s">
        <v>271</v>
      </c>
      <c r="I22" s="6" t="s">
        <v>273</v>
      </c>
      <c r="J22" s="6" t="s">
        <v>272</v>
      </c>
      <c r="L22" s="1" t="s">
        <v>332</v>
      </c>
      <c r="M22" s="1" t="s">
        <v>274</v>
      </c>
      <c r="N22" s="1" t="s">
        <v>275</v>
      </c>
    </row>
    <row r="23" spans="1:14" s="1" customFormat="1" ht="16">
      <c r="A23" s="1" t="s">
        <v>359</v>
      </c>
      <c r="B23" s="8"/>
      <c r="C23" s="1" t="s">
        <v>360</v>
      </c>
      <c r="D23" s="1" t="s">
        <v>61</v>
      </c>
      <c r="E23" s="2" t="s">
        <v>361</v>
      </c>
      <c r="F23" s="1">
        <v>33260</v>
      </c>
      <c r="G23" s="1" t="s">
        <v>42</v>
      </c>
      <c r="H23" s="1" t="s">
        <v>362</v>
      </c>
      <c r="I23" s="6"/>
      <c r="J23" s="6" t="s">
        <v>363</v>
      </c>
    </row>
    <row r="24" spans="1:14">
      <c r="A24" t="s">
        <v>241</v>
      </c>
      <c r="B24" s="7">
        <v>33046</v>
      </c>
      <c r="C24" t="s">
        <v>55</v>
      </c>
      <c r="D24" t="s">
        <v>61</v>
      </c>
      <c r="E24" t="s">
        <v>242</v>
      </c>
      <c r="F24">
        <v>77220</v>
      </c>
      <c r="G24" t="s">
        <v>243</v>
      </c>
      <c r="H24" t="s">
        <v>244</v>
      </c>
      <c r="I24" s="5" t="s">
        <v>245</v>
      </c>
      <c r="J24" s="5" t="s">
        <v>246</v>
      </c>
      <c r="M24" t="s">
        <v>247</v>
      </c>
      <c r="N24" t="s">
        <v>248</v>
      </c>
    </row>
    <row r="25" spans="1:14">
      <c r="A25" t="s">
        <v>166</v>
      </c>
      <c r="B25" s="7" t="s">
        <v>167</v>
      </c>
      <c r="C25" t="s">
        <v>55</v>
      </c>
      <c r="D25" t="s">
        <v>160</v>
      </c>
      <c r="E25" t="s">
        <v>168</v>
      </c>
      <c r="F25">
        <v>94118</v>
      </c>
      <c r="G25" t="s">
        <v>169</v>
      </c>
      <c r="H25" t="s">
        <v>170</v>
      </c>
      <c r="I25" s="5" t="s">
        <v>171</v>
      </c>
      <c r="J25" s="5" t="s">
        <v>172</v>
      </c>
      <c r="L25" t="s">
        <v>33</v>
      </c>
      <c r="M25" t="s">
        <v>173</v>
      </c>
      <c r="N25" t="s">
        <v>37</v>
      </c>
    </row>
    <row r="26" spans="1:14">
      <c r="A26" t="s">
        <v>159</v>
      </c>
      <c r="B26" s="7">
        <v>70118141</v>
      </c>
      <c r="C26" t="s">
        <v>55</v>
      </c>
      <c r="D26" t="s">
        <v>160</v>
      </c>
      <c r="E26" t="s">
        <v>161</v>
      </c>
      <c r="F26">
        <v>93297</v>
      </c>
      <c r="G26" t="s">
        <v>162</v>
      </c>
      <c r="H26" t="s">
        <v>163</v>
      </c>
      <c r="I26" s="5" t="s">
        <v>165</v>
      </c>
      <c r="J26" s="5"/>
      <c r="M26" t="s">
        <v>164</v>
      </c>
    </row>
    <row r="27" spans="1:14">
      <c r="A27" t="s">
        <v>304</v>
      </c>
      <c r="B27" s="7" t="s">
        <v>305</v>
      </c>
      <c r="C27" t="s">
        <v>55</v>
      </c>
      <c r="D27" t="s">
        <v>68</v>
      </c>
      <c r="E27" t="s">
        <v>308</v>
      </c>
      <c r="F27">
        <v>39700</v>
      </c>
      <c r="G27" t="s">
        <v>309</v>
      </c>
      <c r="H27" t="s">
        <v>306</v>
      </c>
      <c r="I27" s="5"/>
      <c r="J27" s="5"/>
      <c r="K27" s="5" t="s">
        <v>307</v>
      </c>
      <c r="M27" t="s">
        <v>310</v>
      </c>
      <c r="N27" t="s">
        <v>37</v>
      </c>
    </row>
    <row r="28" spans="1:14">
      <c r="A28" t="s">
        <v>175</v>
      </c>
      <c r="B28" s="7" t="s">
        <v>176</v>
      </c>
      <c r="C28" t="s">
        <v>55</v>
      </c>
      <c r="D28" t="s">
        <v>216</v>
      </c>
      <c r="E28" t="s">
        <v>177</v>
      </c>
      <c r="F28">
        <v>67411</v>
      </c>
      <c r="G28" t="s">
        <v>178</v>
      </c>
      <c r="H28" t="s">
        <v>179</v>
      </c>
      <c r="J28" s="5" t="s">
        <v>180</v>
      </c>
      <c r="L28" t="s">
        <v>181</v>
      </c>
      <c r="M28" t="s">
        <v>182</v>
      </c>
    </row>
    <row r="29" spans="1:14">
      <c r="A29" t="s">
        <v>184</v>
      </c>
      <c r="C29" t="s">
        <v>55</v>
      </c>
      <c r="D29" t="s">
        <v>67</v>
      </c>
      <c r="E29" t="s">
        <v>185</v>
      </c>
      <c r="F29">
        <v>33320</v>
      </c>
      <c r="G29" t="s">
        <v>186</v>
      </c>
      <c r="H29" t="s">
        <v>187</v>
      </c>
      <c r="J29" s="5" t="s">
        <v>188</v>
      </c>
      <c r="L29" t="s">
        <v>14</v>
      </c>
      <c r="M29" t="s">
        <v>189</v>
      </c>
      <c r="N29" t="s">
        <v>66</v>
      </c>
    </row>
    <row r="30" spans="1:14">
      <c r="A30" t="s">
        <v>191</v>
      </c>
      <c r="C30" t="s">
        <v>55</v>
      </c>
      <c r="D30" t="s">
        <v>61</v>
      </c>
      <c r="E30" t="s">
        <v>192</v>
      </c>
      <c r="F30">
        <v>16100</v>
      </c>
      <c r="G30" t="s">
        <v>193</v>
      </c>
      <c r="H30" t="s">
        <v>194</v>
      </c>
      <c r="I30" s="5" t="s">
        <v>195</v>
      </c>
      <c r="J30" s="5" t="s">
        <v>196</v>
      </c>
      <c r="L30" t="s">
        <v>33</v>
      </c>
      <c r="M30" t="s">
        <v>197</v>
      </c>
      <c r="N30" t="s">
        <v>37</v>
      </c>
    </row>
    <row r="31" spans="1:14">
      <c r="A31" t="s">
        <v>199</v>
      </c>
      <c r="B31" s="7">
        <v>613929</v>
      </c>
      <c r="C31" t="s">
        <v>55</v>
      </c>
      <c r="D31" t="s">
        <v>160</v>
      </c>
      <c r="E31" t="s">
        <v>200</v>
      </c>
      <c r="F31">
        <v>67100</v>
      </c>
      <c r="G31" t="s">
        <v>201</v>
      </c>
      <c r="H31" t="s">
        <v>202</v>
      </c>
      <c r="I31" s="5" t="s">
        <v>203</v>
      </c>
      <c r="J31" s="5" t="s">
        <v>204</v>
      </c>
      <c r="L31" t="s">
        <v>14</v>
      </c>
      <c r="M31" t="s">
        <v>205</v>
      </c>
      <c r="N31" t="s">
        <v>206</v>
      </c>
    </row>
    <row r="32" spans="1:14">
      <c r="A32" t="s">
        <v>207</v>
      </c>
      <c r="C32" t="s">
        <v>55</v>
      </c>
      <c r="D32" t="s">
        <v>61</v>
      </c>
      <c r="E32" t="s">
        <v>208</v>
      </c>
      <c r="F32">
        <v>33260</v>
      </c>
      <c r="G32" t="s">
        <v>42</v>
      </c>
      <c r="H32" t="s">
        <v>209</v>
      </c>
      <c r="J32" s="5" t="s">
        <v>210</v>
      </c>
      <c r="M32" t="s">
        <v>211</v>
      </c>
      <c r="N32" t="s">
        <v>212</v>
      </c>
    </row>
    <row r="33" spans="1:14">
      <c r="A33" t="s">
        <v>259</v>
      </c>
      <c r="B33" s="7">
        <v>3614</v>
      </c>
      <c r="C33" t="s">
        <v>260</v>
      </c>
      <c r="D33" t="s">
        <v>67</v>
      </c>
      <c r="E33" t="s">
        <v>261</v>
      </c>
      <c r="F33">
        <v>77680</v>
      </c>
      <c r="G33" t="s">
        <v>262</v>
      </c>
      <c r="H33" t="s">
        <v>263</v>
      </c>
      <c r="J33" s="5"/>
      <c r="L33" t="s">
        <v>264</v>
      </c>
      <c r="M33" t="s">
        <v>265</v>
      </c>
      <c r="N33" t="s">
        <v>266</v>
      </c>
    </row>
    <row r="34" spans="1:14">
      <c r="A34" t="s">
        <v>217</v>
      </c>
      <c r="B34" s="7" t="s">
        <v>218</v>
      </c>
      <c r="C34" t="s">
        <v>55</v>
      </c>
      <c r="D34" t="s">
        <v>61</v>
      </c>
      <c r="E34" t="s">
        <v>219</v>
      </c>
      <c r="F34">
        <v>33320</v>
      </c>
      <c r="G34" t="s">
        <v>186</v>
      </c>
      <c r="H34" t="s">
        <v>220</v>
      </c>
      <c r="J34" s="5"/>
    </row>
    <row r="35" spans="1:14">
      <c r="J35" s="5"/>
    </row>
  </sheetData>
  <hyperlinks>
    <hyperlink ref="J3" r:id="rId1" xr:uid="{00000000-0004-0000-0300-000000000000}"/>
    <hyperlink ref="J4" r:id="rId2" xr:uid="{00000000-0004-0000-0300-000001000000}"/>
    <hyperlink ref="I5" r:id="rId3" xr:uid="{00000000-0004-0000-0300-000002000000}"/>
    <hyperlink ref="I8" r:id="rId4" xr:uid="{00000000-0004-0000-0300-000003000000}"/>
    <hyperlink ref="I10" r:id="rId5" xr:uid="{00000000-0004-0000-0300-000004000000}"/>
    <hyperlink ref="J10" r:id="rId6" xr:uid="{00000000-0004-0000-0300-000005000000}"/>
    <hyperlink ref="I11" r:id="rId7" xr:uid="{00000000-0004-0000-0300-000006000000}"/>
    <hyperlink ref="J11" r:id="rId8" xr:uid="{00000000-0004-0000-0300-000007000000}"/>
    <hyperlink ref="K14" r:id="rId9" xr:uid="{00000000-0004-0000-0300-000008000000}"/>
    <hyperlink ref="I17" r:id="rId10" xr:uid="{00000000-0004-0000-0300-000009000000}"/>
    <hyperlink ref="K17" r:id="rId11" xr:uid="{00000000-0004-0000-0300-00000A000000}"/>
    <hyperlink ref="I20" r:id="rId12" xr:uid="{00000000-0004-0000-0300-00000B000000}"/>
    <hyperlink ref="J20" r:id="rId13" xr:uid="{00000000-0004-0000-0300-00000C000000}"/>
    <hyperlink ref="I21" r:id="rId14" xr:uid="{00000000-0004-0000-0300-00000D000000}"/>
    <hyperlink ref="J21" r:id="rId15" xr:uid="{00000000-0004-0000-0300-00000E000000}"/>
    <hyperlink ref="I26" r:id="rId16" xr:uid="{00000000-0004-0000-0300-00000F000000}"/>
    <hyperlink ref="I25" r:id="rId17" xr:uid="{00000000-0004-0000-0300-000010000000}"/>
    <hyperlink ref="J28" r:id="rId18" xr:uid="{00000000-0004-0000-0300-000011000000}"/>
    <hyperlink ref="J29" r:id="rId19" xr:uid="{00000000-0004-0000-0300-000012000000}"/>
    <hyperlink ref="I30" r:id="rId20" xr:uid="{00000000-0004-0000-0300-000013000000}"/>
    <hyperlink ref="J30" r:id="rId21" xr:uid="{00000000-0004-0000-0300-000014000000}"/>
    <hyperlink ref="I31" r:id="rId22" xr:uid="{00000000-0004-0000-0300-000015000000}"/>
    <hyperlink ref="J31" r:id="rId23" xr:uid="{00000000-0004-0000-0300-000016000000}"/>
    <hyperlink ref="J32" r:id="rId24" xr:uid="{00000000-0004-0000-0300-000017000000}"/>
    <hyperlink ref="I24" r:id="rId25" xr:uid="{00000000-0004-0000-0300-000018000000}"/>
    <hyperlink ref="J24" r:id="rId26" xr:uid="{00000000-0004-0000-0300-000019000000}"/>
    <hyperlink ref="I6" r:id="rId27" xr:uid="{00000000-0004-0000-0300-00001A000000}"/>
    <hyperlink ref="J6" r:id="rId28" xr:uid="{00000000-0004-0000-0300-00001B000000}"/>
    <hyperlink ref="J22" r:id="rId29" xr:uid="{00000000-0004-0000-0300-00001C000000}"/>
    <hyperlink ref="I22" r:id="rId30" xr:uid="{00000000-0004-0000-0300-00001D000000}"/>
    <hyperlink ref="K27" r:id="rId31" xr:uid="{00000000-0004-0000-0300-00001E000000}"/>
    <hyperlink ref="J12" r:id="rId32" xr:uid="{00000000-0004-0000-0300-00001F000000}"/>
    <hyperlink ref="I18" r:id="rId33" xr:uid="{00000000-0004-0000-0300-000020000000}"/>
    <hyperlink ref="J23" r:id="rId34" xr:uid="{00000000-0004-0000-0300-000021000000}"/>
    <hyperlink ref="I16" r:id="rId35" xr:uid="{96609151-E8B0-427A-86EB-52BF6DA5209D}"/>
    <hyperlink ref="J16" r:id="rId36" xr:uid="{968B6222-EBED-47DA-86C5-EF1D413A0644}"/>
    <hyperlink ref="J19" r:id="rId37" xr:uid="{9DB22210-D15D-4145-859C-437AAA4C07D2}"/>
  </hyperlinks>
  <pageMargins left="0.7" right="0.7" top="0.75" bottom="0.75" header="0.3" footer="0.3"/>
  <tableParts count="1">
    <tablePart r:id="rId3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0"/>
  </sheetPr>
  <dimension ref="A1:C39"/>
  <sheetViews>
    <sheetView workbookViewId="0">
      <selection activeCell="C3" sqref="C3"/>
    </sheetView>
  </sheetViews>
  <sheetFormatPr baseColWidth="10" defaultRowHeight="15"/>
  <cols>
    <col min="1" max="1" width="27.33203125" bestFit="1" customWidth="1"/>
    <col min="2" max="2" width="31" hidden="1" customWidth="1"/>
    <col min="3" max="3" width="21.5" bestFit="1" customWidth="1"/>
  </cols>
  <sheetData>
    <row r="1" spans="1:3">
      <c r="A1" t="s">
        <v>358</v>
      </c>
      <c r="B1" s="36" t="s">
        <v>293</v>
      </c>
      <c r="C1" t="s">
        <v>357</v>
      </c>
    </row>
    <row r="2" spans="1:3">
      <c r="A2" t="s">
        <v>11</v>
      </c>
      <c r="B2" s="36" t="s">
        <v>16</v>
      </c>
      <c r="C2" t="s">
        <v>11</v>
      </c>
    </row>
    <row r="3" spans="1:3">
      <c r="A3" t="s">
        <v>15</v>
      </c>
      <c r="B3" s="36" t="s">
        <v>233</v>
      </c>
      <c r="C3" t="s">
        <v>15</v>
      </c>
    </row>
    <row r="4" spans="1:3">
      <c r="A4" t="s">
        <v>303</v>
      </c>
      <c r="B4" s="36" t="s">
        <v>17</v>
      </c>
      <c r="C4" t="s">
        <v>321</v>
      </c>
    </row>
    <row r="5" spans="1:3">
      <c r="A5" t="s">
        <v>300</v>
      </c>
      <c r="B5" s="36" t="s">
        <v>58</v>
      </c>
      <c r="C5" t="s">
        <v>323</v>
      </c>
    </row>
    <row r="6" spans="1:3">
      <c r="A6" t="s">
        <v>299</v>
      </c>
      <c r="B6" s="36" t="s">
        <v>326</v>
      </c>
      <c r="C6" t="s">
        <v>322</v>
      </c>
    </row>
    <row r="7" spans="1:3">
      <c r="A7" t="s">
        <v>301</v>
      </c>
      <c r="B7" s="36" t="s">
        <v>277</v>
      </c>
      <c r="C7" t="s">
        <v>4</v>
      </c>
    </row>
    <row r="8" spans="1:3">
      <c r="A8" t="s">
        <v>302</v>
      </c>
      <c r="B8" s="36" t="s">
        <v>278</v>
      </c>
    </row>
    <row r="9" spans="1:3">
      <c r="B9" s="36" t="s">
        <v>279</v>
      </c>
    </row>
    <row r="10" spans="1:3">
      <c r="B10" s="36" t="s">
        <v>238</v>
      </c>
    </row>
    <row r="11" spans="1:3">
      <c r="B11" s="36" t="s">
        <v>280</v>
      </c>
    </row>
    <row r="12" spans="1:3">
      <c r="B12" s="36" t="s">
        <v>107</v>
      </c>
    </row>
    <row r="13" spans="1:3">
      <c r="B13" s="36" t="s">
        <v>281</v>
      </c>
    </row>
    <row r="14" spans="1:3">
      <c r="B14" s="36" t="s">
        <v>289</v>
      </c>
    </row>
    <row r="15" spans="1:3">
      <c r="B15" s="36" t="s">
        <v>290</v>
      </c>
    </row>
    <row r="16" spans="1:3">
      <c r="B16" s="36" t="s">
        <v>288</v>
      </c>
    </row>
    <row r="17" spans="2:2">
      <c r="B17" s="36" t="s">
        <v>286</v>
      </c>
    </row>
    <row r="18" spans="2:2">
      <c r="B18" s="36" t="s">
        <v>287</v>
      </c>
    </row>
    <row r="19" spans="2:2">
      <c r="B19" s="36" t="s">
        <v>282</v>
      </c>
    </row>
    <row r="20" spans="2:2">
      <c r="B20" s="36" t="s">
        <v>283</v>
      </c>
    </row>
    <row r="21" spans="2:2">
      <c r="B21" s="36" t="s">
        <v>276</v>
      </c>
    </row>
    <row r="22" spans="2:2">
      <c r="B22" s="36" t="s">
        <v>267</v>
      </c>
    </row>
    <row r="23" spans="2:2">
      <c r="B23" s="36" t="s">
        <v>240</v>
      </c>
    </row>
    <row r="24" spans="2:2">
      <c r="B24" s="36" t="s">
        <v>284</v>
      </c>
    </row>
    <row r="25" spans="2:2">
      <c r="B25" s="36" t="s">
        <v>249</v>
      </c>
    </row>
    <row r="26" spans="2:2">
      <c r="B26" s="36" t="s">
        <v>285</v>
      </c>
    </row>
    <row r="27" spans="2:2">
      <c r="B27" s="36" t="s">
        <v>183</v>
      </c>
    </row>
    <row r="28" spans="2:2">
      <c r="B28" s="36" t="s">
        <v>38</v>
      </c>
    </row>
    <row r="29" spans="2:2">
      <c r="B29" s="37" t="s">
        <v>191</v>
      </c>
    </row>
    <row r="30" spans="2:2">
      <c r="B30" s="36" t="s">
        <v>198</v>
      </c>
    </row>
    <row r="31" spans="2:2">
      <c r="B31" s="36" t="s">
        <v>213</v>
      </c>
    </row>
    <row r="32" spans="2:2">
      <c r="B32" s="38" t="s">
        <v>227</v>
      </c>
    </row>
    <row r="33" spans="2:2">
      <c r="B33" s="38" t="s">
        <v>225</v>
      </c>
    </row>
    <row r="34" spans="2:2">
      <c r="B34" s="38" t="s">
        <v>224</v>
      </c>
    </row>
    <row r="35" spans="2:2">
      <c r="B35" s="38" t="s">
        <v>228</v>
      </c>
    </row>
    <row r="36" spans="2:2">
      <c r="B36" s="38" t="s">
        <v>226</v>
      </c>
    </row>
    <row r="37" spans="2:2">
      <c r="B37" s="38" t="s">
        <v>229</v>
      </c>
    </row>
    <row r="38" spans="2:2">
      <c r="B38" s="36" t="s">
        <v>291</v>
      </c>
    </row>
    <row r="39" spans="2:2">
      <c r="B39" s="36" t="s">
        <v>230</v>
      </c>
    </row>
  </sheetData>
  <sortState xmlns:xlrd2="http://schemas.microsoft.com/office/spreadsheetml/2017/richdata2" ref="B2:B141">
    <sortCondition ref="B1:B141"/>
  </sortState>
  <conditionalFormatting sqref="B2:B4 B20:B39">
    <cfRule type="expression" dxfId="9" priority="28">
      <formula>$K3="en attente"</formula>
    </cfRule>
    <cfRule type="expression" dxfId="8" priority="29">
      <formula>$K3="Retard"</formula>
    </cfRule>
    <cfRule type="expression" dxfId="7" priority="30">
      <formula>$K3="Réglé"</formula>
    </cfRule>
  </conditionalFormatting>
  <conditionalFormatting sqref="B1">
    <cfRule type="expression" dxfId="6" priority="1">
      <formula>$K1="en attente"</formula>
    </cfRule>
    <cfRule type="expression" dxfId="5" priority="2">
      <formula>$K1="Retard"</formula>
    </cfRule>
    <cfRule type="expression" dxfId="4" priority="3">
      <formula>$K1="Réglé"</formula>
    </cfRule>
  </conditionalFormatting>
  <conditionalFormatting sqref="B5:B20">
    <cfRule type="expression" dxfId="3" priority="40">
      <formula>$K7="en attente"</formula>
    </cfRule>
    <cfRule type="expression" dxfId="2" priority="41">
      <formula>$K7="Retard"</formula>
    </cfRule>
    <cfRule type="expression" dxfId="1" priority="42">
      <formula>$K7="Réglé"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Factures</vt:lpstr>
      <vt:lpstr>Echeanciers</vt:lpstr>
      <vt:lpstr>Coordonnées FRN</vt:lpstr>
      <vt:lpstr>Paramètres</vt:lpstr>
      <vt:lpstr>Banque</vt:lpstr>
      <vt:lpstr>Date_</vt:lpstr>
      <vt:lpstr>Etat</vt:lpstr>
      <vt:lpstr>Factures</vt:lpstr>
      <vt:lpstr>Factures!Impression_des_titres</vt:lpstr>
      <vt:lpstr>ListeFrn</vt:lpstr>
      <vt:lpstr>Mode</vt:lpstr>
      <vt:lpstr>Montant</vt:lpstr>
      <vt:lpstr>Factures!Zone_d_impression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Microsoft Office User</cp:lastModifiedBy>
  <cp:lastPrinted>2019-12-15T19:07:23Z</cp:lastPrinted>
  <dcterms:created xsi:type="dcterms:W3CDTF">2015-10-06T14:16:19Z</dcterms:created>
  <dcterms:modified xsi:type="dcterms:W3CDTF">2019-12-29T13:14:22Z</dcterms:modified>
</cp:coreProperties>
</file>