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ustomProperty3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 tabRatio="889" activeTab="1"/>
  </bookViews>
  <sheets>
    <sheet name="Récap" sheetId="2" r:id="rId1"/>
    <sheet name="34" sheetId="28" r:id="rId2"/>
    <sheet name="35" sheetId="29" r:id="rId3"/>
    <sheet name="modèle" sheetId="4" state="hidden" r:id="rId4"/>
    <sheet name="DV-IDENTITY-0" sheetId="27" state="veryHidden" r:id="rId5"/>
  </sheets>
  <definedNames>
    <definedName name="_xlnm.Print_Area" localSheetId="1">'34'!$A$1:$E$37</definedName>
    <definedName name="_xlnm.Print_Area" localSheetId="2">'35'!$A$1:$E$37</definedName>
    <definedName name="_xlnm.Print_Area" localSheetId="3">modèle!$A$1:$E$37</definedName>
    <definedName name="_xlnm.Print_Area">#REF!</definedName>
  </definedNames>
  <calcPr calcId="125725"/>
</workbook>
</file>

<file path=xl/calcChain.xml><?xml version="1.0" encoding="utf-8"?>
<calcChain xmlns="http://schemas.openxmlformats.org/spreadsheetml/2006/main">
  <c r="D17" i="29"/>
  <c r="C14"/>
  <c r="B14"/>
  <c r="C13"/>
  <c r="C17" s="1"/>
  <c r="B13"/>
  <c r="B17" s="1"/>
  <c r="B5"/>
  <c r="D17" i="28"/>
  <c r="B14"/>
  <c r="C14" s="1"/>
  <c r="B13"/>
  <c r="C13" s="1"/>
  <c r="B5"/>
  <c r="GJ58" i="27"/>
  <c r="GI58"/>
  <c r="GH58"/>
  <c r="GG58"/>
  <c r="GF58"/>
  <c r="GE58"/>
  <c r="GD58"/>
  <c r="GC58"/>
  <c r="GB58"/>
  <c r="GA58"/>
  <c r="FZ58"/>
  <c r="FY58"/>
  <c r="FX58"/>
  <c r="FW58"/>
  <c r="FV58"/>
  <c r="FU58"/>
  <c r="FT58"/>
  <c r="FS58"/>
  <c r="FR58"/>
  <c r="FQ58"/>
  <c r="FP58"/>
  <c r="FO58"/>
  <c r="FN58"/>
  <c r="FM58"/>
  <c r="FL58"/>
  <c r="FK58"/>
  <c r="FJ58"/>
  <c r="FI58"/>
  <c r="FH58"/>
  <c r="FG58"/>
  <c r="FF58"/>
  <c r="FE58"/>
  <c r="FD58"/>
  <c r="FC58"/>
  <c r="FB58"/>
  <c r="FA58"/>
  <c r="EZ58"/>
  <c r="EY58"/>
  <c r="EX58"/>
  <c r="EW58"/>
  <c r="EV58"/>
  <c r="EU58"/>
  <c r="ET58"/>
  <c r="ES58"/>
  <c r="ER58"/>
  <c r="EQ58"/>
  <c r="EP58"/>
  <c r="EO58"/>
  <c r="EN58"/>
  <c r="EM58"/>
  <c r="EL58"/>
  <c r="EK58"/>
  <c r="EJ58"/>
  <c r="EI58"/>
  <c r="EH58"/>
  <c r="EG58"/>
  <c r="EF58"/>
  <c r="EE58"/>
  <c r="ED58"/>
  <c r="EC58"/>
  <c r="EB58"/>
  <c r="EA58"/>
  <c r="DZ58"/>
  <c r="DY58"/>
  <c r="DX58"/>
  <c r="DW58"/>
  <c r="DV58"/>
  <c r="DU58"/>
  <c r="DT58"/>
  <c r="DS58"/>
  <c r="DR58"/>
  <c r="DQ58"/>
  <c r="DP58"/>
  <c r="DO58"/>
  <c r="DN58"/>
  <c r="DM58"/>
  <c r="DL58"/>
  <c r="DK58"/>
  <c r="DJ58"/>
  <c r="DI58"/>
  <c r="DH58"/>
  <c r="DG58"/>
  <c r="DF58"/>
  <c r="DE58"/>
  <c r="DD58"/>
  <c r="DC58"/>
  <c r="DB58"/>
  <c r="DA58"/>
  <c r="CZ58"/>
  <c r="CY58"/>
  <c r="CX58"/>
  <c r="CW58"/>
  <c r="CV58"/>
  <c r="CU58"/>
  <c r="CT58"/>
  <c r="CS58"/>
  <c r="CR58"/>
  <c r="CQ58"/>
  <c r="CP58"/>
  <c r="CO58"/>
  <c r="CN58"/>
  <c r="CM58"/>
  <c r="CL58"/>
  <c r="CK58"/>
  <c r="CJ58"/>
  <c r="CI58"/>
  <c r="CH58"/>
  <c r="CG58"/>
  <c r="CF58"/>
  <c r="CE58"/>
  <c r="CD58"/>
  <c r="CC58"/>
  <c r="CB58"/>
  <c r="CA58"/>
  <c r="BZ58"/>
  <c r="BY58"/>
  <c r="BX58"/>
  <c r="BW58"/>
  <c r="BV58"/>
  <c r="BU58"/>
  <c r="BT58"/>
  <c r="BS58"/>
  <c r="BR58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C58"/>
  <c r="B58"/>
  <c r="C17" i="28" l="1"/>
  <c r="B17"/>
  <c r="A58" i="27"/>
  <c r="EY57"/>
  <c r="EX57"/>
  <c r="EW57"/>
  <c r="EV57"/>
  <c r="EU57"/>
  <c r="ET57"/>
  <c r="ES57"/>
  <c r="ER57"/>
  <c r="EQ57"/>
  <c r="EP57"/>
  <c r="EO57"/>
  <c r="EN57"/>
  <c r="EM57"/>
  <c r="EL57"/>
  <c r="EK57"/>
  <c r="EJ57"/>
  <c r="EI57"/>
  <c r="EH57"/>
  <c r="EG57"/>
  <c r="EF57"/>
  <c r="EE57"/>
  <c r="ED57"/>
  <c r="EC57"/>
  <c r="EB57"/>
  <c r="EA57"/>
  <c r="DZ57"/>
  <c r="DY57"/>
  <c r="DX57"/>
  <c r="DW57"/>
  <c r="DV57"/>
  <c r="DU57"/>
  <c r="DT57"/>
  <c r="DS57"/>
  <c r="DR57"/>
  <c r="DQ57"/>
  <c r="DP57"/>
  <c r="DO57"/>
  <c r="DN57"/>
  <c r="DM57"/>
  <c r="DL57"/>
  <c r="DK57"/>
  <c r="DJ57"/>
  <c r="DI57"/>
  <c r="DH57"/>
  <c r="DG57"/>
  <c r="DF57"/>
  <c r="DE57"/>
  <c r="DD57"/>
  <c r="DC57"/>
  <c r="DB57"/>
  <c r="DA57"/>
  <c r="CZ57"/>
  <c r="CY57"/>
  <c r="CX57"/>
  <c r="CW57"/>
  <c r="CV57"/>
  <c r="CU57"/>
  <c r="CT57"/>
  <c r="CS57"/>
  <c r="CR57"/>
  <c r="CQ57"/>
  <c r="CP57"/>
  <c r="CO57"/>
  <c r="CN57"/>
  <c r="CM57"/>
  <c r="CL57"/>
  <c r="CK57"/>
  <c r="CJ57"/>
  <c r="CI57"/>
  <c r="CH57"/>
  <c r="CG57"/>
  <c r="CF57"/>
  <c r="CE57"/>
  <c r="CD57"/>
  <c r="CC57"/>
  <c r="CB57"/>
  <c r="CA57"/>
  <c r="BZ57"/>
  <c r="BY57"/>
  <c r="BX57"/>
  <c r="BW57"/>
  <c r="BV57"/>
  <c r="BU57"/>
  <c r="BT57"/>
  <c r="BS57"/>
  <c r="BR57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A57"/>
  <c r="EK56"/>
  <c r="EJ56"/>
  <c r="EI56"/>
  <c r="EH56"/>
  <c r="EG56"/>
  <c r="EF56"/>
  <c r="EE56"/>
  <c r="ED56"/>
  <c r="EC56"/>
  <c r="EB56"/>
  <c r="EA56"/>
  <c r="DZ56"/>
  <c r="DY56"/>
  <c r="DX56"/>
  <c r="DW56"/>
  <c r="DV56"/>
  <c r="DU56"/>
  <c r="DT56"/>
  <c r="DS56"/>
  <c r="DR56"/>
  <c r="DQ56"/>
  <c r="DP56"/>
  <c r="DO56"/>
  <c r="DN56"/>
  <c r="DM56"/>
  <c r="DL56"/>
  <c r="DK56"/>
  <c r="DJ56"/>
  <c r="DI56"/>
  <c r="DH56"/>
  <c r="DG56"/>
  <c r="DF56"/>
  <c r="DE56"/>
  <c r="DD56"/>
  <c r="DC56"/>
  <c r="DB56"/>
  <c r="DA56"/>
  <c r="CZ56"/>
  <c r="CY56"/>
  <c r="CX56"/>
  <c r="CW56"/>
  <c r="CV56"/>
  <c r="CU56"/>
  <c r="CT56"/>
  <c r="CS56"/>
  <c r="CR56"/>
  <c r="CQ56"/>
  <c r="CP56"/>
  <c r="CO56"/>
  <c r="CN56"/>
  <c r="CM56"/>
  <c r="CL56"/>
  <c r="CK56"/>
  <c r="CJ56"/>
  <c r="CI56"/>
  <c r="CH56"/>
  <c r="CG56"/>
  <c r="CF56"/>
  <c r="CE56"/>
  <c r="CD56"/>
  <c r="CC56"/>
  <c r="CB56"/>
  <c r="CA56"/>
  <c r="BZ56"/>
  <c r="BY56"/>
  <c r="BX56"/>
  <c r="BW56"/>
  <c r="BV56"/>
  <c r="BU56"/>
  <c r="BT56"/>
  <c r="BS56"/>
  <c r="BR56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I56"/>
  <c r="AH56"/>
  <c r="AG56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56"/>
  <c r="GL55"/>
  <c r="GK55"/>
  <c r="GJ55"/>
  <c r="GI55"/>
  <c r="GH55"/>
  <c r="GG55"/>
  <c r="GF55"/>
  <c r="GE55"/>
  <c r="GD55"/>
  <c r="GC55"/>
  <c r="GB55"/>
  <c r="GA55"/>
  <c r="FZ55"/>
  <c r="FY55"/>
  <c r="FX55"/>
  <c r="FW55"/>
  <c r="FV55"/>
  <c r="FU55"/>
  <c r="FT55"/>
  <c r="FS55"/>
  <c r="FR55"/>
  <c r="FQ55"/>
  <c r="FP55"/>
  <c r="FO55"/>
  <c r="FN55"/>
  <c r="FM55"/>
  <c r="FL55"/>
  <c r="FK55"/>
  <c r="FJ55"/>
  <c r="FI55"/>
  <c r="FH55"/>
  <c r="FG55"/>
  <c r="FF55"/>
  <c r="FE55"/>
  <c r="FD55"/>
  <c r="FC55"/>
  <c r="FB55"/>
  <c r="FA55"/>
  <c r="EZ55"/>
  <c r="EY55"/>
  <c r="EX55"/>
  <c r="EW55"/>
  <c r="EV55"/>
  <c r="EU55"/>
  <c r="ET55"/>
  <c r="ES55"/>
  <c r="ER55"/>
  <c r="EQ55"/>
  <c r="EP55"/>
  <c r="EO55"/>
  <c r="EN55"/>
  <c r="EM55"/>
  <c r="EL55"/>
  <c r="EK55"/>
  <c r="EJ55"/>
  <c r="EI55"/>
  <c r="EH55"/>
  <c r="EG55"/>
  <c r="EF55"/>
  <c r="EE55"/>
  <c r="ED55"/>
  <c r="EC55"/>
  <c r="EB55"/>
  <c r="EA55"/>
  <c r="DZ55"/>
  <c r="DY55"/>
  <c r="DX55"/>
  <c r="DW55"/>
  <c r="DV55"/>
  <c r="DU55"/>
  <c r="DT55"/>
  <c r="DS55"/>
  <c r="DR55"/>
  <c r="DQ55"/>
  <c r="DP55"/>
  <c r="DO55"/>
  <c r="DN55"/>
  <c r="DM55"/>
  <c r="DL55"/>
  <c r="DK55"/>
  <c r="DJ55"/>
  <c r="DI55"/>
  <c r="DH55"/>
  <c r="DG55"/>
  <c r="DF55"/>
  <c r="DE55"/>
  <c r="DD55"/>
  <c r="DC55"/>
  <c r="DB55"/>
  <c r="DA55"/>
  <c r="CZ55"/>
  <c r="CY55"/>
  <c r="CX55"/>
  <c r="CW55"/>
  <c r="CV55"/>
  <c r="CU55"/>
  <c r="CT55"/>
  <c r="CS55"/>
  <c r="CR55"/>
  <c r="CQ55"/>
  <c r="CP55"/>
  <c r="CO55"/>
  <c r="CN55"/>
  <c r="CM55"/>
  <c r="CL55"/>
  <c r="CK55"/>
  <c r="CJ55"/>
  <c r="CI55"/>
  <c r="CH55"/>
  <c r="CG55"/>
  <c r="CF55"/>
  <c r="CE55"/>
  <c r="CD55"/>
  <c r="CC55"/>
  <c r="CB55"/>
  <c r="CA55"/>
  <c r="BZ55"/>
  <c r="BY55"/>
  <c r="BX55"/>
  <c r="BW55"/>
  <c r="BV55"/>
  <c r="BU55"/>
  <c r="BT55"/>
  <c r="BS55"/>
  <c r="BR55"/>
  <c r="BQ55"/>
  <c r="BP55"/>
  <c r="BO55"/>
  <c r="BN55"/>
  <c r="BM55"/>
  <c r="BL55"/>
  <c r="BK55"/>
  <c r="BJ55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55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D54"/>
  <c r="C54"/>
  <c r="B54"/>
  <c r="A54" l="1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B53"/>
  <c r="A53"/>
  <c r="X52"/>
  <c r="W52"/>
  <c r="V52"/>
  <c r="U52"/>
  <c r="T52"/>
  <c r="S52"/>
  <c r="R52"/>
  <c r="Q52"/>
  <c r="P52"/>
  <c r="O52"/>
  <c r="N52"/>
  <c r="M52"/>
  <c r="L52"/>
  <c r="K52"/>
  <c r="J52"/>
  <c r="I52"/>
  <c r="H52"/>
  <c r="G52"/>
  <c r="F52"/>
  <c r="E52"/>
  <c r="D52"/>
  <c r="C52"/>
  <c r="B52"/>
  <c r="A52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C51"/>
  <c r="B51"/>
  <c r="A51"/>
  <c r="X50"/>
  <c r="W50"/>
  <c r="V50"/>
  <c r="U50"/>
  <c r="T50"/>
  <c r="S50"/>
  <c r="R50"/>
  <c r="Q50"/>
  <c r="P50"/>
  <c r="O50"/>
  <c r="N50"/>
  <c r="M50"/>
  <c r="L50"/>
  <c r="K50"/>
  <c r="J50"/>
  <c r="I50"/>
  <c r="H50"/>
  <c r="G50"/>
  <c r="F50"/>
  <c r="E50"/>
  <c r="D50"/>
  <c r="C50"/>
  <c r="B50"/>
  <c r="A50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B49"/>
  <c r="A49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A48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B47"/>
  <c r="A47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6"/>
  <c r="B46"/>
  <c r="A46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B45"/>
  <c r="A45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E44"/>
  <c r="D44"/>
  <c r="C44"/>
  <c r="B44"/>
  <c r="A44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3"/>
  <c r="B43"/>
  <c r="A43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B42"/>
  <c r="A42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C41"/>
  <c r="B41"/>
  <c r="A41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A40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D39"/>
  <c r="C39"/>
  <c r="B39"/>
  <c r="A39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C38"/>
  <c r="B38"/>
  <c r="A38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37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A36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A35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A34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33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A32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31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A30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HB12"/>
  <c r="HA12"/>
  <c r="GZ12"/>
  <c r="GY12"/>
  <c r="GX12"/>
  <c r="GW12"/>
  <c r="GV12"/>
  <c r="GU12"/>
  <c r="GT12"/>
  <c r="GS12"/>
  <c r="GR12"/>
  <c r="GQ12"/>
  <c r="GP12"/>
  <c r="GO12"/>
  <c r="GN12"/>
  <c r="GM12"/>
  <c r="GL12"/>
  <c r="GK12"/>
  <c r="GJ12"/>
  <c r="GI12"/>
  <c r="GH12"/>
  <c r="GG12"/>
  <c r="GF12"/>
  <c r="GE12"/>
  <c r="GC12"/>
  <c r="GB12"/>
  <c r="GA12"/>
  <c r="FZ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N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 l="1"/>
  <c r="IV11"/>
  <c r="IU11"/>
  <c r="IT11"/>
  <c r="IS11"/>
  <c r="IR11"/>
  <c r="IQ11"/>
  <c r="IP11"/>
  <c r="IO11"/>
  <c r="IN11"/>
  <c r="IM11"/>
  <c r="IL11"/>
  <c r="IK11"/>
  <c r="IJ11"/>
  <c r="II11"/>
  <c r="IH11"/>
  <c r="IG11"/>
  <c r="IF11"/>
  <c r="IE11"/>
  <c r="ID11"/>
  <c r="IC11"/>
  <c r="IB11"/>
  <c r="IA11"/>
  <c r="HZ11"/>
  <c r="HY11"/>
  <c r="HX11"/>
  <c r="HW11"/>
  <c r="HV11"/>
  <c r="HU11"/>
  <c r="HT11"/>
  <c r="HS11"/>
  <c r="HR11"/>
  <c r="HQ11"/>
  <c r="HP11"/>
  <c r="HO11"/>
  <c r="HN11"/>
  <c r="HM11"/>
  <c r="HL11"/>
  <c r="HK11"/>
  <c r="HJ11"/>
  <c r="HI11"/>
  <c r="HH11"/>
  <c r="HG11"/>
  <c r="HF11"/>
  <c r="HE11"/>
  <c r="HD11"/>
  <c r="HC11"/>
  <c r="HB11"/>
  <c r="HA11"/>
  <c r="GZ11"/>
  <c r="GY11"/>
  <c r="GX11"/>
  <c r="GW11"/>
  <c r="GV11"/>
  <c r="GU11"/>
  <c r="GT11"/>
  <c r="GS11"/>
  <c r="GR11"/>
  <c r="GQ11"/>
  <c r="GP11"/>
  <c r="GO11"/>
  <c r="GN11"/>
  <c r="GM11"/>
  <c r="GL11"/>
  <c r="GK11"/>
  <c r="GJ11"/>
  <c r="GI11"/>
  <c r="GH11"/>
  <c r="GG11"/>
  <c r="GF11"/>
  <c r="GE11"/>
  <c r="GD11"/>
  <c r="GC11"/>
  <c r="GB11"/>
  <c r="GA11"/>
  <c r="FZ11"/>
  <c r="FY11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N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IV10"/>
  <c r="IU10"/>
  <c r="IT10"/>
  <c r="IS10"/>
  <c r="IR10"/>
  <c r="IQ10"/>
  <c r="IP10"/>
  <c r="IO10"/>
  <c r="IN10"/>
  <c r="IM10"/>
  <c r="IL10"/>
  <c r="IK10"/>
  <c r="IJ10"/>
  <c r="II10"/>
  <c r="IH10"/>
  <c r="IG10"/>
  <c r="IF10"/>
  <c r="IE10"/>
  <c r="ID10"/>
  <c r="IC10"/>
  <c r="IB10"/>
  <c r="IA10"/>
  <c r="HZ10"/>
  <c r="HY10"/>
  <c r="HX10"/>
  <c r="HW10"/>
  <c r="HV10"/>
  <c r="HU10"/>
  <c r="HT10"/>
  <c r="HS10"/>
  <c r="HR10"/>
  <c r="HQ10"/>
  <c r="HP10"/>
  <c r="HO10"/>
  <c r="HN10"/>
  <c r="HM10"/>
  <c r="HL10"/>
  <c r="HK10"/>
  <c r="HJ10"/>
  <c r="HI10"/>
  <c r="HH10"/>
  <c r="HG10"/>
  <c r="HF10"/>
  <c r="HE10"/>
  <c r="HD10"/>
  <c r="HC10"/>
  <c r="HB10"/>
  <c r="HA10"/>
  <c r="GZ10"/>
  <c r="GY10"/>
  <c r="GX10"/>
  <c r="GW10"/>
  <c r="GV10"/>
  <c r="GU10"/>
  <c r="GT10"/>
  <c r="GS10"/>
  <c r="GR10"/>
  <c r="GQ10"/>
  <c r="GP10"/>
  <c r="GO10"/>
  <c r="GN10"/>
  <c r="GM10"/>
  <c r="GL10"/>
  <c r="GK10"/>
  <c r="GJ10"/>
  <c r="GI10"/>
  <c r="GH10"/>
  <c r="GG10"/>
  <c r="GF10"/>
  <c r="GE10"/>
  <c r="GD10"/>
  <c r="GC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IV9"/>
  <c r="IU9"/>
  <c r="IT9"/>
  <c r="IS9"/>
  <c r="IR9"/>
  <c r="IQ9"/>
  <c r="IP9"/>
  <c r="IO9"/>
  <c r="IN9"/>
  <c r="IM9"/>
  <c r="IL9"/>
  <c r="IK9"/>
  <c r="IJ9"/>
  <c r="II9"/>
  <c r="IH9"/>
  <c r="IG9"/>
  <c r="IF9"/>
  <c r="IE9"/>
  <c r="ID9"/>
  <c r="IC9"/>
  <c r="IB9"/>
  <c r="IA9"/>
  <c r="HZ9"/>
  <c r="HY9"/>
  <c r="HX9"/>
  <c r="HW9"/>
  <c r="HV9"/>
  <c r="HU9"/>
  <c r="HT9"/>
  <c r="HS9"/>
  <c r="HR9"/>
  <c r="HQ9"/>
  <c r="HP9"/>
  <c r="HO9"/>
  <c r="HN9"/>
  <c r="HM9"/>
  <c r="HL9"/>
  <c r="HK9"/>
  <c r="HJ9"/>
  <c r="HI9"/>
  <c r="HH9"/>
  <c r="HG9"/>
  <c r="HF9"/>
  <c r="HE9"/>
  <c r="HD9"/>
  <c r="HC9"/>
  <c r="HB9"/>
  <c r="HA9"/>
  <c r="GZ9"/>
  <c r="GY9"/>
  <c r="GX9"/>
  <c r="GW9"/>
  <c r="GV9"/>
  <c r="GU9"/>
  <c r="GT9"/>
  <c r="GS9"/>
  <c r="GR9"/>
  <c r="GQ9"/>
  <c r="GP9"/>
  <c r="GO9"/>
  <c r="GN9"/>
  <c r="GM9"/>
  <c r="GL9"/>
  <c r="GK9"/>
  <c r="GJ9"/>
  <c r="GI9"/>
  <c r="GH9"/>
  <c r="GG9"/>
  <c r="GF9"/>
  <c r="GE9"/>
  <c r="GD9"/>
  <c r="GC9"/>
  <c r="GB9"/>
  <c r="GA9"/>
  <c r="FZ9"/>
  <c r="FY9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IV8"/>
  <c r="IU8"/>
  <c r="IT8"/>
  <c r="IS8"/>
  <c r="IR8"/>
  <c r="IQ8"/>
  <c r="IP8"/>
  <c r="IO8"/>
  <c r="IN8"/>
  <c r="IM8"/>
  <c r="IL8"/>
  <c r="IK8"/>
  <c r="IJ8"/>
  <c r="II8"/>
  <c r="IH8"/>
  <c r="IG8"/>
  <c r="IF8"/>
  <c r="IE8"/>
  <c r="ID8"/>
  <c r="IC8"/>
  <c r="IB8"/>
  <c r="IA8"/>
  <c r="HZ8"/>
  <c r="HY8"/>
  <c r="HX8"/>
  <c r="HW8"/>
  <c r="HV8"/>
  <c r="HU8"/>
  <c r="HT8"/>
  <c r="HS8"/>
  <c r="HR8"/>
  <c r="HQ8"/>
  <c r="HP8"/>
  <c r="HO8"/>
  <c r="HN8"/>
  <c r="HM8"/>
  <c r="HL8"/>
  <c r="HK8"/>
  <c r="HJ8"/>
  <c r="HI8"/>
  <c r="HH8"/>
  <c r="HG8"/>
  <c r="HF8"/>
  <c r="HE8"/>
  <c r="HD8"/>
  <c r="HC8"/>
  <c r="HB8"/>
  <c r="HA8"/>
  <c r="GZ8"/>
  <c r="GY8"/>
  <c r="GX8"/>
  <c r="GW8"/>
  <c r="GV8"/>
  <c r="GU8"/>
  <c r="GT8"/>
  <c r="GS8"/>
  <c r="GR8"/>
  <c r="GQ8"/>
  <c r="GP8"/>
  <c r="GO8"/>
  <c r="GN8"/>
  <c r="GM8"/>
  <c r="GL8"/>
  <c r="GK8"/>
  <c r="GJ8"/>
  <c r="GI8"/>
  <c r="GH8"/>
  <c r="GG8"/>
  <c r="GF8"/>
  <c r="GE8"/>
  <c r="GD8"/>
  <c r="GC8"/>
  <c r="GB8"/>
  <c r="GA8"/>
  <c r="FZ8"/>
  <c r="FY8"/>
  <c r="FX8"/>
  <c r="FW8"/>
  <c r="FV8"/>
  <c r="FU8"/>
  <c r="FT8"/>
  <c r="FS8"/>
  <c r="FR8"/>
  <c r="FQ8"/>
  <c r="FP8"/>
  <c r="FO8"/>
  <c r="FN8"/>
  <c r="FM8"/>
  <c r="FL8"/>
  <c r="FK8"/>
  <c r="FJ8"/>
  <c r="FI8"/>
  <c r="FH8"/>
  <c r="FG8"/>
  <c r="FF8"/>
  <c r="FE8"/>
  <c r="FD8"/>
  <c r="FC8"/>
  <c r="FB8"/>
  <c r="FA8"/>
  <c r="EZ8"/>
  <c r="EY8"/>
  <c r="EX8"/>
  <c r="EW8"/>
  <c r="EV8"/>
  <c r="EU8"/>
  <c r="ET8"/>
  <c r="ES8"/>
  <c r="ER8"/>
  <c r="EQ8"/>
  <c r="EP8"/>
  <c r="EO8"/>
  <c r="EN8"/>
  <c r="EM8"/>
  <c r="EL8"/>
  <c r="EK8"/>
  <c r="EJ8"/>
  <c r="EI8"/>
  <c r="EH8"/>
  <c r="EG8"/>
  <c r="EF8"/>
  <c r="EE8"/>
  <c r="ED8"/>
  <c r="EC8"/>
  <c r="EB8"/>
  <c r="EA8"/>
  <c r="DZ8"/>
  <c r="DY8"/>
  <c r="DX8"/>
  <c r="DW8"/>
  <c r="DV8"/>
  <c r="DU8"/>
  <c r="DT8"/>
  <c r="DS8"/>
  <c r="DR8"/>
  <c r="DQ8"/>
  <c r="DP8"/>
  <c r="DO8"/>
  <c r="DN8"/>
  <c r="DM8"/>
  <c r="DL8"/>
  <c r="DK8"/>
  <c r="DJ8"/>
  <c r="DI8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IV7"/>
  <c r="IU7"/>
  <c r="IT7"/>
  <c r="IS7"/>
  <c r="IR7"/>
  <c r="IQ7"/>
  <c r="IP7"/>
  <c r="IO7"/>
  <c r="IN7"/>
  <c r="IM7"/>
  <c r="IL7"/>
  <c r="IK7"/>
  <c r="IJ7"/>
  <c r="II7"/>
  <c r="IH7"/>
  <c r="IG7"/>
  <c r="IF7"/>
  <c r="IE7"/>
  <c r="ID7"/>
  <c r="IC7"/>
  <c r="IB7"/>
  <c r="IA7"/>
  <c r="HZ7"/>
  <c r="HY7"/>
  <c r="HX7"/>
  <c r="HW7"/>
  <c r="HV7"/>
  <c r="HU7"/>
  <c r="HT7"/>
  <c r="HS7"/>
  <c r="HR7"/>
  <c r="HQ7"/>
  <c r="HP7"/>
  <c r="HO7"/>
  <c r="HN7"/>
  <c r="HM7"/>
  <c r="HL7"/>
  <c r="HK7"/>
  <c r="HJ7"/>
  <c r="HI7"/>
  <c r="HH7"/>
  <c r="HG7"/>
  <c r="HF7"/>
  <c r="HE7"/>
  <c r="HD7"/>
  <c r="HC7"/>
  <c r="HB7"/>
  <c r="HA7"/>
  <c r="GZ7"/>
  <c r="GY7"/>
  <c r="GX7"/>
  <c r="GW7"/>
  <c r="GV7"/>
  <c r="GU7"/>
  <c r="GT7"/>
  <c r="GS7"/>
  <c r="GR7"/>
  <c r="GQ7"/>
  <c r="GP7"/>
  <c r="GO7"/>
  <c r="GN7"/>
  <c r="GM7"/>
  <c r="GL7"/>
  <c r="GK7"/>
  <c r="GJ7"/>
  <c r="GI7"/>
  <c r="GH7"/>
  <c r="GG7"/>
  <c r="GF7"/>
  <c r="GE7"/>
  <c r="GD7"/>
  <c r="GC7"/>
  <c r="GB7"/>
  <c r="GA7"/>
  <c r="FZ7"/>
  <c r="FY7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I7"/>
  <c r="EH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IV6"/>
  <c r="IU6"/>
  <c r="IT6"/>
  <c r="IS6"/>
  <c r="IR6"/>
  <c r="IQ6"/>
  <c r="IP6"/>
  <c r="IO6"/>
  <c r="IN6"/>
  <c r="IM6"/>
  <c r="IL6"/>
  <c r="IK6"/>
  <c r="IJ6"/>
  <c r="II6"/>
  <c r="IH6"/>
  <c r="IG6"/>
  <c r="IF6"/>
  <c r="IE6"/>
  <c r="ID6"/>
  <c r="IC6"/>
  <c r="IB6"/>
  <c r="IA6"/>
  <c r="HZ6"/>
  <c r="HY6"/>
  <c r="HX6"/>
  <c r="HW6"/>
  <c r="HV6"/>
  <c r="HU6"/>
  <c r="HT6"/>
  <c r="HS6"/>
  <c r="HR6"/>
  <c r="HQ6"/>
  <c r="HP6"/>
  <c r="HO6"/>
  <c r="HN6"/>
  <c r="HM6"/>
  <c r="HL6"/>
  <c r="HK6"/>
  <c r="HJ6"/>
  <c r="HI6"/>
  <c r="HH6"/>
  <c r="HG6"/>
  <c r="HF6"/>
  <c r="HE6"/>
  <c r="HD6"/>
  <c r="HC6"/>
  <c r="HB6"/>
  <c r="HA6"/>
  <c r="GZ6"/>
  <c r="GY6"/>
  <c r="GX6"/>
  <c r="GW6"/>
  <c r="GV6"/>
  <c r="GU6"/>
  <c r="GT6"/>
  <c r="GS6"/>
  <c r="GR6"/>
  <c r="GQ6"/>
  <c r="GP6"/>
  <c r="GO6"/>
  <c r="GN6"/>
  <c r="GM6"/>
  <c r="GL6"/>
  <c r="GK6"/>
  <c r="GJ6"/>
  <c r="GI6"/>
  <c r="GH6"/>
  <c r="GG6"/>
  <c r="GF6"/>
  <c r="GE6"/>
  <c r="GD6"/>
  <c r="GC6"/>
  <c r="GB6"/>
  <c r="GA6"/>
  <c r="FZ6"/>
  <c r="FY6"/>
  <c r="FX6"/>
  <c r="FW6"/>
  <c r="FV6"/>
  <c r="FU6"/>
  <c r="FT6"/>
  <c r="FS6"/>
  <c r="FR6"/>
  <c r="FQ6"/>
  <c r="FP6"/>
  <c r="FO6"/>
  <c r="FN6"/>
  <c r="FM6"/>
  <c r="FL6"/>
  <c r="FK6"/>
  <c r="FJ6"/>
  <c r="FI6"/>
  <c r="FH6"/>
  <c r="FG6"/>
  <c r="FF6"/>
  <c r="FE6"/>
  <c r="FD6"/>
  <c r="FC6"/>
  <c r="FB6"/>
  <c r="FA6"/>
  <c r="EZ6"/>
  <c r="EY6"/>
  <c r="EX6"/>
  <c r="EW6"/>
  <c r="EV6"/>
  <c r="EU6"/>
  <c r="ET6"/>
  <c r="ES6"/>
  <c r="ER6"/>
  <c r="EQ6"/>
  <c r="EP6"/>
  <c r="EO6"/>
  <c r="EN6"/>
  <c r="EM6"/>
  <c r="EL6"/>
  <c r="EK6"/>
  <c r="EJ6"/>
  <c r="EI6"/>
  <c r="EH6"/>
  <c r="EG6"/>
  <c r="EF6"/>
  <c r="EE6"/>
  <c r="ED6"/>
  <c r="EC6"/>
  <c r="EB6"/>
  <c r="EA6"/>
  <c r="DZ6"/>
  <c r="DY6"/>
  <c r="DX6"/>
  <c r="DW6"/>
  <c r="DV6"/>
  <c r="DU6"/>
  <c r="DT6"/>
  <c r="DS6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IV5"/>
  <c r="IU5"/>
  <c r="IT5"/>
  <c r="IS5"/>
  <c r="IR5"/>
  <c r="IQ5"/>
  <c r="IP5"/>
  <c r="IO5"/>
  <c r="IN5"/>
  <c r="IM5"/>
  <c r="IL5"/>
  <c r="IK5"/>
  <c r="IJ5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IV3"/>
  <c r="IU3"/>
  <c r="IT3"/>
  <c r="IS3"/>
  <c r="IR3"/>
  <c r="IQ3"/>
  <c r="IP3"/>
  <c r="IO3"/>
  <c r="IN3"/>
  <c r="IM3"/>
  <c r="IL3"/>
  <c r="IK3"/>
  <c r="IJ3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/>
  <c r="D17" i="4"/>
  <c r="C17" l="1"/>
  <c r="B17"/>
  <c r="C14" s="1"/>
  <c r="B14"/>
  <c r="C13" s="1"/>
  <c r="B13"/>
  <c r="B5" l="1"/>
  <c r="A32" i="2"/>
  <c r="A7"/>
  <c r="A25"/>
  <c r="A14"/>
  <c r="A19"/>
  <c r="A29"/>
  <c r="A31"/>
  <c r="A22"/>
  <c r="A9"/>
  <c r="A11"/>
  <c r="A8"/>
  <c r="A15"/>
  <c r="A13"/>
  <c r="A21"/>
  <c r="A17"/>
  <c r="A26"/>
  <c r="A6"/>
  <c r="A30"/>
  <c r="A10"/>
  <c r="A24"/>
  <c r="A18"/>
  <c r="A28"/>
  <c r="A12"/>
  <c r="A5"/>
  <c r="A27"/>
  <c r="A16"/>
  <c r="A20"/>
  <c r="A23"/>
  <c r="FU12" i="27" l="1"/>
  <c r="B10" i="2"/>
  <c r="D7"/>
  <c r="C15"/>
  <c r="E23"/>
  <c r="B24"/>
  <c r="B5"/>
  <c r="D20"/>
  <c r="B25"/>
  <c r="E30"/>
  <c r="C7"/>
  <c r="E19"/>
  <c r="B16"/>
  <c r="E10"/>
  <c r="D16"/>
  <c r="B26"/>
  <c r="D15"/>
  <c r="C31"/>
  <c r="E31"/>
  <c r="E12"/>
  <c r="C21"/>
  <c r="D28"/>
  <c r="B18"/>
  <c r="D11"/>
  <c r="C23"/>
  <c r="E27"/>
  <c r="B32"/>
  <c r="C13"/>
  <c r="D24"/>
  <c r="C5"/>
  <c r="E18"/>
  <c r="C10"/>
  <c r="E7"/>
  <c r="B19"/>
  <c r="D25"/>
  <c r="C24"/>
  <c r="D10"/>
  <c r="E14"/>
  <c r="C25"/>
  <c r="D30"/>
  <c r="B11"/>
  <c r="D21"/>
  <c r="C16"/>
  <c r="B17"/>
  <c r="E26"/>
  <c r="C26"/>
  <c r="E15"/>
  <c r="B8"/>
  <c r="E6"/>
  <c r="D12"/>
  <c r="B9"/>
  <c r="E22"/>
  <c r="C18"/>
  <c r="E11"/>
  <c r="B27"/>
  <c r="D29"/>
  <c r="C32"/>
  <c r="D22"/>
  <c r="D13"/>
  <c r="E29"/>
  <c r="D23"/>
  <c r="D5"/>
  <c r="C14"/>
  <c r="B7"/>
  <c r="C12"/>
  <c r="E16"/>
  <c r="D32"/>
  <c r="D31"/>
  <c r="B21"/>
  <c r="E28"/>
  <c r="E17"/>
  <c r="D27"/>
  <c r="B13"/>
  <c r="C22"/>
  <c r="B20"/>
  <c r="E5"/>
  <c r="D18"/>
  <c r="B14"/>
  <c r="D9"/>
  <c r="C19"/>
  <c r="E25"/>
  <c r="B12"/>
  <c r="E8"/>
  <c r="D14"/>
  <c r="B29"/>
  <c r="E32"/>
  <c r="C11"/>
  <c r="E21"/>
  <c r="B6"/>
  <c r="C17"/>
  <c r="D26"/>
  <c r="B30"/>
  <c r="D17"/>
  <c r="C8"/>
  <c r="D6"/>
  <c r="B28"/>
  <c r="C9"/>
  <c r="B22"/>
  <c r="C27"/>
  <c r="B15"/>
  <c r="C20"/>
  <c r="E20"/>
  <c r="E9"/>
  <c r="D19"/>
  <c r="D8"/>
  <c r="C29"/>
  <c r="B31"/>
  <c r="C6"/>
  <c r="C30"/>
  <c r="B23"/>
  <c r="C28"/>
  <c r="E24"/>
  <c r="E13"/>
  <c r="FV12" i="27" l="1"/>
  <c r="FW12"/>
  <c r="E3" i="2"/>
  <c r="D3"/>
  <c r="FX12" i="27"/>
  <c r="FY12"/>
  <c r="C3" i="2"/>
  <c r="B3"/>
  <c r="I3" l="1"/>
</calcChain>
</file>

<file path=xl/sharedStrings.xml><?xml version="1.0" encoding="utf-8"?>
<sst xmlns="http://schemas.openxmlformats.org/spreadsheetml/2006/main" count="71" uniqueCount="29">
  <si>
    <t>TOTAL</t>
  </si>
  <si>
    <t>Espèces</t>
  </si>
  <si>
    <t>chèques</t>
  </si>
  <si>
    <t>ANCV</t>
  </si>
  <si>
    <t>Carte Bancaire</t>
  </si>
  <si>
    <t>HT</t>
  </si>
  <si>
    <t>TVA</t>
  </si>
  <si>
    <t>TTC</t>
  </si>
  <si>
    <t>Z n°</t>
  </si>
  <si>
    <t>du</t>
  </si>
  <si>
    <t>au</t>
  </si>
  <si>
    <t>N° remise</t>
  </si>
  <si>
    <t>Snack</t>
  </si>
  <si>
    <t>Total CA</t>
  </si>
  <si>
    <t>AAAAAH9jv7k=</t>
  </si>
  <si>
    <t>1 lettre et 1 chiffre obligatoire</t>
  </si>
  <si>
    <t>Camping (7%)</t>
  </si>
  <si>
    <t>snack (7%)</t>
  </si>
  <si>
    <t>divers</t>
  </si>
  <si>
    <t>taxe de séjour</t>
  </si>
  <si>
    <t>CAISSE Camping les Radeliers</t>
  </si>
  <si>
    <t>TICKET Z</t>
  </si>
  <si>
    <t>Taxe de séjour</t>
  </si>
  <si>
    <t>modèle</t>
  </si>
  <si>
    <t>camping</t>
  </si>
  <si>
    <t>Récap</t>
  </si>
  <si>
    <t>Tableau bilan Les Radeliers 2013</t>
  </si>
  <si>
    <t>4 téléconects</t>
  </si>
  <si>
    <t>billets: 6743852
pièces: 693833</t>
  </si>
</sst>
</file>

<file path=xl/styles.xml><?xml version="1.0" encoding="utf-8"?>
<styleSheet xmlns="http://schemas.openxmlformats.org/spreadsheetml/2006/main">
  <numFmts count="3">
    <numFmt numFmtId="164" formatCode="_-* #,##0.00\ [$€-40C]_-;\-* #,##0.00\ [$€-40C]_-;_-* &quot;-&quot;??\ [$€-40C]_-;_-@_-"/>
    <numFmt numFmtId="165" formatCode="General\ &quot;chèques&quot;"/>
    <numFmt numFmtId="166" formatCode="&quot;Z&quot;\ General"/>
  </numFmts>
  <fonts count="1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1" xfId="0" applyFont="1" applyBorder="1"/>
    <xf numFmtId="0" fontId="2" fillId="0" borderId="0" xfId="0" applyFont="1" applyAlignment="1">
      <alignment horizontal="right"/>
    </xf>
    <xf numFmtId="164" fontId="1" fillId="0" borderId="0" xfId="0" applyNumberFormat="1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/>
    <xf numFmtId="164" fontId="1" fillId="0" borderId="1" xfId="0" applyNumberFormat="1" applyFont="1" applyBorder="1"/>
    <xf numFmtId="0" fontId="4" fillId="0" borderId="0" xfId="0" applyFont="1"/>
    <xf numFmtId="0" fontId="1" fillId="0" borderId="1" xfId="0" applyFont="1" applyBorder="1" applyAlignment="1">
      <alignment horizontal="right"/>
    </xf>
    <xf numFmtId="14" fontId="5" fillId="0" borderId="0" xfId="0" applyNumberFormat="1" applyFont="1"/>
    <xf numFmtId="0" fontId="4" fillId="0" borderId="1" xfId="0" applyFont="1" applyBorder="1" applyAlignment="1">
      <alignment wrapText="1"/>
    </xf>
    <xf numFmtId="164" fontId="6" fillId="0" borderId="0" xfId="0" applyNumberFormat="1" applyFont="1"/>
    <xf numFmtId="0" fontId="6" fillId="0" borderId="1" xfId="0" applyFont="1" applyBorder="1"/>
    <xf numFmtId="164" fontId="0" fillId="0" borderId="1" xfId="0" applyNumberFormat="1" applyBorder="1"/>
    <xf numFmtId="0" fontId="7" fillId="0" borderId="0" xfId="0" applyFont="1"/>
    <xf numFmtId="164" fontId="8" fillId="0" borderId="0" xfId="0" applyNumberFormat="1" applyFont="1"/>
    <xf numFmtId="165" fontId="1" fillId="0" borderId="1" xfId="0" applyNumberFormat="1" applyFont="1" applyBorder="1"/>
    <xf numFmtId="0" fontId="10" fillId="0" borderId="1" xfId="0" applyFont="1" applyBorder="1" applyAlignment="1">
      <alignment wrapText="1"/>
    </xf>
    <xf numFmtId="164" fontId="1" fillId="2" borderId="1" xfId="0" applyNumberFormat="1" applyFont="1" applyFill="1" applyBorder="1"/>
    <xf numFmtId="0" fontId="0" fillId="0" borderId="1" xfId="0" applyNumberFormat="1" applyBorder="1"/>
    <xf numFmtId="166" fontId="1" fillId="0" borderId="0" xfId="0" applyNumberFormat="1" applyFont="1"/>
    <xf numFmtId="164" fontId="14" fillId="0" borderId="0" xfId="0" applyNumberFormat="1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5"/>
  <dimension ref="A1:I32"/>
  <sheetViews>
    <sheetView zoomScaleNormal="100" workbookViewId="0">
      <selection activeCell="D12" sqref="D12"/>
    </sheetView>
  </sheetViews>
  <sheetFormatPr baseColWidth="10" defaultRowHeight="15"/>
  <cols>
    <col min="1" max="1" width="10.5703125" bestFit="1" customWidth="1"/>
    <col min="2" max="2" width="14" bestFit="1" customWidth="1"/>
    <col min="3" max="3" width="16.42578125" bestFit="1" customWidth="1"/>
    <col min="4" max="4" width="14.85546875" customWidth="1"/>
    <col min="5" max="5" width="17.85546875" bestFit="1" customWidth="1"/>
    <col min="8" max="8" width="14.5703125" bestFit="1" customWidth="1"/>
    <col min="9" max="9" width="24.28515625" bestFit="1" customWidth="1"/>
  </cols>
  <sheetData>
    <row r="1" spans="1:9" ht="23.25">
      <c r="A1" s="24" t="s">
        <v>26</v>
      </c>
      <c r="B1" s="24"/>
      <c r="C1" s="24"/>
      <c r="D1" s="24"/>
      <c r="E1" s="24"/>
    </row>
    <row r="2" spans="1:9" hidden="1">
      <c r="B2" t="s">
        <v>25</v>
      </c>
    </row>
    <row r="3" spans="1:9" ht="26.25">
      <c r="A3" s="21"/>
      <c r="B3" s="23">
        <f ca="1">SUM(B5:B35)</f>
        <v>1742.5233644859811</v>
      </c>
      <c r="C3" s="13">
        <f ca="1">SUM(C5:C35)</f>
        <v>40.280373831775698</v>
      </c>
      <c r="D3" s="13">
        <f ca="1">SUM(D5:D35)</f>
        <v>0</v>
      </c>
      <c r="E3" s="13">
        <f ca="1">SUM(E5:E35)</f>
        <v>31.42</v>
      </c>
      <c r="H3" s="16" t="s">
        <v>13</v>
      </c>
      <c r="I3" s="17">
        <f ca="1">SUM(B3:E3)</f>
        <v>1814.2237383177569</v>
      </c>
    </row>
    <row r="4" spans="1:9" ht="18.75">
      <c r="A4" s="21"/>
      <c r="B4" s="14" t="s">
        <v>24</v>
      </c>
      <c r="C4" s="14" t="s">
        <v>12</v>
      </c>
      <c r="D4" s="14" t="s">
        <v>18</v>
      </c>
      <c r="E4" s="14" t="s">
        <v>22</v>
      </c>
    </row>
    <row r="5" spans="1:9">
      <c r="A5" s="21">
        <f ca="1">IFERROR(_xll.DECALERFEUILLE($B$2,ROW()-4),"")</f>
        <v>34</v>
      </c>
      <c r="B5" s="15">
        <f ca="1">IFERROR(INDIRECT(A5&amp;"!B13"),"")</f>
        <v>1742.5233644859811</v>
      </c>
      <c r="C5" s="15">
        <f ca="1">IFERROR(INDIRECT(A5&amp;"!B14"),"")</f>
        <v>40.280373831775698</v>
      </c>
      <c r="D5" s="15">
        <f ca="1">IFERROR(INDIRECT(A5&amp;"!B15"),"")</f>
        <v>0</v>
      </c>
      <c r="E5" s="15">
        <f ca="1">IFERROR(INDIRECT(A5&amp;"!D16"),"")</f>
        <v>31.42</v>
      </c>
    </row>
    <row r="6" spans="1:9">
      <c r="A6" s="21">
        <f ca="1">IFERROR(_xll.DECALERFEUILLE($B$2,ROW()-4),"")</f>
        <v>35</v>
      </c>
      <c r="B6" s="15">
        <f ca="1">IFERROR(INDIRECT(A6&amp;"!B13"),"")</f>
        <v>0</v>
      </c>
      <c r="C6" s="15">
        <f ca="1">IFERROR(INDIRECT(A6&amp;"!B14"),"")</f>
        <v>0</v>
      </c>
      <c r="D6" s="15">
        <f ca="1">IFERROR(INDIRECT(A6&amp;"!B15"),"")</f>
        <v>0</v>
      </c>
      <c r="E6" s="15">
        <f ca="1">IFERROR(INDIRECT(A6&amp;"!D16"),"")</f>
        <v>0</v>
      </c>
    </row>
    <row r="7" spans="1:9">
      <c r="A7" s="21" t="str">
        <f ca="1">IFERROR(_xll.DECALERFEUILLE($B$2,ROW()-4),"")</f>
        <v>modèle</v>
      </c>
      <c r="B7" s="15">
        <f t="shared" ref="B7:B32" ca="1" si="0">IFERROR(INDIRECT(A7&amp;"!B13"),"")</f>
        <v>0</v>
      </c>
      <c r="C7" s="15">
        <f t="shared" ref="C7:C32" ca="1" si="1">IFERROR(INDIRECT(A7&amp;"!B14"),"")</f>
        <v>0</v>
      </c>
      <c r="D7" s="15">
        <f ca="1">IFERROR(INDIRECT(A7&amp;"!B15"),"")</f>
        <v>0</v>
      </c>
      <c r="E7" s="15">
        <f ca="1">IFERROR(INDIRECT(A7&amp;"!D16"),"")</f>
        <v>0</v>
      </c>
    </row>
    <row r="8" spans="1:9">
      <c r="A8" s="21" t="str">
        <f ca="1">IFERROR(_xll.DECALERFEUILLE($B$2,ROW()-4),"")</f>
        <v/>
      </c>
      <c r="B8" s="15" t="str">
        <f t="shared" ca="1" si="0"/>
        <v/>
      </c>
      <c r="C8" s="15" t="str">
        <f t="shared" ca="1" si="1"/>
        <v/>
      </c>
      <c r="D8" s="15" t="str">
        <f ca="1">IFERROR(INDIRECT(A8&amp;"!B15"),"")</f>
        <v/>
      </c>
      <c r="E8" s="15" t="str">
        <f ca="1">IFERROR(INDIRECT(A8&amp;"!D16"),"")</f>
        <v/>
      </c>
    </row>
    <row r="9" spans="1:9">
      <c r="A9" s="21" t="str">
        <f ca="1">IFERROR(_xll.DECALERFEUILLE($B$2,ROW()-4),"")</f>
        <v/>
      </c>
      <c r="B9" s="15" t="str">
        <f t="shared" ca="1" si="0"/>
        <v/>
      </c>
      <c r="C9" s="15" t="str">
        <f t="shared" ca="1" si="1"/>
        <v/>
      </c>
      <c r="D9" s="15" t="str">
        <f ca="1">IFERROR(INDIRECT(A9&amp;"!B15"),"")</f>
        <v/>
      </c>
      <c r="E9" s="15" t="str">
        <f ca="1">IFERROR(INDIRECT(A9&amp;"!D16"),"")</f>
        <v/>
      </c>
    </row>
    <row r="10" spans="1:9">
      <c r="A10" s="21" t="str">
        <f ca="1">IFERROR(_xll.DECALERFEUILLE($B$2,ROW()-4),"")</f>
        <v/>
      </c>
      <c r="B10" s="15" t="str">
        <f t="shared" ca="1" si="0"/>
        <v/>
      </c>
      <c r="C10" s="15" t="str">
        <f t="shared" ca="1" si="1"/>
        <v/>
      </c>
      <c r="D10" s="15" t="str">
        <f t="shared" ref="D10:D32" ca="1" si="2">IFERROR(INDIRECT(A10&amp;"!B15"),"")</f>
        <v/>
      </c>
      <c r="E10" s="15" t="str">
        <f t="shared" ref="E10:E32" ca="1" si="3">IFERROR(INDIRECT(A10&amp;"!D16"),"")</f>
        <v/>
      </c>
    </row>
    <row r="11" spans="1:9">
      <c r="A11" s="21" t="str">
        <f ca="1">IFERROR(_xll.DECALERFEUILLE($B$2,ROW()-4),"")</f>
        <v/>
      </c>
      <c r="B11" s="15" t="str">
        <f t="shared" ca="1" si="0"/>
        <v/>
      </c>
      <c r="C11" s="15" t="str">
        <f t="shared" ca="1" si="1"/>
        <v/>
      </c>
      <c r="D11" s="15" t="str">
        <f t="shared" ca="1" si="2"/>
        <v/>
      </c>
      <c r="E11" s="15" t="str">
        <f t="shared" ca="1" si="3"/>
        <v/>
      </c>
    </row>
    <row r="12" spans="1:9">
      <c r="A12" s="21" t="str">
        <f ca="1">IFERROR(_xll.DECALERFEUILLE($B$2,ROW()-4),"")</f>
        <v/>
      </c>
      <c r="B12" s="15" t="str">
        <f t="shared" ca="1" si="0"/>
        <v/>
      </c>
      <c r="C12" s="15" t="str">
        <f t="shared" ca="1" si="1"/>
        <v/>
      </c>
      <c r="D12" s="15" t="str">
        <f t="shared" ca="1" si="2"/>
        <v/>
      </c>
      <c r="E12" s="15" t="str">
        <f t="shared" ca="1" si="3"/>
        <v/>
      </c>
    </row>
    <row r="13" spans="1:9">
      <c r="A13" s="21" t="str">
        <f ca="1">IFERROR(_xll.DECALERFEUILLE($B$2,ROW()-4),"")</f>
        <v/>
      </c>
      <c r="B13" s="15" t="str">
        <f t="shared" ca="1" si="0"/>
        <v/>
      </c>
      <c r="C13" s="15" t="str">
        <f t="shared" ca="1" si="1"/>
        <v/>
      </c>
      <c r="D13" s="15" t="str">
        <f t="shared" ca="1" si="2"/>
        <v/>
      </c>
      <c r="E13" s="15" t="str">
        <f t="shared" ca="1" si="3"/>
        <v/>
      </c>
    </row>
    <row r="14" spans="1:9">
      <c r="A14" s="21" t="str">
        <f ca="1">IFERROR(_xll.DECALERFEUILLE($B$2,ROW()-4),"")</f>
        <v/>
      </c>
      <c r="B14" s="15" t="str">
        <f t="shared" ca="1" si="0"/>
        <v/>
      </c>
      <c r="C14" s="15" t="str">
        <f t="shared" ca="1" si="1"/>
        <v/>
      </c>
      <c r="D14" s="15" t="str">
        <f t="shared" ca="1" si="2"/>
        <v/>
      </c>
      <c r="E14" s="15" t="str">
        <f t="shared" ca="1" si="3"/>
        <v/>
      </c>
    </row>
    <row r="15" spans="1:9">
      <c r="A15" s="21" t="str">
        <f ca="1">IFERROR(_xll.DECALERFEUILLE($B$2,ROW()-4),"")</f>
        <v/>
      </c>
      <c r="B15" s="15" t="str">
        <f t="shared" ca="1" si="0"/>
        <v/>
      </c>
      <c r="C15" s="15" t="str">
        <f t="shared" ca="1" si="1"/>
        <v/>
      </c>
      <c r="D15" s="15" t="str">
        <f t="shared" ca="1" si="2"/>
        <v/>
      </c>
      <c r="E15" s="15" t="str">
        <f t="shared" ca="1" si="3"/>
        <v/>
      </c>
    </row>
    <row r="16" spans="1:9">
      <c r="A16" s="21" t="str">
        <f ca="1">IFERROR(_xll.DECALERFEUILLE($B$2,ROW()-4),"")</f>
        <v/>
      </c>
      <c r="B16" s="15" t="str">
        <f t="shared" ca="1" si="0"/>
        <v/>
      </c>
      <c r="C16" s="15" t="str">
        <f t="shared" ca="1" si="1"/>
        <v/>
      </c>
      <c r="D16" s="15" t="str">
        <f t="shared" ca="1" si="2"/>
        <v/>
      </c>
      <c r="E16" s="15" t="str">
        <f t="shared" ca="1" si="3"/>
        <v/>
      </c>
    </row>
    <row r="17" spans="1:5">
      <c r="A17" s="21" t="str">
        <f ca="1">IFERROR(_xll.DECALERFEUILLE($B$2,ROW()-4),"")</f>
        <v/>
      </c>
      <c r="B17" s="15" t="str">
        <f t="shared" ca="1" si="0"/>
        <v/>
      </c>
      <c r="C17" s="15" t="str">
        <f t="shared" ca="1" si="1"/>
        <v/>
      </c>
      <c r="D17" s="15" t="str">
        <f t="shared" ca="1" si="2"/>
        <v/>
      </c>
      <c r="E17" s="15" t="str">
        <f t="shared" ca="1" si="3"/>
        <v/>
      </c>
    </row>
    <row r="18" spans="1:5">
      <c r="A18" s="21" t="str">
        <f ca="1">IFERROR(_xll.DECALERFEUILLE($B$2,ROW()-4),"")</f>
        <v/>
      </c>
      <c r="B18" s="15" t="str">
        <f t="shared" ca="1" si="0"/>
        <v/>
      </c>
      <c r="C18" s="15" t="str">
        <f t="shared" ca="1" si="1"/>
        <v/>
      </c>
      <c r="D18" s="15" t="str">
        <f t="shared" ca="1" si="2"/>
        <v/>
      </c>
      <c r="E18" s="15" t="str">
        <f t="shared" ca="1" si="3"/>
        <v/>
      </c>
    </row>
    <row r="19" spans="1:5">
      <c r="A19" s="21" t="str">
        <f ca="1">IFERROR(_xll.DECALERFEUILLE($B$2,ROW()-4),"")</f>
        <v/>
      </c>
      <c r="B19" s="15" t="str">
        <f t="shared" ca="1" si="0"/>
        <v/>
      </c>
      <c r="C19" s="15" t="str">
        <f t="shared" ca="1" si="1"/>
        <v/>
      </c>
      <c r="D19" s="15" t="str">
        <f t="shared" ca="1" si="2"/>
        <v/>
      </c>
      <c r="E19" s="15" t="str">
        <f t="shared" ca="1" si="3"/>
        <v/>
      </c>
    </row>
    <row r="20" spans="1:5">
      <c r="A20" s="21" t="str">
        <f ca="1">IFERROR(_xll.DECALERFEUILLE($B$2,ROW()-4),"")</f>
        <v/>
      </c>
      <c r="B20" s="15" t="str">
        <f t="shared" ca="1" si="0"/>
        <v/>
      </c>
      <c r="C20" s="15" t="str">
        <f t="shared" ca="1" si="1"/>
        <v/>
      </c>
      <c r="D20" s="15" t="str">
        <f t="shared" ca="1" si="2"/>
        <v/>
      </c>
      <c r="E20" s="15" t="str">
        <f t="shared" ca="1" si="3"/>
        <v/>
      </c>
    </row>
    <row r="21" spans="1:5">
      <c r="A21" s="21" t="str">
        <f ca="1">IFERROR(_xll.DECALERFEUILLE($B$2,ROW()-4),"")</f>
        <v/>
      </c>
      <c r="B21" s="15" t="str">
        <f t="shared" ca="1" si="0"/>
        <v/>
      </c>
      <c r="C21" s="15" t="str">
        <f t="shared" ca="1" si="1"/>
        <v/>
      </c>
      <c r="D21" s="15" t="str">
        <f t="shared" ca="1" si="2"/>
        <v/>
      </c>
      <c r="E21" s="15" t="str">
        <f t="shared" ca="1" si="3"/>
        <v/>
      </c>
    </row>
    <row r="22" spans="1:5">
      <c r="A22" s="21" t="str">
        <f ca="1">IFERROR(_xll.DECALERFEUILLE($B$2,ROW()-4),"")</f>
        <v/>
      </c>
      <c r="B22" s="15" t="str">
        <f t="shared" ca="1" si="0"/>
        <v/>
      </c>
      <c r="C22" s="15" t="str">
        <f t="shared" ca="1" si="1"/>
        <v/>
      </c>
      <c r="D22" s="15" t="str">
        <f t="shared" ca="1" si="2"/>
        <v/>
      </c>
      <c r="E22" s="15" t="str">
        <f t="shared" ca="1" si="3"/>
        <v/>
      </c>
    </row>
    <row r="23" spans="1:5">
      <c r="A23" s="21" t="str">
        <f ca="1">IFERROR(_xll.DECALERFEUILLE($B$2,ROW()-4),"")</f>
        <v/>
      </c>
      <c r="B23" s="15" t="str">
        <f t="shared" ca="1" si="0"/>
        <v/>
      </c>
      <c r="C23" s="15" t="str">
        <f t="shared" ca="1" si="1"/>
        <v/>
      </c>
      <c r="D23" s="15" t="str">
        <f t="shared" ca="1" si="2"/>
        <v/>
      </c>
      <c r="E23" s="15" t="str">
        <f t="shared" ca="1" si="3"/>
        <v/>
      </c>
    </row>
    <row r="24" spans="1:5">
      <c r="A24" s="21" t="str">
        <f ca="1">IFERROR(_xll.DECALERFEUILLE($B$2,ROW()-4),"")</f>
        <v/>
      </c>
      <c r="B24" s="15" t="str">
        <f t="shared" ca="1" si="0"/>
        <v/>
      </c>
      <c r="C24" s="15" t="str">
        <f t="shared" ca="1" si="1"/>
        <v/>
      </c>
      <c r="D24" s="15" t="str">
        <f t="shared" ca="1" si="2"/>
        <v/>
      </c>
      <c r="E24" s="15" t="str">
        <f t="shared" ca="1" si="3"/>
        <v/>
      </c>
    </row>
    <row r="25" spans="1:5">
      <c r="A25" s="21" t="str">
        <f ca="1">IFERROR(_xll.DECALERFEUILLE($B$2,ROW()-4),"")</f>
        <v/>
      </c>
      <c r="B25" s="15" t="str">
        <f t="shared" ca="1" si="0"/>
        <v/>
      </c>
      <c r="C25" s="15" t="str">
        <f t="shared" ca="1" si="1"/>
        <v/>
      </c>
      <c r="D25" s="15" t="str">
        <f t="shared" ca="1" si="2"/>
        <v/>
      </c>
      <c r="E25" s="15" t="str">
        <f t="shared" ca="1" si="3"/>
        <v/>
      </c>
    </row>
    <row r="26" spans="1:5">
      <c r="A26" s="21" t="str">
        <f ca="1">IFERROR(_xll.DECALERFEUILLE($B$2,ROW()-4),"")</f>
        <v/>
      </c>
      <c r="B26" s="15" t="str">
        <f t="shared" ca="1" si="0"/>
        <v/>
      </c>
      <c r="C26" s="15" t="str">
        <f t="shared" ca="1" si="1"/>
        <v/>
      </c>
      <c r="D26" s="15" t="str">
        <f t="shared" ca="1" si="2"/>
        <v/>
      </c>
      <c r="E26" s="15" t="str">
        <f t="shared" ca="1" si="3"/>
        <v/>
      </c>
    </row>
    <row r="27" spans="1:5">
      <c r="A27" s="21" t="str">
        <f ca="1">IFERROR(_xll.DECALERFEUILLE($B$2,ROW()-4),"")</f>
        <v/>
      </c>
      <c r="B27" s="15" t="str">
        <f t="shared" ca="1" si="0"/>
        <v/>
      </c>
      <c r="C27" s="15" t="str">
        <f t="shared" ca="1" si="1"/>
        <v/>
      </c>
      <c r="D27" s="15" t="str">
        <f t="shared" ca="1" si="2"/>
        <v/>
      </c>
      <c r="E27" s="15" t="str">
        <f t="shared" ca="1" si="3"/>
        <v/>
      </c>
    </row>
    <row r="28" spans="1:5">
      <c r="A28" s="21" t="str">
        <f ca="1">IFERROR(_xll.DECALERFEUILLE($B$2,ROW()-4),"")</f>
        <v/>
      </c>
      <c r="B28" s="15" t="str">
        <f t="shared" ca="1" si="0"/>
        <v/>
      </c>
      <c r="C28" s="15" t="str">
        <f t="shared" ca="1" si="1"/>
        <v/>
      </c>
      <c r="D28" s="15" t="str">
        <f t="shared" ca="1" si="2"/>
        <v/>
      </c>
      <c r="E28" s="15" t="str">
        <f t="shared" ca="1" si="3"/>
        <v/>
      </c>
    </row>
    <row r="29" spans="1:5">
      <c r="A29" s="21" t="str">
        <f ca="1">IFERROR(_xll.DECALERFEUILLE($B$2,ROW()-4),"")</f>
        <v/>
      </c>
      <c r="B29" s="15" t="str">
        <f t="shared" ca="1" si="0"/>
        <v/>
      </c>
      <c r="C29" s="15" t="str">
        <f t="shared" ca="1" si="1"/>
        <v/>
      </c>
      <c r="D29" s="15" t="str">
        <f t="shared" ca="1" si="2"/>
        <v/>
      </c>
      <c r="E29" s="15" t="str">
        <f t="shared" ca="1" si="3"/>
        <v/>
      </c>
    </row>
    <row r="30" spans="1:5">
      <c r="A30" s="21" t="str">
        <f ca="1">IFERROR(_xll.DECALERFEUILLE($B$2,ROW()-4),"")</f>
        <v/>
      </c>
      <c r="B30" s="15" t="str">
        <f t="shared" ca="1" si="0"/>
        <v/>
      </c>
      <c r="C30" s="15" t="str">
        <f t="shared" ca="1" si="1"/>
        <v/>
      </c>
      <c r="D30" s="15" t="str">
        <f t="shared" ca="1" si="2"/>
        <v/>
      </c>
      <c r="E30" s="15" t="str">
        <f t="shared" ca="1" si="3"/>
        <v/>
      </c>
    </row>
    <row r="31" spans="1:5">
      <c r="A31" s="21" t="str">
        <f ca="1">IFERROR(_xll.DECALERFEUILLE($B$2,ROW()-4),"")</f>
        <v/>
      </c>
      <c r="B31" s="15" t="str">
        <f t="shared" ca="1" si="0"/>
        <v/>
      </c>
      <c r="C31" s="15" t="str">
        <f t="shared" ca="1" si="1"/>
        <v/>
      </c>
      <c r="D31" s="15" t="str">
        <f t="shared" ca="1" si="2"/>
        <v/>
      </c>
      <c r="E31" s="15" t="str">
        <f t="shared" ca="1" si="3"/>
        <v/>
      </c>
    </row>
    <row r="32" spans="1:5">
      <c r="A32" s="21" t="str">
        <f ca="1">IFERROR(_xll.DECALERFEUILLE($B$2,ROW()-4),"")</f>
        <v/>
      </c>
      <c r="B32" s="15" t="str">
        <f t="shared" ca="1" si="0"/>
        <v/>
      </c>
      <c r="C32" s="15" t="str">
        <f t="shared" ca="1" si="1"/>
        <v/>
      </c>
      <c r="D32" s="15" t="str">
        <f t="shared" ca="1" si="2"/>
        <v/>
      </c>
      <c r="E32" s="15" t="str">
        <f t="shared" ca="1" si="3"/>
        <v/>
      </c>
    </row>
  </sheetData>
  <mergeCells count="1">
    <mergeCell ref="A1:E1"/>
  </mergeCells>
  <pageMargins left="0.7" right="0.7" top="0.95833333333333337" bottom="0.75" header="0.3" footer="0.3"/>
  <pageSetup paperSize="9" scale="64" orientation="portrait" r:id="rId1"/>
  <headerFooter>
    <oddHeader>&amp;C&amp;G</oddHeader>
  </headerFooter>
  <customProperties>
    <customPr name="DVSECTIONID" r:id="rId2"/>
  </customProperties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7"/>
  <sheetViews>
    <sheetView tabSelected="1" zoomScale="80" zoomScaleNormal="80" zoomScaleSheetLayoutView="90" zoomScalePageLayoutView="90" workbookViewId="0">
      <selection activeCell="G8" sqref="G8"/>
    </sheetView>
  </sheetViews>
  <sheetFormatPr baseColWidth="10" defaultColWidth="11.42578125" defaultRowHeight="15"/>
  <cols>
    <col min="1" max="1" width="22.140625" bestFit="1" customWidth="1"/>
    <col min="2" max="2" width="18.42578125" bestFit="1" customWidth="1"/>
    <col min="3" max="3" width="15.7109375" bestFit="1" customWidth="1"/>
    <col min="4" max="4" width="18.7109375" bestFit="1" customWidth="1"/>
    <col min="5" max="5" width="20.85546875" customWidth="1"/>
    <col min="6" max="6" width="20.5703125" customWidth="1"/>
  </cols>
  <sheetData>
    <row r="1" spans="1:5" ht="26.25">
      <c r="A1" s="25" t="s">
        <v>20</v>
      </c>
      <c r="B1" s="25"/>
      <c r="C1" s="25"/>
      <c r="D1" s="25"/>
      <c r="E1" s="25"/>
    </row>
    <row r="2" spans="1:5" ht="23.25">
      <c r="A2" s="1" t="s">
        <v>8</v>
      </c>
      <c r="B2" s="22">
        <v>34</v>
      </c>
      <c r="C2" s="26" t="s">
        <v>15</v>
      </c>
      <c r="D2" s="27"/>
      <c r="E2" s="2"/>
    </row>
    <row r="3" spans="1:5" ht="23.25">
      <c r="A3" s="1" t="s">
        <v>9</v>
      </c>
      <c r="B3" s="11"/>
      <c r="C3" s="1" t="s">
        <v>10</v>
      </c>
      <c r="D3" s="11">
        <v>41409</v>
      </c>
      <c r="E3" s="2"/>
    </row>
    <row r="4" spans="1:5" ht="23.25">
      <c r="A4" s="1"/>
      <c r="B4" s="2"/>
      <c r="C4" s="1"/>
      <c r="D4" s="2"/>
      <c r="E4" s="2"/>
    </row>
    <row r="5" spans="1:5" ht="23.25">
      <c r="A5" s="4" t="s">
        <v>0</v>
      </c>
      <c r="B5" s="5">
        <f>SUM(B6:B10)</f>
        <v>1939.02</v>
      </c>
      <c r="C5" s="2"/>
      <c r="E5" s="28" t="s">
        <v>21</v>
      </c>
    </row>
    <row r="6" spans="1:5" ht="23.25">
      <c r="A6" s="2"/>
      <c r="B6" s="5"/>
      <c r="C6" s="2"/>
      <c r="D6" s="9" t="s">
        <v>11</v>
      </c>
      <c r="E6" s="28"/>
    </row>
    <row r="7" spans="1:5" ht="33">
      <c r="A7" s="10" t="s">
        <v>1</v>
      </c>
      <c r="B7" s="8">
        <v>779.7</v>
      </c>
      <c r="C7" s="3"/>
      <c r="D7" s="19" t="s">
        <v>28</v>
      </c>
      <c r="E7" s="28"/>
    </row>
    <row r="8" spans="1:5" ht="23.25">
      <c r="A8" s="10" t="s">
        <v>2</v>
      </c>
      <c r="B8" s="8">
        <v>735.7</v>
      </c>
      <c r="C8" s="3"/>
      <c r="D8" s="12">
        <v>999338</v>
      </c>
      <c r="E8" s="28"/>
    </row>
    <row r="9" spans="1:5" ht="23.25">
      <c r="A9" s="10" t="s">
        <v>3</v>
      </c>
      <c r="B9" s="8">
        <v>40</v>
      </c>
      <c r="C9" s="3"/>
      <c r="D9" s="18">
        <v>4</v>
      </c>
      <c r="E9" s="28"/>
    </row>
    <row r="10" spans="1:5" ht="23.25">
      <c r="A10" s="10" t="s">
        <v>4</v>
      </c>
      <c r="B10" s="8">
        <v>383.62</v>
      </c>
      <c r="C10" s="3"/>
      <c r="D10" s="3" t="s">
        <v>27</v>
      </c>
      <c r="E10" s="28"/>
    </row>
    <row r="11" spans="1:5" ht="23.25">
      <c r="A11" s="2"/>
      <c r="B11" s="2"/>
      <c r="C11" s="2"/>
      <c r="D11" s="2"/>
      <c r="E11" s="28"/>
    </row>
    <row r="12" spans="1:5" ht="23.25">
      <c r="A12" s="7"/>
      <c r="B12" s="6" t="s">
        <v>5</v>
      </c>
      <c r="C12" s="6" t="s">
        <v>6</v>
      </c>
      <c r="D12" s="6" t="s">
        <v>7</v>
      </c>
      <c r="E12" s="28"/>
    </row>
    <row r="13" spans="1:5" ht="23.25">
      <c r="A13" s="3" t="s">
        <v>16</v>
      </c>
      <c r="B13" s="8">
        <f>D13/1.07</f>
        <v>1742.5233644859811</v>
      </c>
      <c r="C13" s="8">
        <f>D13-B13</f>
        <v>121.97663551401888</v>
      </c>
      <c r="D13" s="8">
        <v>1864.5</v>
      </c>
      <c r="E13" s="28"/>
    </row>
    <row r="14" spans="1:5" ht="23.25">
      <c r="A14" s="3" t="s">
        <v>17</v>
      </c>
      <c r="B14" s="8">
        <f>D14/1.07</f>
        <v>40.280373831775698</v>
      </c>
      <c r="C14" s="8">
        <f>D14-B14</f>
        <v>2.8196261682243033</v>
      </c>
      <c r="D14" s="8">
        <v>43.1</v>
      </c>
      <c r="E14" s="28"/>
    </row>
    <row r="15" spans="1:5" ht="23.25">
      <c r="A15" s="3" t="s">
        <v>18</v>
      </c>
      <c r="B15" s="8"/>
      <c r="C15" s="8"/>
      <c r="D15" s="8"/>
      <c r="E15" s="28"/>
    </row>
    <row r="16" spans="1:5" ht="23.25">
      <c r="A16" s="3" t="s">
        <v>19</v>
      </c>
      <c r="B16" s="20"/>
      <c r="C16" s="20"/>
      <c r="D16" s="8">
        <v>31.42</v>
      </c>
      <c r="E16" s="28"/>
    </row>
    <row r="17" spans="1:5" ht="23.25">
      <c r="A17" s="7" t="s">
        <v>0</v>
      </c>
      <c r="B17" s="20">
        <f>SUM(B13:B16)</f>
        <v>1782.8037383177568</v>
      </c>
      <c r="C17" s="20">
        <f>SUM(C13:C16)</f>
        <v>124.79626168224318</v>
      </c>
      <c r="D17" s="20">
        <f>SUM(D13:D16)</f>
        <v>1939.02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7"/>
  <sheetViews>
    <sheetView zoomScale="80" zoomScaleNormal="80" zoomScaleSheetLayoutView="90" zoomScalePageLayoutView="90" workbookViewId="0">
      <selection activeCell="B3" sqref="B3"/>
    </sheetView>
  </sheetViews>
  <sheetFormatPr baseColWidth="10" defaultColWidth="11.42578125" defaultRowHeight="15"/>
  <cols>
    <col min="1" max="1" width="22.140625" bestFit="1" customWidth="1"/>
    <col min="2" max="2" width="18.42578125" bestFit="1" customWidth="1"/>
    <col min="3" max="3" width="15.7109375" bestFit="1" customWidth="1"/>
    <col min="4" max="4" width="18.42578125" bestFit="1" customWidth="1"/>
    <col min="5" max="5" width="20.85546875" customWidth="1"/>
    <col min="6" max="6" width="20.5703125" customWidth="1"/>
  </cols>
  <sheetData>
    <row r="1" spans="1:5" ht="26.25">
      <c r="A1" s="25" t="s">
        <v>20</v>
      </c>
      <c r="B1" s="25"/>
      <c r="C1" s="25"/>
      <c r="D1" s="25"/>
      <c r="E1" s="25"/>
    </row>
    <row r="2" spans="1:5" ht="23.25">
      <c r="A2" s="1" t="s">
        <v>8</v>
      </c>
      <c r="B2" s="22">
        <v>35</v>
      </c>
      <c r="C2" s="26" t="s">
        <v>15</v>
      </c>
      <c r="D2" s="27"/>
      <c r="E2" s="2"/>
    </row>
    <row r="3" spans="1:5" ht="23.25">
      <c r="A3" s="1" t="s">
        <v>9</v>
      </c>
      <c r="B3" s="11"/>
      <c r="C3" s="1" t="s">
        <v>10</v>
      </c>
      <c r="D3" s="11">
        <v>41043</v>
      </c>
      <c r="E3" s="2"/>
    </row>
    <row r="4" spans="1:5" ht="23.25">
      <c r="A4" s="1"/>
      <c r="B4" s="2"/>
      <c r="C4" s="1"/>
      <c r="D4" s="2"/>
      <c r="E4" s="2"/>
    </row>
    <row r="5" spans="1:5" ht="23.25">
      <c r="A5" s="4" t="s">
        <v>0</v>
      </c>
      <c r="B5" s="5">
        <f>SUM(B6:B10)</f>
        <v>0</v>
      </c>
      <c r="C5" s="2"/>
      <c r="E5" s="28" t="s">
        <v>21</v>
      </c>
    </row>
    <row r="6" spans="1:5" ht="23.25">
      <c r="A6" s="2"/>
      <c r="B6" s="5"/>
      <c r="C6" s="2"/>
      <c r="D6" s="9" t="s">
        <v>11</v>
      </c>
      <c r="E6" s="28"/>
    </row>
    <row r="7" spans="1:5" ht="23.25">
      <c r="A7" s="10" t="s">
        <v>1</v>
      </c>
      <c r="B7" s="8"/>
      <c r="C7" s="3"/>
      <c r="D7" s="19"/>
      <c r="E7" s="28"/>
    </row>
    <row r="8" spans="1:5" ht="23.25">
      <c r="A8" s="10" t="s">
        <v>2</v>
      </c>
      <c r="B8" s="8"/>
      <c r="C8" s="3"/>
      <c r="D8" s="12"/>
      <c r="E8" s="28"/>
    </row>
    <row r="9" spans="1:5" ht="23.25">
      <c r="A9" s="10" t="s">
        <v>3</v>
      </c>
      <c r="B9" s="8"/>
      <c r="C9" s="3"/>
      <c r="D9" s="18"/>
      <c r="E9" s="28"/>
    </row>
    <row r="10" spans="1:5" ht="23.25">
      <c r="A10" s="10" t="s">
        <v>4</v>
      </c>
      <c r="B10" s="8"/>
      <c r="C10" s="3"/>
      <c r="D10" s="3"/>
      <c r="E10" s="28"/>
    </row>
    <row r="11" spans="1:5" ht="23.25">
      <c r="A11" s="2"/>
      <c r="B11" s="2"/>
      <c r="C11" s="2"/>
      <c r="D11" s="2"/>
      <c r="E11" s="28"/>
    </row>
    <row r="12" spans="1:5" ht="23.25">
      <c r="A12" s="7"/>
      <c r="B12" s="6" t="s">
        <v>5</v>
      </c>
      <c r="C12" s="6" t="s">
        <v>6</v>
      </c>
      <c r="D12" s="6" t="s">
        <v>7</v>
      </c>
      <c r="E12" s="28"/>
    </row>
    <row r="13" spans="1:5" ht="23.25">
      <c r="A13" s="3" t="s">
        <v>16</v>
      </c>
      <c r="B13" s="8">
        <f>D13/1.07</f>
        <v>0</v>
      </c>
      <c r="C13" s="8">
        <f>D13-B13</f>
        <v>0</v>
      </c>
      <c r="D13" s="8"/>
      <c r="E13" s="28"/>
    </row>
    <row r="14" spans="1:5" ht="23.25">
      <c r="A14" s="3" t="s">
        <v>17</v>
      </c>
      <c r="B14" s="8">
        <f>D14/1.07</f>
        <v>0</v>
      </c>
      <c r="C14" s="8">
        <f>D14-B14</f>
        <v>0</v>
      </c>
      <c r="D14" s="8"/>
      <c r="E14" s="28"/>
    </row>
    <row r="15" spans="1:5" ht="23.25">
      <c r="A15" s="3" t="s">
        <v>18</v>
      </c>
      <c r="B15" s="8"/>
      <c r="C15" s="8"/>
      <c r="D15" s="8"/>
      <c r="E15" s="28"/>
    </row>
    <row r="16" spans="1:5" ht="23.25">
      <c r="A16" s="3" t="s">
        <v>19</v>
      </c>
      <c r="B16" s="20"/>
      <c r="C16" s="20"/>
      <c r="D16" s="8"/>
      <c r="E16" s="28"/>
    </row>
    <row r="17" spans="1:5" ht="23.25">
      <c r="A17" s="7" t="s">
        <v>0</v>
      </c>
      <c r="B17" s="20">
        <f>SUM(B13:B16)</f>
        <v>0</v>
      </c>
      <c r="C17" s="20">
        <f>SUM(C13:C16)</f>
        <v>0</v>
      </c>
      <c r="D17" s="20">
        <f>SUM(D13:D16)</f>
        <v>0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zoomScale="80" zoomScaleNormal="80" zoomScaleSheetLayoutView="90" zoomScalePageLayoutView="90" workbookViewId="0">
      <selection activeCell="G5" sqref="G5"/>
    </sheetView>
  </sheetViews>
  <sheetFormatPr baseColWidth="10" defaultColWidth="11.42578125" defaultRowHeight="15"/>
  <cols>
    <col min="1" max="1" width="22.140625" bestFit="1" customWidth="1"/>
    <col min="2" max="2" width="18.42578125" bestFit="1" customWidth="1"/>
    <col min="3" max="3" width="15.7109375" bestFit="1" customWidth="1"/>
    <col min="4" max="4" width="18.42578125" bestFit="1" customWidth="1"/>
    <col min="5" max="5" width="20.85546875" customWidth="1"/>
    <col min="6" max="6" width="20.5703125" customWidth="1"/>
  </cols>
  <sheetData>
    <row r="1" spans="1:5" ht="26.25">
      <c r="A1" s="25" t="s">
        <v>20</v>
      </c>
      <c r="B1" s="25"/>
      <c r="C1" s="25"/>
      <c r="D1" s="25"/>
      <c r="E1" s="25"/>
    </row>
    <row r="2" spans="1:5" ht="23.25">
      <c r="A2" s="1" t="s">
        <v>8</v>
      </c>
      <c r="B2" s="22" t="s">
        <v>23</v>
      </c>
      <c r="C2" s="26" t="s">
        <v>15</v>
      </c>
      <c r="D2" s="27"/>
      <c r="E2" s="2"/>
    </row>
    <row r="3" spans="1:5" ht="23.25">
      <c r="A3" s="1" t="s">
        <v>9</v>
      </c>
      <c r="B3" s="11"/>
      <c r="C3" s="1" t="s">
        <v>10</v>
      </c>
      <c r="D3" s="11">
        <v>41043</v>
      </c>
      <c r="E3" s="2"/>
    </row>
    <row r="4" spans="1:5" ht="23.25">
      <c r="A4" s="1"/>
      <c r="B4" s="2"/>
      <c r="C4" s="1"/>
      <c r="D4" s="2"/>
      <c r="E4" s="2"/>
    </row>
    <row r="5" spans="1:5" ht="23.25">
      <c r="A5" s="4" t="s">
        <v>0</v>
      </c>
      <c r="B5" s="5">
        <f>SUM(B6:B10)</f>
        <v>0</v>
      </c>
      <c r="C5" s="2"/>
      <c r="E5" s="28" t="s">
        <v>21</v>
      </c>
    </row>
    <row r="6" spans="1:5" ht="23.25">
      <c r="A6" s="2"/>
      <c r="B6" s="5"/>
      <c r="C6" s="2"/>
      <c r="D6" s="9" t="s">
        <v>11</v>
      </c>
      <c r="E6" s="28"/>
    </row>
    <row r="7" spans="1:5" ht="23.25">
      <c r="A7" s="10" t="s">
        <v>1</v>
      </c>
      <c r="B7" s="8"/>
      <c r="C7" s="3"/>
      <c r="D7" s="19"/>
      <c r="E7" s="28"/>
    </row>
    <row r="8" spans="1:5" ht="23.25">
      <c r="A8" s="10" t="s">
        <v>2</v>
      </c>
      <c r="B8" s="8"/>
      <c r="C8" s="3"/>
      <c r="D8" s="12"/>
      <c r="E8" s="28"/>
    </row>
    <row r="9" spans="1:5" ht="23.25">
      <c r="A9" s="10" t="s">
        <v>3</v>
      </c>
      <c r="B9" s="8"/>
      <c r="C9" s="3"/>
      <c r="D9" s="18"/>
      <c r="E9" s="28"/>
    </row>
    <row r="10" spans="1:5" ht="23.25">
      <c r="A10" s="10" t="s">
        <v>4</v>
      </c>
      <c r="B10" s="8"/>
      <c r="C10" s="3"/>
      <c r="D10" s="3"/>
      <c r="E10" s="28"/>
    </row>
    <row r="11" spans="1:5" ht="23.25">
      <c r="A11" s="2"/>
      <c r="B11" s="2"/>
      <c r="C11" s="2"/>
      <c r="D11" s="2"/>
      <c r="E11" s="28"/>
    </row>
    <row r="12" spans="1:5" ht="23.25">
      <c r="A12" s="7"/>
      <c r="B12" s="6" t="s">
        <v>5</v>
      </c>
      <c r="C12" s="6" t="s">
        <v>6</v>
      </c>
      <c r="D12" s="6" t="s">
        <v>7</v>
      </c>
      <c r="E12" s="28"/>
    </row>
    <row r="13" spans="1:5" ht="23.25">
      <c r="A13" s="3" t="s">
        <v>16</v>
      </c>
      <c r="B13" s="8">
        <f>D13/1.07</f>
        <v>0</v>
      </c>
      <c r="C13" s="8">
        <f>D13-B13</f>
        <v>0</v>
      </c>
      <c r="D13" s="8"/>
      <c r="E13" s="28"/>
    </row>
    <row r="14" spans="1:5" ht="23.25">
      <c r="A14" s="3" t="s">
        <v>17</v>
      </c>
      <c r="B14" s="8">
        <f>D14/1.07</f>
        <v>0</v>
      </c>
      <c r="C14" s="8">
        <f>D14-B14</f>
        <v>0</v>
      </c>
      <c r="D14" s="8"/>
      <c r="E14" s="28"/>
    </row>
    <row r="15" spans="1:5" ht="23.25">
      <c r="A15" s="3" t="s">
        <v>18</v>
      </c>
      <c r="B15" s="8"/>
      <c r="C15" s="8"/>
      <c r="D15" s="8"/>
      <c r="E15" s="28"/>
    </row>
    <row r="16" spans="1:5" ht="23.25">
      <c r="A16" s="3" t="s">
        <v>19</v>
      </c>
      <c r="B16" s="20"/>
      <c r="C16" s="20"/>
      <c r="D16" s="8"/>
      <c r="E16" s="28"/>
    </row>
    <row r="17" spans="1:5" ht="23.25">
      <c r="A17" s="7" t="s">
        <v>0</v>
      </c>
      <c r="B17" s="20">
        <f>SUM(B13:B16)</f>
        <v>0</v>
      </c>
      <c r="C17" s="20">
        <f>SUM(C13:C16)</f>
        <v>0</v>
      </c>
      <c r="D17" s="20">
        <f>SUM(D13:D16)</f>
        <v>0</v>
      </c>
      <c r="E17" s="28"/>
    </row>
  </sheetData>
  <mergeCells count="3">
    <mergeCell ref="A1:E1"/>
    <mergeCell ref="C2:D2"/>
    <mergeCell ref="E5:E17"/>
  </mergeCells>
  <pageMargins left="0.25" right="0.25" top="1.3125" bottom="0.75" header="0.3" footer="0.3"/>
  <pageSetup paperSize="9" orientation="portrait" r:id="rId1"/>
  <headerFooter>
    <oddHeader xml:space="preserve">&amp;C&amp;G
</oddHeader>
  </headerFooter>
  <customProperties>
    <customPr name="DVSECTIONID" r:id="rId2"/>
  </customProperties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6"/>
  <dimension ref="A1:IV58"/>
  <sheetViews>
    <sheetView workbookViewId="0">
      <selection activeCell="GD12" sqref="GD12"/>
    </sheetView>
  </sheetViews>
  <sheetFormatPr baseColWidth="10" defaultRowHeight="15"/>
  <sheetData>
    <row r="1" spans="1:256">
      <c r="A1" t="e">
        <f>IF(modèle!1:1,"AAAAAHbu7wA=",0)</f>
        <v>#VALUE!</v>
      </c>
      <c r="B1" t="e">
        <f>AND(modèle!A1,"AAAAAHbu7wE=")</f>
        <v>#VALUE!</v>
      </c>
      <c r="C1" t="e">
        <f>AND(modèle!B1,"AAAAAHbu7wI=")</f>
        <v>#VALUE!</v>
      </c>
      <c r="D1" t="e">
        <f>AND(modèle!C1,"AAAAAHbu7wM=")</f>
        <v>#VALUE!</v>
      </c>
      <c r="E1" t="e">
        <f>AND(modèle!D1,"AAAAAHbu7wQ=")</f>
        <v>#VALUE!</v>
      </c>
      <c r="F1" t="e">
        <f>AND(modèle!E1,"AAAAAHbu7wU=")</f>
        <v>#VALUE!</v>
      </c>
      <c r="G1">
        <f>IF(modèle!2:2,"AAAAAHbu7wY=",0)</f>
        <v>0</v>
      </c>
      <c r="H1" t="e">
        <f>AND(modèle!A2,"AAAAAHbu7wc=")</f>
        <v>#VALUE!</v>
      </c>
      <c r="I1" t="e">
        <f>AND(modèle!B2,"AAAAAHbu7wg=")</f>
        <v>#VALUE!</v>
      </c>
      <c r="J1" t="e">
        <f>AND(modèle!C2,"AAAAAHbu7wk=")</f>
        <v>#VALUE!</v>
      </c>
      <c r="K1" t="e">
        <f>AND(modèle!D2,"AAAAAHbu7wo=")</f>
        <v>#VALUE!</v>
      </c>
      <c r="L1">
        <f>IF(modèle!3:3,"AAAAAHbu7ws=",0)</f>
        <v>0</v>
      </c>
      <c r="M1" t="e">
        <f>AND(modèle!A3,"AAAAAHbu7ww=")</f>
        <v>#VALUE!</v>
      </c>
      <c r="N1" t="e">
        <f>AND(modèle!B3,"AAAAAHbu7w0=")</f>
        <v>#VALUE!</v>
      </c>
      <c r="O1" t="e">
        <f>AND(modèle!C3,"AAAAAHbu7w4=")</f>
        <v>#VALUE!</v>
      </c>
      <c r="P1" t="e">
        <f>AND(modèle!D3,"AAAAAHbu7w8=")</f>
        <v>#VALUE!</v>
      </c>
      <c r="Q1">
        <f>IF(modèle!4:4,"AAAAAHbu7xA=",0)</f>
        <v>0</v>
      </c>
      <c r="R1" t="e">
        <f>AND(modèle!A4,"AAAAAHbu7xE=")</f>
        <v>#VALUE!</v>
      </c>
      <c r="S1" t="e">
        <f>AND(modèle!B4,"AAAAAHbu7xI=")</f>
        <v>#VALUE!</v>
      </c>
      <c r="T1" t="e">
        <f>AND(modèle!C4,"AAAAAHbu7xM=")</f>
        <v>#VALUE!</v>
      </c>
      <c r="U1" t="e">
        <f>AND(modèle!D4,"AAAAAHbu7xQ=")</f>
        <v>#VALUE!</v>
      </c>
      <c r="V1">
        <f>IF(modèle!5:5,"AAAAAHbu7xU=",0)</f>
        <v>0</v>
      </c>
      <c r="W1" t="e">
        <f>AND(modèle!A5,"AAAAAHbu7xY=")</f>
        <v>#VALUE!</v>
      </c>
      <c r="X1" t="e">
        <f>AND(modèle!B5,"AAAAAHbu7xc=")</f>
        <v>#VALUE!</v>
      </c>
      <c r="Y1" t="e">
        <f>AND(modèle!C5,"AAAAAHbu7xg=")</f>
        <v>#VALUE!</v>
      </c>
      <c r="Z1" t="e">
        <f>AND(modèle!D5,"AAAAAHbu7xk=")</f>
        <v>#VALUE!</v>
      </c>
      <c r="AA1">
        <f>IF(modèle!6:6,"AAAAAHbu7xo=",0)</f>
        <v>0</v>
      </c>
      <c r="AB1" t="e">
        <f>AND(modèle!A6,"AAAAAHbu7xs=")</f>
        <v>#VALUE!</v>
      </c>
      <c r="AC1" t="e">
        <f>AND(modèle!B6,"AAAAAHbu7xw=")</f>
        <v>#VALUE!</v>
      </c>
      <c r="AD1" t="e">
        <f>AND(modèle!C6,"AAAAAHbu7x0=")</f>
        <v>#VALUE!</v>
      </c>
      <c r="AE1" t="e">
        <f>AND(modèle!D6,"AAAAAHbu7x4=")</f>
        <v>#VALUE!</v>
      </c>
      <c r="AF1">
        <f>IF(modèle!7:7,"AAAAAHbu7x8=",0)</f>
        <v>0</v>
      </c>
      <c r="AG1" t="e">
        <f>AND(modèle!A7,"AAAAAHbu7yA=")</f>
        <v>#VALUE!</v>
      </c>
      <c r="AH1" t="e">
        <f>AND(modèle!B7,"AAAAAHbu7yE=")</f>
        <v>#VALUE!</v>
      </c>
      <c r="AI1" t="e">
        <f>AND(modèle!C7,"AAAAAHbu7yI=")</f>
        <v>#VALUE!</v>
      </c>
      <c r="AJ1" t="e">
        <f>AND(modèle!D7,"AAAAAHbu7yM=")</f>
        <v>#VALUE!</v>
      </c>
      <c r="AK1">
        <f>IF(modèle!8:8,"AAAAAHbu7yQ=",0)</f>
        <v>0</v>
      </c>
      <c r="AL1" t="e">
        <f>AND(modèle!A8,"AAAAAHbu7yU=")</f>
        <v>#VALUE!</v>
      </c>
      <c r="AM1" t="e">
        <f>AND(modèle!B8,"AAAAAHbu7yY=")</f>
        <v>#VALUE!</v>
      </c>
      <c r="AN1" t="e">
        <f>AND(modèle!C8,"AAAAAHbu7yc=")</f>
        <v>#VALUE!</v>
      </c>
      <c r="AO1" t="e">
        <f>AND(modèle!D8,"AAAAAHbu7yg=")</f>
        <v>#VALUE!</v>
      </c>
      <c r="AP1">
        <f>IF(modèle!9:9,"AAAAAHbu7yk=",0)</f>
        <v>0</v>
      </c>
      <c r="AQ1" t="e">
        <f>AND(modèle!A9,"AAAAAHbu7yo=")</f>
        <v>#VALUE!</v>
      </c>
      <c r="AR1" t="e">
        <f>AND(modèle!B9,"AAAAAHbu7ys=")</f>
        <v>#VALUE!</v>
      </c>
      <c r="AS1" t="e">
        <f>AND(modèle!C9,"AAAAAHbu7yw=")</f>
        <v>#VALUE!</v>
      </c>
      <c r="AT1" t="e">
        <f>AND(modèle!D9,"AAAAAHbu7y0=")</f>
        <v>#VALUE!</v>
      </c>
      <c r="AU1">
        <f>IF(modèle!10:10,"AAAAAHbu7y4=",0)</f>
        <v>0</v>
      </c>
      <c r="AV1" t="e">
        <f>AND(modèle!A10,"AAAAAHbu7y8=")</f>
        <v>#VALUE!</v>
      </c>
      <c r="AW1" t="e">
        <f>AND(modèle!B10,"AAAAAHbu7zA=")</f>
        <v>#VALUE!</v>
      </c>
      <c r="AX1" t="e">
        <f>AND(modèle!C10,"AAAAAHbu7zE=")</f>
        <v>#VALUE!</v>
      </c>
      <c r="AY1" t="e">
        <f>AND(modèle!D10,"AAAAAHbu7zI=")</f>
        <v>#VALUE!</v>
      </c>
      <c r="AZ1">
        <f>IF(modèle!11:11,"AAAAAHbu7zM=",0)</f>
        <v>0</v>
      </c>
      <c r="BA1" t="e">
        <f>AND(modèle!A11,"AAAAAHbu7zQ=")</f>
        <v>#VALUE!</v>
      </c>
      <c r="BB1" t="e">
        <f>AND(modèle!B11,"AAAAAHbu7zU=")</f>
        <v>#VALUE!</v>
      </c>
      <c r="BC1" t="e">
        <f>AND(modèle!C11,"AAAAAHbu7zY=")</f>
        <v>#VALUE!</v>
      </c>
      <c r="BD1" t="e">
        <f>AND(modèle!D11,"AAAAAHbu7zc=")</f>
        <v>#VALUE!</v>
      </c>
      <c r="BE1">
        <f>IF(modèle!12:12,"AAAAAHbu7zg=",0)</f>
        <v>0</v>
      </c>
      <c r="BF1" t="e">
        <f>AND(modèle!A12,"AAAAAHbu7zk=")</f>
        <v>#VALUE!</v>
      </c>
      <c r="BG1" t="e">
        <f>AND(modèle!B12,"AAAAAHbu7zo=")</f>
        <v>#VALUE!</v>
      </c>
      <c r="BH1" t="e">
        <f>AND(modèle!C12,"AAAAAHbu7zs=")</f>
        <v>#VALUE!</v>
      </c>
      <c r="BI1" t="e">
        <f>AND(modèle!D12,"AAAAAHbu7zw=")</f>
        <v>#VALUE!</v>
      </c>
      <c r="BJ1">
        <f>IF(modèle!13:13,"AAAAAHbu7z0=",0)</f>
        <v>0</v>
      </c>
      <c r="BK1" t="e">
        <f>AND(modèle!A13,"AAAAAHbu7z4=")</f>
        <v>#VALUE!</v>
      </c>
      <c r="BL1" t="e">
        <f>AND(modèle!B13,"AAAAAHbu7z8=")</f>
        <v>#VALUE!</v>
      </c>
      <c r="BM1" t="e">
        <f>AND(modèle!C13,"AAAAAHbu70A=")</f>
        <v>#VALUE!</v>
      </c>
      <c r="BN1" t="e">
        <f>AND(modèle!D13,"AAAAAHbu70E=")</f>
        <v>#VALUE!</v>
      </c>
      <c r="BO1">
        <f>IF(modèle!14:14,"AAAAAHbu70I=",0)</f>
        <v>0</v>
      </c>
      <c r="BP1" t="e">
        <f>AND(modèle!A14,"AAAAAHbu70M=")</f>
        <v>#VALUE!</v>
      </c>
      <c r="BQ1" t="e">
        <f>AND(modèle!B14,"AAAAAHbu70Q=")</f>
        <v>#VALUE!</v>
      </c>
      <c r="BR1" t="e">
        <f>AND(modèle!C14,"AAAAAHbu70U=")</f>
        <v>#VALUE!</v>
      </c>
      <c r="BS1" t="e">
        <f>AND(modèle!D14,"AAAAAHbu70Y=")</f>
        <v>#VALUE!</v>
      </c>
      <c r="BT1">
        <f>IF(modèle!15:15,"AAAAAHbu70c=",0)</f>
        <v>0</v>
      </c>
      <c r="BU1" t="e">
        <f>AND(modèle!A15,"AAAAAHbu70g=")</f>
        <v>#VALUE!</v>
      </c>
      <c r="BV1" t="e">
        <f>AND(modèle!B15,"AAAAAHbu70k=")</f>
        <v>#VALUE!</v>
      </c>
      <c r="BW1" t="e">
        <f>AND(modèle!C15,"AAAAAHbu70o=")</f>
        <v>#VALUE!</v>
      </c>
      <c r="BX1" t="e">
        <f>AND(modèle!D15,"AAAAAHbu70s=")</f>
        <v>#VALUE!</v>
      </c>
      <c r="BY1">
        <f>IF(modèle!16:16,"AAAAAHbu70w=",0)</f>
        <v>0</v>
      </c>
      <c r="BZ1" t="e">
        <f>AND(modèle!A16,"AAAAAHbu700=")</f>
        <v>#VALUE!</v>
      </c>
      <c r="CA1" t="e">
        <f>AND(modèle!B16,"AAAAAHbu704=")</f>
        <v>#VALUE!</v>
      </c>
      <c r="CB1" t="e">
        <f>AND(modèle!C16,"AAAAAHbu708=")</f>
        <v>#VALUE!</v>
      </c>
      <c r="CC1" t="e">
        <f>AND(modèle!D16,"AAAAAHbu71A=")</f>
        <v>#VALUE!</v>
      </c>
      <c r="CD1">
        <f>IF(modèle!17:17,"AAAAAHbu71E=",0)</f>
        <v>0</v>
      </c>
      <c r="CE1" t="e">
        <f>AND(modèle!A17,"AAAAAHbu71I=")</f>
        <v>#VALUE!</v>
      </c>
      <c r="CF1" t="e">
        <f>AND(modèle!B17,"AAAAAHbu71M=")</f>
        <v>#VALUE!</v>
      </c>
      <c r="CG1" t="e">
        <f>AND(modèle!C17,"AAAAAHbu71Q=")</f>
        <v>#VALUE!</v>
      </c>
      <c r="CH1" t="e">
        <f>AND(modèle!D17,"AAAAAHbu71U=")</f>
        <v>#VALUE!</v>
      </c>
      <c r="CI1" t="e">
        <f>IF(modèle!A:A,"AAAAAHbu71Y=",0)</f>
        <v>#VALUE!</v>
      </c>
      <c r="CJ1">
        <f>IF(modèle!B:B,"AAAAAHbu71c=",0)</f>
        <v>0</v>
      </c>
      <c r="CK1">
        <f>IF(modèle!C:C,"AAAAAHbu71g=",0)</f>
        <v>0</v>
      </c>
      <c r="CL1">
        <f>IF(modèle!D:D,"AAAAAHbu71k=",0)</f>
        <v>0</v>
      </c>
      <c r="CM1">
        <f>IF(modèle!E:E,"AAAAAHbu71o=",0)</f>
        <v>0</v>
      </c>
      <c r="CN1" t="e">
        <f>IF(#REF!,"AAAAAHbu71s=",0)</f>
        <v>#REF!</v>
      </c>
      <c r="CO1" t="e">
        <f>AND(#REF!,"AAAAAHbu71w=")</f>
        <v>#REF!</v>
      </c>
      <c r="CP1" t="e">
        <f>AND(#REF!,"AAAAAHbu710=")</f>
        <v>#REF!</v>
      </c>
      <c r="CQ1" t="e">
        <f>AND(#REF!,"AAAAAHbu714=")</f>
        <v>#REF!</v>
      </c>
      <c r="CR1" t="e">
        <f>AND(#REF!,"AAAAAHbu718=")</f>
        <v>#REF!</v>
      </c>
      <c r="CS1" t="e">
        <f>AND(#REF!,"AAAAAHbu72A=")</f>
        <v>#REF!</v>
      </c>
      <c r="CT1" t="e">
        <f>IF(#REF!,"AAAAAHbu72E=",0)</f>
        <v>#REF!</v>
      </c>
      <c r="CU1" t="e">
        <f>AND(#REF!,"AAAAAHbu72I=")</f>
        <v>#REF!</v>
      </c>
      <c r="CV1" t="e">
        <f>AND(#REF!,"AAAAAHbu72M=")</f>
        <v>#REF!</v>
      </c>
      <c r="CW1" t="e">
        <f>AND(#REF!,"AAAAAHbu72Q=")</f>
        <v>#REF!</v>
      </c>
      <c r="CX1" t="e">
        <f>AND(#REF!,"AAAAAHbu72U=")</f>
        <v>#REF!</v>
      </c>
      <c r="CY1" t="e">
        <f>AND(#REF!,"AAAAAHbu72Y=")</f>
        <v>#REF!</v>
      </c>
      <c r="CZ1" t="e">
        <f>IF(#REF!,"AAAAAHbu72c=",0)</f>
        <v>#REF!</v>
      </c>
      <c r="DA1" t="e">
        <f>AND(#REF!,"AAAAAHbu72g=")</f>
        <v>#REF!</v>
      </c>
      <c r="DB1" t="e">
        <f>AND(#REF!,"AAAAAHbu72k=")</f>
        <v>#REF!</v>
      </c>
      <c r="DC1" t="e">
        <f>AND(#REF!,"AAAAAHbu72o=")</f>
        <v>#REF!</v>
      </c>
      <c r="DD1" t="e">
        <f>AND(#REF!,"AAAAAHbu72s=")</f>
        <v>#REF!</v>
      </c>
      <c r="DE1" t="e">
        <f>AND(#REF!,"AAAAAHbu72w=")</f>
        <v>#REF!</v>
      </c>
      <c r="DF1" t="e">
        <f>IF(#REF!,"AAAAAHbu720=",0)</f>
        <v>#REF!</v>
      </c>
      <c r="DG1" t="e">
        <f>AND(#REF!,"AAAAAHbu724=")</f>
        <v>#REF!</v>
      </c>
      <c r="DH1" t="e">
        <f>AND(#REF!,"AAAAAHbu728=")</f>
        <v>#REF!</v>
      </c>
      <c r="DI1" t="e">
        <f>AND(#REF!,"AAAAAHbu73A=")</f>
        <v>#REF!</v>
      </c>
      <c r="DJ1" t="e">
        <f>AND(#REF!,"AAAAAHbu73E=")</f>
        <v>#REF!</v>
      </c>
      <c r="DK1" t="e">
        <f>AND(#REF!,"AAAAAHbu73I=")</f>
        <v>#REF!</v>
      </c>
      <c r="DL1" t="e">
        <f>IF(#REF!,"AAAAAHbu73M=",0)</f>
        <v>#REF!</v>
      </c>
      <c r="DM1" t="e">
        <f>AND(#REF!,"AAAAAHbu73Q=")</f>
        <v>#REF!</v>
      </c>
      <c r="DN1" t="e">
        <f>AND(#REF!,"AAAAAHbu73U=")</f>
        <v>#REF!</v>
      </c>
      <c r="DO1" t="e">
        <f>AND(#REF!,"AAAAAHbu73Y=")</f>
        <v>#REF!</v>
      </c>
      <c r="DP1" t="e">
        <f>AND(#REF!,"AAAAAHbu73c=")</f>
        <v>#REF!</v>
      </c>
      <c r="DQ1" t="e">
        <f>AND(#REF!,"AAAAAHbu73g=")</f>
        <v>#REF!</v>
      </c>
      <c r="DR1" t="e">
        <f>IF(#REF!,"AAAAAHbu73k=",0)</f>
        <v>#REF!</v>
      </c>
      <c r="DS1" t="e">
        <f>AND(#REF!,"AAAAAHbu73o=")</f>
        <v>#REF!</v>
      </c>
      <c r="DT1" t="e">
        <f>AND(#REF!,"AAAAAHbu73s=")</f>
        <v>#REF!</v>
      </c>
      <c r="DU1" t="e">
        <f>AND(#REF!,"AAAAAHbu73w=")</f>
        <v>#REF!</v>
      </c>
      <c r="DV1" t="e">
        <f>AND(#REF!,"AAAAAHbu730=")</f>
        <v>#REF!</v>
      </c>
      <c r="DW1" t="e">
        <f>AND(#REF!,"AAAAAHbu734=")</f>
        <v>#REF!</v>
      </c>
      <c r="DX1" t="e">
        <f>IF(#REF!,"AAAAAHbu738=",0)</f>
        <v>#REF!</v>
      </c>
      <c r="DY1" t="e">
        <f>AND(#REF!,"AAAAAHbu74A=")</f>
        <v>#REF!</v>
      </c>
      <c r="DZ1" t="e">
        <f>AND(#REF!,"AAAAAHbu74E=")</f>
        <v>#REF!</v>
      </c>
      <c r="EA1" t="e">
        <f>AND(#REF!,"AAAAAHbu74I=")</f>
        <v>#REF!</v>
      </c>
      <c r="EB1" t="e">
        <f>AND(#REF!,"AAAAAHbu74M=")</f>
        <v>#REF!</v>
      </c>
      <c r="EC1" t="e">
        <f>AND(#REF!,"AAAAAHbu74Q=")</f>
        <v>#REF!</v>
      </c>
      <c r="ED1" t="e">
        <f>IF(#REF!,"AAAAAHbu74U=",0)</f>
        <v>#REF!</v>
      </c>
      <c r="EE1" t="e">
        <f>AND(#REF!,"AAAAAHbu74Y=")</f>
        <v>#REF!</v>
      </c>
      <c r="EF1" t="e">
        <f>AND(#REF!,"AAAAAHbu74c=")</f>
        <v>#REF!</v>
      </c>
      <c r="EG1" t="e">
        <f>AND(#REF!,"AAAAAHbu74g=")</f>
        <v>#REF!</v>
      </c>
      <c r="EH1" t="e">
        <f>AND(#REF!,"AAAAAHbu74k=")</f>
        <v>#REF!</v>
      </c>
      <c r="EI1" t="e">
        <f>AND(#REF!,"AAAAAHbu74o=")</f>
        <v>#REF!</v>
      </c>
      <c r="EJ1" t="e">
        <f>IF(#REF!,"AAAAAHbu74s=",0)</f>
        <v>#REF!</v>
      </c>
      <c r="EK1" t="e">
        <f>AND(#REF!,"AAAAAHbu74w=")</f>
        <v>#REF!</v>
      </c>
      <c r="EL1" t="e">
        <f>AND(#REF!,"AAAAAHbu740=")</f>
        <v>#REF!</v>
      </c>
      <c r="EM1" t="e">
        <f>AND(#REF!,"AAAAAHbu744=")</f>
        <v>#REF!</v>
      </c>
      <c r="EN1" t="e">
        <f>AND(#REF!,"AAAAAHbu748=")</f>
        <v>#REF!</v>
      </c>
      <c r="EO1" t="e">
        <f>AND(#REF!,"AAAAAHbu75A=")</f>
        <v>#REF!</v>
      </c>
      <c r="EP1" t="e">
        <f>IF(#REF!,"AAAAAHbu75E=",0)</f>
        <v>#REF!</v>
      </c>
      <c r="EQ1" t="e">
        <f>AND(#REF!,"AAAAAHbu75I=")</f>
        <v>#REF!</v>
      </c>
      <c r="ER1" t="e">
        <f>AND(#REF!,"AAAAAHbu75M=")</f>
        <v>#REF!</v>
      </c>
      <c r="ES1" t="e">
        <f>AND(#REF!,"AAAAAHbu75Q=")</f>
        <v>#REF!</v>
      </c>
      <c r="ET1" t="e">
        <f>AND(#REF!,"AAAAAHbu75U=")</f>
        <v>#REF!</v>
      </c>
      <c r="EU1" t="e">
        <f>AND(#REF!,"AAAAAHbu75Y=")</f>
        <v>#REF!</v>
      </c>
      <c r="EV1" t="e">
        <f>IF(#REF!,"AAAAAHbu75c=",0)</f>
        <v>#REF!</v>
      </c>
      <c r="EW1" t="e">
        <f>AND(#REF!,"AAAAAHbu75g=")</f>
        <v>#REF!</v>
      </c>
      <c r="EX1" t="e">
        <f>AND(#REF!,"AAAAAHbu75k=")</f>
        <v>#REF!</v>
      </c>
      <c r="EY1" t="e">
        <f>AND(#REF!,"AAAAAHbu75o=")</f>
        <v>#REF!</v>
      </c>
      <c r="EZ1" t="e">
        <f>AND(#REF!,"AAAAAHbu75s=")</f>
        <v>#REF!</v>
      </c>
      <c r="FA1" t="e">
        <f>AND(#REF!,"AAAAAHbu75w=")</f>
        <v>#REF!</v>
      </c>
      <c r="FB1" t="e">
        <f>IF(#REF!,"AAAAAHbu750=",0)</f>
        <v>#REF!</v>
      </c>
      <c r="FC1" t="e">
        <f>AND(#REF!,"AAAAAHbu754=")</f>
        <v>#REF!</v>
      </c>
      <c r="FD1" t="e">
        <f>AND(#REF!,"AAAAAHbu758=")</f>
        <v>#REF!</v>
      </c>
      <c r="FE1" t="e">
        <f>AND(#REF!,"AAAAAHbu76A=")</f>
        <v>#REF!</v>
      </c>
      <c r="FF1" t="e">
        <f>AND(#REF!,"AAAAAHbu76E=")</f>
        <v>#REF!</v>
      </c>
      <c r="FG1" t="e">
        <f>AND(#REF!,"AAAAAHbu76I=")</f>
        <v>#REF!</v>
      </c>
      <c r="FH1" t="e">
        <f>IF(#REF!,"AAAAAHbu76M=",0)</f>
        <v>#REF!</v>
      </c>
      <c r="FI1" t="e">
        <f>AND(#REF!,"AAAAAHbu76Q=")</f>
        <v>#REF!</v>
      </c>
      <c r="FJ1" t="e">
        <f>AND(#REF!,"AAAAAHbu76U=")</f>
        <v>#REF!</v>
      </c>
      <c r="FK1" t="e">
        <f>AND(#REF!,"AAAAAHbu76Y=")</f>
        <v>#REF!</v>
      </c>
      <c r="FL1" t="e">
        <f>AND(#REF!,"AAAAAHbu76c=")</f>
        <v>#REF!</v>
      </c>
      <c r="FM1" t="e">
        <f>AND(#REF!,"AAAAAHbu76g=")</f>
        <v>#REF!</v>
      </c>
      <c r="FN1" t="e">
        <f>IF(#REF!,"AAAAAHbu76k=",0)</f>
        <v>#REF!</v>
      </c>
      <c r="FO1" t="e">
        <f>AND(#REF!,"AAAAAHbu76o=")</f>
        <v>#REF!</v>
      </c>
      <c r="FP1" t="e">
        <f>AND(#REF!,"AAAAAHbu76s=")</f>
        <v>#REF!</v>
      </c>
      <c r="FQ1" t="e">
        <f>AND(#REF!,"AAAAAHbu76w=")</f>
        <v>#REF!</v>
      </c>
      <c r="FR1" t="e">
        <f>AND(#REF!,"AAAAAHbu760=")</f>
        <v>#REF!</v>
      </c>
      <c r="FS1" t="e">
        <f>AND(#REF!,"AAAAAHbu764=")</f>
        <v>#REF!</v>
      </c>
      <c r="FT1" t="e">
        <f>IF(#REF!,"AAAAAHbu768=",0)</f>
        <v>#REF!</v>
      </c>
      <c r="FU1" t="e">
        <f>AND(#REF!,"AAAAAHbu77A=")</f>
        <v>#REF!</v>
      </c>
      <c r="FV1" t="e">
        <f>AND(#REF!,"AAAAAHbu77E=")</f>
        <v>#REF!</v>
      </c>
      <c r="FW1" t="e">
        <f>AND(#REF!,"AAAAAHbu77I=")</f>
        <v>#REF!</v>
      </c>
      <c r="FX1" t="e">
        <f>AND(#REF!,"AAAAAHbu77M=")</f>
        <v>#REF!</v>
      </c>
      <c r="FY1" t="e">
        <f>AND(#REF!,"AAAAAHbu77Q=")</f>
        <v>#REF!</v>
      </c>
      <c r="FZ1" t="e">
        <f>IF(#REF!,"AAAAAHbu77U=",0)</f>
        <v>#REF!</v>
      </c>
      <c r="GA1" t="e">
        <f>AND(#REF!,"AAAAAHbu77Y=")</f>
        <v>#REF!</v>
      </c>
      <c r="GB1" t="e">
        <f>AND(#REF!,"AAAAAHbu77c=")</f>
        <v>#REF!</v>
      </c>
      <c r="GC1" t="e">
        <f>AND(#REF!,"AAAAAHbu77g=")</f>
        <v>#REF!</v>
      </c>
      <c r="GD1" t="e">
        <f>AND(#REF!,"AAAAAHbu77k=")</f>
        <v>#REF!</v>
      </c>
      <c r="GE1" t="e">
        <f>AND(#REF!,"AAAAAHbu77o=")</f>
        <v>#REF!</v>
      </c>
      <c r="GF1" t="e">
        <f>IF(#REF!,"AAAAAHbu77s=",0)</f>
        <v>#REF!</v>
      </c>
      <c r="GG1" t="e">
        <f>AND(#REF!,"AAAAAHbu77w=")</f>
        <v>#REF!</v>
      </c>
      <c r="GH1" t="e">
        <f>AND(#REF!,"AAAAAHbu770=")</f>
        <v>#REF!</v>
      </c>
      <c r="GI1" t="e">
        <f>AND(#REF!,"AAAAAHbu774=")</f>
        <v>#REF!</v>
      </c>
      <c r="GJ1" t="e">
        <f>AND(#REF!,"AAAAAHbu778=")</f>
        <v>#REF!</v>
      </c>
      <c r="GK1" t="e">
        <f>AND(#REF!,"AAAAAHbu78A=")</f>
        <v>#REF!</v>
      </c>
      <c r="GL1" t="e">
        <f>IF(#REF!,"AAAAAHbu78E=",0)</f>
        <v>#REF!</v>
      </c>
      <c r="GM1" t="e">
        <f>AND(#REF!,"AAAAAHbu78I=")</f>
        <v>#REF!</v>
      </c>
      <c r="GN1" t="e">
        <f>IF(#REF!,"AAAAAHbu78M=",0)</f>
        <v>#REF!</v>
      </c>
      <c r="GO1" t="e">
        <f>AND(#REF!,"AAAAAHbu78Q=")</f>
        <v>#REF!</v>
      </c>
      <c r="GP1" t="e">
        <f>IF(#REF!,"AAAAAHbu78U=",0)</f>
        <v>#REF!</v>
      </c>
      <c r="GQ1" t="e">
        <f>IF(#REF!,"AAAAAHbu78Y=",0)</f>
        <v>#REF!</v>
      </c>
      <c r="GR1" t="e">
        <f>IF(#REF!,"AAAAAHbu78c=",0)</f>
        <v>#REF!</v>
      </c>
      <c r="GS1" t="e">
        <f>IF(#REF!,"AAAAAHbu78g=",0)</f>
        <v>#REF!</v>
      </c>
      <c r="GT1" t="e">
        <f>IF(#REF!,"AAAAAHbu78k=",0)</f>
        <v>#REF!</v>
      </c>
      <c r="GU1" t="e">
        <f>IF(#REF!,"AAAAAHbu78o=",0)</f>
        <v>#REF!</v>
      </c>
      <c r="GV1" t="e">
        <f>AND(#REF!,"AAAAAHbu78s=")</f>
        <v>#REF!</v>
      </c>
      <c r="GW1" t="e">
        <f>AND(#REF!,"AAAAAHbu78w=")</f>
        <v>#REF!</v>
      </c>
      <c r="GX1" t="e">
        <f>AND(#REF!,"AAAAAHbu780=")</f>
        <v>#REF!</v>
      </c>
      <c r="GY1" t="e">
        <f>AND(#REF!,"AAAAAHbu784=")</f>
        <v>#REF!</v>
      </c>
      <c r="GZ1" t="e">
        <f>AND(#REF!,"AAAAAHbu788=")</f>
        <v>#REF!</v>
      </c>
      <c r="HA1" t="e">
        <f>IF(#REF!,"AAAAAHbu79A=",0)</f>
        <v>#REF!</v>
      </c>
      <c r="HB1" t="e">
        <f>AND(#REF!,"AAAAAHbu79E=")</f>
        <v>#REF!</v>
      </c>
      <c r="HC1" t="e">
        <f>AND(#REF!,"AAAAAHbu79I=")</f>
        <v>#REF!</v>
      </c>
      <c r="HD1" t="e">
        <f>AND(#REF!,"AAAAAHbu79M=")</f>
        <v>#REF!</v>
      </c>
      <c r="HE1" t="e">
        <f>AND(#REF!,"AAAAAHbu79Q=")</f>
        <v>#REF!</v>
      </c>
      <c r="HF1" t="e">
        <f>AND(#REF!,"AAAAAHbu79U=")</f>
        <v>#REF!</v>
      </c>
      <c r="HG1" t="e">
        <f>IF(#REF!,"AAAAAHbu79Y=",0)</f>
        <v>#REF!</v>
      </c>
      <c r="HH1" t="e">
        <f>AND(#REF!,"AAAAAHbu79c=")</f>
        <v>#REF!</v>
      </c>
      <c r="HI1" t="e">
        <f>AND(#REF!,"AAAAAHbu79g=")</f>
        <v>#REF!</v>
      </c>
      <c r="HJ1" t="e">
        <f>AND(#REF!,"AAAAAHbu79k=")</f>
        <v>#REF!</v>
      </c>
      <c r="HK1" t="e">
        <f>AND(#REF!,"AAAAAHbu79o=")</f>
        <v>#REF!</v>
      </c>
      <c r="HL1" t="e">
        <f>AND(#REF!,"AAAAAHbu79s=")</f>
        <v>#REF!</v>
      </c>
      <c r="HM1" t="e">
        <f>IF(#REF!,"AAAAAHbu79w=",0)</f>
        <v>#REF!</v>
      </c>
      <c r="HN1" t="e">
        <f>AND(#REF!,"AAAAAHbu790=")</f>
        <v>#REF!</v>
      </c>
      <c r="HO1" t="e">
        <f>AND(#REF!,"AAAAAHbu794=")</f>
        <v>#REF!</v>
      </c>
      <c r="HP1" t="e">
        <f>AND(#REF!,"AAAAAHbu798=")</f>
        <v>#REF!</v>
      </c>
      <c r="HQ1" t="e">
        <f>AND(#REF!,"AAAAAHbu7+A=")</f>
        <v>#REF!</v>
      </c>
      <c r="HR1" t="e">
        <f>AND(#REF!,"AAAAAHbu7+E=")</f>
        <v>#REF!</v>
      </c>
      <c r="HS1" t="e">
        <f>IF(#REF!,"AAAAAHbu7+I=",0)</f>
        <v>#REF!</v>
      </c>
      <c r="HT1" t="e">
        <f>AND(#REF!,"AAAAAHbu7+M=")</f>
        <v>#REF!</v>
      </c>
      <c r="HU1" t="e">
        <f>AND(#REF!,"AAAAAHbu7+Q=")</f>
        <v>#REF!</v>
      </c>
      <c r="HV1" t="e">
        <f>AND(#REF!,"AAAAAHbu7+U=")</f>
        <v>#REF!</v>
      </c>
      <c r="HW1" t="e">
        <f>AND(#REF!,"AAAAAHbu7+Y=")</f>
        <v>#REF!</v>
      </c>
      <c r="HX1" t="e">
        <f>AND(#REF!,"AAAAAHbu7+c=")</f>
        <v>#REF!</v>
      </c>
      <c r="HY1" t="e">
        <f>IF(#REF!,"AAAAAHbu7+g=",0)</f>
        <v>#REF!</v>
      </c>
      <c r="HZ1" t="e">
        <f>AND(#REF!,"AAAAAHbu7+k=")</f>
        <v>#REF!</v>
      </c>
      <c r="IA1" t="e">
        <f>AND(#REF!,"AAAAAHbu7+o=")</f>
        <v>#REF!</v>
      </c>
      <c r="IB1" t="e">
        <f>AND(#REF!,"AAAAAHbu7+s=")</f>
        <v>#REF!</v>
      </c>
      <c r="IC1" t="e">
        <f>AND(#REF!,"AAAAAHbu7+w=")</f>
        <v>#REF!</v>
      </c>
      <c r="ID1" t="e">
        <f>AND(#REF!,"AAAAAHbu7+0=")</f>
        <v>#REF!</v>
      </c>
      <c r="IE1" t="e">
        <f>IF(#REF!,"AAAAAHbu7+4=",0)</f>
        <v>#REF!</v>
      </c>
      <c r="IF1" t="e">
        <f>AND(#REF!,"AAAAAHbu7+8=")</f>
        <v>#REF!</v>
      </c>
      <c r="IG1" t="e">
        <f>AND(#REF!,"AAAAAHbu7/A=")</f>
        <v>#REF!</v>
      </c>
      <c r="IH1" t="e">
        <f>AND(#REF!,"AAAAAHbu7/E=")</f>
        <v>#REF!</v>
      </c>
      <c r="II1" t="e">
        <f>AND(#REF!,"AAAAAHbu7/I=")</f>
        <v>#REF!</v>
      </c>
      <c r="IJ1" t="e">
        <f>AND(#REF!,"AAAAAHbu7/M=")</f>
        <v>#REF!</v>
      </c>
      <c r="IK1" t="e">
        <f>IF(#REF!,"AAAAAHbu7/Q=",0)</f>
        <v>#REF!</v>
      </c>
      <c r="IL1" t="e">
        <f>AND(#REF!,"AAAAAHbu7/U=")</f>
        <v>#REF!</v>
      </c>
      <c r="IM1" t="e">
        <f>AND(#REF!,"AAAAAHbu7/Y=")</f>
        <v>#REF!</v>
      </c>
      <c r="IN1" t="e">
        <f>AND(#REF!,"AAAAAHbu7/c=")</f>
        <v>#REF!</v>
      </c>
      <c r="IO1" t="e">
        <f>AND(#REF!,"AAAAAHbu7/g=")</f>
        <v>#REF!</v>
      </c>
      <c r="IP1" t="e">
        <f>AND(#REF!,"AAAAAHbu7/k=")</f>
        <v>#REF!</v>
      </c>
      <c r="IQ1" t="e">
        <f>IF(#REF!,"AAAAAHbu7/o=",0)</f>
        <v>#REF!</v>
      </c>
      <c r="IR1" t="e">
        <f>AND(#REF!,"AAAAAHbu7/s=")</f>
        <v>#REF!</v>
      </c>
      <c r="IS1" t="e">
        <f>AND(#REF!,"AAAAAHbu7/w=")</f>
        <v>#REF!</v>
      </c>
      <c r="IT1" t="e">
        <f>AND(#REF!,"AAAAAHbu7/0=")</f>
        <v>#REF!</v>
      </c>
      <c r="IU1" t="e">
        <f>AND(#REF!,"AAAAAHbu7/4=")</f>
        <v>#REF!</v>
      </c>
      <c r="IV1" t="e">
        <f>AND(#REF!,"AAAAAHbu7/8=")</f>
        <v>#REF!</v>
      </c>
    </row>
    <row r="2" spans="1:256">
      <c r="A2" t="e">
        <f>IF(#REF!,"AAAAAD3f/gA=",0)</f>
        <v>#REF!</v>
      </c>
      <c r="B2" t="e">
        <f>AND(#REF!,"AAAAAD3f/gE=")</f>
        <v>#REF!</v>
      </c>
      <c r="C2" t="e">
        <f>AND(#REF!,"AAAAAD3f/gI=")</f>
        <v>#REF!</v>
      </c>
      <c r="D2" t="e">
        <f>AND(#REF!,"AAAAAD3f/gM=")</f>
        <v>#REF!</v>
      </c>
      <c r="E2" t="e">
        <f>AND(#REF!,"AAAAAD3f/gQ=")</f>
        <v>#REF!</v>
      </c>
      <c r="F2" t="e">
        <f>AND(#REF!,"AAAAAD3f/gU=")</f>
        <v>#REF!</v>
      </c>
      <c r="G2" t="e">
        <f>IF(#REF!,"AAAAAD3f/gY=",0)</f>
        <v>#REF!</v>
      </c>
      <c r="H2" t="e">
        <f>AND(#REF!,"AAAAAD3f/gc=")</f>
        <v>#REF!</v>
      </c>
      <c r="I2" t="e">
        <f>AND(#REF!,"AAAAAD3f/gg=")</f>
        <v>#REF!</v>
      </c>
      <c r="J2" t="e">
        <f>AND(#REF!,"AAAAAD3f/gk=")</f>
        <v>#REF!</v>
      </c>
      <c r="K2" t="e">
        <f>AND(#REF!,"AAAAAD3f/go=")</f>
        <v>#REF!</v>
      </c>
      <c r="L2" t="e">
        <f>AND(#REF!,"AAAAAD3f/gs=")</f>
        <v>#REF!</v>
      </c>
      <c r="M2" t="e">
        <f>IF(#REF!,"AAAAAD3f/gw=",0)</f>
        <v>#REF!</v>
      </c>
      <c r="N2" t="e">
        <f>AND(#REF!,"AAAAAD3f/g0=")</f>
        <v>#REF!</v>
      </c>
      <c r="O2" t="e">
        <f>AND(#REF!,"AAAAAD3f/g4=")</f>
        <v>#REF!</v>
      </c>
      <c r="P2" t="e">
        <f>AND(#REF!,"AAAAAD3f/g8=")</f>
        <v>#REF!</v>
      </c>
      <c r="Q2" t="e">
        <f>AND(#REF!,"AAAAAD3f/hA=")</f>
        <v>#REF!</v>
      </c>
      <c r="R2" t="e">
        <f>AND(#REF!,"AAAAAD3f/hE=")</f>
        <v>#REF!</v>
      </c>
      <c r="S2" t="e">
        <f>IF(#REF!,"AAAAAD3f/hI=",0)</f>
        <v>#REF!</v>
      </c>
      <c r="T2" t="e">
        <f>AND(#REF!,"AAAAAD3f/hM=")</f>
        <v>#REF!</v>
      </c>
      <c r="U2" t="e">
        <f>AND(#REF!,"AAAAAD3f/hQ=")</f>
        <v>#REF!</v>
      </c>
      <c r="V2" t="e">
        <f>AND(#REF!,"AAAAAD3f/hU=")</f>
        <v>#REF!</v>
      </c>
      <c r="W2" t="e">
        <f>AND(#REF!,"AAAAAD3f/hY=")</f>
        <v>#REF!</v>
      </c>
      <c r="X2" t="e">
        <f>AND(#REF!,"AAAAAD3f/hc=")</f>
        <v>#REF!</v>
      </c>
      <c r="Y2" t="e">
        <f>IF(#REF!,"AAAAAD3f/hg=",0)</f>
        <v>#REF!</v>
      </c>
      <c r="Z2" t="e">
        <f>AND(#REF!,"AAAAAD3f/hk=")</f>
        <v>#REF!</v>
      </c>
      <c r="AA2" t="e">
        <f>AND(#REF!,"AAAAAD3f/ho=")</f>
        <v>#REF!</v>
      </c>
      <c r="AB2" t="e">
        <f>AND(#REF!,"AAAAAD3f/hs=")</f>
        <v>#REF!</v>
      </c>
      <c r="AC2" t="e">
        <f>AND(#REF!,"AAAAAD3f/hw=")</f>
        <v>#REF!</v>
      </c>
      <c r="AD2" t="e">
        <f>AND(#REF!,"AAAAAD3f/h0=")</f>
        <v>#REF!</v>
      </c>
      <c r="AE2" t="e">
        <f>IF(#REF!,"AAAAAD3f/h4=",0)</f>
        <v>#REF!</v>
      </c>
      <c r="AF2" t="e">
        <f>AND(#REF!,"AAAAAD3f/h8=")</f>
        <v>#REF!</v>
      </c>
      <c r="AG2" t="e">
        <f>AND(#REF!,"AAAAAD3f/iA=")</f>
        <v>#REF!</v>
      </c>
      <c r="AH2" t="e">
        <f>AND(#REF!,"AAAAAD3f/iE=")</f>
        <v>#REF!</v>
      </c>
      <c r="AI2" t="e">
        <f>AND(#REF!,"AAAAAD3f/iI=")</f>
        <v>#REF!</v>
      </c>
      <c r="AJ2" t="e">
        <f>AND(#REF!,"AAAAAD3f/iM=")</f>
        <v>#REF!</v>
      </c>
      <c r="AK2" t="e">
        <f>IF(#REF!,"AAAAAD3f/iQ=",0)</f>
        <v>#REF!</v>
      </c>
      <c r="AL2" t="e">
        <f>AND(#REF!,"AAAAAD3f/iU=")</f>
        <v>#REF!</v>
      </c>
      <c r="AM2" t="e">
        <f>AND(#REF!,"AAAAAD3f/iY=")</f>
        <v>#REF!</v>
      </c>
      <c r="AN2" t="e">
        <f>AND(#REF!,"AAAAAD3f/ic=")</f>
        <v>#REF!</v>
      </c>
      <c r="AO2" t="e">
        <f>AND(#REF!,"AAAAAD3f/ig=")</f>
        <v>#REF!</v>
      </c>
      <c r="AP2" t="e">
        <f>AND(#REF!,"AAAAAD3f/ik=")</f>
        <v>#REF!</v>
      </c>
      <c r="AQ2" t="e">
        <f>IF(#REF!,"AAAAAD3f/io=",0)</f>
        <v>#REF!</v>
      </c>
      <c r="AR2" t="e">
        <f>AND(#REF!,"AAAAAD3f/is=")</f>
        <v>#REF!</v>
      </c>
      <c r="AS2" t="e">
        <f>AND(#REF!,"AAAAAD3f/iw=")</f>
        <v>#REF!</v>
      </c>
      <c r="AT2" t="e">
        <f>AND(#REF!,"AAAAAD3f/i0=")</f>
        <v>#REF!</v>
      </c>
      <c r="AU2" t="e">
        <f>AND(#REF!,"AAAAAD3f/i4=")</f>
        <v>#REF!</v>
      </c>
      <c r="AV2" t="e">
        <f>AND(#REF!,"AAAAAD3f/i8=")</f>
        <v>#REF!</v>
      </c>
      <c r="AW2" t="e">
        <f>IF(#REF!,"AAAAAD3f/jA=",0)</f>
        <v>#REF!</v>
      </c>
      <c r="AX2" t="e">
        <f>AND(#REF!,"AAAAAD3f/jE=")</f>
        <v>#REF!</v>
      </c>
      <c r="AY2" t="e">
        <f>IF(#REF!,"AAAAAD3f/jI=",0)</f>
        <v>#REF!</v>
      </c>
      <c r="AZ2" t="e">
        <f>AND(#REF!,"AAAAAD3f/jM=")</f>
        <v>#REF!</v>
      </c>
      <c r="BA2" t="e">
        <f>IF(#REF!,"AAAAAD3f/jQ=",0)</f>
        <v>#REF!</v>
      </c>
      <c r="BB2" t="e">
        <f>AND(#REF!,"AAAAAD3f/jU=")</f>
        <v>#REF!</v>
      </c>
      <c r="BC2" t="e">
        <f>IF(#REF!,"AAAAAD3f/jY=",0)</f>
        <v>#REF!</v>
      </c>
      <c r="BD2" t="e">
        <f>IF(#REF!,"AAAAAD3f/jc=",0)</f>
        <v>#REF!</v>
      </c>
      <c r="BE2" t="e">
        <f>IF(#REF!,"AAAAAD3f/jg=",0)</f>
        <v>#REF!</v>
      </c>
      <c r="BF2" t="e">
        <f>IF(#REF!,"AAAAAD3f/jk=",0)</f>
        <v>#REF!</v>
      </c>
      <c r="BG2" t="e">
        <f>IF(#REF!,"AAAAAD3f/jo=",0)</f>
        <v>#REF!</v>
      </c>
      <c r="BH2" t="e">
        <f>IF(#REF!,"AAAAAD3f/js=",0)</f>
        <v>#REF!</v>
      </c>
      <c r="BI2" t="e">
        <f>AND(#REF!,"AAAAAD3f/jw=")</f>
        <v>#REF!</v>
      </c>
      <c r="BJ2" t="e">
        <f>AND(#REF!,"AAAAAD3f/j0=")</f>
        <v>#REF!</v>
      </c>
      <c r="BK2" t="e">
        <f>AND(#REF!,"AAAAAD3f/j4=")</f>
        <v>#REF!</v>
      </c>
      <c r="BL2" t="e">
        <f>AND(#REF!,"AAAAAD3f/j8=")</f>
        <v>#REF!</v>
      </c>
      <c r="BM2" t="e">
        <f>AND(#REF!,"AAAAAD3f/kA=")</f>
        <v>#REF!</v>
      </c>
      <c r="BN2" t="e">
        <f>IF(#REF!,"AAAAAD3f/kE=",0)</f>
        <v>#REF!</v>
      </c>
      <c r="BO2" t="e">
        <f>AND(#REF!,"AAAAAD3f/kI=")</f>
        <v>#REF!</v>
      </c>
      <c r="BP2" t="e">
        <f>AND(#REF!,"AAAAAD3f/kM=")</f>
        <v>#REF!</v>
      </c>
      <c r="BQ2" t="e">
        <f>AND(#REF!,"AAAAAD3f/kQ=")</f>
        <v>#REF!</v>
      </c>
      <c r="BR2" t="e">
        <f>AND(#REF!,"AAAAAD3f/kU=")</f>
        <v>#REF!</v>
      </c>
      <c r="BS2" t="e">
        <f>IF(#REF!,"AAAAAD3f/kY=",0)</f>
        <v>#REF!</v>
      </c>
      <c r="BT2" t="e">
        <f>AND(#REF!,"AAAAAD3f/kc=")</f>
        <v>#REF!</v>
      </c>
      <c r="BU2" t="e">
        <f>AND(#REF!,"AAAAAD3f/kg=")</f>
        <v>#REF!</v>
      </c>
      <c r="BV2" t="e">
        <f>AND(#REF!,"AAAAAD3f/kk=")</f>
        <v>#REF!</v>
      </c>
      <c r="BW2" t="e">
        <f>AND(#REF!,"AAAAAD3f/ko=")</f>
        <v>#REF!</v>
      </c>
      <c r="BX2" t="e">
        <f>IF(#REF!,"AAAAAD3f/ks=",0)</f>
        <v>#REF!</v>
      </c>
      <c r="BY2" t="e">
        <f>AND(#REF!,"AAAAAD3f/kw=")</f>
        <v>#REF!</v>
      </c>
      <c r="BZ2" t="e">
        <f>AND(#REF!,"AAAAAD3f/k0=")</f>
        <v>#REF!</v>
      </c>
      <c r="CA2" t="e">
        <f>AND(#REF!,"AAAAAD3f/k4=")</f>
        <v>#REF!</v>
      </c>
      <c r="CB2" t="e">
        <f>AND(#REF!,"AAAAAD3f/k8=")</f>
        <v>#REF!</v>
      </c>
      <c r="CC2" t="e">
        <f>IF(#REF!,"AAAAAD3f/lA=",0)</f>
        <v>#REF!</v>
      </c>
      <c r="CD2" t="e">
        <f>AND(#REF!,"AAAAAD3f/lE=")</f>
        <v>#REF!</v>
      </c>
      <c r="CE2" t="e">
        <f>AND(#REF!,"AAAAAD3f/lI=")</f>
        <v>#REF!</v>
      </c>
      <c r="CF2" t="e">
        <f>AND(#REF!,"AAAAAD3f/lM=")</f>
        <v>#REF!</v>
      </c>
      <c r="CG2" t="e">
        <f>AND(#REF!,"AAAAAD3f/lQ=")</f>
        <v>#REF!</v>
      </c>
      <c r="CH2" t="e">
        <f>IF(#REF!,"AAAAAD3f/lU=",0)</f>
        <v>#REF!</v>
      </c>
      <c r="CI2" t="e">
        <f>AND(#REF!,"AAAAAD3f/lY=")</f>
        <v>#REF!</v>
      </c>
      <c r="CJ2" t="e">
        <f>AND(#REF!,"AAAAAD3f/lc=")</f>
        <v>#REF!</v>
      </c>
      <c r="CK2" t="e">
        <f>AND(#REF!,"AAAAAD3f/lg=")</f>
        <v>#REF!</v>
      </c>
      <c r="CL2" t="e">
        <f>AND(#REF!,"AAAAAD3f/lk=")</f>
        <v>#REF!</v>
      </c>
      <c r="CM2" t="e">
        <f>IF(#REF!,"AAAAAD3f/lo=",0)</f>
        <v>#REF!</v>
      </c>
      <c r="CN2" t="e">
        <f>AND(#REF!,"AAAAAD3f/ls=")</f>
        <v>#REF!</v>
      </c>
      <c r="CO2" t="e">
        <f>AND(#REF!,"AAAAAD3f/lw=")</f>
        <v>#REF!</v>
      </c>
      <c r="CP2" t="e">
        <f>AND(#REF!,"AAAAAD3f/l0=")</f>
        <v>#REF!</v>
      </c>
      <c r="CQ2" t="e">
        <f>AND(#REF!,"AAAAAD3f/l4=")</f>
        <v>#REF!</v>
      </c>
      <c r="CR2" t="e">
        <f>IF(#REF!,"AAAAAD3f/l8=",0)</f>
        <v>#REF!</v>
      </c>
      <c r="CS2" t="e">
        <f>AND(#REF!,"AAAAAD3f/mA=")</f>
        <v>#REF!</v>
      </c>
      <c r="CT2" t="e">
        <f>AND(#REF!,"AAAAAD3f/mE=")</f>
        <v>#REF!</v>
      </c>
      <c r="CU2" t="e">
        <f>AND(#REF!,"AAAAAD3f/mI=")</f>
        <v>#REF!</v>
      </c>
      <c r="CV2" t="e">
        <f>AND(#REF!,"AAAAAD3f/mM=")</f>
        <v>#REF!</v>
      </c>
      <c r="CW2" t="e">
        <f>IF(#REF!,"AAAAAD3f/mQ=",0)</f>
        <v>#REF!</v>
      </c>
      <c r="CX2" t="e">
        <f>AND(#REF!,"AAAAAD3f/mU=")</f>
        <v>#REF!</v>
      </c>
      <c r="CY2" t="e">
        <f>AND(#REF!,"AAAAAD3f/mY=")</f>
        <v>#REF!</v>
      </c>
      <c r="CZ2" t="e">
        <f>AND(#REF!,"AAAAAD3f/mc=")</f>
        <v>#REF!</v>
      </c>
      <c r="DA2" t="e">
        <f>AND(#REF!,"AAAAAD3f/mg=")</f>
        <v>#REF!</v>
      </c>
      <c r="DB2" t="e">
        <f>IF(#REF!,"AAAAAD3f/mk=",0)</f>
        <v>#REF!</v>
      </c>
      <c r="DC2" t="e">
        <f>AND(#REF!,"AAAAAD3f/mo=")</f>
        <v>#REF!</v>
      </c>
      <c r="DD2" t="e">
        <f>AND(#REF!,"AAAAAD3f/ms=")</f>
        <v>#REF!</v>
      </c>
      <c r="DE2" t="e">
        <f>AND(#REF!,"AAAAAD3f/mw=")</f>
        <v>#REF!</v>
      </c>
      <c r="DF2" t="e">
        <f>AND(#REF!,"AAAAAD3f/m0=")</f>
        <v>#REF!</v>
      </c>
      <c r="DG2" t="e">
        <f>IF(#REF!,"AAAAAD3f/m4=",0)</f>
        <v>#REF!</v>
      </c>
      <c r="DH2" t="e">
        <f>AND(#REF!,"AAAAAD3f/m8=")</f>
        <v>#REF!</v>
      </c>
      <c r="DI2" t="e">
        <f>AND(#REF!,"AAAAAD3f/nA=")</f>
        <v>#REF!</v>
      </c>
      <c r="DJ2" t="e">
        <f>AND(#REF!,"AAAAAD3f/nE=")</f>
        <v>#REF!</v>
      </c>
      <c r="DK2" t="e">
        <f>AND(#REF!,"AAAAAD3f/nI=")</f>
        <v>#REF!</v>
      </c>
      <c r="DL2" t="e">
        <f>IF(#REF!,"AAAAAD3f/nM=",0)</f>
        <v>#REF!</v>
      </c>
      <c r="DM2" t="e">
        <f>AND(#REF!,"AAAAAD3f/nQ=")</f>
        <v>#REF!</v>
      </c>
      <c r="DN2" t="e">
        <f>AND(#REF!,"AAAAAD3f/nU=")</f>
        <v>#REF!</v>
      </c>
      <c r="DO2" t="e">
        <f>AND(#REF!,"AAAAAD3f/nY=")</f>
        <v>#REF!</v>
      </c>
      <c r="DP2" t="e">
        <f>AND(#REF!,"AAAAAD3f/nc=")</f>
        <v>#REF!</v>
      </c>
      <c r="DQ2" t="e">
        <f>IF(#REF!,"AAAAAD3f/ng=",0)</f>
        <v>#REF!</v>
      </c>
      <c r="DR2" t="e">
        <f>AND(#REF!,"AAAAAD3f/nk=")</f>
        <v>#REF!</v>
      </c>
      <c r="DS2" t="e">
        <f>AND(#REF!,"AAAAAD3f/no=")</f>
        <v>#REF!</v>
      </c>
      <c r="DT2" t="e">
        <f>AND(#REF!,"AAAAAD3f/ns=")</f>
        <v>#REF!</v>
      </c>
      <c r="DU2" t="e">
        <f>AND(#REF!,"AAAAAD3f/nw=")</f>
        <v>#REF!</v>
      </c>
      <c r="DV2" t="e">
        <f>IF(#REF!,"AAAAAD3f/n0=",0)</f>
        <v>#REF!</v>
      </c>
      <c r="DW2" t="e">
        <f>AND(#REF!,"AAAAAD3f/n4=")</f>
        <v>#REF!</v>
      </c>
      <c r="DX2" t="e">
        <f>AND(#REF!,"AAAAAD3f/n8=")</f>
        <v>#REF!</v>
      </c>
      <c r="DY2" t="e">
        <f>AND(#REF!,"AAAAAD3f/oA=")</f>
        <v>#REF!</v>
      </c>
      <c r="DZ2" t="e">
        <f>AND(#REF!,"AAAAAD3f/oE=")</f>
        <v>#REF!</v>
      </c>
      <c r="EA2" t="e">
        <f>IF(#REF!,"AAAAAD3f/oI=",0)</f>
        <v>#REF!</v>
      </c>
      <c r="EB2" t="e">
        <f>AND(#REF!,"AAAAAD3f/oM=")</f>
        <v>#REF!</v>
      </c>
      <c r="EC2" t="e">
        <f>AND(#REF!,"AAAAAD3f/oQ=")</f>
        <v>#REF!</v>
      </c>
      <c r="ED2" t="e">
        <f>AND(#REF!,"AAAAAD3f/oU=")</f>
        <v>#REF!</v>
      </c>
      <c r="EE2" t="e">
        <f>AND(#REF!,"AAAAAD3f/oY=")</f>
        <v>#REF!</v>
      </c>
      <c r="EF2" t="e">
        <f>IF(#REF!,"AAAAAD3f/oc=",0)</f>
        <v>#REF!</v>
      </c>
      <c r="EG2" t="e">
        <f>AND(#REF!,"AAAAAD3f/og=")</f>
        <v>#REF!</v>
      </c>
      <c r="EH2" t="e">
        <f>AND(#REF!,"AAAAAD3f/ok=")</f>
        <v>#REF!</v>
      </c>
      <c r="EI2" t="e">
        <f>AND(#REF!,"AAAAAD3f/oo=")</f>
        <v>#REF!</v>
      </c>
      <c r="EJ2" t="e">
        <f>AND(#REF!,"AAAAAD3f/os=")</f>
        <v>#REF!</v>
      </c>
      <c r="EK2" t="e">
        <f>IF(#REF!,"AAAAAD3f/ow=",0)</f>
        <v>#REF!</v>
      </c>
      <c r="EL2" t="e">
        <f>AND(#REF!,"AAAAAD3f/o0=")</f>
        <v>#REF!</v>
      </c>
      <c r="EM2" t="e">
        <f>AND(#REF!,"AAAAAD3f/o4=")</f>
        <v>#REF!</v>
      </c>
      <c r="EN2" t="e">
        <f>AND(#REF!,"AAAAAD3f/o8=")</f>
        <v>#REF!</v>
      </c>
      <c r="EO2" t="e">
        <f>AND(#REF!,"AAAAAD3f/pA=")</f>
        <v>#REF!</v>
      </c>
      <c r="EP2" t="e">
        <f>IF(#REF!,"AAAAAD3f/pE=",0)</f>
        <v>#REF!</v>
      </c>
      <c r="EQ2" t="e">
        <f>IF(#REF!,"AAAAAD3f/pI=",0)</f>
        <v>#REF!</v>
      </c>
      <c r="ER2" t="e">
        <f>IF(#REF!,"AAAAAD3f/pM=",0)</f>
        <v>#REF!</v>
      </c>
      <c r="ES2" t="e">
        <f>IF(#REF!,"AAAAAD3f/pQ=",0)</f>
        <v>#REF!</v>
      </c>
      <c r="ET2" t="e">
        <f>IF(#REF!,"AAAAAD3f/pU=",0)</f>
        <v>#REF!</v>
      </c>
      <c r="EU2" t="e">
        <f>IF(#REF!,"AAAAAD3f/pY=",0)</f>
        <v>#REF!</v>
      </c>
      <c r="EV2" t="e">
        <f>AND(#REF!,"AAAAAD3f/pc=")</f>
        <v>#REF!</v>
      </c>
      <c r="EW2" t="e">
        <f>AND(#REF!,"AAAAAD3f/pg=")</f>
        <v>#REF!</v>
      </c>
      <c r="EX2" t="e">
        <f>AND(#REF!,"AAAAAD3f/pk=")</f>
        <v>#REF!</v>
      </c>
      <c r="EY2" t="e">
        <f>AND(#REF!,"AAAAAD3f/po=")</f>
        <v>#REF!</v>
      </c>
      <c r="EZ2" t="e">
        <f>AND(#REF!,"AAAAAD3f/ps=")</f>
        <v>#REF!</v>
      </c>
      <c r="FA2" t="e">
        <f>IF(#REF!,"AAAAAD3f/pw=",0)</f>
        <v>#REF!</v>
      </c>
      <c r="FB2" t="e">
        <f>AND(#REF!,"AAAAAD3f/p0=")</f>
        <v>#REF!</v>
      </c>
      <c r="FC2" t="e">
        <f>AND(#REF!,"AAAAAD3f/p4=")</f>
        <v>#REF!</v>
      </c>
      <c r="FD2" t="e">
        <f>AND(#REF!,"AAAAAD3f/p8=")</f>
        <v>#REF!</v>
      </c>
      <c r="FE2" t="e">
        <f>AND(#REF!,"AAAAAD3f/qA=")</f>
        <v>#REF!</v>
      </c>
      <c r="FF2" t="e">
        <f>IF(#REF!,"AAAAAD3f/qE=",0)</f>
        <v>#REF!</v>
      </c>
      <c r="FG2" t="e">
        <f>AND(#REF!,"AAAAAD3f/qI=")</f>
        <v>#REF!</v>
      </c>
      <c r="FH2" t="e">
        <f>AND(#REF!,"AAAAAD3f/qM=")</f>
        <v>#REF!</v>
      </c>
      <c r="FI2" t="e">
        <f>AND(#REF!,"AAAAAD3f/qQ=")</f>
        <v>#REF!</v>
      </c>
      <c r="FJ2" t="e">
        <f>AND(#REF!,"AAAAAD3f/qU=")</f>
        <v>#REF!</v>
      </c>
      <c r="FK2" t="e">
        <f>IF(#REF!,"AAAAAD3f/qY=",0)</f>
        <v>#REF!</v>
      </c>
      <c r="FL2" t="e">
        <f>AND(#REF!,"AAAAAD3f/qc=")</f>
        <v>#REF!</v>
      </c>
      <c r="FM2" t="e">
        <f>AND(#REF!,"AAAAAD3f/qg=")</f>
        <v>#REF!</v>
      </c>
      <c r="FN2" t="e">
        <f>AND(#REF!,"AAAAAD3f/qk=")</f>
        <v>#REF!</v>
      </c>
      <c r="FO2" t="e">
        <f>AND(#REF!,"AAAAAD3f/qo=")</f>
        <v>#REF!</v>
      </c>
      <c r="FP2" t="e">
        <f>IF(#REF!,"AAAAAD3f/qs=",0)</f>
        <v>#REF!</v>
      </c>
      <c r="FQ2" t="e">
        <f>AND(#REF!,"AAAAAD3f/qw=")</f>
        <v>#REF!</v>
      </c>
      <c r="FR2" t="e">
        <f>AND(#REF!,"AAAAAD3f/q0=")</f>
        <v>#REF!</v>
      </c>
      <c r="FS2" t="e">
        <f>AND(#REF!,"AAAAAD3f/q4=")</f>
        <v>#REF!</v>
      </c>
      <c r="FT2" t="e">
        <f>AND(#REF!,"AAAAAD3f/q8=")</f>
        <v>#REF!</v>
      </c>
      <c r="FU2" t="e">
        <f>IF(#REF!,"AAAAAD3f/rA=",0)</f>
        <v>#REF!</v>
      </c>
      <c r="FV2" t="e">
        <f>AND(#REF!,"AAAAAD3f/rE=")</f>
        <v>#REF!</v>
      </c>
      <c r="FW2" t="e">
        <f>AND(#REF!,"AAAAAD3f/rI=")</f>
        <v>#REF!</v>
      </c>
      <c r="FX2" t="e">
        <f>AND(#REF!,"AAAAAD3f/rM=")</f>
        <v>#REF!</v>
      </c>
      <c r="FY2" t="e">
        <f>AND(#REF!,"AAAAAD3f/rQ=")</f>
        <v>#REF!</v>
      </c>
      <c r="FZ2" t="e">
        <f>IF(#REF!,"AAAAAD3f/rU=",0)</f>
        <v>#REF!</v>
      </c>
      <c r="GA2" t="e">
        <f>AND(#REF!,"AAAAAD3f/rY=")</f>
        <v>#REF!</v>
      </c>
      <c r="GB2" t="e">
        <f>AND(#REF!,"AAAAAD3f/rc=")</f>
        <v>#REF!</v>
      </c>
      <c r="GC2" t="e">
        <f>AND(#REF!,"AAAAAD3f/rg=")</f>
        <v>#REF!</v>
      </c>
      <c r="GD2" t="e">
        <f>AND(#REF!,"AAAAAD3f/rk=")</f>
        <v>#REF!</v>
      </c>
      <c r="GE2" t="e">
        <f>IF(#REF!,"AAAAAD3f/ro=",0)</f>
        <v>#REF!</v>
      </c>
      <c r="GF2" t="e">
        <f>AND(#REF!,"AAAAAD3f/rs=")</f>
        <v>#REF!</v>
      </c>
      <c r="GG2" t="e">
        <f>AND(#REF!,"AAAAAD3f/rw=")</f>
        <v>#REF!</v>
      </c>
      <c r="GH2" t="e">
        <f>AND(#REF!,"AAAAAD3f/r0=")</f>
        <v>#REF!</v>
      </c>
      <c r="GI2" t="e">
        <f>AND(#REF!,"AAAAAD3f/r4=")</f>
        <v>#REF!</v>
      </c>
      <c r="GJ2" t="e">
        <f>IF(#REF!,"AAAAAD3f/r8=",0)</f>
        <v>#REF!</v>
      </c>
      <c r="GK2" t="e">
        <f>AND(#REF!,"AAAAAD3f/sA=")</f>
        <v>#REF!</v>
      </c>
      <c r="GL2" t="e">
        <f>AND(#REF!,"AAAAAD3f/sE=")</f>
        <v>#REF!</v>
      </c>
      <c r="GM2" t="e">
        <f>AND(#REF!,"AAAAAD3f/sI=")</f>
        <v>#REF!</v>
      </c>
      <c r="GN2" t="e">
        <f>AND(#REF!,"AAAAAD3f/sM=")</f>
        <v>#REF!</v>
      </c>
      <c r="GO2" t="e">
        <f>IF(#REF!,"AAAAAD3f/sQ=",0)</f>
        <v>#REF!</v>
      </c>
      <c r="GP2" t="e">
        <f>AND(#REF!,"AAAAAD3f/sU=")</f>
        <v>#REF!</v>
      </c>
      <c r="GQ2" t="e">
        <f>AND(#REF!,"AAAAAD3f/sY=")</f>
        <v>#REF!</v>
      </c>
      <c r="GR2" t="e">
        <f>AND(#REF!,"AAAAAD3f/sc=")</f>
        <v>#REF!</v>
      </c>
      <c r="GS2" t="e">
        <f>AND(#REF!,"AAAAAD3f/sg=")</f>
        <v>#REF!</v>
      </c>
      <c r="GT2" t="e">
        <f>IF(#REF!,"AAAAAD3f/sk=",0)</f>
        <v>#REF!</v>
      </c>
      <c r="GU2" t="e">
        <f>AND(#REF!,"AAAAAD3f/so=")</f>
        <v>#REF!</v>
      </c>
      <c r="GV2" t="e">
        <f>AND(#REF!,"AAAAAD3f/ss=")</f>
        <v>#REF!</v>
      </c>
      <c r="GW2" t="e">
        <f>AND(#REF!,"AAAAAD3f/sw=")</f>
        <v>#REF!</v>
      </c>
      <c r="GX2" t="e">
        <f>AND(#REF!,"AAAAAD3f/s0=")</f>
        <v>#REF!</v>
      </c>
      <c r="GY2" t="e">
        <f>IF(#REF!,"AAAAAD3f/s4=",0)</f>
        <v>#REF!</v>
      </c>
      <c r="GZ2" t="e">
        <f>AND(#REF!,"AAAAAD3f/s8=")</f>
        <v>#REF!</v>
      </c>
      <c r="HA2" t="e">
        <f>AND(#REF!,"AAAAAD3f/tA=")</f>
        <v>#REF!</v>
      </c>
      <c r="HB2" t="e">
        <f>AND(#REF!,"AAAAAD3f/tE=")</f>
        <v>#REF!</v>
      </c>
      <c r="HC2" t="e">
        <f>AND(#REF!,"AAAAAD3f/tI=")</f>
        <v>#REF!</v>
      </c>
      <c r="HD2" t="e">
        <f>IF(#REF!,"AAAAAD3f/tM=",0)</f>
        <v>#REF!</v>
      </c>
      <c r="HE2" t="e">
        <f>AND(#REF!,"AAAAAD3f/tQ=")</f>
        <v>#REF!</v>
      </c>
      <c r="HF2" t="e">
        <f>AND(#REF!,"AAAAAD3f/tU=")</f>
        <v>#REF!</v>
      </c>
      <c r="HG2" t="e">
        <f>AND(#REF!,"AAAAAD3f/tY=")</f>
        <v>#REF!</v>
      </c>
      <c r="HH2" t="e">
        <f>AND(#REF!,"AAAAAD3f/tc=")</f>
        <v>#REF!</v>
      </c>
      <c r="HI2" t="e">
        <f>IF(#REF!,"AAAAAD3f/tg=",0)</f>
        <v>#REF!</v>
      </c>
      <c r="HJ2" t="e">
        <f>AND(#REF!,"AAAAAD3f/tk=")</f>
        <v>#REF!</v>
      </c>
      <c r="HK2" t="e">
        <f>AND(#REF!,"AAAAAD3f/to=")</f>
        <v>#REF!</v>
      </c>
      <c r="HL2" t="e">
        <f>AND(#REF!,"AAAAAD3f/ts=")</f>
        <v>#REF!</v>
      </c>
      <c r="HM2" t="e">
        <f>AND(#REF!,"AAAAAD3f/tw=")</f>
        <v>#REF!</v>
      </c>
      <c r="HN2" t="e">
        <f>IF(#REF!,"AAAAAD3f/t0=",0)</f>
        <v>#REF!</v>
      </c>
      <c r="HO2" t="e">
        <f>AND(#REF!,"AAAAAD3f/t4=")</f>
        <v>#REF!</v>
      </c>
      <c r="HP2" t="e">
        <f>AND(#REF!,"AAAAAD3f/t8=")</f>
        <v>#REF!</v>
      </c>
      <c r="HQ2" t="e">
        <f>AND(#REF!,"AAAAAD3f/uA=")</f>
        <v>#REF!</v>
      </c>
      <c r="HR2" t="e">
        <f>AND(#REF!,"AAAAAD3f/uE=")</f>
        <v>#REF!</v>
      </c>
      <c r="HS2" t="e">
        <f>IF(#REF!,"AAAAAD3f/uI=",0)</f>
        <v>#REF!</v>
      </c>
      <c r="HT2" t="e">
        <f>AND(#REF!,"AAAAAD3f/uM=")</f>
        <v>#REF!</v>
      </c>
      <c r="HU2" t="e">
        <f>AND(#REF!,"AAAAAD3f/uQ=")</f>
        <v>#REF!</v>
      </c>
      <c r="HV2" t="e">
        <f>AND(#REF!,"AAAAAD3f/uU=")</f>
        <v>#REF!</v>
      </c>
      <c r="HW2" t="e">
        <f>AND(#REF!,"AAAAAD3f/uY=")</f>
        <v>#REF!</v>
      </c>
      <c r="HX2" t="e">
        <f>IF(#REF!,"AAAAAD3f/uc=",0)</f>
        <v>#REF!</v>
      </c>
      <c r="HY2" t="e">
        <f>AND(#REF!,"AAAAAD3f/ug=")</f>
        <v>#REF!</v>
      </c>
      <c r="HZ2" t="e">
        <f>AND(#REF!,"AAAAAD3f/uk=")</f>
        <v>#REF!</v>
      </c>
      <c r="IA2" t="e">
        <f>AND(#REF!,"AAAAAD3f/uo=")</f>
        <v>#REF!</v>
      </c>
      <c r="IB2" t="e">
        <f>AND(#REF!,"AAAAAD3f/us=")</f>
        <v>#REF!</v>
      </c>
      <c r="IC2" t="e">
        <f>IF(#REF!,"AAAAAD3f/uw=",0)</f>
        <v>#REF!</v>
      </c>
      <c r="ID2" t="e">
        <f>IF(#REF!,"AAAAAD3f/u0=",0)</f>
        <v>#REF!</v>
      </c>
      <c r="IE2" t="e">
        <f>IF(#REF!,"AAAAAD3f/u4=",0)</f>
        <v>#REF!</v>
      </c>
      <c r="IF2" t="e">
        <f>IF(#REF!,"AAAAAD3f/u8=",0)</f>
        <v>#REF!</v>
      </c>
      <c r="IG2" t="e">
        <f>IF(#REF!,"AAAAAD3f/vA=",0)</f>
        <v>#REF!</v>
      </c>
      <c r="IH2" t="e">
        <f>IF(#REF!,"AAAAAD3f/vE=",0)</f>
        <v>#REF!</v>
      </c>
      <c r="II2" t="e">
        <f>AND(#REF!,"AAAAAD3f/vI=")</f>
        <v>#REF!</v>
      </c>
      <c r="IJ2" t="e">
        <f>AND(#REF!,"AAAAAD3f/vM=")</f>
        <v>#REF!</v>
      </c>
      <c r="IK2" t="e">
        <f>AND(#REF!,"AAAAAD3f/vQ=")</f>
        <v>#REF!</v>
      </c>
      <c r="IL2" t="e">
        <f>AND(#REF!,"AAAAAD3f/vU=")</f>
        <v>#REF!</v>
      </c>
      <c r="IM2" t="e">
        <f>AND(#REF!,"AAAAAD3f/vY=")</f>
        <v>#REF!</v>
      </c>
      <c r="IN2" t="e">
        <f>IF(#REF!,"AAAAAD3f/vc=",0)</f>
        <v>#REF!</v>
      </c>
      <c r="IO2" t="e">
        <f>AND(#REF!,"AAAAAD3f/vg=")</f>
        <v>#REF!</v>
      </c>
      <c r="IP2" t="e">
        <f>AND(#REF!,"AAAAAD3f/vk=")</f>
        <v>#REF!</v>
      </c>
      <c r="IQ2" t="e">
        <f>AND(#REF!,"AAAAAD3f/vo=")</f>
        <v>#REF!</v>
      </c>
      <c r="IR2" t="e">
        <f>AND(#REF!,"AAAAAD3f/vs=")</f>
        <v>#REF!</v>
      </c>
      <c r="IS2" t="e">
        <f>IF(#REF!,"AAAAAD3f/vw=",0)</f>
        <v>#REF!</v>
      </c>
      <c r="IT2" t="e">
        <f>AND(#REF!,"AAAAAD3f/v0=")</f>
        <v>#REF!</v>
      </c>
      <c r="IU2" t="e">
        <f>AND(#REF!,"AAAAAD3f/v4=")</f>
        <v>#REF!</v>
      </c>
      <c r="IV2" t="e">
        <f>AND(#REF!,"AAAAAD3f/v8=")</f>
        <v>#REF!</v>
      </c>
    </row>
    <row r="3" spans="1:256">
      <c r="A3" t="e">
        <f>AND(#REF!,"AAAAAE2//QA=")</f>
        <v>#REF!</v>
      </c>
      <c r="B3" t="e">
        <f>IF(#REF!,"AAAAAE2//QE=",0)</f>
        <v>#REF!</v>
      </c>
      <c r="C3" t="e">
        <f>AND(#REF!,"AAAAAE2//QI=")</f>
        <v>#REF!</v>
      </c>
      <c r="D3" t="e">
        <f>AND(#REF!,"AAAAAE2//QM=")</f>
        <v>#REF!</v>
      </c>
      <c r="E3" t="e">
        <f>AND(#REF!,"AAAAAE2//QQ=")</f>
        <v>#REF!</v>
      </c>
      <c r="F3" t="e">
        <f>AND(#REF!,"AAAAAE2//QU=")</f>
        <v>#REF!</v>
      </c>
      <c r="G3" t="e">
        <f>IF(#REF!,"AAAAAE2//QY=",0)</f>
        <v>#REF!</v>
      </c>
      <c r="H3" t="e">
        <f>AND(#REF!,"AAAAAE2//Qc=")</f>
        <v>#REF!</v>
      </c>
      <c r="I3" t="e">
        <f>AND(#REF!,"AAAAAE2//Qg=")</f>
        <v>#REF!</v>
      </c>
      <c r="J3" t="e">
        <f>AND(#REF!,"AAAAAE2//Qk=")</f>
        <v>#REF!</v>
      </c>
      <c r="K3" t="e">
        <f>AND(#REF!,"AAAAAE2//Qo=")</f>
        <v>#REF!</v>
      </c>
      <c r="L3" t="e">
        <f>IF(#REF!,"AAAAAE2//Qs=",0)</f>
        <v>#REF!</v>
      </c>
      <c r="M3" t="e">
        <f>AND(#REF!,"AAAAAE2//Qw=")</f>
        <v>#REF!</v>
      </c>
      <c r="N3" t="e">
        <f>AND(#REF!,"AAAAAE2//Q0=")</f>
        <v>#REF!</v>
      </c>
      <c r="O3" t="e">
        <f>AND(#REF!,"AAAAAE2//Q4=")</f>
        <v>#REF!</v>
      </c>
      <c r="P3" t="e">
        <f>AND(#REF!,"AAAAAE2//Q8=")</f>
        <v>#REF!</v>
      </c>
      <c r="Q3" t="e">
        <f>IF(#REF!,"AAAAAE2//RA=",0)</f>
        <v>#REF!</v>
      </c>
      <c r="R3" t="e">
        <f>AND(#REF!,"AAAAAE2//RE=")</f>
        <v>#REF!</v>
      </c>
      <c r="S3" t="e">
        <f>AND(#REF!,"AAAAAE2//RI=")</f>
        <v>#REF!</v>
      </c>
      <c r="T3" t="e">
        <f>AND(#REF!,"AAAAAE2//RM=")</f>
        <v>#REF!</v>
      </c>
      <c r="U3" t="e">
        <f>AND(#REF!,"AAAAAE2//RQ=")</f>
        <v>#REF!</v>
      </c>
      <c r="V3" t="e">
        <f>IF(#REF!,"AAAAAE2//RU=",0)</f>
        <v>#REF!</v>
      </c>
      <c r="W3" t="e">
        <f>AND(#REF!,"AAAAAE2//RY=")</f>
        <v>#REF!</v>
      </c>
      <c r="X3" t="e">
        <f>AND(#REF!,"AAAAAE2//Rc=")</f>
        <v>#REF!</v>
      </c>
      <c r="Y3" t="e">
        <f>AND(#REF!,"AAAAAE2//Rg=")</f>
        <v>#REF!</v>
      </c>
      <c r="Z3" t="e">
        <f>AND(#REF!,"AAAAAE2//Rk=")</f>
        <v>#REF!</v>
      </c>
      <c r="AA3" t="e">
        <f>IF(#REF!,"AAAAAE2//Ro=",0)</f>
        <v>#REF!</v>
      </c>
      <c r="AB3" t="e">
        <f>AND(#REF!,"AAAAAE2//Rs=")</f>
        <v>#REF!</v>
      </c>
      <c r="AC3" t="e">
        <f>AND(#REF!,"AAAAAE2//Rw=")</f>
        <v>#REF!</v>
      </c>
      <c r="AD3" t="e">
        <f>AND(#REF!,"AAAAAE2//R0=")</f>
        <v>#REF!</v>
      </c>
      <c r="AE3" t="e">
        <f>AND(#REF!,"AAAAAE2//R4=")</f>
        <v>#REF!</v>
      </c>
      <c r="AF3" t="e">
        <f>IF(#REF!,"AAAAAE2//R8=",0)</f>
        <v>#REF!</v>
      </c>
      <c r="AG3" t="e">
        <f>AND(#REF!,"AAAAAE2//SA=")</f>
        <v>#REF!</v>
      </c>
      <c r="AH3" t="e">
        <f>AND(#REF!,"AAAAAE2//SE=")</f>
        <v>#REF!</v>
      </c>
      <c r="AI3" t="e">
        <f>AND(#REF!,"AAAAAE2//SI=")</f>
        <v>#REF!</v>
      </c>
      <c r="AJ3" t="e">
        <f>AND(#REF!,"AAAAAE2//SM=")</f>
        <v>#REF!</v>
      </c>
      <c r="AK3" t="e">
        <f>IF(#REF!,"AAAAAE2//SQ=",0)</f>
        <v>#REF!</v>
      </c>
      <c r="AL3" t="e">
        <f>AND(#REF!,"AAAAAE2//SU=")</f>
        <v>#REF!</v>
      </c>
      <c r="AM3" t="e">
        <f>AND(#REF!,"AAAAAE2//SY=")</f>
        <v>#REF!</v>
      </c>
      <c r="AN3" t="e">
        <f>AND(#REF!,"AAAAAE2//Sc=")</f>
        <v>#REF!</v>
      </c>
      <c r="AO3" t="e">
        <f>AND(#REF!,"AAAAAE2//Sg=")</f>
        <v>#REF!</v>
      </c>
      <c r="AP3" t="e">
        <f>IF(#REF!,"AAAAAE2//Sk=",0)</f>
        <v>#REF!</v>
      </c>
      <c r="AQ3" t="e">
        <f>AND(#REF!,"AAAAAE2//So=")</f>
        <v>#REF!</v>
      </c>
      <c r="AR3" t="e">
        <f>AND(#REF!,"AAAAAE2//Ss=")</f>
        <v>#REF!</v>
      </c>
      <c r="AS3" t="e">
        <f>AND(#REF!,"AAAAAE2//Sw=")</f>
        <v>#REF!</v>
      </c>
      <c r="AT3" t="e">
        <f>AND(#REF!,"AAAAAE2//S0=")</f>
        <v>#REF!</v>
      </c>
      <c r="AU3" t="e">
        <f>IF(#REF!,"AAAAAE2//S4=",0)</f>
        <v>#REF!</v>
      </c>
      <c r="AV3" t="e">
        <f>AND(#REF!,"AAAAAE2//S8=")</f>
        <v>#REF!</v>
      </c>
      <c r="AW3" t="e">
        <f>AND(#REF!,"AAAAAE2//TA=")</f>
        <v>#REF!</v>
      </c>
      <c r="AX3" t="e">
        <f>AND(#REF!,"AAAAAE2//TE=")</f>
        <v>#REF!</v>
      </c>
      <c r="AY3" t="e">
        <f>AND(#REF!,"AAAAAE2//TI=")</f>
        <v>#REF!</v>
      </c>
      <c r="AZ3" t="e">
        <f>IF(#REF!,"AAAAAE2//TM=",0)</f>
        <v>#REF!</v>
      </c>
      <c r="BA3" t="e">
        <f>AND(#REF!,"AAAAAE2//TQ=")</f>
        <v>#REF!</v>
      </c>
      <c r="BB3" t="e">
        <f>AND(#REF!,"AAAAAE2//TU=")</f>
        <v>#REF!</v>
      </c>
      <c r="BC3" t="e">
        <f>AND(#REF!,"AAAAAE2//TY=")</f>
        <v>#REF!</v>
      </c>
      <c r="BD3" t="e">
        <f>AND(#REF!,"AAAAAE2//Tc=")</f>
        <v>#REF!</v>
      </c>
      <c r="BE3" t="e">
        <f>IF(#REF!,"AAAAAE2//Tg=",0)</f>
        <v>#REF!</v>
      </c>
      <c r="BF3" t="e">
        <f>AND(#REF!,"AAAAAE2//Tk=")</f>
        <v>#REF!</v>
      </c>
      <c r="BG3" t="e">
        <f>AND(#REF!,"AAAAAE2//To=")</f>
        <v>#REF!</v>
      </c>
      <c r="BH3" t="e">
        <f>AND(#REF!,"AAAAAE2//Ts=")</f>
        <v>#REF!</v>
      </c>
      <c r="BI3" t="e">
        <f>AND(#REF!,"AAAAAE2//Tw=")</f>
        <v>#REF!</v>
      </c>
      <c r="BJ3" t="e">
        <f>IF(#REF!,"AAAAAE2//T0=",0)</f>
        <v>#REF!</v>
      </c>
      <c r="BK3" t="e">
        <f>AND(#REF!,"AAAAAE2//T4=")</f>
        <v>#REF!</v>
      </c>
      <c r="BL3" t="e">
        <f>AND(#REF!,"AAAAAE2//T8=")</f>
        <v>#REF!</v>
      </c>
      <c r="BM3" t="e">
        <f>AND(#REF!,"AAAAAE2//UA=")</f>
        <v>#REF!</v>
      </c>
      <c r="BN3" t="e">
        <f>AND(#REF!,"AAAAAE2//UE=")</f>
        <v>#REF!</v>
      </c>
      <c r="BO3" t="e">
        <f>IF(#REF!,"AAAAAE2//UI=",0)</f>
        <v>#REF!</v>
      </c>
      <c r="BP3" t="e">
        <f>AND(#REF!,"AAAAAE2//UM=")</f>
        <v>#REF!</v>
      </c>
      <c r="BQ3" t="e">
        <f>AND(#REF!,"AAAAAE2//UQ=")</f>
        <v>#REF!</v>
      </c>
      <c r="BR3" t="e">
        <f>AND(#REF!,"AAAAAE2//UU=")</f>
        <v>#REF!</v>
      </c>
      <c r="BS3" t="e">
        <f>AND(#REF!,"AAAAAE2//UY=")</f>
        <v>#REF!</v>
      </c>
      <c r="BT3" t="e">
        <f>IF(#REF!,"AAAAAE2//Uc=",0)</f>
        <v>#REF!</v>
      </c>
      <c r="BU3" t="e">
        <f>IF(#REF!,"AAAAAE2//Ug=",0)</f>
        <v>#REF!</v>
      </c>
      <c r="BV3" t="e">
        <f>IF(#REF!,"AAAAAE2//Uk=",0)</f>
        <v>#REF!</v>
      </c>
      <c r="BW3" t="e">
        <f>IF(#REF!,"AAAAAE2//Uo=",0)</f>
        <v>#REF!</v>
      </c>
      <c r="BX3" t="e">
        <f>IF(#REF!,"AAAAAE2//Us=",0)</f>
        <v>#REF!</v>
      </c>
      <c r="BY3" t="e">
        <f>IF(#REF!,"AAAAAE2//Uw=",0)</f>
        <v>#REF!</v>
      </c>
      <c r="BZ3" t="e">
        <f>AND(#REF!,"AAAAAE2//U0=")</f>
        <v>#REF!</v>
      </c>
      <c r="CA3" t="e">
        <f>AND(#REF!,"AAAAAE2//U4=")</f>
        <v>#REF!</v>
      </c>
      <c r="CB3" t="e">
        <f>AND(#REF!,"AAAAAE2//U8=")</f>
        <v>#REF!</v>
      </c>
      <c r="CC3" t="e">
        <f>AND(#REF!,"AAAAAE2//VA=")</f>
        <v>#REF!</v>
      </c>
      <c r="CD3" t="e">
        <f>AND(#REF!,"AAAAAE2//VE=")</f>
        <v>#REF!</v>
      </c>
      <c r="CE3" t="e">
        <f>IF(#REF!,"AAAAAE2//VI=",0)</f>
        <v>#REF!</v>
      </c>
      <c r="CF3" t="e">
        <f>AND(#REF!,"AAAAAE2//VM=")</f>
        <v>#REF!</v>
      </c>
      <c r="CG3" t="e">
        <f>AND(#REF!,"AAAAAE2//VQ=")</f>
        <v>#REF!</v>
      </c>
      <c r="CH3" t="e">
        <f>AND(#REF!,"AAAAAE2//VU=")</f>
        <v>#REF!</v>
      </c>
      <c r="CI3" t="e">
        <f>AND(#REF!,"AAAAAE2//VY=")</f>
        <v>#REF!</v>
      </c>
      <c r="CJ3" t="e">
        <f>IF(#REF!,"AAAAAE2//Vc=",0)</f>
        <v>#REF!</v>
      </c>
      <c r="CK3" t="e">
        <f>AND(#REF!,"AAAAAE2//Vg=")</f>
        <v>#REF!</v>
      </c>
      <c r="CL3" t="e">
        <f>AND(#REF!,"AAAAAE2//Vk=")</f>
        <v>#REF!</v>
      </c>
      <c r="CM3" t="e">
        <f>AND(#REF!,"AAAAAE2//Vo=")</f>
        <v>#REF!</v>
      </c>
      <c r="CN3" t="e">
        <f>AND(#REF!,"AAAAAE2//Vs=")</f>
        <v>#REF!</v>
      </c>
      <c r="CO3" t="e">
        <f>IF(#REF!,"AAAAAE2//Vw=",0)</f>
        <v>#REF!</v>
      </c>
      <c r="CP3" t="e">
        <f>AND(#REF!,"AAAAAE2//V0=")</f>
        <v>#REF!</v>
      </c>
      <c r="CQ3" t="e">
        <f>AND(#REF!,"AAAAAE2//V4=")</f>
        <v>#REF!</v>
      </c>
      <c r="CR3" t="e">
        <f>AND(#REF!,"AAAAAE2//V8=")</f>
        <v>#REF!</v>
      </c>
      <c r="CS3" t="e">
        <f>AND(#REF!,"AAAAAE2//WA=")</f>
        <v>#REF!</v>
      </c>
      <c r="CT3" t="e">
        <f>IF(#REF!,"AAAAAE2//WE=",0)</f>
        <v>#REF!</v>
      </c>
      <c r="CU3" t="e">
        <f>AND(#REF!,"AAAAAE2//WI=")</f>
        <v>#REF!</v>
      </c>
      <c r="CV3" t="e">
        <f>AND(#REF!,"AAAAAE2//WM=")</f>
        <v>#REF!</v>
      </c>
      <c r="CW3" t="e">
        <f>AND(#REF!,"AAAAAE2//WQ=")</f>
        <v>#REF!</v>
      </c>
      <c r="CX3" t="e">
        <f>AND(#REF!,"AAAAAE2//WU=")</f>
        <v>#REF!</v>
      </c>
      <c r="CY3" t="e">
        <f>IF(#REF!,"AAAAAE2//WY=",0)</f>
        <v>#REF!</v>
      </c>
      <c r="CZ3" t="e">
        <f>AND(#REF!,"AAAAAE2//Wc=")</f>
        <v>#REF!</v>
      </c>
      <c r="DA3" t="e">
        <f>AND(#REF!,"AAAAAE2//Wg=")</f>
        <v>#REF!</v>
      </c>
      <c r="DB3" t="e">
        <f>AND(#REF!,"AAAAAE2//Wk=")</f>
        <v>#REF!</v>
      </c>
      <c r="DC3" t="e">
        <f>AND(#REF!,"AAAAAE2//Wo=")</f>
        <v>#REF!</v>
      </c>
      <c r="DD3" t="e">
        <f>IF(#REF!,"AAAAAE2//Ws=",0)</f>
        <v>#REF!</v>
      </c>
      <c r="DE3" t="e">
        <f>AND(#REF!,"AAAAAE2//Ww=")</f>
        <v>#REF!</v>
      </c>
      <c r="DF3" t="e">
        <f>AND(#REF!,"AAAAAE2//W0=")</f>
        <v>#REF!</v>
      </c>
      <c r="DG3" t="e">
        <f>AND(#REF!,"AAAAAE2//W4=")</f>
        <v>#REF!</v>
      </c>
      <c r="DH3" t="e">
        <f>AND(#REF!,"AAAAAE2//W8=")</f>
        <v>#REF!</v>
      </c>
      <c r="DI3" t="e">
        <f>IF(#REF!,"AAAAAE2//XA=",0)</f>
        <v>#REF!</v>
      </c>
      <c r="DJ3" t="e">
        <f>AND(#REF!,"AAAAAE2//XE=")</f>
        <v>#REF!</v>
      </c>
      <c r="DK3" t="e">
        <f>AND(#REF!,"AAAAAE2//XI=")</f>
        <v>#REF!</v>
      </c>
      <c r="DL3" t="e">
        <f>AND(#REF!,"AAAAAE2//XM=")</f>
        <v>#REF!</v>
      </c>
      <c r="DM3" t="e">
        <f>AND(#REF!,"AAAAAE2//XQ=")</f>
        <v>#REF!</v>
      </c>
      <c r="DN3" t="e">
        <f>IF(#REF!,"AAAAAE2//XU=",0)</f>
        <v>#REF!</v>
      </c>
      <c r="DO3" t="e">
        <f>AND(#REF!,"AAAAAE2//XY=")</f>
        <v>#REF!</v>
      </c>
      <c r="DP3" t="e">
        <f>AND(#REF!,"AAAAAE2//Xc=")</f>
        <v>#REF!</v>
      </c>
      <c r="DQ3" t="e">
        <f>AND(#REF!,"AAAAAE2//Xg=")</f>
        <v>#REF!</v>
      </c>
      <c r="DR3" t="e">
        <f>AND(#REF!,"AAAAAE2//Xk=")</f>
        <v>#REF!</v>
      </c>
      <c r="DS3" t="e">
        <f>IF(#REF!,"AAAAAE2//Xo=",0)</f>
        <v>#REF!</v>
      </c>
      <c r="DT3" t="e">
        <f>AND(#REF!,"AAAAAE2//Xs=")</f>
        <v>#REF!</v>
      </c>
      <c r="DU3" t="e">
        <f>AND(#REF!,"AAAAAE2//Xw=")</f>
        <v>#REF!</v>
      </c>
      <c r="DV3" t="e">
        <f>AND(#REF!,"AAAAAE2//X0=")</f>
        <v>#REF!</v>
      </c>
      <c r="DW3" t="e">
        <f>AND(#REF!,"AAAAAE2//X4=")</f>
        <v>#REF!</v>
      </c>
      <c r="DX3" t="e">
        <f>IF(#REF!,"AAAAAE2//X8=",0)</f>
        <v>#REF!</v>
      </c>
      <c r="DY3" t="e">
        <f>AND(#REF!,"AAAAAE2//YA=")</f>
        <v>#REF!</v>
      </c>
      <c r="DZ3" t="e">
        <f>AND(#REF!,"AAAAAE2//YE=")</f>
        <v>#REF!</v>
      </c>
      <c r="EA3" t="e">
        <f>AND(#REF!,"AAAAAE2//YI=")</f>
        <v>#REF!</v>
      </c>
      <c r="EB3" t="e">
        <f>AND(#REF!,"AAAAAE2//YM=")</f>
        <v>#REF!</v>
      </c>
      <c r="EC3" t="e">
        <f>IF(#REF!,"AAAAAE2//YQ=",0)</f>
        <v>#REF!</v>
      </c>
      <c r="ED3" t="e">
        <f>AND(#REF!,"AAAAAE2//YU=")</f>
        <v>#REF!</v>
      </c>
      <c r="EE3" t="e">
        <f>AND(#REF!,"AAAAAE2//YY=")</f>
        <v>#REF!</v>
      </c>
      <c r="EF3" t="e">
        <f>AND(#REF!,"AAAAAE2//Yc=")</f>
        <v>#REF!</v>
      </c>
      <c r="EG3" t="e">
        <f>AND(#REF!,"AAAAAE2//Yg=")</f>
        <v>#REF!</v>
      </c>
      <c r="EH3" t="e">
        <f>IF(#REF!,"AAAAAE2//Yk=",0)</f>
        <v>#REF!</v>
      </c>
      <c r="EI3" t="e">
        <f>AND(#REF!,"AAAAAE2//Yo=")</f>
        <v>#REF!</v>
      </c>
      <c r="EJ3" t="e">
        <f>AND(#REF!,"AAAAAE2//Ys=")</f>
        <v>#REF!</v>
      </c>
      <c r="EK3" t="e">
        <f>AND(#REF!,"AAAAAE2//Yw=")</f>
        <v>#REF!</v>
      </c>
      <c r="EL3" t="e">
        <f>AND(#REF!,"AAAAAE2//Y0=")</f>
        <v>#REF!</v>
      </c>
      <c r="EM3" t="e">
        <f>IF(#REF!,"AAAAAE2//Y4=",0)</f>
        <v>#REF!</v>
      </c>
      <c r="EN3" t="e">
        <f>AND(#REF!,"AAAAAE2//Y8=")</f>
        <v>#REF!</v>
      </c>
      <c r="EO3" t="e">
        <f>AND(#REF!,"AAAAAE2//ZA=")</f>
        <v>#REF!</v>
      </c>
      <c r="EP3" t="e">
        <f>AND(#REF!,"AAAAAE2//ZE=")</f>
        <v>#REF!</v>
      </c>
      <c r="EQ3" t="e">
        <f>AND(#REF!,"AAAAAE2//ZI=")</f>
        <v>#REF!</v>
      </c>
      <c r="ER3" t="e">
        <f>IF(#REF!,"AAAAAE2//ZM=",0)</f>
        <v>#REF!</v>
      </c>
      <c r="ES3" t="e">
        <f>AND(#REF!,"AAAAAE2//ZQ=")</f>
        <v>#REF!</v>
      </c>
      <c r="ET3" t="e">
        <f>AND(#REF!,"AAAAAE2//ZU=")</f>
        <v>#REF!</v>
      </c>
      <c r="EU3" t="e">
        <f>AND(#REF!,"AAAAAE2//ZY=")</f>
        <v>#REF!</v>
      </c>
      <c r="EV3" t="e">
        <f>AND(#REF!,"AAAAAE2//Zc=")</f>
        <v>#REF!</v>
      </c>
      <c r="EW3" t="e">
        <f>IF(#REF!,"AAAAAE2//Zg=",0)</f>
        <v>#REF!</v>
      </c>
      <c r="EX3" t="e">
        <f>AND(#REF!,"AAAAAE2//Zk=")</f>
        <v>#REF!</v>
      </c>
      <c r="EY3" t="e">
        <f>AND(#REF!,"AAAAAE2//Zo=")</f>
        <v>#REF!</v>
      </c>
      <c r="EZ3" t="e">
        <f>AND(#REF!,"AAAAAE2//Zs=")</f>
        <v>#REF!</v>
      </c>
      <c r="FA3" t="e">
        <f>AND(#REF!,"AAAAAE2//Zw=")</f>
        <v>#REF!</v>
      </c>
      <c r="FB3" t="e">
        <f>IF(#REF!,"AAAAAE2//Z0=",0)</f>
        <v>#REF!</v>
      </c>
      <c r="FC3" t="e">
        <f>AND(#REF!,"AAAAAE2//Z4=")</f>
        <v>#REF!</v>
      </c>
      <c r="FD3" t="e">
        <f>AND(#REF!,"AAAAAE2//Z8=")</f>
        <v>#REF!</v>
      </c>
      <c r="FE3" t="e">
        <f>AND(#REF!,"AAAAAE2//aA=")</f>
        <v>#REF!</v>
      </c>
      <c r="FF3" t="e">
        <f>AND(#REF!,"AAAAAE2//aE=")</f>
        <v>#REF!</v>
      </c>
      <c r="FG3" t="e">
        <f>IF(#REF!,"AAAAAE2//aI=",0)</f>
        <v>#REF!</v>
      </c>
      <c r="FH3" t="e">
        <f>IF(#REF!,"AAAAAE2//aM=",0)</f>
        <v>#REF!</v>
      </c>
      <c r="FI3" t="e">
        <f>IF(#REF!,"AAAAAE2//aQ=",0)</f>
        <v>#REF!</v>
      </c>
      <c r="FJ3" t="e">
        <f>IF(#REF!,"AAAAAE2//aU=",0)</f>
        <v>#REF!</v>
      </c>
      <c r="FK3" t="e">
        <f>IF(#REF!,"AAAAAE2//aY=",0)</f>
        <v>#REF!</v>
      </c>
      <c r="FL3" t="e">
        <f>IF(#REF!,"AAAAAE2//ac=",0)</f>
        <v>#REF!</v>
      </c>
      <c r="FM3" t="e">
        <f>AND(#REF!,"AAAAAE2//ag=")</f>
        <v>#REF!</v>
      </c>
      <c r="FN3" t="e">
        <f>AND(#REF!,"AAAAAE2//ak=")</f>
        <v>#REF!</v>
      </c>
      <c r="FO3" t="e">
        <f>AND(#REF!,"AAAAAE2//ao=")</f>
        <v>#REF!</v>
      </c>
      <c r="FP3" t="e">
        <f>AND(#REF!,"AAAAAE2//as=")</f>
        <v>#REF!</v>
      </c>
      <c r="FQ3" t="e">
        <f>AND(#REF!,"AAAAAE2//aw=")</f>
        <v>#REF!</v>
      </c>
      <c r="FR3" t="e">
        <f>IF(#REF!,"AAAAAE2//a0=",0)</f>
        <v>#REF!</v>
      </c>
      <c r="FS3" t="e">
        <f>AND(#REF!,"AAAAAE2//a4=")</f>
        <v>#REF!</v>
      </c>
      <c r="FT3" t="e">
        <f>AND(#REF!,"AAAAAE2//a8=")</f>
        <v>#REF!</v>
      </c>
      <c r="FU3" t="e">
        <f>AND(#REF!,"AAAAAE2//bA=")</f>
        <v>#REF!</v>
      </c>
      <c r="FV3" t="e">
        <f>AND(#REF!,"AAAAAE2//bE=")</f>
        <v>#REF!</v>
      </c>
      <c r="FW3" t="e">
        <f>IF(#REF!,"AAAAAE2//bI=",0)</f>
        <v>#REF!</v>
      </c>
      <c r="FX3" t="e">
        <f>AND(#REF!,"AAAAAE2//bM=")</f>
        <v>#REF!</v>
      </c>
      <c r="FY3" t="e">
        <f>AND(#REF!,"AAAAAE2//bQ=")</f>
        <v>#REF!</v>
      </c>
      <c r="FZ3" t="e">
        <f>AND(#REF!,"AAAAAE2//bU=")</f>
        <v>#REF!</v>
      </c>
      <c r="GA3" t="e">
        <f>AND(#REF!,"AAAAAE2//bY=")</f>
        <v>#REF!</v>
      </c>
      <c r="GB3" t="e">
        <f>IF(#REF!,"AAAAAE2//bc=",0)</f>
        <v>#REF!</v>
      </c>
      <c r="GC3" t="e">
        <f>AND(#REF!,"AAAAAE2//bg=")</f>
        <v>#REF!</v>
      </c>
      <c r="GD3" t="e">
        <f>AND(#REF!,"AAAAAE2//bk=")</f>
        <v>#REF!</v>
      </c>
      <c r="GE3" t="e">
        <f>AND(#REF!,"AAAAAE2//bo=")</f>
        <v>#REF!</v>
      </c>
      <c r="GF3" t="e">
        <f>AND(#REF!,"AAAAAE2//bs=")</f>
        <v>#REF!</v>
      </c>
      <c r="GG3" t="e">
        <f>IF(#REF!,"AAAAAE2//bw=",0)</f>
        <v>#REF!</v>
      </c>
      <c r="GH3" t="e">
        <f>AND(#REF!,"AAAAAE2//b0=")</f>
        <v>#REF!</v>
      </c>
      <c r="GI3" t="e">
        <f>AND(#REF!,"AAAAAE2//b4=")</f>
        <v>#REF!</v>
      </c>
      <c r="GJ3" t="e">
        <f>AND(#REF!,"AAAAAE2//b8=")</f>
        <v>#REF!</v>
      </c>
      <c r="GK3" t="e">
        <f>AND(#REF!,"AAAAAE2//cA=")</f>
        <v>#REF!</v>
      </c>
      <c r="GL3" t="e">
        <f>IF(#REF!,"AAAAAE2//cE=",0)</f>
        <v>#REF!</v>
      </c>
      <c r="GM3" t="e">
        <f>AND(#REF!,"AAAAAE2//cI=")</f>
        <v>#REF!</v>
      </c>
      <c r="GN3" t="e">
        <f>AND(#REF!,"AAAAAE2//cM=")</f>
        <v>#REF!</v>
      </c>
      <c r="GO3" t="e">
        <f>AND(#REF!,"AAAAAE2//cQ=")</f>
        <v>#REF!</v>
      </c>
      <c r="GP3" t="e">
        <f>AND(#REF!,"AAAAAE2//cU=")</f>
        <v>#REF!</v>
      </c>
      <c r="GQ3" t="e">
        <f>IF(#REF!,"AAAAAE2//cY=",0)</f>
        <v>#REF!</v>
      </c>
      <c r="GR3" t="e">
        <f>AND(#REF!,"AAAAAE2//cc=")</f>
        <v>#REF!</v>
      </c>
      <c r="GS3" t="e">
        <f>AND(#REF!,"AAAAAE2//cg=")</f>
        <v>#REF!</v>
      </c>
      <c r="GT3" t="e">
        <f>AND(#REF!,"AAAAAE2//ck=")</f>
        <v>#REF!</v>
      </c>
      <c r="GU3" t="e">
        <f>AND(#REF!,"AAAAAE2//co=")</f>
        <v>#REF!</v>
      </c>
      <c r="GV3" t="e">
        <f>IF(#REF!,"AAAAAE2//cs=",0)</f>
        <v>#REF!</v>
      </c>
      <c r="GW3" t="e">
        <f>AND(#REF!,"AAAAAE2//cw=")</f>
        <v>#REF!</v>
      </c>
      <c r="GX3" t="e">
        <f>AND(#REF!,"AAAAAE2//c0=")</f>
        <v>#REF!</v>
      </c>
      <c r="GY3" t="e">
        <f>AND(#REF!,"AAAAAE2//c4=")</f>
        <v>#REF!</v>
      </c>
      <c r="GZ3" t="e">
        <f>AND(#REF!,"AAAAAE2//c8=")</f>
        <v>#REF!</v>
      </c>
      <c r="HA3" t="e">
        <f>IF(#REF!,"AAAAAE2//dA=",0)</f>
        <v>#REF!</v>
      </c>
      <c r="HB3" t="e">
        <f>AND(#REF!,"AAAAAE2//dE=")</f>
        <v>#REF!</v>
      </c>
      <c r="HC3" t="e">
        <f>AND(#REF!,"AAAAAE2//dI=")</f>
        <v>#REF!</v>
      </c>
      <c r="HD3" t="e">
        <f>AND(#REF!,"AAAAAE2//dM=")</f>
        <v>#REF!</v>
      </c>
      <c r="HE3" t="e">
        <f>AND(#REF!,"AAAAAE2//dQ=")</f>
        <v>#REF!</v>
      </c>
      <c r="HF3" t="e">
        <f>IF(#REF!,"AAAAAE2//dU=",0)</f>
        <v>#REF!</v>
      </c>
      <c r="HG3" t="e">
        <f>AND(#REF!,"AAAAAE2//dY=")</f>
        <v>#REF!</v>
      </c>
      <c r="HH3" t="e">
        <f>AND(#REF!,"AAAAAE2//dc=")</f>
        <v>#REF!</v>
      </c>
      <c r="HI3" t="e">
        <f>AND(#REF!,"AAAAAE2//dg=")</f>
        <v>#REF!</v>
      </c>
      <c r="HJ3" t="e">
        <f>AND(#REF!,"AAAAAE2//dk=")</f>
        <v>#REF!</v>
      </c>
      <c r="HK3" t="e">
        <f>IF(#REF!,"AAAAAE2//do=",0)</f>
        <v>#REF!</v>
      </c>
      <c r="HL3" t="e">
        <f>AND(#REF!,"AAAAAE2//ds=")</f>
        <v>#REF!</v>
      </c>
      <c r="HM3" t="e">
        <f>AND(#REF!,"AAAAAE2//dw=")</f>
        <v>#REF!</v>
      </c>
      <c r="HN3" t="e">
        <f>AND(#REF!,"AAAAAE2//d0=")</f>
        <v>#REF!</v>
      </c>
      <c r="HO3" t="e">
        <f>AND(#REF!,"AAAAAE2//d4=")</f>
        <v>#REF!</v>
      </c>
      <c r="HP3" t="e">
        <f>IF(#REF!,"AAAAAE2//d8=",0)</f>
        <v>#REF!</v>
      </c>
      <c r="HQ3" t="e">
        <f>AND(#REF!,"AAAAAE2//eA=")</f>
        <v>#REF!</v>
      </c>
      <c r="HR3" t="e">
        <f>AND(#REF!,"AAAAAE2//eE=")</f>
        <v>#REF!</v>
      </c>
      <c r="HS3" t="e">
        <f>AND(#REF!,"AAAAAE2//eI=")</f>
        <v>#REF!</v>
      </c>
      <c r="HT3" t="e">
        <f>AND(#REF!,"AAAAAE2//eM=")</f>
        <v>#REF!</v>
      </c>
      <c r="HU3" t="e">
        <f>IF(#REF!,"AAAAAE2//eQ=",0)</f>
        <v>#REF!</v>
      </c>
      <c r="HV3" t="e">
        <f>AND(#REF!,"AAAAAE2//eU=")</f>
        <v>#REF!</v>
      </c>
      <c r="HW3" t="e">
        <f>AND(#REF!,"AAAAAE2//eY=")</f>
        <v>#REF!</v>
      </c>
      <c r="HX3" t="e">
        <f>AND(#REF!,"AAAAAE2//ec=")</f>
        <v>#REF!</v>
      </c>
      <c r="HY3" t="e">
        <f>AND(#REF!,"AAAAAE2//eg=")</f>
        <v>#REF!</v>
      </c>
      <c r="HZ3" t="e">
        <f>IF(#REF!,"AAAAAE2//ek=",0)</f>
        <v>#REF!</v>
      </c>
      <c r="IA3" t="e">
        <f>AND(#REF!,"AAAAAE2//eo=")</f>
        <v>#REF!</v>
      </c>
      <c r="IB3" t="e">
        <f>AND(#REF!,"AAAAAE2//es=")</f>
        <v>#REF!</v>
      </c>
      <c r="IC3" t="e">
        <f>AND(#REF!,"AAAAAE2//ew=")</f>
        <v>#REF!</v>
      </c>
      <c r="ID3" t="e">
        <f>AND(#REF!,"AAAAAE2//e0=")</f>
        <v>#REF!</v>
      </c>
      <c r="IE3" t="e">
        <f>IF(#REF!,"AAAAAE2//e4=",0)</f>
        <v>#REF!</v>
      </c>
      <c r="IF3" t="e">
        <f>AND(#REF!,"AAAAAE2//e8=")</f>
        <v>#REF!</v>
      </c>
      <c r="IG3" t="e">
        <f>AND(#REF!,"AAAAAE2//fA=")</f>
        <v>#REF!</v>
      </c>
      <c r="IH3" t="e">
        <f>AND(#REF!,"AAAAAE2//fE=")</f>
        <v>#REF!</v>
      </c>
      <c r="II3" t="e">
        <f>AND(#REF!,"AAAAAE2//fI=")</f>
        <v>#REF!</v>
      </c>
      <c r="IJ3" t="e">
        <f>IF(#REF!,"AAAAAE2//fM=",0)</f>
        <v>#REF!</v>
      </c>
      <c r="IK3" t="e">
        <f>AND(#REF!,"AAAAAE2//fQ=")</f>
        <v>#REF!</v>
      </c>
      <c r="IL3" t="e">
        <f>AND(#REF!,"AAAAAE2//fU=")</f>
        <v>#REF!</v>
      </c>
      <c r="IM3" t="e">
        <f>AND(#REF!,"AAAAAE2//fY=")</f>
        <v>#REF!</v>
      </c>
      <c r="IN3" t="e">
        <f>AND(#REF!,"AAAAAE2//fc=")</f>
        <v>#REF!</v>
      </c>
      <c r="IO3" t="e">
        <f>IF(#REF!,"AAAAAE2//fg=",0)</f>
        <v>#REF!</v>
      </c>
      <c r="IP3" t="e">
        <f>AND(#REF!,"AAAAAE2//fk=")</f>
        <v>#REF!</v>
      </c>
      <c r="IQ3" t="e">
        <f>AND(#REF!,"AAAAAE2//fo=")</f>
        <v>#REF!</v>
      </c>
      <c r="IR3" t="e">
        <f>AND(#REF!,"AAAAAE2//fs=")</f>
        <v>#REF!</v>
      </c>
      <c r="IS3" t="e">
        <f>AND(#REF!,"AAAAAE2//fw=")</f>
        <v>#REF!</v>
      </c>
      <c r="IT3" t="e">
        <f>IF(#REF!,"AAAAAE2//f0=",0)</f>
        <v>#REF!</v>
      </c>
      <c r="IU3" t="e">
        <f>IF(#REF!,"AAAAAE2//f4=",0)</f>
        <v>#REF!</v>
      </c>
      <c r="IV3" t="e">
        <f>IF(#REF!,"AAAAAE2//f8=",0)</f>
        <v>#REF!</v>
      </c>
    </row>
    <row r="4" spans="1:256">
      <c r="A4" t="e">
        <f>IF(#REF!,"AAAAAHu7/wA=",0)</f>
        <v>#REF!</v>
      </c>
      <c r="B4" t="e">
        <f>IF(#REF!,"AAAAAHu7/wE=",0)</f>
        <v>#REF!</v>
      </c>
      <c r="C4" t="e">
        <f>IF(#REF!,"AAAAAHu7/wI=",0)</f>
        <v>#REF!</v>
      </c>
      <c r="D4" t="e">
        <f>AND(#REF!,"AAAAAHu7/wM=")</f>
        <v>#REF!</v>
      </c>
      <c r="E4" t="e">
        <f>AND(#REF!,"AAAAAHu7/wQ=")</f>
        <v>#REF!</v>
      </c>
      <c r="F4" t="e">
        <f>AND(#REF!,"AAAAAHu7/wU=")</f>
        <v>#REF!</v>
      </c>
      <c r="G4" t="e">
        <f>AND(#REF!,"AAAAAHu7/wY=")</f>
        <v>#REF!</v>
      </c>
      <c r="H4" t="e">
        <f>AND(#REF!,"AAAAAHu7/wc=")</f>
        <v>#REF!</v>
      </c>
      <c r="I4" t="e">
        <f>IF(#REF!,"AAAAAHu7/wg=",0)</f>
        <v>#REF!</v>
      </c>
      <c r="J4" t="e">
        <f>AND(#REF!,"AAAAAHu7/wk=")</f>
        <v>#REF!</v>
      </c>
      <c r="K4" t="e">
        <f>AND(#REF!,"AAAAAHu7/wo=")</f>
        <v>#REF!</v>
      </c>
      <c r="L4" t="e">
        <f>AND(#REF!,"AAAAAHu7/ws=")</f>
        <v>#REF!</v>
      </c>
      <c r="M4" t="e">
        <f>AND(#REF!,"AAAAAHu7/ww=")</f>
        <v>#REF!</v>
      </c>
      <c r="N4" t="e">
        <f>AND(#REF!,"AAAAAHu7/w0=")</f>
        <v>#REF!</v>
      </c>
      <c r="O4" t="e">
        <f>IF(#REF!,"AAAAAHu7/w4=",0)</f>
        <v>#REF!</v>
      </c>
      <c r="P4" t="e">
        <f>AND(#REF!,"AAAAAHu7/w8=")</f>
        <v>#REF!</v>
      </c>
      <c r="Q4" t="e">
        <f>AND(#REF!,"AAAAAHu7/xA=")</f>
        <v>#REF!</v>
      </c>
      <c r="R4" t="e">
        <f>AND(#REF!,"AAAAAHu7/xE=")</f>
        <v>#REF!</v>
      </c>
      <c r="S4" t="e">
        <f>AND(#REF!,"AAAAAHu7/xI=")</f>
        <v>#REF!</v>
      </c>
      <c r="T4" t="e">
        <f>AND(#REF!,"AAAAAHu7/xM=")</f>
        <v>#REF!</v>
      </c>
      <c r="U4" t="e">
        <f>IF(#REF!,"AAAAAHu7/xQ=",0)</f>
        <v>#REF!</v>
      </c>
      <c r="V4" t="e">
        <f>AND(#REF!,"AAAAAHu7/xU=")</f>
        <v>#REF!</v>
      </c>
      <c r="W4" t="e">
        <f>AND(#REF!,"AAAAAHu7/xY=")</f>
        <v>#REF!</v>
      </c>
      <c r="X4" t="e">
        <f>AND(#REF!,"AAAAAHu7/xc=")</f>
        <v>#REF!</v>
      </c>
      <c r="Y4" t="e">
        <f>AND(#REF!,"AAAAAHu7/xg=")</f>
        <v>#REF!</v>
      </c>
      <c r="Z4" t="e">
        <f>AND(#REF!,"AAAAAHu7/xk=")</f>
        <v>#REF!</v>
      </c>
      <c r="AA4" t="e">
        <f>IF(#REF!,"AAAAAHu7/xo=",0)</f>
        <v>#REF!</v>
      </c>
      <c r="AB4" t="e">
        <f>AND(#REF!,"AAAAAHu7/xs=")</f>
        <v>#REF!</v>
      </c>
      <c r="AC4" t="e">
        <f>AND(#REF!,"AAAAAHu7/xw=")</f>
        <v>#REF!</v>
      </c>
      <c r="AD4" t="e">
        <f>AND(#REF!,"AAAAAHu7/x0=")</f>
        <v>#REF!</v>
      </c>
      <c r="AE4" t="e">
        <f>AND(#REF!,"AAAAAHu7/x4=")</f>
        <v>#REF!</v>
      </c>
      <c r="AF4" t="e">
        <f>AND(#REF!,"AAAAAHu7/x8=")</f>
        <v>#REF!</v>
      </c>
      <c r="AG4" t="e">
        <f>IF(#REF!,"AAAAAHu7/yA=",0)</f>
        <v>#REF!</v>
      </c>
      <c r="AH4" t="e">
        <f>AND(#REF!,"AAAAAHu7/yE=")</f>
        <v>#REF!</v>
      </c>
      <c r="AI4" t="e">
        <f>AND(#REF!,"AAAAAHu7/yI=")</f>
        <v>#REF!</v>
      </c>
      <c r="AJ4" t="e">
        <f>AND(#REF!,"AAAAAHu7/yM=")</f>
        <v>#REF!</v>
      </c>
      <c r="AK4" t="e">
        <f>AND(#REF!,"AAAAAHu7/yQ=")</f>
        <v>#REF!</v>
      </c>
      <c r="AL4" t="e">
        <f>AND(#REF!,"AAAAAHu7/yU=")</f>
        <v>#REF!</v>
      </c>
      <c r="AM4" t="e">
        <f>IF(#REF!,"AAAAAHu7/yY=",0)</f>
        <v>#REF!</v>
      </c>
      <c r="AN4" t="e">
        <f>AND(#REF!,"AAAAAHu7/yc=")</f>
        <v>#REF!</v>
      </c>
      <c r="AO4" t="e">
        <f>AND(#REF!,"AAAAAHu7/yg=")</f>
        <v>#REF!</v>
      </c>
      <c r="AP4" t="e">
        <f>AND(#REF!,"AAAAAHu7/yk=")</f>
        <v>#REF!</v>
      </c>
      <c r="AQ4" t="e">
        <f>AND(#REF!,"AAAAAHu7/yo=")</f>
        <v>#REF!</v>
      </c>
      <c r="AR4" t="e">
        <f>AND(#REF!,"AAAAAHu7/ys=")</f>
        <v>#REF!</v>
      </c>
      <c r="AS4" t="e">
        <f>IF(#REF!,"AAAAAHu7/yw=",0)</f>
        <v>#REF!</v>
      </c>
      <c r="AT4" t="e">
        <f>AND(#REF!,"AAAAAHu7/y0=")</f>
        <v>#REF!</v>
      </c>
      <c r="AU4" t="e">
        <f>AND(#REF!,"AAAAAHu7/y4=")</f>
        <v>#REF!</v>
      </c>
      <c r="AV4" t="e">
        <f>AND(#REF!,"AAAAAHu7/y8=")</f>
        <v>#REF!</v>
      </c>
      <c r="AW4" t="e">
        <f>AND(#REF!,"AAAAAHu7/zA=")</f>
        <v>#REF!</v>
      </c>
      <c r="AX4" t="e">
        <f>AND(#REF!,"AAAAAHu7/zE=")</f>
        <v>#REF!</v>
      </c>
      <c r="AY4" t="e">
        <f>IF(#REF!,"AAAAAHu7/zI=",0)</f>
        <v>#REF!</v>
      </c>
      <c r="AZ4" t="e">
        <f>AND(#REF!,"AAAAAHu7/zM=")</f>
        <v>#REF!</v>
      </c>
      <c r="BA4" t="e">
        <f>AND(#REF!,"AAAAAHu7/zQ=")</f>
        <v>#REF!</v>
      </c>
      <c r="BB4" t="e">
        <f>AND(#REF!,"AAAAAHu7/zU=")</f>
        <v>#REF!</v>
      </c>
      <c r="BC4" t="e">
        <f>AND(#REF!,"AAAAAHu7/zY=")</f>
        <v>#REF!</v>
      </c>
      <c r="BD4" t="e">
        <f>AND(#REF!,"AAAAAHu7/zc=")</f>
        <v>#REF!</v>
      </c>
      <c r="BE4" t="e">
        <f>IF(#REF!,"AAAAAHu7/zg=",0)</f>
        <v>#REF!</v>
      </c>
      <c r="BF4" t="e">
        <f>AND(#REF!,"AAAAAHu7/zk=")</f>
        <v>#REF!</v>
      </c>
      <c r="BG4" t="e">
        <f>AND(#REF!,"AAAAAHu7/zo=")</f>
        <v>#REF!</v>
      </c>
      <c r="BH4" t="e">
        <f>AND(#REF!,"AAAAAHu7/zs=")</f>
        <v>#REF!</v>
      </c>
      <c r="BI4" t="e">
        <f>AND(#REF!,"AAAAAHu7/zw=")</f>
        <v>#REF!</v>
      </c>
      <c r="BJ4" t="e">
        <f>AND(#REF!,"AAAAAHu7/z0=")</f>
        <v>#REF!</v>
      </c>
      <c r="BK4" t="e">
        <f>IF(#REF!,"AAAAAHu7/z4=",0)</f>
        <v>#REF!</v>
      </c>
      <c r="BL4" t="e">
        <f>AND(#REF!,"AAAAAHu7/z8=")</f>
        <v>#REF!</v>
      </c>
      <c r="BM4" t="e">
        <f>AND(#REF!,"AAAAAHu7/0A=")</f>
        <v>#REF!</v>
      </c>
      <c r="BN4" t="e">
        <f>AND(#REF!,"AAAAAHu7/0E=")</f>
        <v>#REF!</v>
      </c>
      <c r="BO4" t="e">
        <f>AND(#REF!,"AAAAAHu7/0I=")</f>
        <v>#REF!</v>
      </c>
      <c r="BP4" t="e">
        <f>AND(#REF!,"AAAAAHu7/0M=")</f>
        <v>#REF!</v>
      </c>
      <c r="BQ4" t="e">
        <f>IF(#REF!,"AAAAAHu7/0Q=",0)</f>
        <v>#REF!</v>
      </c>
      <c r="BR4" t="e">
        <f>AND(#REF!,"AAAAAHu7/0U=")</f>
        <v>#REF!</v>
      </c>
      <c r="BS4" t="e">
        <f>AND(#REF!,"AAAAAHu7/0Y=")</f>
        <v>#REF!</v>
      </c>
      <c r="BT4" t="e">
        <f>AND(#REF!,"AAAAAHu7/0c=")</f>
        <v>#REF!</v>
      </c>
      <c r="BU4" t="e">
        <f>AND(#REF!,"AAAAAHu7/0g=")</f>
        <v>#REF!</v>
      </c>
      <c r="BV4" t="e">
        <f>AND(#REF!,"AAAAAHu7/0k=")</f>
        <v>#REF!</v>
      </c>
      <c r="BW4" t="e">
        <f>IF(#REF!,"AAAAAHu7/0o=",0)</f>
        <v>#REF!</v>
      </c>
      <c r="BX4" t="e">
        <f>AND(#REF!,"AAAAAHu7/0s=")</f>
        <v>#REF!</v>
      </c>
      <c r="BY4" t="e">
        <f>AND(#REF!,"AAAAAHu7/0w=")</f>
        <v>#REF!</v>
      </c>
      <c r="BZ4" t="e">
        <f>AND(#REF!,"AAAAAHu7/00=")</f>
        <v>#REF!</v>
      </c>
      <c r="CA4" t="e">
        <f>AND(#REF!,"AAAAAHu7/04=")</f>
        <v>#REF!</v>
      </c>
      <c r="CB4" t="e">
        <f>AND(#REF!,"AAAAAHu7/08=")</f>
        <v>#REF!</v>
      </c>
      <c r="CC4" t="e">
        <f>IF(#REF!,"AAAAAHu7/1A=",0)</f>
        <v>#REF!</v>
      </c>
      <c r="CD4" t="e">
        <f>AND(#REF!,"AAAAAHu7/1E=")</f>
        <v>#REF!</v>
      </c>
      <c r="CE4" t="e">
        <f>AND(#REF!,"AAAAAHu7/1I=")</f>
        <v>#REF!</v>
      </c>
      <c r="CF4" t="e">
        <f>AND(#REF!,"AAAAAHu7/1M=")</f>
        <v>#REF!</v>
      </c>
      <c r="CG4" t="e">
        <f>AND(#REF!,"AAAAAHu7/1Q=")</f>
        <v>#REF!</v>
      </c>
      <c r="CH4" t="e">
        <f>AND(#REF!,"AAAAAHu7/1U=")</f>
        <v>#REF!</v>
      </c>
      <c r="CI4" t="e">
        <f>IF(#REF!,"AAAAAHu7/1Y=",0)</f>
        <v>#REF!</v>
      </c>
      <c r="CJ4" t="e">
        <f>AND(#REF!,"AAAAAHu7/1c=")</f>
        <v>#REF!</v>
      </c>
      <c r="CK4" t="e">
        <f>AND(#REF!,"AAAAAHu7/1g=")</f>
        <v>#REF!</v>
      </c>
      <c r="CL4" t="e">
        <f>AND(#REF!,"AAAAAHu7/1k=")</f>
        <v>#REF!</v>
      </c>
      <c r="CM4" t="e">
        <f>AND(#REF!,"AAAAAHu7/1o=")</f>
        <v>#REF!</v>
      </c>
      <c r="CN4" t="e">
        <f>AND(#REF!,"AAAAAHu7/1s=")</f>
        <v>#REF!</v>
      </c>
      <c r="CO4" t="e">
        <f>IF(#REF!,"AAAAAHu7/1w=",0)</f>
        <v>#REF!</v>
      </c>
      <c r="CP4" t="e">
        <f>AND(#REF!,"AAAAAHu7/10=")</f>
        <v>#REF!</v>
      </c>
      <c r="CQ4" t="e">
        <f>AND(#REF!,"AAAAAHu7/14=")</f>
        <v>#REF!</v>
      </c>
      <c r="CR4" t="e">
        <f>AND(#REF!,"AAAAAHu7/18=")</f>
        <v>#REF!</v>
      </c>
      <c r="CS4" t="e">
        <f>AND(#REF!,"AAAAAHu7/2A=")</f>
        <v>#REF!</v>
      </c>
      <c r="CT4" t="e">
        <f>AND(#REF!,"AAAAAHu7/2E=")</f>
        <v>#REF!</v>
      </c>
      <c r="CU4" t="e">
        <f>IF(#REF!,"AAAAAHu7/2I=",0)</f>
        <v>#REF!</v>
      </c>
      <c r="CV4" t="e">
        <f>AND(#REF!,"AAAAAHu7/2M=")</f>
        <v>#REF!</v>
      </c>
      <c r="CW4" t="e">
        <f>AND(#REF!,"AAAAAHu7/2Q=")</f>
        <v>#REF!</v>
      </c>
      <c r="CX4" t="e">
        <f>AND(#REF!,"AAAAAHu7/2U=")</f>
        <v>#REF!</v>
      </c>
      <c r="CY4" t="e">
        <f>AND(#REF!,"AAAAAHu7/2Y=")</f>
        <v>#REF!</v>
      </c>
      <c r="CZ4" t="e">
        <f>AND(#REF!,"AAAAAHu7/2c=")</f>
        <v>#REF!</v>
      </c>
      <c r="DA4" t="e">
        <f>IF(#REF!,"AAAAAHu7/2g=",0)</f>
        <v>#REF!</v>
      </c>
      <c r="DB4" t="e">
        <f>AND(#REF!,"AAAAAHu7/2k=")</f>
        <v>#REF!</v>
      </c>
      <c r="DC4" t="e">
        <f>IF(#REF!,"AAAAAHu7/2o=",0)</f>
        <v>#REF!</v>
      </c>
      <c r="DD4" t="e">
        <f>AND(#REF!,"AAAAAHu7/2s=")</f>
        <v>#REF!</v>
      </c>
      <c r="DE4" t="e">
        <f>IF(#REF!,"AAAAAHu7/2w=",0)</f>
        <v>#REF!</v>
      </c>
      <c r="DF4" t="e">
        <f>AND(#REF!,"AAAAAHu7/20=")</f>
        <v>#REF!</v>
      </c>
      <c r="DG4" t="e">
        <f>IF(#REF!,"AAAAAHu7/24=",0)</f>
        <v>#REF!</v>
      </c>
      <c r="DH4" t="e">
        <f>IF(#REF!,"AAAAAHu7/28=",0)</f>
        <v>#REF!</v>
      </c>
      <c r="DI4" t="e">
        <f>IF(#REF!,"AAAAAHu7/3A=",0)</f>
        <v>#REF!</v>
      </c>
      <c r="DJ4" t="e">
        <f>IF(#REF!,"AAAAAHu7/3E=",0)</f>
        <v>#REF!</v>
      </c>
      <c r="DK4" t="e">
        <f>IF(#REF!,"AAAAAHu7/3I=",0)</f>
        <v>#REF!</v>
      </c>
      <c r="DL4" t="e">
        <f>IF(#REF!,"AAAAAHu7/3M=",0)</f>
        <v>#REF!</v>
      </c>
      <c r="DM4" t="e">
        <f>AND(#REF!,"AAAAAHu7/3Q=")</f>
        <v>#REF!</v>
      </c>
      <c r="DN4" t="e">
        <f>AND(#REF!,"AAAAAHu7/3U=")</f>
        <v>#REF!</v>
      </c>
      <c r="DO4" t="e">
        <f>AND(#REF!,"AAAAAHu7/3Y=")</f>
        <v>#REF!</v>
      </c>
      <c r="DP4" t="e">
        <f>AND(#REF!,"AAAAAHu7/3c=")</f>
        <v>#REF!</v>
      </c>
      <c r="DQ4" t="e">
        <f>AND(#REF!,"AAAAAHu7/3g=")</f>
        <v>#REF!</v>
      </c>
      <c r="DR4" t="e">
        <f>IF(#REF!,"AAAAAHu7/3k=",0)</f>
        <v>#REF!</v>
      </c>
      <c r="DS4" t="e">
        <f>AND(#REF!,"AAAAAHu7/3o=")</f>
        <v>#REF!</v>
      </c>
      <c r="DT4" t="e">
        <f>AND(#REF!,"AAAAAHu7/3s=")</f>
        <v>#REF!</v>
      </c>
      <c r="DU4" t="e">
        <f>AND(#REF!,"AAAAAHu7/3w=")</f>
        <v>#REF!</v>
      </c>
      <c r="DV4" t="e">
        <f>AND(#REF!,"AAAAAHu7/30=")</f>
        <v>#REF!</v>
      </c>
      <c r="DW4" t="e">
        <f>AND(#REF!,"AAAAAHu7/34=")</f>
        <v>#REF!</v>
      </c>
      <c r="DX4" t="e">
        <f>IF(#REF!,"AAAAAHu7/38=",0)</f>
        <v>#REF!</v>
      </c>
      <c r="DY4" t="e">
        <f>AND(#REF!,"AAAAAHu7/4A=")</f>
        <v>#REF!</v>
      </c>
      <c r="DZ4" t="e">
        <f>AND(#REF!,"AAAAAHu7/4E=")</f>
        <v>#REF!</v>
      </c>
      <c r="EA4" t="e">
        <f>AND(#REF!,"AAAAAHu7/4I=")</f>
        <v>#REF!</v>
      </c>
      <c r="EB4" t="e">
        <f>AND(#REF!,"AAAAAHu7/4M=")</f>
        <v>#REF!</v>
      </c>
      <c r="EC4" t="e">
        <f>AND(#REF!,"AAAAAHu7/4Q=")</f>
        <v>#REF!</v>
      </c>
      <c r="ED4" t="e">
        <f>IF(#REF!,"AAAAAHu7/4U=",0)</f>
        <v>#REF!</v>
      </c>
      <c r="EE4" t="e">
        <f>AND(#REF!,"AAAAAHu7/4Y=")</f>
        <v>#REF!</v>
      </c>
      <c r="EF4" t="e">
        <f>AND(#REF!,"AAAAAHu7/4c=")</f>
        <v>#REF!</v>
      </c>
      <c r="EG4" t="e">
        <f>AND(#REF!,"AAAAAHu7/4g=")</f>
        <v>#REF!</v>
      </c>
      <c r="EH4" t="e">
        <f>AND(#REF!,"AAAAAHu7/4k=")</f>
        <v>#REF!</v>
      </c>
      <c r="EI4" t="e">
        <f>AND(#REF!,"AAAAAHu7/4o=")</f>
        <v>#REF!</v>
      </c>
      <c r="EJ4" t="e">
        <f>IF(#REF!,"AAAAAHu7/4s=",0)</f>
        <v>#REF!</v>
      </c>
      <c r="EK4" t="e">
        <f>AND(#REF!,"AAAAAHu7/4w=")</f>
        <v>#REF!</v>
      </c>
      <c r="EL4" t="e">
        <f>AND(#REF!,"AAAAAHu7/40=")</f>
        <v>#REF!</v>
      </c>
      <c r="EM4" t="e">
        <f>AND(#REF!,"AAAAAHu7/44=")</f>
        <v>#REF!</v>
      </c>
      <c r="EN4" t="e">
        <f>AND(#REF!,"AAAAAHu7/48=")</f>
        <v>#REF!</v>
      </c>
      <c r="EO4" t="e">
        <f>AND(#REF!,"AAAAAHu7/5A=")</f>
        <v>#REF!</v>
      </c>
      <c r="EP4" t="e">
        <f>IF(#REF!,"AAAAAHu7/5E=",0)</f>
        <v>#REF!</v>
      </c>
      <c r="EQ4" t="e">
        <f>AND(#REF!,"AAAAAHu7/5I=")</f>
        <v>#REF!</v>
      </c>
      <c r="ER4" t="e">
        <f>AND(#REF!,"AAAAAHu7/5M=")</f>
        <v>#REF!</v>
      </c>
      <c r="ES4" t="e">
        <f>AND(#REF!,"AAAAAHu7/5Q=")</f>
        <v>#REF!</v>
      </c>
      <c r="ET4" t="e">
        <f>AND(#REF!,"AAAAAHu7/5U=")</f>
        <v>#REF!</v>
      </c>
      <c r="EU4" t="e">
        <f>AND(#REF!,"AAAAAHu7/5Y=")</f>
        <v>#REF!</v>
      </c>
      <c r="EV4" t="e">
        <f>IF(#REF!,"AAAAAHu7/5c=",0)</f>
        <v>#REF!</v>
      </c>
      <c r="EW4" t="e">
        <f>AND(#REF!,"AAAAAHu7/5g=")</f>
        <v>#REF!</v>
      </c>
      <c r="EX4" t="e">
        <f>AND(#REF!,"AAAAAHu7/5k=")</f>
        <v>#REF!</v>
      </c>
      <c r="EY4" t="e">
        <f>AND(#REF!,"AAAAAHu7/5o=")</f>
        <v>#REF!</v>
      </c>
      <c r="EZ4" t="e">
        <f>AND(#REF!,"AAAAAHu7/5s=")</f>
        <v>#REF!</v>
      </c>
      <c r="FA4" t="e">
        <f>AND(#REF!,"AAAAAHu7/5w=")</f>
        <v>#REF!</v>
      </c>
      <c r="FB4" t="e">
        <f>IF(#REF!,"AAAAAHu7/50=",0)</f>
        <v>#REF!</v>
      </c>
      <c r="FC4" t="e">
        <f>AND(#REF!,"AAAAAHu7/54=")</f>
        <v>#REF!</v>
      </c>
      <c r="FD4" t="e">
        <f>AND(#REF!,"AAAAAHu7/58=")</f>
        <v>#REF!</v>
      </c>
      <c r="FE4" t="e">
        <f>AND(#REF!,"AAAAAHu7/6A=")</f>
        <v>#REF!</v>
      </c>
      <c r="FF4" t="e">
        <f>AND(#REF!,"AAAAAHu7/6E=")</f>
        <v>#REF!</v>
      </c>
      <c r="FG4" t="e">
        <f>AND(#REF!,"AAAAAHu7/6I=")</f>
        <v>#REF!</v>
      </c>
      <c r="FH4" t="e">
        <f>IF(#REF!,"AAAAAHu7/6M=",0)</f>
        <v>#REF!</v>
      </c>
      <c r="FI4" t="e">
        <f>AND(#REF!,"AAAAAHu7/6Q=")</f>
        <v>#REF!</v>
      </c>
      <c r="FJ4" t="e">
        <f>AND(#REF!,"AAAAAHu7/6U=")</f>
        <v>#REF!</v>
      </c>
      <c r="FK4" t="e">
        <f>AND(#REF!,"AAAAAHu7/6Y=")</f>
        <v>#REF!</v>
      </c>
      <c r="FL4" t="e">
        <f>AND(#REF!,"AAAAAHu7/6c=")</f>
        <v>#REF!</v>
      </c>
      <c r="FM4" t="e">
        <f>AND(#REF!,"AAAAAHu7/6g=")</f>
        <v>#REF!</v>
      </c>
      <c r="FN4" t="e">
        <f>IF(#REF!,"AAAAAHu7/6k=",0)</f>
        <v>#REF!</v>
      </c>
      <c r="FO4" t="e">
        <f>AND(#REF!,"AAAAAHu7/6o=")</f>
        <v>#REF!</v>
      </c>
      <c r="FP4" t="e">
        <f>AND(#REF!,"AAAAAHu7/6s=")</f>
        <v>#REF!</v>
      </c>
      <c r="FQ4" t="e">
        <f>AND(#REF!,"AAAAAHu7/6w=")</f>
        <v>#REF!</v>
      </c>
      <c r="FR4" t="e">
        <f>AND(#REF!,"AAAAAHu7/60=")</f>
        <v>#REF!</v>
      </c>
      <c r="FS4" t="e">
        <f>AND(#REF!,"AAAAAHu7/64=")</f>
        <v>#REF!</v>
      </c>
      <c r="FT4" t="e">
        <f>IF(#REF!,"AAAAAHu7/68=",0)</f>
        <v>#REF!</v>
      </c>
      <c r="FU4" t="e">
        <f>AND(#REF!,"AAAAAHu7/7A=")</f>
        <v>#REF!</v>
      </c>
      <c r="FV4" t="e">
        <f>AND(#REF!,"AAAAAHu7/7E=")</f>
        <v>#REF!</v>
      </c>
      <c r="FW4" t="e">
        <f>AND(#REF!,"AAAAAHu7/7I=")</f>
        <v>#REF!</v>
      </c>
      <c r="FX4" t="e">
        <f>AND(#REF!,"AAAAAHu7/7M=")</f>
        <v>#REF!</v>
      </c>
      <c r="FY4" t="e">
        <f>AND(#REF!,"AAAAAHu7/7Q=")</f>
        <v>#REF!</v>
      </c>
      <c r="FZ4" t="e">
        <f>IF(#REF!,"AAAAAHu7/7U=",0)</f>
        <v>#REF!</v>
      </c>
      <c r="GA4" t="e">
        <f>AND(#REF!,"AAAAAHu7/7Y=")</f>
        <v>#REF!</v>
      </c>
      <c r="GB4" t="e">
        <f>AND(#REF!,"AAAAAHu7/7c=")</f>
        <v>#REF!</v>
      </c>
      <c r="GC4" t="e">
        <f>AND(#REF!,"AAAAAHu7/7g=")</f>
        <v>#REF!</v>
      </c>
      <c r="GD4" t="e">
        <f>AND(#REF!,"AAAAAHu7/7k=")</f>
        <v>#REF!</v>
      </c>
      <c r="GE4" t="e">
        <f>AND(#REF!,"AAAAAHu7/7o=")</f>
        <v>#REF!</v>
      </c>
      <c r="GF4" t="e">
        <f>IF(#REF!,"AAAAAHu7/7s=",0)</f>
        <v>#REF!</v>
      </c>
      <c r="GG4" t="e">
        <f>AND(#REF!,"AAAAAHu7/7w=")</f>
        <v>#REF!</v>
      </c>
      <c r="GH4" t="e">
        <f>AND(#REF!,"AAAAAHu7/70=")</f>
        <v>#REF!</v>
      </c>
      <c r="GI4" t="e">
        <f>AND(#REF!,"AAAAAHu7/74=")</f>
        <v>#REF!</v>
      </c>
      <c r="GJ4" t="e">
        <f>AND(#REF!,"AAAAAHu7/78=")</f>
        <v>#REF!</v>
      </c>
      <c r="GK4" t="e">
        <f>AND(#REF!,"AAAAAHu7/8A=")</f>
        <v>#REF!</v>
      </c>
      <c r="GL4" t="e">
        <f>IF(#REF!,"AAAAAHu7/8E=",0)</f>
        <v>#REF!</v>
      </c>
      <c r="GM4" t="e">
        <f>AND(#REF!,"AAAAAHu7/8I=")</f>
        <v>#REF!</v>
      </c>
      <c r="GN4" t="e">
        <f>AND(#REF!,"AAAAAHu7/8M=")</f>
        <v>#REF!</v>
      </c>
      <c r="GO4" t="e">
        <f>AND(#REF!,"AAAAAHu7/8Q=")</f>
        <v>#REF!</v>
      </c>
      <c r="GP4" t="e">
        <f>AND(#REF!,"AAAAAHu7/8U=")</f>
        <v>#REF!</v>
      </c>
      <c r="GQ4" t="e">
        <f>AND(#REF!,"AAAAAHu7/8Y=")</f>
        <v>#REF!</v>
      </c>
      <c r="GR4" t="e">
        <f>IF(#REF!,"AAAAAHu7/8c=",0)</f>
        <v>#REF!</v>
      </c>
      <c r="GS4" t="e">
        <f>AND(#REF!,"AAAAAHu7/8g=")</f>
        <v>#REF!</v>
      </c>
      <c r="GT4" t="e">
        <f>AND(#REF!,"AAAAAHu7/8k=")</f>
        <v>#REF!</v>
      </c>
      <c r="GU4" t="e">
        <f>AND(#REF!,"AAAAAHu7/8o=")</f>
        <v>#REF!</v>
      </c>
      <c r="GV4" t="e">
        <f>AND(#REF!,"AAAAAHu7/8s=")</f>
        <v>#REF!</v>
      </c>
      <c r="GW4" t="e">
        <f>AND(#REF!,"AAAAAHu7/8w=")</f>
        <v>#REF!</v>
      </c>
      <c r="GX4" t="e">
        <f>IF(#REF!,"AAAAAHu7/80=",0)</f>
        <v>#REF!</v>
      </c>
      <c r="GY4" t="e">
        <f>AND(#REF!,"AAAAAHu7/84=")</f>
        <v>#REF!</v>
      </c>
      <c r="GZ4" t="e">
        <f>AND(#REF!,"AAAAAHu7/88=")</f>
        <v>#REF!</v>
      </c>
      <c r="HA4" t="e">
        <f>AND(#REF!,"AAAAAHu7/9A=")</f>
        <v>#REF!</v>
      </c>
      <c r="HB4" t="e">
        <f>AND(#REF!,"AAAAAHu7/9E=")</f>
        <v>#REF!</v>
      </c>
      <c r="HC4" t="e">
        <f>AND(#REF!,"AAAAAHu7/9I=")</f>
        <v>#REF!</v>
      </c>
      <c r="HD4" t="e">
        <f>IF(#REF!,"AAAAAHu7/9M=",0)</f>
        <v>#REF!</v>
      </c>
      <c r="HE4" t="e">
        <f>AND(#REF!,"AAAAAHu7/9Q=")</f>
        <v>#REF!</v>
      </c>
      <c r="HF4" t="e">
        <f>AND(#REF!,"AAAAAHu7/9U=")</f>
        <v>#REF!</v>
      </c>
      <c r="HG4" t="e">
        <f>AND(#REF!,"AAAAAHu7/9Y=")</f>
        <v>#REF!</v>
      </c>
      <c r="HH4" t="e">
        <f>AND(#REF!,"AAAAAHu7/9c=")</f>
        <v>#REF!</v>
      </c>
      <c r="HI4" t="e">
        <f>AND(#REF!,"AAAAAHu7/9g=")</f>
        <v>#REF!</v>
      </c>
      <c r="HJ4" t="e">
        <f>IF(#REF!,"AAAAAHu7/9k=",0)</f>
        <v>#REF!</v>
      </c>
      <c r="HK4" t="e">
        <f>AND(#REF!,"AAAAAHu7/9o=")</f>
        <v>#REF!</v>
      </c>
      <c r="HL4" t="e">
        <f>AND(#REF!,"AAAAAHu7/9s=")</f>
        <v>#REF!</v>
      </c>
      <c r="HM4" t="e">
        <f>AND(#REF!,"AAAAAHu7/9w=")</f>
        <v>#REF!</v>
      </c>
      <c r="HN4" t="e">
        <f>AND(#REF!,"AAAAAHu7/90=")</f>
        <v>#REF!</v>
      </c>
      <c r="HO4" t="e">
        <f>AND(#REF!,"AAAAAHu7/94=")</f>
        <v>#REF!</v>
      </c>
      <c r="HP4" t="e">
        <f>IF(#REF!,"AAAAAHu7/98=",0)</f>
        <v>#REF!</v>
      </c>
      <c r="HQ4" t="e">
        <f>AND(#REF!,"AAAAAHu7/+A=")</f>
        <v>#REF!</v>
      </c>
      <c r="HR4" t="e">
        <f>IF(#REF!,"AAAAAHu7/+E=",0)</f>
        <v>#REF!</v>
      </c>
      <c r="HS4" t="e">
        <f>AND(#REF!,"AAAAAHu7/+I=")</f>
        <v>#REF!</v>
      </c>
      <c r="HT4" t="e">
        <f>IF(#REF!,"AAAAAHu7/+M=",0)</f>
        <v>#REF!</v>
      </c>
      <c r="HU4" t="e">
        <f>IF(#REF!,"AAAAAHu7/+Q=",0)</f>
        <v>#REF!</v>
      </c>
      <c r="HV4" t="e">
        <f>IF(#REF!,"AAAAAHu7/+U=",0)</f>
        <v>#REF!</v>
      </c>
      <c r="HW4" t="e">
        <f>IF(#REF!,"AAAAAHu7/+Y=",0)</f>
        <v>#REF!</v>
      </c>
      <c r="HX4" t="e">
        <f>IF(#REF!,"AAAAAHu7/+c=",0)</f>
        <v>#REF!</v>
      </c>
      <c r="HY4" t="e">
        <f>IF(#REF!,"AAAAAHu7/+g=",0)</f>
        <v>#REF!</v>
      </c>
      <c r="HZ4" t="e">
        <f>AND(#REF!,"AAAAAHu7/+k=")</f>
        <v>#REF!</v>
      </c>
      <c r="IA4" t="e">
        <f>AND(#REF!,"AAAAAHu7/+o=")</f>
        <v>#REF!</v>
      </c>
      <c r="IB4" t="e">
        <f>AND(#REF!,"AAAAAHu7/+s=")</f>
        <v>#REF!</v>
      </c>
      <c r="IC4" t="e">
        <f>AND(#REF!,"AAAAAHu7/+w=")</f>
        <v>#REF!</v>
      </c>
      <c r="ID4" t="e">
        <f>AND(#REF!,"AAAAAHu7/+0=")</f>
        <v>#REF!</v>
      </c>
      <c r="IE4" t="e">
        <f>IF(#REF!,"AAAAAHu7/+4=",0)</f>
        <v>#REF!</v>
      </c>
      <c r="IF4" t="e">
        <f>AND(#REF!,"AAAAAHu7/+8=")</f>
        <v>#REF!</v>
      </c>
      <c r="IG4" t="e">
        <f>AND(#REF!,"AAAAAHu7//A=")</f>
        <v>#REF!</v>
      </c>
      <c r="IH4" t="e">
        <f>AND(#REF!,"AAAAAHu7//E=")</f>
        <v>#REF!</v>
      </c>
      <c r="II4" t="e">
        <f>AND(#REF!,"AAAAAHu7//I=")</f>
        <v>#REF!</v>
      </c>
      <c r="IJ4" t="e">
        <f>AND(#REF!,"AAAAAHu7//M=")</f>
        <v>#REF!</v>
      </c>
      <c r="IK4" t="e">
        <f>IF(#REF!,"AAAAAHu7//Q=",0)</f>
        <v>#REF!</v>
      </c>
      <c r="IL4" t="e">
        <f>AND(#REF!,"AAAAAHu7//U=")</f>
        <v>#REF!</v>
      </c>
      <c r="IM4" t="e">
        <f>AND(#REF!,"AAAAAHu7//Y=")</f>
        <v>#REF!</v>
      </c>
      <c r="IN4" t="e">
        <f>AND(#REF!,"AAAAAHu7//c=")</f>
        <v>#REF!</v>
      </c>
      <c r="IO4" t="e">
        <f>AND(#REF!,"AAAAAHu7//g=")</f>
        <v>#REF!</v>
      </c>
      <c r="IP4" t="e">
        <f>AND(#REF!,"AAAAAHu7//k=")</f>
        <v>#REF!</v>
      </c>
      <c r="IQ4" t="e">
        <f>IF(#REF!,"AAAAAHu7//o=",0)</f>
        <v>#REF!</v>
      </c>
      <c r="IR4" t="e">
        <f>AND(#REF!,"AAAAAHu7//s=")</f>
        <v>#REF!</v>
      </c>
      <c r="IS4" t="e">
        <f>AND(#REF!,"AAAAAHu7//w=")</f>
        <v>#REF!</v>
      </c>
      <c r="IT4" t="e">
        <f>AND(#REF!,"AAAAAHu7//0=")</f>
        <v>#REF!</v>
      </c>
      <c r="IU4" t="e">
        <f>AND(#REF!,"AAAAAHu7//4=")</f>
        <v>#REF!</v>
      </c>
      <c r="IV4" t="e">
        <f>AND(#REF!,"AAAAAHu7//8=")</f>
        <v>#REF!</v>
      </c>
    </row>
    <row r="5" spans="1:256">
      <c r="A5" t="e">
        <f>IF(#REF!,"AAAAAD9+zwA=",0)</f>
        <v>#REF!</v>
      </c>
      <c r="B5" t="e">
        <f>AND(#REF!,"AAAAAD9+zwE=")</f>
        <v>#REF!</v>
      </c>
      <c r="C5" t="e">
        <f>AND(#REF!,"AAAAAD9+zwI=")</f>
        <v>#REF!</v>
      </c>
      <c r="D5" t="e">
        <f>AND(#REF!,"AAAAAD9+zwM=")</f>
        <v>#REF!</v>
      </c>
      <c r="E5" t="e">
        <f>AND(#REF!,"AAAAAD9+zwQ=")</f>
        <v>#REF!</v>
      </c>
      <c r="F5" t="e">
        <f>AND(#REF!,"AAAAAD9+zwU=")</f>
        <v>#REF!</v>
      </c>
      <c r="G5" t="e">
        <f>IF(#REF!,"AAAAAD9+zwY=",0)</f>
        <v>#REF!</v>
      </c>
      <c r="H5" t="e">
        <f>AND(#REF!,"AAAAAD9+zwc=")</f>
        <v>#REF!</v>
      </c>
      <c r="I5" t="e">
        <f>AND(#REF!,"AAAAAD9+zwg=")</f>
        <v>#REF!</v>
      </c>
      <c r="J5" t="e">
        <f>AND(#REF!,"AAAAAD9+zwk=")</f>
        <v>#REF!</v>
      </c>
      <c r="K5" t="e">
        <f>AND(#REF!,"AAAAAD9+zwo=")</f>
        <v>#REF!</v>
      </c>
      <c r="L5" t="e">
        <f>AND(#REF!,"AAAAAD9+zws=")</f>
        <v>#REF!</v>
      </c>
      <c r="M5" t="e">
        <f>IF(#REF!,"AAAAAD9+zww=",0)</f>
        <v>#REF!</v>
      </c>
      <c r="N5" t="e">
        <f>AND(#REF!,"AAAAAD9+zw0=")</f>
        <v>#REF!</v>
      </c>
      <c r="O5" t="e">
        <f>AND(#REF!,"AAAAAD9+zw4=")</f>
        <v>#REF!</v>
      </c>
      <c r="P5" t="e">
        <f>AND(#REF!,"AAAAAD9+zw8=")</f>
        <v>#REF!</v>
      </c>
      <c r="Q5" t="e">
        <f>AND(#REF!,"AAAAAD9+zxA=")</f>
        <v>#REF!</v>
      </c>
      <c r="R5" t="e">
        <f>AND(#REF!,"AAAAAD9+zxE=")</f>
        <v>#REF!</v>
      </c>
      <c r="S5" t="e">
        <f>IF(#REF!,"AAAAAD9+zxI=",0)</f>
        <v>#REF!</v>
      </c>
      <c r="T5" t="e">
        <f>AND(#REF!,"AAAAAD9+zxM=")</f>
        <v>#REF!</v>
      </c>
      <c r="U5" t="e">
        <f>AND(#REF!,"AAAAAD9+zxQ=")</f>
        <v>#REF!</v>
      </c>
      <c r="V5" t="e">
        <f>AND(#REF!,"AAAAAD9+zxU=")</f>
        <v>#REF!</v>
      </c>
      <c r="W5" t="e">
        <f>AND(#REF!,"AAAAAD9+zxY=")</f>
        <v>#REF!</v>
      </c>
      <c r="X5" t="e">
        <f>AND(#REF!,"AAAAAD9+zxc=")</f>
        <v>#REF!</v>
      </c>
      <c r="Y5" t="e">
        <f>IF(#REF!,"AAAAAD9+zxg=",0)</f>
        <v>#REF!</v>
      </c>
      <c r="Z5" t="e">
        <f>AND(#REF!,"AAAAAD9+zxk=")</f>
        <v>#REF!</v>
      </c>
      <c r="AA5" t="e">
        <f>AND(#REF!,"AAAAAD9+zxo=")</f>
        <v>#REF!</v>
      </c>
      <c r="AB5" t="e">
        <f>AND(#REF!,"AAAAAD9+zxs=")</f>
        <v>#REF!</v>
      </c>
      <c r="AC5" t="e">
        <f>AND(#REF!,"AAAAAD9+zxw=")</f>
        <v>#REF!</v>
      </c>
      <c r="AD5" t="e">
        <f>AND(#REF!,"AAAAAD9+zx0=")</f>
        <v>#REF!</v>
      </c>
      <c r="AE5" t="e">
        <f>IF(#REF!,"AAAAAD9+zx4=",0)</f>
        <v>#REF!</v>
      </c>
      <c r="AF5" t="e">
        <f>AND(#REF!,"AAAAAD9+zx8=")</f>
        <v>#REF!</v>
      </c>
      <c r="AG5" t="e">
        <f>AND(#REF!,"AAAAAD9+zyA=")</f>
        <v>#REF!</v>
      </c>
      <c r="AH5" t="e">
        <f>AND(#REF!,"AAAAAD9+zyE=")</f>
        <v>#REF!</v>
      </c>
      <c r="AI5" t="e">
        <f>AND(#REF!,"AAAAAD9+zyI=")</f>
        <v>#REF!</v>
      </c>
      <c r="AJ5" t="e">
        <f>AND(#REF!,"AAAAAD9+zyM=")</f>
        <v>#REF!</v>
      </c>
      <c r="AK5" t="e">
        <f>IF(#REF!,"AAAAAD9+zyQ=",0)</f>
        <v>#REF!</v>
      </c>
      <c r="AL5" t="e">
        <f>AND(#REF!,"AAAAAD9+zyU=")</f>
        <v>#REF!</v>
      </c>
      <c r="AM5" t="e">
        <f>AND(#REF!,"AAAAAD9+zyY=")</f>
        <v>#REF!</v>
      </c>
      <c r="AN5" t="e">
        <f>AND(#REF!,"AAAAAD9+zyc=")</f>
        <v>#REF!</v>
      </c>
      <c r="AO5" t="e">
        <f>AND(#REF!,"AAAAAD9+zyg=")</f>
        <v>#REF!</v>
      </c>
      <c r="AP5" t="e">
        <f>AND(#REF!,"AAAAAD9+zyk=")</f>
        <v>#REF!</v>
      </c>
      <c r="AQ5" t="e">
        <f>IF(#REF!,"AAAAAD9+zyo=",0)</f>
        <v>#REF!</v>
      </c>
      <c r="AR5" t="e">
        <f>AND(#REF!,"AAAAAD9+zys=")</f>
        <v>#REF!</v>
      </c>
      <c r="AS5" t="e">
        <f>AND(#REF!,"AAAAAD9+zyw=")</f>
        <v>#REF!</v>
      </c>
      <c r="AT5" t="e">
        <f>AND(#REF!,"AAAAAD9+zy0=")</f>
        <v>#REF!</v>
      </c>
      <c r="AU5" t="e">
        <f>AND(#REF!,"AAAAAD9+zy4=")</f>
        <v>#REF!</v>
      </c>
      <c r="AV5" t="e">
        <f>AND(#REF!,"AAAAAD9+zy8=")</f>
        <v>#REF!</v>
      </c>
      <c r="AW5" t="e">
        <f>IF(#REF!,"AAAAAD9+zzA=",0)</f>
        <v>#REF!</v>
      </c>
      <c r="AX5" t="e">
        <f>AND(#REF!,"AAAAAD9+zzE=")</f>
        <v>#REF!</v>
      </c>
      <c r="AY5" t="e">
        <f>AND(#REF!,"AAAAAD9+zzI=")</f>
        <v>#REF!</v>
      </c>
      <c r="AZ5" t="e">
        <f>AND(#REF!,"AAAAAD9+zzM=")</f>
        <v>#REF!</v>
      </c>
      <c r="BA5" t="e">
        <f>AND(#REF!,"AAAAAD9+zzQ=")</f>
        <v>#REF!</v>
      </c>
      <c r="BB5" t="e">
        <f>AND(#REF!,"AAAAAD9+zzU=")</f>
        <v>#REF!</v>
      </c>
      <c r="BC5" t="e">
        <f>IF(#REF!,"AAAAAD9+zzY=",0)</f>
        <v>#REF!</v>
      </c>
      <c r="BD5" t="e">
        <f>AND(#REF!,"AAAAAD9+zzc=")</f>
        <v>#REF!</v>
      </c>
      <c r="BE5" t="e">
        <f>AND(#REF!,"AAAAAD9+zzg=")</f>
        <v>#REF!</v>
      </c>
      <c r="BF5" t="e">
        <f>AND(#REF!,"AAAAAD9+zzk=")</f>
        <v>#REF!</v>
      </c>
      <c r="BG5" t="e">
        <f>AND(#REF!,"AAAAAD9+zzo=")</f>
        <v>#REF!</v>
      </c>
      <c r="BH5" t="e">
        <f>AND(#REF!,"AAAAAD9+zzs=")</f>
        <v>#REF!</v>
      </c>
      <c r="BI5" t="e">
        <f>IF(#REF!,"AAAAAD9+zzw=",0)</f>
        <v>#REF!</v>
      </c>
      <c r="BJ5" t="e">
        <f>AND(#REF!,"AAAAAD9+zz0=")</f>
        <v>#REF!</v>
      </c>
      <c r="BK5" t="e">
        <f>AND(#REF!,"AAAAAD9+zz4=")</f>
        <v>#REF!</v>
      </c>
      <c r="BL5" t="e">
        <f>AND(#REF!,"AAAAAD9+zz8=")</f>
        <v>#REF!</v>
      </c>
      <c r="BM5" t="e">
        <f>AND(#REF!,"AAAAAD9+z0A=")</f>
        <v>#REF!</v>
      </c>
      <c r="BN5" t="e">
        <f>AND(#REF!,"AAAAAD9+z0E=")</f>
        <v>#REF!</v>
      </c>
      <c r="BO5" t="e">
        <f>IF(#REF!,"AAAAAD9+z0I=",0)</f>
        <v>#REF!</v>
      </c>
      <c r="BP5" t="e">
        <f>AND(#REF!,"AAAAAD9+z0M=")</f>
        <v>#REF!</v>
      </c>
      <c r="BQ5" t="e">
        <f>AND(#REF!,"AAAAAD9+z0Q=")</f>
        <v>#REF!</v>
      </c>
      <c r="BR5" t="e">
        <f>AND(#REF!,"AAAAAD9+z0U=")</f>
        <v>#REF!</v>
      </c>
      <c r="BS5" t="e">
        <f>AND(#REF!,"AAAAAD9+z0Y=")</f>
        <v>#REF!</v>
      </c>
      <c r="BT5" t="e">
        <f>AND(#REF!,"AAAAAD9+z0c=")</f>
        <v>#REF!</v>
      </c>
      <c r="BU5" t="e">
        <f>IF(#REF!,"AAAAAD9+z0g=",0)</f>
        <v>#REF!</v>
      </c>
      <c r="BV5" t="e">
        <f>AND(#REF!,"AAAAAD9+z0k=")</f>
        <v>#REF!</v>
      </c>
      <c r="BW5" t="e">
        <f>AND(#REF!,"AAAAAD9+z0o=")</f>
        <v>#REF!</v>
      </c>
      <c r="BX5" t="e">
        <f>AND(#REF!,"AAAAAD9+z0s=")</f>
        <v>#REF!</v>
      </c>
      <c r="BY5" t="e">
        <f>AND(#REF!,"AAAAAD9+z0w=")</f>
        <v>#REF!</v>
      </c>
      <c r="BZ5" t="e">
        <f>AND(#REF!,"AAAAAD9+z00=")</f>
        <v>#REF!</v>
      </c>
      <c r="CA5" t="e">
        <f>IF(#REF!,"AAAAAD9+z04=",0)</f>
        <v>#REF!</v>
      </c>
      <c r="CB5" t="e">
        <f>AND(#REF!,"AAAAAD9+z08=")</f>
        <v>#REF!</v>
      </c>
      <c r="CC5" t="e">
        <f>AND(#REF!,"AAAAAD9+z1A=")</f>
        <v>#REF!</v>
      </c>
      <c r="CD5" t="e">
        <f>AND(#REF!,"AAAAAD9+z1E=")</f>
        <v>#REF!</v>
      </c>
      <c r="CE5" t="e">
        <f>AND(#REF!,"AAAAAD9+z1I=")</f>
        <v>#REF!</v>
      </c>
      <c r="CF5" t="e">
        <f>AND(#REF!,"AAAAAD9+z1M=")</f>
        <v>#REF!</v>
      </c>
      <c r="CG5" t="e">
        <f>IF(#REF!,"AAAAAD9+z1Q=",0)</f>
        <v>#REF!</v>
      </c>
      <c r="CH5" t="e">
        <f>AND(#REF!,"AAAAAD9+z1U=")</f>
        <v>#REF!</v>
      </c>
      <c r="CI5" t="e">
        <f>IF(#REF!,"AAAAAD9+z1Y=",0)</f>
        <v>#REF!</v>
      </c>
      <c r="CJ5" t="e">
        <f>AND(#REF!,"AAAAAD9+z1c=")</f>
        <v>#REF!</v>
      </c>
      <c r="CK5" t="e">
        <f>IF(#REF!,"AAAAAD9+z1g=",0)</f>
        <v>#REF!</v>
      </c>
      <c r="CL5" t="e">
        <f>IF(#REF!,"AAAAAD9+z1k=",0)</f>
        <v>#REF!</v>
      </c>
      <c r="CM5" t="e">
        <f>IF(#REF!,"AAAAAD9+z1o=",0)</f>
        <v>#REF!</v>
      </c>
      <c r="CN5" t="e">
        <f>IF(#REF!,"AAAAAD9+z1s=",0)</f>
        <v>#REF!</v>
      </c>
      <c r="CO5" t="e">
        <f>IF(#REF!,"AAAAAD9+z1w=",0)</f>
        <v>#REF!</v>
      </c>
      <c r="CP5" t="e">
        <f>IF(#REF!,"AAAAAD9+z10=",0)</f>
        <v>#REF!</v>
      </c>
      <c r="CQ5" t="e">
        <f>AND(#REF!,"AAAAAD9+z14=")</f>
        <v>#REF!</v>
      </c>
      <c r="CR5" t="e">
        <f>AND(#REF!,"AAAAAD9+z18=")</f>
        <v>#REF!</v>
      </c>
      <c r="CS5" t="e">
        <f>AND(#REF!,"AAAAAD9+z2A=")</f>
        <v>#REF!</v>
      </c>
      <c r="CT5" t="e">
        <f>AND(#REF!,"AAAAAD9+z2E=")</f>
        <v>#REF!</v>
      </c>
      <c r="CU5" t="e">
        <f>AND(#REF!,"AAAAAD9+z2I=")</f>
        <v>#REF!</v>
      </c>
      <c r="CV5" t="e">
        <f>IF(#REF!,"AAAAAD9+z2M=",0)</f>
        <v>#REF!</v>
      </c>
      <c r="CW5" t="e">
        <f>AND(#REF!,"AAAAAD9+z2Q=")</f>
        <v>#REF!</v>
      </c>
      <c r="CX5" t="e">
        <f>AND(#REF!,"AAAAAD9+z2U=")</f>
        <v>#REF!</v>
      </c>
      <c r="CY5" t="e">
        <f>AND(#REF!,"AAAAAD9+z2Y=")</f>
        <v>#REF!</v>
      </c>
      <c r="CZ5" t="e">
        <f>AND(#REF!,"AAAAAD9+z2c=")</f>
        <v>#REF!</v>
      </c>
      <c r="DA5" t="e">
        <f>IF(#REF!,"AAAAAD9+z2g=",0)</f>
        <v>#REF!</v>
      </c>
      <c r="DB5" t="e">
        <f>AND(#REF!,"AAAAAD9+z2k=")</f>
        <v>#REF!</v>
      </c>
      <c r="DC5" t="e">
        <f>AND(#REF!,"AAAAAD9+z2o=")</f>
        <v>#REF!</v>
      </c>
      <c r="DD5" t="e">
        <f>AND(#REF!,"AAAAAD9+z2s=")</f>
        <v>#REF!</v>
      </c>
      <c r="DE5" t="e">
        <f>AND(#REF!,"AAAAAD9+z2w=")</f>
        <v>#REF!</v>
      </c>
      <c r="DF5" t="e">
        <f>IF(#REF!,"AAAAAD9+z20=",0)</f>
        <v>#REF!</v>
      </c>
      <c r="DG5" t="e">
        <f>AND(#REF!,"AAAAAD9+z24=")</f>
        <v>#REF!</v>
      </c>
      <c r="DH5" t="e">
        <f>AND(#REF!,"AAAAAD9+z28=")</f>
        <v>#REF!</v>
      </c>
      <c r="DI5" t="e">
        <f>AND(#REF!,"AAAAAD9+z3A=")</f>
        <v>#REF!</v>
      </c>
      <c r="DJ5" t="e">
        <f>AND(#REF!,"AAAAAD9+z3E=")</f>
        <v>#REF!</v>
      </c>
      <c r="DK5" t="e">
        <f>IF(#REF!,"AAAAAD9+z3I=",0)</f>
        <v>#REF!</v>
      </c>
      <c r="DL5" t="e">
        <f>AND(#REF!,"AAAAAD9+z3M=")</f>
        <v>#REF!</v>
      </c>
      <c r="DM5" t="e">
        <f>AND(#REF!,"AAAAAD9+z3Q=")</f>
        <v>#REF!</v>
      </c>
      <c r="DN5" t="e">
        <f>AND(#REF!,"AAAAAD9+z3U=")</f>
        <v>#REF!</v>
      </c>
      <c r="DO5" t="e">
        <f>AND(#REF!,"AAAAAD9+z3Y=")</f>
        <v>#REF!</v>
      </c>
      <c r="DP5" t="e">
        <f>IF(#REF!,"AAAAAD9+z3c=",0)</f>
        <v>#REF!</v>
      </c>
      <c r="DQ5" t="e">
        <f>AND(#REF!,"AAAAAD9+z3g=")</f>
        <v>#REF!</v>
      </c>
      <c r="DR5" t="e">
        <f>AND(#REF!,"AAAAAD9+z3k=")</f>
        <v>#REF!</v>
      </c>
      <c r="DS5" t="e">
        <f>AND(#REF!,"AAAAAD9+z3o=")</f>
        <v>#REF!</v>
      </c>
      <c r="DT5" t="e">
        <f>AND(#REF!,"AAAAAD9+z3s=")</f>
        <v>#REF!</v>
      </c>
      <c r="DU5" t="e">
        <f>IF(#REF!,"AAAAAD9+z3w=",0)</f>
        <v>#REF!</v>
      </c>
      <c r="DV5" t="e">
        <f>AND(#REF!,"AAAAAD9+z30=")</f>
        <v>#REF!</v>
      </c>
      <c r="DW5" t="e">
        <f>AND(#REF!,"AAAAAD9+z34=")</f>
        <v>#REF!</v>
      </c>
      <c r="DX5" t="e">
        <f>AND(#REF!,"AAAAAD9+z38=")</f>
        <v>#REF!</v>
      </c>
      <c r="DY5" t="e">
        <f>AND(#REF!,"AAAAAD9+z4A=")</f>
        <v>#REF!</v>
      </c>
      <c r="DZ5" t="e">
        <f>IF(#REF!,"AAAAAD9+z4E=",0)</f>
        <v>#REF!</v>
      </c>
      <c r="EA5" t="e">
        <f>AND(#REF!,"AAAAAD9+z4I=")</f>
        <v>#REF!</v>
      </c>
      <c r="EB5" t="e">
        <f>AND(#REF!,"AAAAAD9+z4M=")</f>
        <v>#REF!</v>
      </c>
      <c r="EC5" t="e">
        <f>AND(#REF!,"AAAAAD9+z4Q=")</f>
        <v>#REF!</v>
      </c>
      <c r="ED5" t="e">
        <f>AND(#REF!,"AAAAAD9+z4U=")</f>
        <v>#REF!</v>
      </c>
      <c r="EE5" t="e">
        <f>IF(#REF!,"AAAAAD9+z4Y=",0)</f>
        <v>#REF!</v>
      </c>
      <c r="EF5" t="e">
        <f>AND(#REF!,"AAAAAD9+z4c=")</f>
        <v>#REF!</v>
      </c>
      <c r="EG5" t="e">
        <f>AND(#REF!,"AAAAAD9+z4g=")</f>
        <v>#REF!</v>
      </c>
      <c r="EH5" t="e">
        <f>AND(#REF!,"AAAAAD9+z4k=")</f>
        <v>#REF!</v>
      </c>
      <c r="EI5" t="e">
        <f>AND(#REF!,"AAAAAD9+z4o=")</f>
        <v>#REF!</v>
      </c>
      <c r="EJ5" t="e">
        <f>IF(#REF!,"AAAAAD9+z4s=",0)</f>
        <v>#REF!</v>
      </c>
      <c r="EK5" t="e">
        <f>AND(#REF!,"AAAAAD9+z4w=")</f>
        <v>#REF!</v>
      </c>
      <c r="EL5" t="e">
        <f>AND(#REF!,"AAAAAD9+z40=")</f>
        <v>#REF!</v>
      </c>
      <c r="EM5" t="e">
        <f>AND(#REF!,"AAAAAD9+z44=")</f>
        <v>#REF!</v>
      </c>
      <c r="EN5" t="e">
        <f>AND(#REF!,"AAAAAD9+z48=")</f>
        <v>#REF!</v>
      </c>
      <c r="EO5" t="e">
        <f>IF(#REF!,"AAAAAD9+z5A=",0)</f>
        <v>#REF!</v>
      </c>
      <c r="EP5" t="e">
        <f>AND(#REF!,"AAAAAD9+z5E=")</f>
        <v>#REF!</v>
      </c>
      <c r="EQ5" t="e">
        <f>AND(#REF!,"AAAAAD9+z5I=")</f>
        <v>#REF!</v>
      </c>
      <c r="ER5" t="e">
        <f>AND(#REF!,"AAAAAD9+z5M=")</f>
        <v>#REF!</v>
      </c>
      <c r="ES5" t="e">
        <f>AND(#REF!,"AAAAAD9+z5Q=")</f>
        <v>#REF!</v>
      </c>
      <c r="ET5" t="e">
        <f>IF(#REF!,"AAAAAD9+z5U=",0)</f>
        <v>#REF!</v>
      </c>
      <c r="EU5" t="e">
        <f>AND(#REF!,"AAAAAD9+z5Y=")</f>
        <v>#REF!</v>
      </c>
      <c r="EV5" t="e">
        <f>AND(#REF!,"AAAAAD9+z5c=")</f>
        <v>#REF!</v>
      </c>
      <c r="EW5" t="e">
        <f>AND(#REF!,"AAAAAD9+z5g=")</f>
        <v>#REF!</v>
      </c>
      <c r="EX5" t="e">
        <f>AND(#REF!,"AAAAAD9+z5k=")</f>
        <v>#REF!</v>
      </c>
      <c r="EY5" t="e">
        <f>IF(#REF!,"AAAAAD9+z5o=",0)</f>
        <v>#REF!</v>
      </c>
      <c r="EZ5" t="e">
        <f>AND(#REF!,"AAAAAD9+z5s=")</f>
        <v>#REF!</v>
      </c>
      <c r="FA5" t="e">
        <f>AND(#REF!,"AAAAAD9+z5w=")</f>
        <v>#REF!</v>
      </c>
      <c r="FB5" t="e">
        <f>AND(#REF!,"AAAAAD9+z50=")</f>
        <v>#REF!</v>
      </c>
      <c r="FC5" t="e">
        <f>AND(#REF!,"AAAAAD9+z54=")</f>
        <v>#REF!</v>
      </c>
      <c r="FD5" t="e">
        <f>IF(#REF!,"AAAAAD9+z58=",0)</f>
        <v>#REF!</v>
      </c>
      <c r="FE5" t="e">
        <f>AND(#REF!,"AAAAAD9+z6A=")</f>
        <v>#REF!</v>
      </c>
      <c r="FF5" t="e">
        <f>AND(#REF!,"AAAAAD9+z6E=")</f>
        <v>#REF!</v>
      </c>
      <c r="FG5" t="e">
        <f>AND(#REF!,"AAAAAD9+z6I=")</f>
        <v>#REF!</v>
      </c>
      <c r="FH5" t="e">
        <f>AND(#REF!,"AAAAAD9+z6M=")</f>
        <v>#REF!</v>
      </c>
      <c r="FI5" t="e">
        <f>IF(#REF!,"AAAAAD9+z6Q=",0)</f>
        <v>#REF!</v>
      </c>
      <c r="FJ5" t="e">
        <f>AND(#REF!,"AAAAAD9+z6U=")</f>
        <v>#REF!</v>
      </c>
      <c r="FK5" t="e">
        <f>AND(#REF!,"AAAAAD9+z6Y=")</f>
        <v>#REF!</v>
      </c>
      <c r="FL5" t="e">
        <f>AND(#REF!,"AAAAAD9+z6c=")</f>
        <v>#REF!</v>
      </c>
      <c r="FM5" t="e">
        <f>AND(#REF!,"AAAAAD9+z6g=")</f>
        <v>#REF!</v>
      </c>
      <c r="FN5" t="e">
        <f>IF(#REF!,"AAAAAD9+z6k=",0)</f>
        <v>#REF!</v>
      </c>
      <c r="FO5" t="e">
        <f>AND(#REF!,"AAAAAD9+z6o=")</f>
        <v>#REF!</v>
      </c>
      <c r="FP5" t="e">
        <f>AND(#REF!,"AAAAAD9+z6s=")</f>
        <v>#REF!</v>
      </c>
      <c r="FQ5" t="e">
        <f>AND(#REF!,"AAAAAD9+z6w=")</f>
        <v>#REF!</v>
      </c>
      <c r="FR5" t="e">
        <f>AND(#REF!,"AAAAAD9+z60=")</f>
        <v>#REF!</v>
      </c>
      <c r="FS5" t="e">
        <f>IF(#REF!,"AAAAAD9+z64=",0)</f>
        <v>#REF!</v>
      </c>
      <c r="FT5" t="e">
        <f>AND(#REF!,"AAAAAD9+z68=")</f>
        <v>#REF!</v>
      </c>
      <c r="FU5" t="e">
        <f>AND(#REF!,"AAAAAD9+z7A=")</f>
        <v>#REF!</v>
      </c>
      <c r="FV5" t="e">
        <f>AND(#REF!,"AAAAAD9+z7E=")</f>
        <v>#REF!</v>
      </c>
      <c r="FW5" t="e">
        <f>AND(#REF!,"AAAAAD9+z7I=")</f>
        <v>#REF!</v>
      </c>
      <c r="FX5" t="e">
        <f>IF(#REF!,"AAAAAD9+z7M=",0)</f>
        <v>#REF!</v>
      </c>
      <c r="FY5" t="e">
        <f>AND(#REF!,"AAAAAD9+z7Q=")</f>
        <v>#REF!</v>
      </c>
      <c r="FZ5" t="e">
        <f>AND(#REF!,"AAAAAD9+z7U=")</f>
        <v>#REF!</v>
      </c>
      <c r="GA5" t="e">
        <f>AND(#REF!,"AAAAAD9+z7Y=")</f>
        <v>#REF!</v>
      </c>
      <c r="GB5" t="e">
        <f>AND(#REF!,"AAAAAD9+z7c=")</f>
        <v>#REF!</v>
      </c>
      <c r="GC5" t="e">
        <f>IF(#REF!,"AAAAAD9+z7g=",0)</f>
        <v>#REF!</v>
      </c>
      <c r="GD5" t="e">
        <f>IF(#REF!,"AAAAAD9+z7k=",0)</f>
        <v>#REF!</v>
      </c>
      <c r="GE5" t="e">
        <f>IF(#REF!,"AAAAAD9+z7o=",0)</f>
        <v>#REF!</v>
      </c>
      <c r="GF5" t="e">
        <f>IF(#REF!,"AAAAAD9+z7s=",0)</f>
        <v>#REF!</v>
      </c>
      <c r="GG5" t="e">
        <f>IF(#REF!,"AAAAAD9+z7w=",0)</f>
        <v>#REF!</v>
      </c>
      <c r="GH5" t="e">
        <f>IF(#REF!,"AAAAAD9+z70=",0)</f>
        <v>#REF!</v>
      </c>
      <c r="GI5" t="e">
        <f>AND(#REF!,"AAAAAD9+z74=")</f>
        <v>#REF!</v>
      </c>
      <c r="GJ5" t="e">
        <f>AND(#REF!,"AAAAAD9+z78=")</f>
        <v>#REF!</v>
      </c>
      <c r="GK5" t="e">
        <f>AND(#REF!,"AAAAAD9+z8A=")</f>
        <v>#REF!</v>
      </c>
      <c r="GL5" t="e">
        <f>AND(#REF!,"AAAAAD9+z8E=")</f>
        <v>#REF!</v>
      </c>
      <c r="GM5" t="e">
        <f>AND(#REF!,"AAAAAD9+z8I=")</f>
        <v>#REF!</v>
      </c>
      <c r="GN5" t="e">
        <f>IF(#REF!,"AAAAAD9+z8M=",0)</f>
        <v>#REF!</v>
      </c>
      <c r="GO5" t="e">
        <f>AND(#REF!,"AAAAAD9+z8Q=")</f>
        <v>#REF!</v>
      </c>
      <c r="GP5" t="e">
        <f>AND(#REF!,"AAAAAD9+z8U=")</f>
        <v>#REF!</v>
      </c>
      <c r="GQ5" t="e">
        <f>AND(#REF!,"AAAAAD9+z8Y=")</f>
        <v>#REF!</v>
      </c>
      <c r="GR5" t="e">
        <f>AND(#REF!,"AAAAAD9+z8c=")</f>
        <v>#REF!</v>
      </c>
      <c r="GS5" t="e">
        <f>AND(#REF!,"AAAAAD9+z8g=")</f>
        <v>#REF!</v>
      </c>
      <c r="GT5" t="e">
        <f>IF(#REF!,"AAAAAD9+z8k=",0)</f>
        <v>#REF!</v>
      </c>
      <c r="GU5" t="e">
        <f>AND(#REF!,"AAAAAD9+z8o=")</f>
        <v>#REF!</v>
      </c>
      <c r="GV5" t="e">
        <f>AND(#REF!,"AAAAAD9+z8s=")</f>
        <v>#REF!</v>
      </c>
      <c r="GW5" t="e">
        <f>AND(#REF!,"AAAAAD9+z8w=")</f>
        <v>#REF!</v>
      </c>
      <c r="GX5" t="e">
        <f>AND(#REF!,"AAAAAD9+z80=")</f>
        <v>#REF!</v>
      </c>
      <c r="GY5" t="e">
        <f>AND(#REF!,"AAAAAD9+z84=")</f>
        <v>#REF!</v>
      </c>
      <c r="GZ5" t="e">
        <f>IF(#REF!,"AAAAAD9+z88=",0)</f>
        <v>#REF!</v>
      </c>
      <c r="HA5" t="e">
        <f>AND(#REF!,"AAAAAD9+z9A=")</f>
        <v>#REF!</v>
      </c>
      <c r="HB5" t="e">
        <f>AND(#REF!,"AAAAAD9+z9E=")</f>
        <v>#REF!</v>
      </c>
      <c r="HC5" t="e">
        <f>AND(#REF!,"AAAAAD9+z9I=")</f>
        <v>#REF!</v>
      </c>
      <c r="HD5" t="e">
        <f>AND(#REF!,"AAAAAD9+z9M=")</f>
        <v>#REF!</v>
      </c>
      <c r="HE5" t="e">
        <f>AND(#REF!,"AAAAAD9+z9Q=")</f>
        <v>#REF!</v>
      </c>
      <c r="HF5" t="e">
        <f>IF(#REF!,"AAAAAD9+z9U=",0)</f>
        <v>#REF!</v>
      </c>
      <c r="HG5" t="e">
        <f>AND(#REF!,"AAAAAD9+z9Y=")</f>
        <v>#REF!</v>
      </c>
      <c r="HH5" t="e">
        <f>AND(#REF!,"AAAAAD9+z9c=")</f>
        <v>#REF!</v>
      </c>
      <c r="HI5" t="e">
        <f>AND(#REF!,"AAAAAD9+z9g=")</f>
        <v>#REF!</v>
      </c>
      <c r="HJ5" t="e">
        <f>AND(#REF!,"AAAAAD9+z9k=")</f>
        <v>#REF!</v>
      </c>
      <c r="HK5" t="e">
        <f>AND(#REF!,"AAAAAD9+z9o=")</f>
        <v>#REF!</v>
      </c>
      <c r="HL5" t="e">
        <f>IF(#REF!,"AAAAAD9+z9s=",0)</f>
        <v>#REF!</v>
      </c>
      <c r="HM5" t="e">
        <f>AND(#REF!,"AAAAAD9+z9w=")</f>
        <v>#REF!</v>
      </c>
      <c r="HN5" t="e">
        <f>AND(#REF!,"AAAAAD9+z90=")</f>
        <v>#REF!</v>
      </c>
      <c r="HO5" t="e">
        <f>AND(#REF!,"AAAAAD9+z94=")</f>
        <v>#REF!</v>
      </c>
      <c r="HP5" t="e">
        <f>AND(#REF!,"AAAAAD9+z98=")</f>
        <v>#REF!</v>
      </c>
      <c r="HQ5" t="e">
        <f>AND(#REF!,"AAAAAD9+z+A=")</f>
        <v>#REF!</v>
      </c>
      <c r="HR5" t="e">
        <f>IF(#REF!,"AAAAAD9+z+E=",0)</f>
        <v>#REF!</v>
      </c>
      <c r="HS5" t="e">
        <f>AND(#REF!,"AAAAAD9+z+I=")</f>
        <v>#REF!</v>
      </c>
      <c r="HT5" t="e">
        <f>AND(#REF!,"AAAAAD9+z+M=")</f>
        <v>#REF!</v>
      </c>
      <c r="HU5" t="e">
        <f>AND(#REF!,"AAAAAD9+z+Q=")</f>
        <v>#REF!</v>
      </c>
      <c r="HV5" t="e">
        <f>AND(#REF!,"AAAAAD9+z+U=")</f>
        <v>#REF!</v>
      </c>
      <c r="HW5" t="e">
        <f>AND(#REF!,"AAAAAD9+z+Y=")</f>
        <v>#REF!</v>
      </c>
      <c r="HX5" t="e">
        <f>IF(#REF!,"AAAAAD9+z+c=",0)</f>
        <v>#REF!</v>
      </c>
      <c r="HY5" t="e">
        <f>AND(#REF!,"AAAAAD9+z+g=")</f>
        <v>#REF!</v>
      </c>
      <c r="HZ5" t="e">
        <f>AND(#REF!,"AAAAAD9+z+k=")</f>
        <v>#REF!</v>
      </c>
      <c r="IA5" t="e">
        <f>AND(#REF!,"AAAAAD9+z+o=")</f>
        <v>#REF!</v>
      </c>
      <c r="IB5" t="e">
        <f>AND(#REF!,"AAAAAD9+z+s=")</f>
        <v>#REF!</v>
      </c>
      <c r="IC5" t="e">
        <f>AND(#REF!,"AAAAAD9+z+w=")</f>
        <v>#REF!</v>
      </c>
      <c r="ID5" t="e">
        <f>IF(#REF!,"AAAAAD9+z+0=",0)</f>
        <v>#REF!</v>
      </c>
      <c r="IE5" t="e">
        <f>AND(#REF!,"AAAAAD9+z+4=")</f>
        <v>#REF!</v>
      </c>
      <c r="IF5" t="e">
        <f>AND(#REF!,"AAAAAD9+z+8=")</f>
        <v>#REF!</v>
      </c>
      <c r="IG5" t="e">
        <f>AND(#REF!,"AAAAAD9+z/A=")</f>
        <v>#REF!</v>
      </c>
      <c r="IH5" t="e">
        <f>AND(#REF!,"AAAAAD9+z/E=")</f>
        <v>#REF!</v>
      </c>
      <c r="II5" t="e">
        <f>AND(#REF!,"AAAAAD9+z/I=")</f>
        <v>#REF!</v>
      </c>
      <c r="IJ5" t="e">
        <f>IF(#REF!,"AAAAAD9+z/M=",0)</f>
        <v>#REF!</v>
      </c>
      <c r="IK5" t="e">
        <f>AND(#REF!,"AAAAAD9+z/Q=")</f>
        <v>#REF!</v>
      </c>
      <c r="IL5" t="e">
        <f>AND(#REF!,"AAAAAD9+z/U=")</f>
        <v>#REF!</v>
      </c>
      <c r="IM5" t="e">
        <f>AND(#REF!,"AAAAAD9+z/Y=")</f>
        <v>#REF!</v>
      </c>
      <c r="IN5" t="e">
        <f>AND(#REF!,"AAAAAD9+z/c=")</f>
        <v>#REF!</v>
      </c>
      <c r="IO5" t="e">
        <f>AND(#REF!,"AAAAAD9+z/g=")</f>
        <v>#REF!</v>
      </c>
      <c r="IP5" t="e">
        <f>IF(#REF!,"AAAAAD9+z/k=",0)</f>
        <v>#REF!</v>
      </c>
      <c r="IQ5" t="e">
        <f>AND(#REF!,"AAAAAD9+z/o=")</f>
        <v>#REF!</v>
      </c>
      <c r="IR5" t="e">
        <f>AND(#REF!,"AAAAAD9+z/s=")</f>
        <v>#REF!</v>
      </c>
      <c r="IS5" t="e">
        <f>AND(#REF!,"AAAAAD9+z/w=")</f>
        <v>#REF!</v>
      </c>
      <c r="IT5" t="e">
        <f>AND(#REF!,"AAAAAD9+z/0=")</f>
        <v>#REF!</v>
      </c>
      <c r="IU5" t="e">
        <f>AND(#REF!,"AAAAAD9+z/4=")</f>
        <v>#REF!</v>
      </c>
      <c r="IV5" t="e">
        <f>IF(#REF!,"AAAAAD9+z/8=",0)</f>
        <v>#REF!</v>
      </c>
    </row>
    <row r="6" spans="1:256">
      <c r="A6" t="e">
        <f>AND(#REF!,"AAAAAFnW/QA=")</f>
        <v>#REF!</v>
      </c>
      <c r="B6" t="e">
        <f>AND(#REF!,"AAAAAFnW/QE=")</f>
        <v>#REF!</v>
      </c>
      <c r="C6" t="e">
        <f>AND(#REF!,"AAAAAFnW/QI=")</f>
        <v>#REF!</v>
      </c>
      <c r="D6" t="e">
        <f>AND(#REF!,"AAAAAFnW/QM=")</f>
        <v>#REF!</v>
      </c>
      <c r="E6" t="e">
        <f>AND(#REF!,"AAAAAFnW/QQ=")</f>
        <v>#REF!</v>
      </c>
      <c r="F6" t="e">
        <f>IF(#REF!,"AAAAAFnW/QU=",0)</f>
        <v>#REF!</v>
      </c>
      <c r="G6" t="e">
        <f>AND(#REF!,"AAAAAFnW/QY=")</f>
        <v>#REF!</v>
      </c>
      <c r="H6" t="e">
        <f>AND(#REF!,"AAAAAFnW/Qc=")</f>
        <v>#REF!</v>
      </c>
      <c r="I6" t="e">
        <f>AND(#REF!,"AAAAAFnW/Qg=")</f>
        <v>#REF!</v>
      </c>
      <c r="J6" t="e">
        <f>AND(#REF!,"AAAAAFnW/Qk=")</f>
        <v>#REF!</v>
      </c>
      <c r="K6" t="e">
        <f>AND(#REF!,"AAAAAFnW/Qo=")</f>
        <v>#REF!</v>
      </c>
      <c r="L6" t="e">
        <f>IF(#REF!,"AAAAAFnW/Qs=",0)</f>
        <v>#REF!</v>
      </c>
      <c r="M6" t="e">
        <f>AND(#REF!,"AAAAAFnW/Qw=")</f>
        <v>#REF!</v>
      </c>
      <c r="N6" t="e">
        <f>AND(#REF!,"AAAAAFnW/Q0=")</f>
        <v>#REF!</v>
      </c>
      <c r="O6" t="e">
        <f>AND(#REF!,"AAAAAFnW/Q4=")</f>
        <v>#REF!</v>
      </c>
      <c r="P6" t="e">
        <f>AND(#REF!,"AAAAAFnW/Q8=")</f>
        <v>#REF!</v>
      </c>
      <c r="Q6" t="e">
        <f>AND(#REF!,"AAAAAFnW/RA=")</f>
        <v>#REF!</v>
      </c>
      <c r="R6" t="e">
        <f>IF(#REF!,"AAAAAFnW/RE=",0)</f>
        <v>#REF!</v>
      </c>
      <c r="S6" t="e">
        <f>AND(#REF!,"AAAAAFnW/RI=")</f>
        <v>#REF!</v>
      </c>
      <c r="T6" t="e">
        <f>AND(#REF!,"AAAAAFnW/RM=")</f>
        <v>#REF!</v>
      </c>
      <c r="U6" t="e">
        <f>AND(#REF!,"AAAAAFnW/RQ=")</f>
        <v>#REF!</v>
      </c>
      <c r="V6" t="e">
        <f>AND(#REF!,"AAAAAFnW/RU=")</f>
        <v>#REF!</v>
      </c>
      <c r="W6" t="e">
        <f>AND(#REF!,"AAAAAFnW/RY=")</f>
        <v>#REF!</v>
      </c>
      <c r="X6" t="e">
        <f>IF(#REF!,"AAAAAFnW/Rc=",0)</f>
        <v>#REF!</v>
      </c>
      <c r="Y6" t="e">
        <f>AND(#REF!,"AAAAAFnW/Rg=")</f>
        <v>#REF!</v>
      </c>
      <c r="Z6" t="e">
        <f>AND(#REF!,"AAAAAFnW/Rk=")</f>
        <v>#REF!</v>
      </c>
      <c r="AA6" t="e">
        <f>AND(#REF!,"AAAAAFnW/Ro=")</f>
        <v>#REF!</v>
      </c>
      <c r="AB6" t="e">
        <f>AND(#REF!,"AAAAAFnW/Rs=")</f>
        <v>#REF!</v>
      </c>
      <c r="AC6" t="e">
        <f>AND(#REF!,"AAAAAFnW/Rw=")</f>
        <v>#REF!</v>
      </c>
      <c r="AD6" t="e">
        <f>IF(#REF!,"AAAAAFnW/R0=",0)</f>
        <v>#REF!</v>
      </c>
      <c r="AE6" t="e">
        <f>AND(#REF!,"AAAAAFnW/R4=")</f>
        <v>#REF!</v>
      </c>
      <c r="AF6" t="e">
        <f>AND(#REF!,"AAAAAFnW/R8=")</f>
        <v>#REF!</v>
      </c>
      <c r="AG6" t="e">
        <f>AND(#REF!,"AAAAAFnW/SA=")</f>
        <v>#REF!</v>
      </c>
      <c r="AH6" t="e">
        <f>AND(#REF!,"AAAAAFnW/SE=")</f>
        <v>#REF!</v>
      </c>
      <c r="AI6" t="e">
        <f>AND(#REF!,"AAAAAFnW/SI=")</f>
        <v>#REF!</v>
      </c>
      <c r="AJ6" t="e">
        <f>IF(#REF!,"AAAAAFnW/SM=",0)</f>
        <v>#REF!</v>
      </c>
      <c r="AK6" t="e">
        <f>AND(#REF!,"AAAAAFnW/SQ=")</f>
        <v>#REF!</v>
      </c>
      <c r="AL6" t="e">
        <f>AND(#REF!,"AAAAAFnW/SU=")</f>
        <v>#REF!</v>
      </c>
      <c r="AM6" t="e">
        <f>AND(#REF!,"AAAAAFnW/SY=")</f>
        <v>#REF!</v>
      </c>
      <c r="AN6" t="e">
        <f>AND(#REF!,"AAAAAFnW/Sc=")</f>
        <v>#REF!</v>
      </c>
      <c r="AO6" t="e">
        <f>AND(#REF!,"AAAAAFnW/Sg=")</f>
        <v>#REF!</v>
      </c>
      <c r="AP6" t="e">
        <f>IF(#REF!,"AAAAAFnW/Sk=",0)</f>
        <v>#REF!</v>
      </c>
      <c r="AQ6" t="e">
        <f>AND(#REF!,"AAAAAFnW/So=")</f>
        <v>#REF!</v>
      </c>
      <c r="AR6" t="e">
        <f>IF(#REF!,"AAAAAFnW/Ss=",0)</f>
        <v>#REF!</v>
      </c>
      <c r="AS6" t="e">
        <f>AND(#REF!,"AAAAAFnW/Sw=")</f>
        <v>#REF!</v>
      </c>
      <c r="AT6" t="e">
        <f>IF(#REF!,"AAAAAFnW/S0=",0)</f>
        <v>#REF!</v>
      </c>
      <c r="AU6" t="e">
        <f>AND(#REF!,"AAAAAFnW/S4=")</f>
        <v>#REF!</v>
      </c>
      <c r="AV6" t="e">
        <f>IF(#REF!,"AAAAAFnW/S8=",0)</f>
        <v>#REF!</v>
      </c>
      <c r="AW6" t="e">
        <f>IF(#REF!,"AAAAAFnW/TA=",0)</f>
        <v>#REF!</v>
      </c>
      <c r="AX6" t="e">
        <f>IF(#REF!,"AAAAAFnW/TE=",0)</f>
        <v>#REF!</v>
      </c>
      <c r="AY6" t="e">
        <f>IF(#REF!,"AAAAAFnW/TI=",0)</f>
        <v>#REF!</v>
      </c>
      <c r="AZ6" t="e">
        <f>IF(#REF!,"AAAAAFnW/TM=",0)</f>
        <v>#REF!</v>
      </c>
      <c r="BA6" t="e">
        <f>IF(#REF!,"AAAAAFnW/TQ=",0)</f>
        <v>#REF!</v>
      </c>
      <c r="BB6" t="e">
        <f>AND(#REF!,"AAAAAFnW/TU=")</f>
        <v>#REF!</v>
      </c>
      <c r="BC6" t="e">
        <f>AND(#REF!,"AAAAAFnW/TY=")</f>
        <v>#REF!</v>
      </c>
      <c r="BD6" t="e">
        <f>AND(#REF!,"AAAAAFnW/Tc=")</f>
        <v>#REF!</v>
      </c>
      <c r="BE6" t="e">
        <f>AND(#REF!,"AAAAAFnW/Tg=")</f>
        <v>#REF!</v>
      </c>
      <c r="BF6" t="e">
        <f>AND(#REF!,"AAAAAFnW/Tk=")</f>
        <v>#REF!</v>
      </c>
      <c r="BG6" t="e">
        <f>IF(#REF!,"AAAAAFnW/To=",0)</f>
        <v>#REF!</v>
      </c>
      <c r="BH6" t="e">
        <f>AND(#REF!,"AAAAAFnW/Ts=")</f>
        <v>#REF!</v>
      </c>
      <c r="BI6" t="e">
        <f>AND(#REF!,"AAAAAFnW/Tw=")</f>
        <v>#REF!</v>
      </c>
      <c r="BJ6" t="e">
        <f>AND(#REF!,"AAAAAFnW/T0=")</f>
        <v>#REF!</v>
      </c>
      <c r="BK6" t="e">
        <f>AND(#REF!,"AAAAAFnW/T4=")</f>
        <v>#REF!</v>
      </c>
      <c r="BL6" t="e">
        <f>AND(#REF!,"AAAAAFnW/T8=")</f>
        <v>#REF!</v>
      </c>
      <c r="BM6" t="e">
        <f>IF(#REF!,"AAAAAFnW/UA=",0)</f>
        <v>#REF!</v>
      </c>
      <c r="BN6" t="e">
        <f>AND(#REF!,"AAAAAFnW/UE=")</f>
        <v>#REF!</v>
      </c>
      <c r="BO6" t="e">
        <f>AND(#REF!,"AAAAAFnW/UI=")</f>
        <v>#REF!</v>
      </c>
      <c r="BP6" t="e">
        <f>AND(#REF!,"AAAAAFnW/UM=")</f>
        <v>#REF!</v>
      </c>
      <c r="BQ6" t="e">
        <f>AND(#REF!,"AAAAAFnW/UQ=")</f>
        <v>#REF!</v>
      </c>
      <c r="BR6" t="e">
        <f>AND(#REF!,"AAAAAFnW/UU=")</f>
        <v>#REF!</v>
      </c>
      <c r="BS6" t="e">
        <f>IF(#REF!,"AAAAAFnW/UY=",0)</f>
        <v>#REF!</v>
      </c>
      <c r="BT6" t="e">
        <f>AND(#REF!,"AAAAAFnW/Uc=")</f>
        <v>#REF!</v>
      </c>
      <c r="BU6" t="e">
        <f>AND(#REF!,"AAAAAFnW/Ug=")</f>
        <v>#REF!</v>
      </c>
      <c r="BV6" t="e">
        <f>AND(#REF!,"AAAAAFnW/Uk=")</f>
        <v>#REF!</v>
      </c>
      <c r="BW6" t="e">
        <f>AND(#REF!,"AAAAAFnW/Uo=")</f>
        <v>#REF!</v>
      </c>
      <c r="BX6" t="e">
        <f>AND(#REF!,"AAAAAFnW/Us=")</f>
        <v>#REF!</v>
      </c>
      <c r="BY6" t="e">
        <f>IF(#REF!,"AAAAAFnW/Uw=",0)</f>
        <v>#REF!</v>
      </c>
      <c r="BZ6" t="e">
        <f>AND(#REF!,"AAAAAFnW/U0=")</f>
        <v>#REF!</v>
      </c>
      <c r="CA6" t="e">
        <f>AND(#REF!,"AAAAAFnW/U4=")</f>
        <v>#REF!</v>
      </c>
      <c r="CB6" t="e">
        <f>AND(#REF!,"AAAAAFnW/U8=")</f>
        <v>#REF!</v>
      </c>
      <c r="CC6" t="e">
        <f>AND(#REF!,"AAAAAFnW/VA=")</f>
        <v>#REF!</v>
      </c>
      <c r="CD6" t="e">
        <f>AND(#REF!,"AAAAAFnW/VE=")</f>
        <v>#REF!</v>
      </c>
      <c r="CE6" t="e">
        <f>IF(#REF!,"AAAAAFnW/VI=",0)</f>
        <v>#REF!</v>
      </c>
      <c r="CF6" t="e">
        <f>AND(#REF!,"AAAAAFnW/VM=")</f>
        <v>#REF!</v>
      </c>
      <c r="CG6" t="e">
        <f>AND(#REF!,"AAAAAFnW/VQ=")</f>
        <v>#REF!</v>
      </c>
      <c r="CH6" t="e">
        <f>AND(#REF!,"AAAAAFnW/VU=")</f>
        <v>#REF!</v>
      </c>
      <c r="CI6" t="e">
        <f>AND(#REF!,"AAAAAFnW/VY=")</f>
        <v>#REF!</v>
      </c>
      <c r="CJ6" t="e">
        <f>AND(#REF!,"AAAAAFnW/Vc=")</f>
        <v>#REF!</v>
      </c>
      <c r="CK6" t="e">
        <f>IF(#REF!,"AAAAAFnW/Vg=",0)</f>
        <v>#REF!</v>
      </c>
      <c r="CL6" t="e">
        <f>AND(#REF!,"AAAAAFnW/Vk=")</f>
        <v>#REF!</v>
      </c>
      <c r="CM6" t="e">
        <f>AND(#REF!,"AAAAAFnW/Vo=")</f>
        <v>#REF!</v>
      </c>
      <c r="CN6" t="e">
        <f>AND(#REF!,"AAAAAFnW/Vs=")</f>
        <v>#REF!</v>
      </c>
      <c r="CO6" t="e">
        <f>AND(#REF!,"AAAAAFnW/Vw=")</f>
        <v>#REF!</v>
      </c>
      <c r="CP6" t="e">
        <f>AND(#REF!,"AAAAAFnW/V0=")</f>
        <v>#REF!</v>
      </c>
      <c r="CQ6" t="e">
        <f>IF(#REF!,"AAAAAFnW/V4=",0)</f>
        <v>#REF!</v>
      </c>
      <c r="CR6" t="e">
        <f>AND(#REF!,"AAAAAFnW/V8=")</f>
        <v>#REF!</v>
      </c>
      <c r="CS6" t="e">
        <f>AND(#REF!,"AAAAAFnW/WA=")</f>
        <v>#REF!</v>
      </c>
      <c r="CT6" t="e">
        <f>AND(#REF!,"AAAAAFnW/WE=")</f>
        <v>#REF!</v>
      </c>
      <c r="CU6" t="e">
        <f>AND(#REF!,"AAAAAFnW/WI=")</f>
        <v>#REF!</v>
      </c>
      <c r="CV6" t="e">
        <f>AND(#REF!,"AAAAAFnW/WM=")</f>
        <v>#REF!</v>
      </c>
      <c r="CW6" t="e">
        <f>IF(#REF!,"AAAAAFnW/WQ=",0)</f>
        <v>#REF!</v>
      </c>
      <c r="CX6" t="e">
        <f>AND(#REF!,"AAAAAFnW/WU=")</f>
        <v>#REF!</v>
      </c>
      <c r="CY6" t="e">
        <f>AND(#REF!,"AAAAAFnW/WY=")</f>
        <v>#REF!</v>
      </c>
      <c r="CZ6" t="e">
        <f>AND(#REF!,"AAAAAFnW/Wc=")</f>
        <v>#REF!</v>
      </c>
      <c r="DA6" t="e">
        <f>AND(#REF!,"AAAAAFnW/Wg=")</f>
        <v>#REF!</v>
      </c>
      <c r="DB6" t="e">
        <f>AND(#REF!,"AAAAAFnW/Wk=")</f>
        <v>#REF!</v>
      </c>
      <c r="DC6" t="e">
        <f>IF(#REF!,"AAAAAFnW/Wo=",0)</f>
        <v>#REF!</v>
      </c>
      <c r="DD6" t="e">
        <f>AND(#REF!,"AAAAAFnW/Ws=")</f>
        <v>#REF!</v>
      </c>
      <c r="DE6" t="e">
        <f>AND(#REF!,"AAAAAFnW/Ww=")</f>
        <v>#REF!</v>
      </c>
      <c r="DF6" t="e">
        <f>AND(#REF!,"AAAAAFnW/W0=")</f>
        <v>#REF!</v>
      </c>
      <c r="DG6" t="e">
        <f>AND(#REF!,"AAAAAFnW/W4=")</f>
        <v>#REF!</v>
      </c>
      <c r="DH6" t="e">
        <f>AND(#REF!,"AAAAAFnW/W8=")</f>
        <v>#REF!</v>
      </c>
      <c r="DI6" t="e">
        <f>IF(#REF!,"AAAAAFnW/XA=",0)</f>
        <v>#REF!</v>
      </c>
      <c r="DJ6" t="e">
        <f>AND(#REF!,"AAAAAFnW/XE=")</f>
        <v>#REF!</v>
      </c>
      <c r="DK6" t="e">
        <f>AND(#REF!,"AAAAAFnW/XI=")</f>
        <v>#REF!</v>
      </c>
      <c r="DL6" t="e">
        <f>AND(#REF!,"AAAAAFnW/XM=")</f>
        <v>#REF!</v>
      </c>
      <c r="DM6" t="e">
        <f>AND(#REF!,"AAAAAFnW/XQ=")</f>
        <v>#REF!</v>
      </c>
      <c r="DN6" t="e">
        <f>AND(#REF!,"AAAAAFnW/XU=")</f>
        <v>#REF!</v>
      </c>
      <c r="DO6" t="e">
        <f>IF(#REF!,"AAAAAFnW/XY=",0)</f>
        <v>#REF!</v>
      </c>
      <c r="DP6" t="e">
        <f>AND(#REF!,"AAAAAFnW/Xc=")</f>
        <v>#REF!</v>
      </c>
      <c r="DQ6" t="e">
        <f>AND(#REF!,"AAAAAFnW/Xg=")</f>
        <v>#REF!</v>
      </c>
      <c r="DR6" t="e">
        <f>AND(#REF!,"AAAAAFnW/Xk=")</f>
        <v>#REF!</v>
      </c>
      <c r="DS6" t="e">
        <f>AND(#REF!,"AAAAAFnW/Xo=")</f>
        <v>#REF!</v>
      </c>
      <c r="DT6" t="e">
        <f>AND(#REF!,"AAAAAFnW/Xs=")</f>
        <v>#REF!</v>
      </c>
      <c r="DU6" t="e">
        <f>IF(#REF!,"AAAAAFnW/Xw=",0)</f>
        <v>#REF!</v>
      </c>
      <c r="DV6" t="e">
        <f>AND(#REF!,"AAAAAFnW/X0=")</f>
        <v>#REF!</v>
      </c>
      <c r="DW6" t="e">
        <f>AND(#REF!,"AAAAAFnW/X4=")</f>
        <v>#REF!</v>
      </c>
      <c r="DX6" t="e">
        <f>AND(#REF!,"AAAAAFnW/X8=")</f>
        <v>#REF!</v>
      </c>
      <c r="DY6" t="e">
        <f>AND(#REF!,"AAAAAFnW/YA=")</f>
        <v>#REF!</v>
      </c>
      <c r="DZ6" t="e">
        <f>AND(#REF!,"AAAAAFnW/YE=")</f>
        <v>#REF!</v>
      </c>
      <c r="EA6" t="e">
        <f>IF(#REF!,"AAAAAFnW/YI=",0)</f>
        <v>#REF!</v>
      </c>
      <c r="EB6" t="e">
        <f>AND(#REF!,"AAAAAFnW/YM=")</f>
        <v>#REF!</v>
      </c>
      <c r="EC6" t="e">
        <f>AND(#REF!,"AAAAAFnW/YQ=")</f>
        <v>#REF!</v>
      </c>
      <c r="ED6" t="e">
        <f>AND(#REF!,"AAAAAFnW/YU=")</f>
        <v>#REF!</v>
      </c>
      <c r="EE6" t="e">
        <f>AND(#REF!,"AAAAAFnW/YY=")</f>
        <v>#REF!</v>
      </c>
      <c r="EF6" t="e">
        <f>AND(#REF!,"AAAAAFnW/Yc=")</f>
        <v>#REF!</v>
      </c>
      <c r="EG6" t="e">
        <f>IF(#REF!,"AAAAAFnW/Yg=",0)</f>
        <v>#REF!</v>
      </c>
      <c r="EH6" t="e">
        <f>AND(#REF!,"AAAAAFnW/Yk=")</f>
        <v>#REF!</v>
      </c>
      <c r="EI6" t="e">
        <f>AND(#REF!,"AAAAAFnW/Yo=")</f>
        <v>#REF!</v>
      </c>
      <c r="EJ6" t="e">
        <f>AND(#REF!,"AAAAAFnW/Ys=")</f>
        <v>#REF!</v>
      </c>
      <c r="EK6" t="e">
        <f>AND(#REF!,"AAAAAFnW/Yw=")</f>
        <v>#REF!</v>
      </c>
      <c r="EL6" t="e">
        <f>AND(#REF!,"AAAAAFnW/Y0=")</f>
        <v>#REF!</v>
      </c>
      <c r="EM6" t="e">
        <f>IF(#REF!,"AAAAAFnW/Y4=",0)</f>
        <v>#REF!</v>
      </c>
      <c r="EN6" t="e">
        <f>AND(#REF!,"AAAAAFnW/Y8=")</f>
        <v>#REF!</v>
      </c>
      <c r="EO6" t="e">
        <f>AND(#REF!,"AAAAAFnW/ZA=")</f>
        <v>#REF!</v>
      </c>
      <c r="EP6" t="e">
        <f>AND(#REF!,"AAAAAFnW/ZE=")</f>
        <v>#REF!</v>
      </c>
      <c r="EQ6" t="e">
        <f>AND(#REF!,"AAAAAFnW/ZI=")</f>
        <v>#REF!</v>
      </c>
      <c r="ER6" t="e">
        <f>AND(#REF!,"AAAAAFnW/ZM=")</f>
        <v>#REF!</v>
      </c>
      <c r="ES6" t="e">
        <f>IF(#REF!,"AAAAAFnW/ZQ=",0)</f>
        <v>#REF!</v>
      </c>
      <c r="ET6" t="e">
        <f>AND(#REF!,"AAAAAFnW/ZU=")</f>
        <v>#REF!</v>
      </c>
      <c r="EU6" t="e">
        <f>AND(#REF!,"AAAAAFnW/ZY=")</f>
        <v>#REF!</v>
      </c>
      <c r="EV6" t="e">
        <f>AND(#REF!,"AAAAAFnW/Zc=")</f>
        <v>#REF!</v>
      </c>
      <c r="EW6" t="e">
        <f>AND(#REF!,"AAAAAFnW/Zg=")</f>
        <v>#REF!</v>
      </c>
      <c r="EX6" t="e">
        <f>AND(#REF!,"AAAAAFnW/Zk=")</f>
        <v>#REF!</v>
      </c>
      <c r="EY6" t="e">
        <f>IF(#REF!,"AAAAAFnW/Zo=",0)</f>
        <v>#REF!</v>
      </c>
      <c r="EZ6" t="e">
        <f>AND(#REF!,"AAAAAFnW/Zs=")</f>
        <v>#REF!</v>
      </c>
      <c r="FA6" t="e">
        <f>AND(#REF!,"AAAAAFnW/Zw=")</f>
        <v>#REF!</v>
      </c>
      <c r="FB6" t="e">
        <f>AND(#REF!,"AAAAAFnW/Z0=")</f>
        <v>#REF!</v>
      </c>
      <c r="FC6" t="e">
        <f>AND(#REF!,"AAAAAFnW/Z4=")</f>
        <v>#REF!</v>
      </c>
      <c r="FD6" t="e">
        <f>AND(#REF!,"AAAAAFnW/Z8=")</f>
        <v>#REF!</v>
      </c>
      <c r="FE6" t="e">
        <f>IF(#REF!,"AAAAAFnW/aA=",0)</f>
        <v>#REF!</v>
      </c>
      <c r="FF6" t="e">
        <f>AND(#REF!,"AAAAAFnW/aE=")</f>
        <v>#REF!</v>
      </c>
      <c r="FG6" t="e">
        <f>IF(#REF!,"AAAAAFnW/aI=",0)</f>
        <v>#REF!</v>
      </c>
      <c r="FH6" t="e">
        <f>AND(#REF!,"AAAAAFnW/aM=")</f>
        <v>#REF!</v>
      </c>
      <c r="FI6" t="e">
        <f>IF(#REF!,"AAAAAFnW/aQ=",0)</f>
        <v>#REF!</v>
      </c>
      <c r="FJ6" t="e">
        <f>AND(#REF!,"AAAAAFnW/aU=")</f>
        <v>#REF!</v>
      </c>
      <c r="FK6" t="e">
        <f>IF(#REF!,"AAAAAFnW/aY=",0)</f>
        <v>#REF!</v>
      </c>
      <c r="FL6" t="e">
        <f>AND(#REF!,"AAAAAFnW/ac=")</f>
        <v>#REF!</v>
      </c>
      <c r="FM6" t="e">
        <f>IF(#REF!,"AAAAAFnW/ag=",0)</f>
        <v>#REF!</v>
      </c>
      <c r="FN6" t="e">
        <f>AND(#REF!,"AAAAAFnW/ak=")</f>
        <v>#REF!</v>
      </c>
      <c r="FO6" t="e">
        <f>IF(#REF!,"AAAAAFnW/ao=",0)</f>
        <v>#REF!</v>
      </c>
      <c r="FP6" t="e">
        <f>AND(#REF!,"AAAAAFnW/as=")</f>
        <v>#REF!</v>
      </c>
      <c r="FQ6" t="e">
        <f>IF(#REF!,"AAAAAFnW/aw=",0)</f>
        <v>#REF!</v>
      </c>
      <c r="FR6" t="e">
        <f>IF(#REF!,"AAAAAFnW/a0=",0)</f>
        <v>#REF!</v>
      </c>
      <c r="FS6" t="e">
        <f>IF(#REF!,"AAAAAFnW/a4=",0)</f>
        <v>#REF!</v>
      </c>
      <c r="FT6" t="e">
        <f>IF(#REF!,"AAAAAFnW/a8=",0)</f>
        <v>#REF!</v>
      </c>
      <c r="FU6" t="e">
        <f>IF(#REF!,"AAAAAFnW/bA=",0)</f>
        <v>#REF!</v>
      </c>
      <c r="FV6" t="e">
        <f>IF(#REF!,"AAAAAFnW/bE=",0)</f>
        <v>#REF!</v>
      </c>
      <c r="FW6" t="e">
        <f>AND(#REF!,"AAAAAFnW/bI=")</f>
        <v>#REF!</v>
      </c>
      <c r="FX6" t="e">
        <f>AND(#REF!,"AAAAAFnW/bM=")</f>
        <v>#REF!</v>
      </c>
      <c r="FY6" t="e">
        <f>AND(#REF!,"AAAAAFnW/bQ=")</f>
        <v>#REF!</v>
      </c>
      <c r="FZ6" t="e">
        <f>AND(#REF!,"AAAAAFnW/bU=")</f>
        <v>#REF!</v>
      </c>
      <c r="GA6" t="e">
        <f>AND(#REF!,"AAAAAFnW/bY=")</f>
        <v>#REF!</v>
      </c>
      <c r="GB6" t="e">
        <f>IF(#REF!,"AAAAAFnW/bc=",0)</f>
        <v>#REF!</v>
      </c>
      <c r="GC6" t="e">
        <f>AND(#REF!,"AAAAAFnW/bg=")</f>
        <v>#REF!</v>
      </c>
      <c r="GD6" t="e">
        <f>AND(#REF!,"AAAAAFnW/bk=")</f>
        <v>#REF!</v>
      </c>
      <c r="GE6" t="e">
        <f>AND(#REF!,"AAAAAFnW/bo=")</f>
        <v>#REF!</v>
      </c>
      <c r="GF6" t="e">
        <f>AND(#REF!,"AAAAAFnW/bs=")</f>
        <v>#REF!</v>
      </c>
      <c r="GG6" t="e">
        <f>AND(#REF!,"AAAAAFnW/bw=")</f>
        <v>#REF!</v>
      </c>
      <c r="GH6" t="e">
        <f>IF(#REF!,"AAAAAFnW/b0=",0)</f>
        <v>#REF!</v>
      </c>
      <c r="GI6" t="e">
        <f>AND(#REF!,"AAAAAFnW/b4=")</f>
        <v>#REF!</v>
      </c>
      <c r="GJ6" t="e">
        <f>AND(#REF!,"AAAAAFnW/b8=")</f>
        <v>#REF!</v>
      </c>
      <c r="GK6" t="e">
        <f>AND(#REF!,"AAAAAFnW/cA=")</f>
        <v>#REF!</v>
      </c>
      <c r="GL6" t="e">
        <f>AND(#REF!,"AAAAAFnW/cE=")</f>
        <v>#REF!</v>
      </c>
      <c r="GM6" t="e">
        <f>AND(#REF!,"AAAAAFnW/cI=")</f>
        <v>#REF!</v>
      </c>
      <c r="GN6" t="e">
        <f>IF(#REF!,"AAAAAFnW/cM=",0)</f>
        <v>#REF!</v>
      </c>
      <c r="GO6" t="e">
        <f>AND(#REF!,"AAAAAFnW/cQ=")</f>
        <v>#REF!</v>
      </c>
      <c r="GP6" t="e">
        <f>AND(#REF!,"AAAAAFnW/cU=")</f>
        <v>#REF!</v>
      </c>
      <c r="GQ6" t="e">
        <f>AND(#REF!,"AAAAAFnW/cY=")</f>
        <v>#REF!</v>
      </c>
      <c r="GR6" t="e">
        <f>AND(#REF!,"AAAAAFnW/cc=")</f>
        <v>#REF!</v>
      </c>
      <c r="GS6" t="e">
        <f>AND(#REF!,"AAAAAFnW/cg=")</f>
        <v>#REF!</v>
      </c>
      <c r="GT6" t="e">
        <f>IF(#REF!,"AAAAAFnW/ck=",0)</f>
        <v>#REF!</v>
      </c>
      <c r="GU6" t="e">
        <f>AND(#REF!,"AAAAAFnW/co=")</f>
        <v>#REF!</v>
      </c>
      <c r="GV6" t="e">
        <f>AND(#REF!,"AAAAAFnW/cs=")</f>
        <v>#REF!</v>
      </c>
      <c r="GW6" t="e">
        <f>AND(#REF!,"AAAAAFnW/cw=")</f>
        <v>#REF!</v>
      </c>
      <c r="GX6" t="e">
        <f>AND(#REF!,"AAAAAFnW/c0=")</f>
        <v>#REF!</v>
      </c>
      <c r="GY6" t="e">
        <f>AND(#REF!,"AAAAAFnW/c4=")</f>
        <v>#REF!</v>
      </c>
      <c r="GZ6" t="e">
        <f>IF(#REF!,"AAAAAFnW/c8=",0)</f>
        <v>#REF!</v>
      </c>
      <c r="HA6" t="e">
        <f>AND(#REF!,"AAAAAFnW/dA=")</f>
        <v>#REF!</v>
      </c>
      <c r="HB6" t="e">
        <f>AND(#REF!,"AAAAAFnW/dE=")</f>
        <v>#REF!</v>
      </c>
      <c r="HC6" t="e">
        <f>AND(#REF!,"AAAAAFnW/dI=")</f>
        <v>#REF!</v>
      </c>
      <c r="HD6" t="e">
        <f>AND(#REF!,"AAAAAFnW/dM=")</f>
        <v>#REF!</v>
      </c>
      <c r="HE6" t="e">
        <f>AND(#REF!,"AAAAAFnW/dQ=")</f>
        <v>#REF!</v>
      </c>
      <c r="HF6" t="e">
        <f>IF(#REF!,"AAAAAFnW/dU=",0)</f>
        <v>#REF!</v>
      </c>
      <c r="HG6" t="e">
        <f>AND(#REF!,"AAAAAFnW/dY=")</f>
        <v>#REF!</v>
      </c>
      <c r="HH6" t="e">
        <f>AND(#REF!,"AAAAAFnW/dc=")</f>
        <v>#REF!</v>
      </c>
      <c r="HI6" t="e">
        <f>AND(#REF!,"AAAAAFnW/dg=")</f>
        <v>#REF!</v>
      </c>
      <c r="HJ6" t="e">
        <f>AND(#REF!,"AAAAAFnW/dk=")</f>
        <v>#REF!</v>
      </c>
      <c r="HK6" t="e">
        <f>AND(#REF!,"AAAAAFnW/do=")</f>
        <v>#REF!</v>
      </c>
      <c r="HL6" t="e">
        <f>IF(#REF!,"AAAAAFnW/ds=",0)</f>
        <v>#REF!</v>
      </c>
      <c r="HM6" t="e">
        <f>AND(#REF!,"AAAAAFnW/dw=")</f>
        <v>#REF!</v>
      </c>
      <c r="HN6" t="e">
        <f>AND(#REF!,"AAAAAFnW/d0=")</f>
        <v>#REF!</v>
      </c>
      <c r="HO6" t="e">
        <f>AND(#REF!,"AAAAAFnW/d4=")</f>
        <v>#REF!</v>
      </c>
      <c r="HP6" t="e">
        <f>AND(#REF!,"AAAAAFnW/d8=")</f>
        <v>#REF!</v>
      </c>
      <c r="HQ6" t="e">
        <f>AND(#REF!,"AAAAAFnW/eA=")</f>
        <v>#REF!</v>
      </c>
      <c r="HR6" t="e">
        <f>IF(#REF!,"AAAAAFnW/eE=",0)</f>
        <v>#REF!</v>
      </c>
      <c r="HS6" t="e">
        <f>AND(#REF!,"AAAAAFnW/eI=")</f>
        <v>#REF!</v>
      </c>
      <c r="HT6" t="e">
        <f>AND(#REF!,"AAAAAFnW/eM=")</f>
        <v>#REF!</v>
      </c>
      <c r="HU6" t="e">
        <f>AND(#REF!,"AAAAAFnW/eQ=")</f>
        <v>#REF!</v>
      </c>
      <c r="HV6" t="e">
        <f>AND(#REF!,"AAAAAFnW/eU=")</f>
        <v>#REF!</v>
      </c>
      <c r="HW6" t="e">
        <f>AND(#REF!,"AAAAAFnW/eY=")</f>
        <v>#REF!</v>
      </c>
      <c r="HX6" t="e">
        <f>IF(#REF!,"AAAAAFnW/ec=",0)</f>
        <v>#REF!</v>
      </c>
      <c r="HY6" t="e">
        <f>AND(#REF!,"AAAAAFnW/eg=")</f>
        <v>#REF!</v>
      </c>
      <c r="HZ6" t="e">
        <f>AND(#REF!,"AAAAAFnW/ek=")</f>
        <v>#REF!</v>
      </c>
      <c r="IA6" t="e">
        <f>AND(#REF!,"AAAAAFnW/eo=")</f>
        <v>#REF!</v>
      </c>
      <c r="IB6" t="e">
        <f>AND(#REF!,"AAAAAFnW/es=")</f>
        <v>#REF!</v>
      </c>
      <c r="IC6" t="e">
        <f>AND(#REF!,"AAAAAFnW/ew=")</f>
        <v>#REF!</v>
      </c>
      <c r="ID6" t="e">
        <f>IF(#REF!,"AAAAAFnW/e0=",0)</f>
        <v>#REF!</v>
      </c>
      <c r="IE6" t="e">
        <f>AND(#REF!,"AAAAAFnW/e4=")</f>
        <v>#REF!</v>
      </c>
      <c r="IF6" t="e">
        <f>AND(#REF!,"AAAAAFnW/e8=")</f>
        <v>#REF!</v>
      </c>
      <c r="IG6" t="e">
        <f>AND(#REF!,"AAAAAFnW/fA=")</f>
        <v>#REF!</v>
      </c>
      <c r="IH6" t="e">
        <f>AND(#REF!,"AAAAAFnW/fE=")</f>
        <v>#REF!</v>
      </c>
      <c r="II6" t="e">
        <f>AND(#REF!,"AAAAAFnW/fI=")</f>
        <v>#REF!</v>
      </c>
      <c r="IJ6" t="e">
        <f>IF(#REF!,"AAAAAFnW/fM=",0)</f>
        <v>#REF!</v>
      </c>
      <c r="IK6" t="e">
        <f>AND(#REF!,"AAAAAFnW/fQ=")</f>
        <v>#REF!</v>
      </c>
      <c r="IL6" t="e">
        <f>AND(#REF!,"AAAAAFnW/fU=")</f>
        <v>#REF!</v>
      </c>
      <c r="IM6" t="e">
        <f>AND(#REF!,"AAAAAFnW/fY=")</f>
        <v>#REF!</v>
      </c>
      <c r="IN6" t="e">
        <f>AND(#REF!,"AAAAAFnW/fc=")</f>
        <v>#REF!</v>
      </c>
      <c r="IO6" t="e">
        <f>AND(#REF!,"AAAAAFnW/fg=")</f>
        <v>#REF!</v>
      </c>
      <c r="IP6" t="e">
        <f>IF(#REF!,"AAAAAFnW/fk=",0)</f>
        <v>#REF!</v>
      </c>
      <c r="IQ6" t="e">
        <f>AND(#REF!,"AAAAAFnW/fo=")</f>
        <v>#REF!</v>
      </c>
      <c r="IR6" t="e">
        <f>AND(#REF!,"AAAAAFnW/fs=")</f>
        <v>#REF!</v>
      </c>
      <c r="IS6" t="e">
        <f>AND(#REF!,"AAAAAFnW/fw=")</f>
        <v>#REF!</v>
      </c>
      <c r="IT6" t="e">
        <f>AND(#REF!,"AAAAAFnW/f0=")</f>
        <v>#REF!</v>
      </c>
      <c r="IU6" t="e">
        <f>AND(#REF!,"AAAAAFnW/f4=")</f>
        <v>#REF!</v>
      </c>
      <c r="IV6" t="e">
        <f>IF(#REF!,"AAAAAFnW/f8=",0)</f>
        <v>#REF!</v>
      </c>
    </row>
    <row r="7" spans="1:256">
      <c r="A7" t="e">
        <f>AND(#REF!,"AAAAAH/r8QA=")</f>
        <v>#REF!</v>
      </c>
      <c r="B7" t="e">
        <f>AND(#REF!,"AAAAAH/r8QE=")</f>
        <v>#REF!</v>
      </c>
      <c r="C7" t="e">
        <f>AND(#REF!,"AAAAAH/r8QI=")</f>
        <v>#REF!</v>
      </c>
      <c r="D7" t="e">
        <f>AND(#REF!,"AAAAAH/r8QM=")</f>
        <v>#REF!</v>
      </c>
      <c r="E7" t="e">
        <f>AND(#REF!,"AAAAAH/r8QQ=")</f>
        <v>#REF!</v>
      </c>
      <c r="F7" t="e">
        <f>IF(#REF!,"AAAAAH/r8QU=",0)</f>
        <v>#REF!</v>
      </c>
      <c r="G7" t="e">
        <f>AND(#REF!,"AAAAAH/r8QY=")</f>
        <v>#REF!</v>
      </c>
      <c r="H7" t="e">
        <f>AND(#REF!,"AAAAAH/r8Qc=")</f>
        <v>#REF!</v>
      </c>
      <c r="I7" t="e">
        <f>AND(#REF!,"AAAAAH/r8Qg=")</f>
        <v>#REF!</v>
      </c>
      <c r="J7" t="e">
        <f>AND(#REF!,"AAAAAH/r8Qk=")</f>
        <v>#REF!</v>
      </c>
      <c r="K7" t="e">
        <f>AND(#REF!,"AAAAAH/r8Qo=")</f>
        <v>#REF!</v>
      </c>
      <c r="L7" t="e">
        <f>IF(#REF!,"AAAAAH/r8Qs=",0)</f>
        <v>#REF!</v>
      </c>
      <c r="M7" t="e">
        <f>AND(#REF!,"AAAAAH/r8Qw=")</f>
        <v>#REF!</v>
      </c>
      <c r="N7" t="e">
        <f>AND(#REF!,"AAAAAH/r8Q0=")</f>
        <v>#REF!</v>
      </c>
      <c r="O7" t="e">
        <f>AND(#REF!,"AAAAAH/r8Q4=")</f>
        <v>#REF!</v>
      </c>
      <c r="P7" t="e">
        <f>AND(#REF!,"AAAAAH/r8Q8=")</f>
        <v>#REF!</v>
      </c>
      <c r="Q7" t="e">
        <f>AND(#REF!,"AAAAAH/r8RA=")</f>
        <v>#REF!</v>
      </c>
      <c r="R7" t="e">
        <f>IF(#REF!,"AAAAAH/r8RE=",0)</f>
        <v>#REF!</v>
      </c>
      <c r="S7" t="e">
        <f>AND(#REF!,"AAAAAH/r8RI=")</f>
        <v>#REF!</v>
      </c>
      <c r="T7" t="e">
        <f>AND(#REF!,"AAAAAH/r8RM=")</f>
        <v>#REF!</v>
      </c>
      <c r="U7" t="e">
        <f>AND(#REF!,"AAAAAH/r8RQ=")</f>
        <v>#REF!</v>
      </c>
      <c r="V7" t="e">
        <f>AND(#REF!,"AAAAAH/r8RU=")</f>
        <v>#REF!</v>
      </c>
      <c r="W7" t="e">
        <f>AND(#REF!,"AAAAAH/r8RY=")</f>
        <v>#REF!</v>
      </c>
      <c r="X7" t="e">
        <f>IF(#REF!,"AAAAAH/r8Rc=",0)</f>
        <v>#REF!</v>
      </c>
      <c r="Y7" t="e">
        <f>AND(#REF!,"AAAAAH/r8Rg=")</f>
        <v>#REF!</v>
      </c>
      <c r="Z7" t="e">
        <f>AND(#REF!,"AAAAAH/r8Rk=")</f>
        <v>#REF!</v>
      </c>
      <c r="AA7" t="e">
        <f>AND(#REF!,"AAAAAH/r8Ro=")</f>
        <v>#REF!</v>
      </c>
      <c r="AB7" t="e">
        <f>AND(#REF!,"AAAAAH/r8Rs=")</f>
        <v>#REF!</v>
      </c>
      <c r="AC7" t="e">
        <f>AND(#REF!,"AAAAAH/r8Rw=")</f>
        <v>#REF!</v>
      </c>
      <c r="AD7" t="e">
        <f>IF(#REF!,"AAAAAH/r8R0=",0)</f>
        <v>#REF!</v>
      </c>
      <c r="AE7" t="e">
        <f>AND(#REF!,"AAAAAH/r8R4=")</f>
        <v>#REF!</v>
      </c>
      <c r="AF7" t="e">
        <f>AND(#REF!,"AAAAAH/r8R8=")</f>
        <v>#REF!</v>
      </c>
      <c r="AG7" t="e">
        <f>AND(#REF!,"AAAAAH/r8SA=")</f>
        <v>#REF!</v>
      </c>
      <c r="AH7" t="e">
        <f>AND(#REF!,"AAAAAH/r8SE=")</f>
        <v>#REF!</v>
      </c>
      <c r="AI7" t="e">
        <f>AND(#REF!,"AAAAAH/r8SI=")</f>
        <v>#REF!</v>
      </c>
      <c r="AJ7" t="e">
        <f>IF(#REF!,"AAAAAH/r8SM=",0)</f>
        <v>#REF!</v>
      </c>
      <c r="AK7" t="e">
        <f>AND(#REF!,"AAAAAH/r8SQ=")</f>
        <v>#REF!</v>
      </c>
      <c r="AL7" t="e">
        <f>AND(#REF!,"AAAAAH/r8SU=")</f>
        <v>#REF!</v>
      </c>
      <c r="AM7" t="e">
        <f>AND(#REF!,"AAAAAH/r8SY=")</f>
        <v>#REF!</v>
      </c>
      <c r="AN7" t="e">
        <f>AND(#REF!,"AAAAAH/r8Sc=")</f>
        <v>#REF!</v>
      </c>
      <c r="AO7" t="e">
        <f>AND(#REF!,"AAAAAH/r8Sg=")</f>
        <v>#REF!</v>
      </c>
      <c r="AP7" t="e">
        <f>IF(#REF!,"AAAAAH/r8Sk=",0)</f>
        <v>#REF!</v>
      </c>
      <c r="AQ7" t="e">
        <f>AND(#REF!,"AAAAAH/r8So=")</f>
        <v>#REF!</v>
      </c>
      <c r="AR7" t="e">
        <f>AND(#REF!,"AAAAAH/r8Ss=")</f>
        <v>#REF!</v>
      </c>
      <c r="AS7" t="e">
        <f>AND(#REF!,"AAAAAH/r8Sw=")</f>
        <v>#REF!</v>
      </c>
      <c r="AT7" t="e">
        <f>AND(#REF!,"AAAAAH/r8S0=")</f>
        <v>#REF!</v>
      </c>
      <c r="AU7" t="e">
        <f>AND(#REF!,"AAAAAH/r8S4=")</f>
        <v>#REF!</v>
      </c>
      <c r="AV7" t="e">
        <f>IF(#REF!,"AAAAAH/r8S8=",0)</f>
        <v>#REF!</v>
      </c>
      <c r="AW7" t="e">
        <f>IF(#REF!,"AAAAAH/r8TA=",0)</f>
        <v>#REF!</v>
      </c>
      <c r="AX7" t="e">
        <f>IF(#REF!,"AAAAAH/r8TE=",0)</f>
        <v>#REF!</v>
      </c>
      <c r="AY7" t="e">
        <f>IF(#REF!,"AAAAAH/r8TI=",0)</f>
        <v>#REF!</v>
      </c>
      <c r="AZ7" t="e">
        <f>IF(#REF!,"AAAAAH/r8TM=",0)</f>
        <v>#REF!</v>
      </c>
      <c r="BA7" t="e">
        <f>IF(#REF!,"AAAAAH/r8TQ=",0)</f>
        <v>#REF!</v>
      </c>
      <c r="BB7" t="e">
        <f>IF(#REF!,"AAAAAH/r8TU=",0)</f>
        <v>#REF!</v>
      </c>
      <c r="BC7" t="e">
        <f>IF(#REF!,"AAAAAH/r8TY=",0)</f>
        <v>#REF!</v>
      </c>
      <c r="BD7" t="e">
        <f>IF(#REF!,"AAAAAH/r8Tc=",0)</f>
        <v>#REF!</v>
      </c>
      <c r="BE7" t="e">
        <f>AND(#REF!,"AAAAAH/r8Tg=")</f>
        <v>#REF!</v>
      </c>
      <c r="BF7" t="e">
        <f>AND(#REF!,"AAAAAH/r8Tk=")</f>
        <v>#REF!</v>
      </c>
      <c r="BG7" t="e">
        <f>AND(#REF!,"AAAAAH/r8To=")</f>
        <v>#REF!</v>
      </c>
      <c r="BH7" t="e">
        <f>AND(#REF!,"AAAAAH/r8Ts=")</f>
        <v>#REF!</v>
      </c>
      <c r="BI7" t="e">
        <f>AND(#REF!,"AAAAAH/r8Tw=")</f>
        <v>#REF!</v>
      </c>
      <c r="BJ7" t="e">
        <f>IF(#REF!,"AAAAAH/r8T0=",0)</f>
        <v>#REF!</v>
      </c>
      <c r="BK7" t="e">
        <f>AND(#REF!,"AAAAAH/r8T4=")</f>
        <v>#REF!</v>
      </c>
      <c r="BL7" t="e">
        <f>AND(#REF!,"AAAAAH/r8T8=")</f>
        <v>#REF!</v>
      </c>
      <c r="BM7" t="e">
        <f>AND(#REF!,"AAAAAH/r8UA=")</f>
        <v>#REF!</v>
      </c>
      <c r="BN7" t="e">
        <f>AND(#REF!,"AAAAAH/r8UE=")</f>
        <v>#REF!</v>
      </c>
      <c r="BO7" t="e">
        <f>AND(#REF!,"AAAAAH/r8UI=")</f>
        <v>#REF!</v>
      </c>
      <c r="BP7" t="e">
        <f>IF(#REF!,"AAAAAH/r8UM=",0)</f>
        <v>#REF!</v>
      </c>
      <c r="BQ7" t="e">
        <f>AND(#REF!,"AAAAAH/r8UQ=")</f>
        <v>#REF!</v>
      </c>
      <c r="BR7" t="e">
        <f>AND(#REF!,"AAAAAH/r8UU=")</f>
        <v>#REF!</v>
      </c>
      <c r="BS7" t="e">
        <f>AND(#REF!,"AAAAAH/r8UY=")</f>
        <v>#REF!</v>
      </c>
      <c r="BT7" t="e">
        <f>AND(#REF!,"AAAAAH/r8Uc=")</f>
        <v>#REF!</v>
      </c>
      <c r="BU7" t="e">
        <f>AND(#REF!,"AAAAAH/r8Ug=")</f>
        <v>#REF!</v>
      </c>
      <c r="BV7" t="e">
        <f>IF(#REF!,"AAAAAH/r8Uk=",0)</f>
        <v>#REF!</v>
      </c>
      <c r="BW7" t="e">
        <f>AND(#REF!,"AAAAAH/r8Uo=")</f>
        <v>#REF!</v>
      </c>
      <c r="BX7" t="e">
        <f>AND(#REF!,"AAAAAH/r8Us=")</f>
        <v>#REF!</v>
      </c>
      <c r="BY7" t="e">
        <f>AND(#REF!,"AAAAAH/r8Uw=")</f>
        <v>#REF!</v>
      </c>
      <c r="BZ7" t="e">
        <f>AND(#REF!,"AAAAAH/r8U0=")</f>
        <v>#REF!</v>
      </c>
      <c r="CA7" t="e">
        <f>AND(#REF!,"AAAAAH/r8U4=")</f>
        <v>#REF!</v>
      </c>
      <c r="CB7" t="e">
        <f>IF(#REF!,"AAAAAH/r8U8=",0)</f>
        <v>#REF!</v>
      </c>
      <c r="CC7" t="e">
        <f>AND(#REF!,"AAAAAH/r8VA=")</f>
        <v>#REF!</v>
      </c>
      <c r="CD7" t="e">
        <f>AND(#REF!,"AAAAAH/r8VE=")</f>
        <v>#REF!</v>
      </c>
      <c r="CE7" t="e">
        <f>AND(#REF!,"AAAAAH/r8VI=")</f>
        <v>#REF!</v>
      </c>
      <c r="CF7" t="e">
        <f>AND(#REF!,"AAAAAH/r8VM=")</f>
        <v>#REF!</v>
      </c>
      <c r="CG7" t="e">
        <f>AND(#REF!,"AAAAAH/r8VQ=")</f>
        <v>#REF!</v>
      </c>
      <c r="CH7" t="e">
        <f>IF(#REF!,"AAAAAH/r8VU=",0)</f>
        <v>#REF!</v>
      </c>
      <c r="CI7" t="e">
        <f>AND(#REF!,"AAAAAH/r8VY=")</f>
        <v>#REF!</v>
      </c>
      <c r="CJ7" t="e">
        <f>AND(#REF!,"AAAAAH/r8Vc=")</f>
        <v>#REF!</v>
      </c>
      <c r="CK7" t="e">
        <f>AND(#REF!,"AAAAAH/r8Vg=")</f>
        <v>#REF!</v>
      </c>
      <c r="CL7" t="e">
        <f>AND(#REF!,"AAAAAH/r8Vk=")</f>
        <v>#REF!</v>
      </c>
      <c r="CM7" t="e">
        <f>AND(#REF!,"AAAAAH/r8Vo=")</f>
        <v>#REF!</v>
      </c>
      <c r="CN7" t="e">
        <f>IF(#REF!,"AAAAAH/r8Vs=",0)</f>
        <v>#REF!</v>
      </c>
      <c r="CO7" t="e">
        <f>AND(#REF!,"AAAAAH/r8Vw=")</f>
        <v>#REF!</v>
      </c>
      <c r="CP7" t="e">
        <f>AND(#REF!,"AAAAAH/r8V0=")</f>
        <v>#REF!</v>
      </c>
      <c r="CQ7" t="e">
        <f>AND(#REF!,"AAAAAH/r8V4=")</f>
        <v>#REF!</v>
      </c>
      <c r="CR7" t="e">
        <f>AND(#REF!,"AAAAAH/r8V8=")</f>
        <v>#REF!</v>
      </c>
      <c r="CS7" t="e">
        <f>AND(#REF!,"AAAAAH/r8WA=")</f>
        <v>#REF!</v>
      </c>
      <c r="CT7" t="e">
        <f>IF(#REF!,"AAAAAH/r8WE=",0)</f>
        <v>#REF!</v>
      </c>
      <c r="CU7" t="e">
        <f>AND(#REF!,"AAAAAH/r8WI=")</f>
        <v>#REF!</v>
      </c>
      <c r="CV7" t="e">
        <f>AND(#REF!,"AAAAAH/r8WM=")</f>
        <v>#REF!</v>
      </c>
      <c r="CW7" t="e">
        <f>AND(#REF!,"AAAAAH/r8WQ=")</f>
        <v>#REF!</v>
      </c>
      <c r="CX7" t="e">
        <f>AND(#REF!,"AAAAAH/r8WU=")</f>
        <v>#REF!</v>
      </c>
      <c r="CY7" t="e">
        <f>AND(#REF!,"AAAAAH/r8WY=")</f>
        <v>#REF!</v>
      </c>
      <c r="CZ7" t="e">
        <f>IF(#REF!,"AAAAAH/r8Wc=",0)</f>
        <v>#REF!</v>
      </c>
      <c r="DA7" t="e">
        <f>AND(#REF!,"AAAAAH/r8Wg=")</f>
        <v>#REF!</v>
      </c>
      <c r="DB7" t="e">
        <f>AND(#REF!,"AAAAAH/r8Wk=")</f>
        <v>#REF!</v>
      </c>
      <c r="DC7" t="e">
        <f>AND(#REF!,"AAAAAH/r8Wo=")</f>
        <v>#REF!</v>
      </c>
      <c r="DD7" t="e">
        <f>AND(#REF!,"AAAAAH/r8Ws=")</f>
        <v>#REF!</v>
      </c>
      <c r="DE7" t="e">
        <f>AND(#REF!,"AAAAAH/r8Ww=")</f>
        <v>#REF!</v>
      </c>
      <c r="DF7" t="e">
        <f>IF(#REF!,"AAAAAH/r8W0=",0)</f>
        <v>#REF!</v>
      </c>
      <c r="DG7" t="e">
        <f>AND(#REF!,"AAAAAH/r8W4=")</f>
        <v>#REF!</v>
      </c>
      <c r="DH7" t="e">
        <f>AND(#REF!,"AAAAAH/r8W8=")</f>
        <v>#REF!</v>
      </c>
      <c r="DI7" t="e">
        <f>AND(#REF!,"AAAAAH/r8XA=")</f>
        <v>#REF!</v>
      </c>
      <c r="DJ7" t="e">
        <f>AND(#REF!,"AAAAAH/r8XE=")</f>
        <v>#REF!</v>
      </c>
      <c r="DK7" t="e">
        <f>AND(#REF!,"AAAAAH/r8XI=")</f>
        <v>#REF!</v>
      </c>
      <c r="DL7" t="e">
        <f>IF(#REF!,"AAAAAH/r8XM=",0)</f>
        <v>#REF!</v>
      </c>
      <c r="DM7" t="e">
        <f>AND(#REF!,"AAAAAH/r8XQ=")</f>
        <v>#REF!</v>
      </c>
      <c r="DN7" t="e">
        <f>AND(#REF!,"AAAAAH/r8XU=")</f>
        <v>#REF!</v>
      </c>
      <c r="DO7" t="e">
        <f>AND(#REF!,"AAAAAH/r8XY=")</f>
        <v>#REF!</v>
      </c>
      <c r="DP7" t="e">
        <f>AND(#REF!,"AAAAAH/r8Xc=")</f>
        <v>#REF!</v>
      </c>
      <c r="DQ7" t="e">
        <f>AND(#REF!,"AAAAAH/r8Xg=")</f>
        <v>#REF!</v>
      </c>
      <c r="DR7" t="e">
        <f>IF(#REF!,"AAAAAH/r8Xk=",0)</f>
        <v>#REF!</v>
      </c>
      <c r="DS7" t="e">
        <f>AND(#REF!,"AAAAAH/r8Xo=")</f>
        <v>#REF!</v>
      </c>
      <c r="DT7" t="e">
        <f>AND(#REF!,"AAAAAH/r8Xs=")</f>
        <v>#REF!</v>
      </c>
      <c r="DU7" t="e">
        <f>AND(#REF!,"AAAAAH/r8Xw=")</f>
        <v>#REF!</v>
      </c>
      <c r="DV7" t="e">
        <f>AND(#REF!,"AAAAAH/r8X0=")</f>
        <v>#REF!</v>
      </c>
      <c r="DW7" t="e">
        <f>AND(#REF!,"AAAAAH/r8X4=")</f>
        <v>#REF!</v>
      </c>
      <c r="DX7" t="e">
        <f>IF(#REF!,"AAAAAH/r8X8=",0)</f>
        <v>#REF!</v>
      </c>
      <c r="DY7" t="e">
        <f>AND(#REF!,"AAAAAH/r8YA=")</f>
        <v>#REF!</v>
      </c>
      <c r="DZ7" t="e">
        <f>AND(#REF!,"AAAAAH/r8YE=")</f>
        <v>#REF!</v>
      </c>
      <c r="EA7" t="e">
        <f>AND(#REF!,"AAAAAH/r8YI=")</f>
        <v>#REF!</v>
      </c>
      <c r="EB7" t="e">
        <f>AND(#REF!,"AAAAAH/r8YM=")</f>
        <v>#REF!</v>
      </c>
      <c r="EC7" t="e">
        <f>AND(#REF!,"AAAAAH/r8YQ=")</f>
        <v>#REF!</v>
      </c>
      <c r="ED7" t="e">
        <f>IF(#REF!,"AAAAAH/r8YU=",0)</f>
        <v>#REF!</v>
      </c>
      <c r="EE7" t="e">
        <f>AND(#REF!,"AAAAAH/r8YY=")</f>
        <v>#REF!</v>
      </c>
      <c r="EF7" t="e">
        <f>AND(#REF!,"AAAAAH/r8Yc=")</f>
        <v>#REF!</v>
      </c>
      <c r="EG7" t="e">
        <f>AND(#REF!,"AAAAAH/r8Yg=")</f>
        <v>#REF!</v>
      </c>
      <c r="EH7" t="e">
        <f>AND(#REF!,"AAAAAH/r8Yk=")</f>
        <v>#REF!</v>
      </c>
      <c r="EI7" t="e">
        <f>AND(#REF!,"AAAAAH/r8Yo=")</f>
        <v>#REF!</v>
      </c>
      <c r="EJ7" t="e">
        <f>IF(#REF!,"AAAAAH/r8Ys=",0)</f>
        <v>#REF!</v>
      </c>
      <c r="EK7" t="e">
        <f>AND(#REF!,"AAAAAH/r8Yw=")</f>
        <v>#REF!</v>
      </c>
      <c r="EL7" t="e">
        <f>AND(#REF!,"AAAAAH/r8Y0=")</f>
        <v>#REF!</v>
      </c>
      <c r="EM7" t="e">
        <f>AND(#REF!,"AAAAAH/r8Y4=")</f>
        <v>#REF!</v>
      </c>
      <c r="EN7" t="e">
        <f>AND(#REF!,"AAAAAH/r8Y8=")</f>
        <v>#REF!</v>
      </c>
      <c r="EO7" t="e">
        <f>AND(#REF!,"AAAAAH/r8ZA=")</f>
        <v>#REF!</v>
      </c>
      <c r="EP7" t="e">
        <f>IF(#REF!,"AAAAAH/r8ZE=",0)</f>
        <v>#REF!</v>
      </c>
      <c r="EQ7" t="e">
        <f>AND(#REF!,"AAAAAH/r8ZI=")</f>
        <v>#REF!</v>
      </c>
      <c r="ER7" t="e">
        <f>AND(#REF!,"AAAAAH/r8ZM=")</f>
        <v>#REF!</v>
      </c>
      <c r="ES7" t="e">
        <f>AND(#REF!,"AAAAAH/r8ZQ=")</f>
        <v>#REF!</v>
      </c>
      <c r="ET7" t="e">
        <f>AND(#REF!,"AAAAAH/r8ZU=")</f>
        <v>#REF!</v>
      </c>
      <c r="EU7" t="e">
        <f>AND(#REF!,"AAAAAH/r8ZY=")</f>
        <v>#REF!</v>
      </c>
      <c r="EV7" t="e">
        <f>IF(#REF!,"AAAAAH/r8Zc=",0)</f>
        <v>#REF!</v>
      </c>
      <c r="EW7" t="e">
        <f>AND(#REF!,"AAAAAH/r8Zg=")</f>
        <v>#REF!</v>
      </c>
      <c r="EX7" t="e">
        <f>AND(#REF!,"AAAAAH/r8Zk=")</f>
        <v>#REF!</v>
      </c>
      <c r="EY7" t="e">
        <f>AND(#REF!,"AAAAAH/r8Zo=")</f>
        <v>#REF!</v>
      </c>
      <c r="EZ7" t="e">
        <f>AND(#REF!,"AAAAAH/r8Zs=")</f>
        <v>#REF!</v>
      </c>
      <c r="FA7" t="e">
        <f>AND(#REF!,"AAAAAH/r8Zw=")</f>
        <v>#REF!</v>
      </c>
      <c r="FB7" t="e">
        <f>IF(#REF!,"AAAAAH/r8Z0=",0)</f>
        <v>#REF!</v>
      </c>
      <c r="FC7" t="e">
        <f>AND(#REF!,"AAAAAH/r8Z4=")</f>
        <v>#REF!</v>
      </c>
      <c r="FD7" t="e">
        <f>AND(#REF!,"AAAAAH/r8Z8=")</f>
        <v>#REF!</v>
      </c>
      <c r="FE7" t="e">
        <f>AND(#REF!,"AAAAAH/r8aA=")</f>
        <v>#REF!</v>
      </c>
      <c r="FF7" t="e">
        <f>AND(#REF!,"AAAAAH/r8aE=")</f>
        <v>#REF!</v>
      </c>
      <c r="FG7" t="e">
        <f>AND(#REF!,"AAAAAH/r8aI=")</f>
        <v>#REF!</v>
      </c>
      <c r="FH7" t="e">
        <f>IF(#REF!,"AAAAAH/r8aM=",0)</f>
        <v>#REF!</v>
      </c>
      <c r="FI7" t="e">
        <f>AND(#REF!,"AAAAAH/r8aQ=")</f>
        <v>#REF!</v>
      </c>
      <c r="FJ7" t="e">
        <f>AND(#REF!,"AAAAAH/r8aU=")</f>
        <v>#REF!</v>
      </c>
      <c r="FK7" t="e">
        <f>AND(#REF!,"AAAAAH/r8aY=")</f>
        <v>#REF!</v>
      </c>
      <c r="FL7" t="e">
        <f>AND(#REF!,"AAAAAH/r8ac=")</f>
        <v>#REF!</v>
      </c>
      <c r="FM7" t="e">
        <f>AND(#REF!,"AAAAAH/r8ag=")</f>
        <v>#REF!</v>
      </c>
      <c r="FN7" t="e">
        <f>IF(#REF!,"AAAAAH/r8ak=",0)</f>
        <v>#REF!</v>
      </c>
      <c r="FO7" t="e">
        <f>AND(#REF!,"AAAAAH/r8ao=")</f>
        <v>#REF!</v>
      </c>
      <c r="FP7" t="e">
        <f>AND(#REF!,"AAAAAH/r8as=")</f>
        <v>#REF!</v>
      </c>
      <c r="FQ7" t="e">
        <f>AND(#REF!,"AAAAAH/r8aw=")</f>
        <v>#REF!</v>
      </c>
      <c r="FR7" t="e">
        <f>AND(#REF!,"AAAAAH/r8a0=")</f>
        <v>#REF!</v>
      </c>
      <c r="FS7" t="e">
        <f>AND(#REF!,"AAAAAH/r8a4=")</f>
        <v>#REF!</v>
      </c>
      <c r="FT7" t="e">
        <f>IF(#REF!,"AAAAAH/r8a8=",0)</f>
        <v>#REF!</v>
      </c>
      <c r="FU7" t="e">
        <f>IF(#REF!,"AAAAAH/r8bA=",0)</f>
        <v>#REF!</v>
      </c>
      <c r="FV7" t="e">
        <f>IF(#REF!,"AAAAAH/r8bE=",0)</f>
        <v>#REF!</v>
      </c>
      <c r="FW7" t="e">
        <f>IF(#REF!,"AAAAAH/r8bI=",0)</f>
        <v>#REF!</v>
      </c>
      <c r="FX7" t="e">
        <f>IF(#REF!,"AAAAAH/r8bM=",0)</f>
        <v>#REF!</v>
      </c>
      <c r="FY7" t="e">
        <f>IF(#REF!,"AAAAAH/r8bQ=",0)</f>
        <v>#REF!</v>
      </c>
      <c r="FZ7" t="e">
        <f>IF(#REF!,"AAAAAH/r8bU=",0)</f>
        <v>#REF!</v>
      </c>
      <c r="GA7" t="e">
        <f>IF(#REF!,"AAAAAH/r8bY=",0)</f>
        <v>#REF!</v>
      </c>
      <c r="GB7" t="e">
        <f>IF(#REF!,"AAAAAH/r8bc=",0)</f>
        <v>#REF!</v>
      </c>
      <c r="GC7" t="e">
        <f>IF(#REF!,"AAAAAH/r8bg=",0)</f>
        <v>#REF!</v>
      </c>
      <c r="GD7" t="e">
        <f>AND(#REF!,"AAAAAH/r8bk=")</f>
        <v>#REF!</v>
      </c>
      <c r="GE7" t="e">
        <f>AND(#REF!,"AAAAAH/r8bo=")</f>
        <v>#REF!</v>
      </c>
      <c r="GF7" t="e">
        <f>AND(#REF!,"AAAAAH/r8bs=")</f>
        <v>#REF!</v>
      </c>
      <c r="GG7" t="e">
        <f>AND(#REF!,"AAAAAH/r8bw=")</f>
        <v>#REF!</v>
      </c>
      <c r="GH7" t="e">
        <f>AND(#REF!,"AAAAAH/r8b0=")</f>
        <v>#REF!</v>
      </c>
      <c r="GI7" t="e">
        <f>IF(#REF!,"AAAAAH/r8b4=",0)</f>
        <v>#REF!</v>
      </c>
      <c r="GJ7" t="e">
        <f>AND(#REF!,"AAAAAH/r8b8=")</f>
        <v>#REF!</v>
      </c>
      <c r="GK7" t="e">
        <f>AND(#REF!,"AAAAAH/r8cA=")</f>
        <v>#REF!</v>
      </c>
      <c r="GL7" t="e">
        <f>AND(#REF!,"AAAAAH/r8cE=")</f>
        <v>#REF!</v>
      </c>
      <c r="GM7" t="e">
        <f>AND(#REF!,"AAAAAH/r8cI=")</f>
        <v>#REF!</v>
      </c>
      <c r="GN7" t="e">
        <f>AND(#REF!,"AAAAAH/r8cM=")</f>
        <v>#REF!</v>
      </c>
      <c r="GO7" t="e">
        <f>IF(#REF!,"AAAAAH/r8cQ=",0)</f>
        <v>#REF!</v>
      </c>
      <c r="GP7" t="e">
        <f>AND(#REF!,"AAAAAH/r8cU=")</f>
        <v>#REF!</v>
      </c>
      <c r="GQ7" t="e">
        <f>AND(#REF!,"AAAAAH/r8cY=")</f>
        <v>#REF!</v>
      </c>
      <c r="GR7" t="e">
        <f>AND(#REF!,"AAAAAH/r8cc=")</f>
        <v>#REF!</v>
      </c>
      <c r="GS7" t="e">
        <f>AND(#REF!,"AAAAAH/r8cg=")</f>
        <v>#REF!</v>
      </c>
      <c r="GT7" t="e">
        <f>AND(#REF!,"AAAAAH/r8ck=")</f>
        <v>#REF!</v>
      </c>
      <c r="GU7" t="e">
        <f>IF(#REF!,"AAAAAH/r8co=",0)</f>
        <v>#REF!</v>
      </c>
      <c r="GV7" t="e">
        <f>AND(#REF!,"AAAAAH/r8cs=")</f>
        <v>#REF!</v>
      </c>
      <c r="GW7" t="e">
        <f>AND(#REF!,"AAAAAH/r8cw=")</f>
        <v>#REF!</v>
      </c>
      <c r="GX7" t="e">
        <f>AND(#REF!,"AAAAAH/r8c0=")</f>
        <v>#REF!</v>
      </c>
      <c r="GY7" t="e">
        <f>AND(#REF!,"AAAAAH/r8c4=")</f>
        <v>#REF!</v>
      </c>
      <c r="GZ7" t="e">
        <f>AND(#REF!,"AAAAAH/r8c8=")</f>
        <v>#REF!</v>
      </c>
      <c r="HA7" t="e">
        <f>IF(#REF!,"AAAAAH/r8dA=",0)</f>
        <v>#REF!</v>
      </c>
      <c r="HB7" t="e">
        <f>AND(#REF!,"AAAAAH/r8dE=")</f>
        <v>#REF!</v>
      </c>
      <c r="HC7" t="e">
        <f>AND(#REF!,"AAAAAH/r8dI=")</f>
        <v>#REF!</v>
      </c>
      <c r="HD7" t="e">
        <f>AND(#REF!,"AAAAAH/r8dM=")</f>
        <v>#REF!</v>
      </c>
      <c r="HE7" t="e">
        <f>AND(#REF!,"AAAAAH/r8dQ=")</f>
        <v>#REF!</v>
      </c>
      <c r="HF7" t="e">
        <f>AND(#REF!,"AAAAAH/r8dU=")</f>
        <v>#REF!</v>
      </c>
      <c r="HG7" t="e">
        <f>IF(#REF!,"AAAAAH/r8dY=",0)</f>
        <v>#REF!</v>
      </c>
      <c r="HH7" t="e">
        <f>AND(#REF!,"AAAAAH/r8dc=")</f>
        <v>#REF!</v>
      </c>
      <c r="HI7" t="e">
        <f>AND(#REF!,"AAAAAH/r8dg=")</f>
        <v>#REF!</v>
      </c>
      <c r="HJ7" t="e">
        <f>AND(#REF!,"AAAAAH/r8dk=")</f>
        <v>#REF!</v>
      </c>
      <c r="HK7" t="e">
        <f>AND(#REF!,"AAAAAH/r8do=")</f>
        <v>#REF!</v>
      </c>
      <c r="HL7" t="e">
        <f>AND(#REF!,"AAAAAH/r8ds=")</f>
        <v>#REF!</v>
      </c>
      <c r="HM7" t="e">
        <f>IF(#REF!,"AAAAAH/r8dw=",0)</f>
        <v>#REF!</v>
      </c>
      <c r="HN7" t="e">
        <f>AND(#REF!,"AAAAAH/r8d0=")</f>
        <v>#REF!</v>
      </c>
      <c r="HO7" t="e">
        <f>AND(#REF!,"AAAAAH/r8d4=")</f>
        <v>#REF!</v>
      </c>
      <c r="HP7" t="e">
        <f>AND(#REF!,"AAAAAH/r8d8=")</f>
        <v>#REF!</v>
      </c>
      <c r="HQ7" t="e">
        <f>AND(#REF!,"AAAAAH/r8eA=")</f>
        <v>#REF!</v>
      </c>
      <c r="HR7" t="e">
        <f>AND(#REF!,"AAAAAH/r8eE=")</f>
        <v>#REF!</v>
      </c>
      <c r="HS7" t="e">
        <f>IF(#REF!,"AAAAAH/r8eI=",0)</f>
        <v>#REF!</v>
      </c>
      <c r="HT7" t="e">
        <f>AND(#REF!,"AAAAAH/r8eM=")</f>
        <v>#REF!</v>
      </c>
      <c r="HU7" t="e">
        <f>AND(#REF!,"AAAAAH/r8eQ=")</f>
        <v>#REF!</v>
      </c>
      <c r="HV7" t="e">
        <f>AND(#REF!,"AAAAAH/r8eU=")</f>
        <v>#REF!</v>
      </c>
      <c r="HW7" t="e">
        <f>AND(#REF!,"AAAAAH/r8eY=")</f>
        <v>#REF!</v>
      </c>
      <c r="HX7" t="e">
        <f>AND(#REF!,"AAAAAH/r8ec=")</f>
        <v>#REF!</v>
      </c>
      <c r="HY7" t="e">
        <f>IF(#REF!,"AAAAAH/r8eg=",0)</f>
        <v>#REF!</v>
      </c>
      <c r="HZ7" t="e">
        <f>AND(#REF!,"AAAAAH/r8ek=")</f>
        <v>#REF!</v>
      </c>
      <c r="IA7" t="e">
        <f>AND(#REF!,"AAAAAH/r8eo=")</f>
        <v>#REF!</v>
      </c>
      <c r="IB7" t="e">
        <f>AND(#REF!,"AAAAAH/r8es=")</f>
        <v>#REF!</v>
      </c>
      <c r="IC7" t="e">
        <f>AND(#REF!,"AAAAAH/r8ew=")</f>
        <v>#REF!</v>
      </c>
      <c r="ID7" t="e">
        <f>AND(#REF!,"AAAAAH/r8e0=")</f>
        <v>#REF!</v>
      </c>
      <c r="IE7" t="e">
        <f>IF(#REF!,"AAAAAH/r8e4=",0)</f>
        <v>#REF!</v>
      </c>
      <c r="IF7" t="e">
        <f>AND(#REF!,"AAAAAH/r8e8=")</f>
        <v>#REF!</v>
      </c>
      <c r="IG7" t="e">
        <f>AND(#REF!,"AAAAAH/r8fA=")</f>
        <v>#REF!</v>
      </c>
      <c r="IH7" t="e">
        <f>AND(#REF!,"AAAAAH/r8fE=")</f>
        <v>#REF!</v>
      </c>
      <c r="II7" t="e">
        <f>AND(#REF!,"AAAAAH/r8fI=")</f>
        <v>#REF!</v>
      </c>
      <c r="IJ7" t="e">
        <f>AND(#REF!,"AAAAAH/r8fM=")</f>
        <v>#REF!</v>
      </c>
      <c r="IK7" t="e">
        <f>IF(#REF!,"AAAAAH/r8fQ=",0)</f>
        <v>#REF!</v>
      </c>
      <c r="IL7" t="e">
        <f>AND(#REF!,"AAAAAH/r8fU=")</f>
        <v>#REF!</v>
      </c>
      <c r="IM7" t="e">
        <f>AND(#REF!,"AAAAAH/r8fY=")</f>
        <v>#REF!</v>
      </c>
      <c r="IN7" t="e">
        <f>AND(#REF!,"AAAAAH/r8fc=")</f>
        <v>#REF!</v>
      </c>
      <c r="IO7" t="e">
        <f>AND(#REF!,"AAAAAH/r8fg=")</f>
        <v>#REF!</v>
      </c>
      <c r="IP7" t="e">
        <f>AND(#REF!,"AAAAAH/r8fk=")</f>
        <v>#REF!</v>
      </c>
      <c r="IQ7" t="e">
        <f>IF(#REF!,"AAAAAH/r8fo=",0)</f>
        <v>#REF!</v>
      </c>
      <c r="IR7" t="e">
        <f>AND(#REF!,"AAAAAH/r8fs=")</f>
        <v>#REF!</v>
      </c>
      <c r="IS7" t="e">
        <f>AND(#REF!,"AAAAAH/r8fw=")</f>
        <v>#REF!</v>
      </c>
      <c r="IT7" t="e">
        <f>AND(#REF!,"AAAAAH/r8f0=")</f>
        <v>#REF!</v>
      </c>
      <c r="IU7" t="e">
        <f>AND(#REF!,"AAAAAH/r8f4=")</f>
        <v>#REF!</v>
      </c>
      <c r="IV7" t="e">
        <f>AND(#REF!,"AAAAAH/r8f8=")</f>
        <v>#REF!</v>
      </c>
    </row>
    <row r="8" spans="1:256">
      <c r="A8" t="e">
        <f>IF(#REF!,"AAAAAH/rPwA=",0)</f>
        <v>#REF!</v>
      </c>
      <c r="B8" t="e">
        <f>AND(#REF!,"AAAAAH/rPwE=")</f>
        <v>#REF!</v>
      </c>
      <c r="C8" t="e">
        <f>AND(#REF!,"AAAAAH/rPwI=")</f>
        <v>#REF!</v>
      </c>
      <c r="D8" t="e">
        <f>AND(#REF!,"AAAAAH/rPwM=")</f>
        <v>#REF!</v>
      </c>
      <c r="E8" t="e">
        <f>AND(#REF!,"AAAAAH/rPwQ=")</f>
        <v>#REF!</v>
      </c>
      <c r="F8" t="e">
        <f>AND(#REF!,"AAAAAH/rPwU=")</f>
        <v>#REF!</v>
      </c>
      <c r="G8" t="e">
        <f>IF(#REF!,"AAAAAH/rPwY=",0)</f>
        <v>#REF!</v>
      </c>
      <c r="H8" t="e">
        <f>AND(#REF!,"AAAAAH/rPwc=")</f>
        <v>#REF!</v>
      </c>
      <c r="I8" t="e">
        <f>AND(#REF!,"AAAAAH/rPwg=")</f>
        <v>#REF!</v>
      </c>
      <c r="J8" t="e">
        <f>AND(#REF!,"AAAAAH/rPwk=")</f>
        <v>#REF!</v>
      </c>
      <c r="K8" t="e">
        <f>AND(#REF!,"AAAAAH/rPwo=")</f>
        <v>#REF!</v>
      </c>
      <c r="L8" t="e">
        <f>AND(#REF!,"AAAAAH/rPws=")</f>
        <v>#REF!</v>
      </c>
      <c r="M8" t="e">
        <f>IF(#REF!,"AAAAAH/rPww=",0)</f>
        <v>#REF!</v>
      </c>
      <c r="N8" t="e">
        <f>AND(#REF!,"AAAAAH/rPw0=")</f>
        <v>#REF!</v>
      </c>
      <c r="O8" t="e">
        <f>AND(#REF!,"AAAAAH/rPw4=")</f>
        <v>#REF!</v>
      </c>
      <c r="P8" t="e">
        <f>AND(#REF!,"AAAAAH/rPw8=")</f>
        <v>#REF!</v>
      </c>
      <c r="Q8" t="e">
        <f>AND(#REF!,"AAAAAH/rPxA=")</f>
        <v>#REF!</v>
      </c>
      <c r="R8" t="e">
        <f>AND(#REF!,"AAAAAH/rPxE=")</f>
        <v>#REF!</v>
      </c>
      <c r="S8" t="e">
        <f>IF(#REF!,"AAAAAH/rPxI=",0)</f>
        <v>#REF!</v>
      </c>
      <c r="T8" t="e">
        <f>AND(#REF!,"AAAAAH/rPxM=")</f>
        <v>#REF!</v>
      </c>
      <c r="U8" t="e">
        <f>AND(#REF!,"AAAAAH/rPxQ=")</f>
        <v>#REF!</v>
      </c>
      <c r="V8" t="e">
        <f>AND(#REF!,"AAAAAH/rPxU=")</f>
        <v>#REF!</v>
      </c>
      <c r="W8" t="e">
        <f>AND(#REF!,"AAAAAH/rPxY=")</f>
        <v>#REF!</v>
      </c>
      <c r="X8" t="e">
        <f>AND(#REF!,"AAAAAH/rPxc=")</f>
        <v>#REF!</v>
      </c>
      <c r="Y8" t="e">
        <f>IF(#REF!,"AAAAAH/rPxg=",0)</f>
        <v>#REF!</v>
      </c>
      <c r="Z8" t="e">
        <f>AND(#REF!,"AAAAAH/rPxk=")</f>
        <v>#REF!</v>
      </c>
      <c r="AA8" t="e">
        <f>AND(#REF!,"AAAAAH/rPxo=")</f>
        <v>#REF!</v>
      </c>
      <c r="AB8" t="e">
        <f>AND(#REF!,"AAAAAH/rPxs=")</f>
        <v>#REF!</v>
      </c>
      <c r="AC8" t="e">
        <f>AND(#REF!,"AAAAAH/rPxw=")</f>
        <v>#REF!</v>
      </c>
      <c r="AD8" t="e">
        <f>AND(#REF!,"AAAAAH/rPx0=")</f>
        <v>#REF!</v>
      </c>
      <c r="AE8" t="e">
        <f>IF(#REF!,"AAAAAH/rPx4=",0)</f>
        <v>#REF!</v>
      </c>
      <c r="AF8" t="e">
        <f>AND(#REF!,"AAAAAH/rPx8=")</f>
        <v>#REF!</v>
      </c>
      <c r="AG8" t="e">
        <f>AND(#REF!,"AAAAAH/rPyA=")</f>
        <v>#REF!</v>
      </c>
      <c r="AH8" t="e">
        <f>AND(#REF!,"AAAAAH/rPyE=")</f>
        <v>#REF!</v>
      </c>
      <c r="AI8" t="e">
        <f>AND(#REF!,"AAAAAH/rPyI=")</f>
        <v>#REF!</v>
      </c>
      <c r="AJ8" t="e">
        <f>AND(#REF!,"AAAAAH/rPyM=")</f>
        <v>#REF!</v>
      </c>
      <c r="AK8" t="e">
        <f>IF(#REF!,"AAAAAH/rPyQ=",0)</f>
        <v>#REF!</v>
      </c>
      <c r="AL8" t="e">
        <f>AND(#REF!,"AAAAAH/rPyU=")</f>
        <v>#REF!</v>
      </c>
      <c r="AM8" t="e">
        <f>AND(#REF!,"AAAAAH/rPyY=")</f>
        <v>#REF!</v>
      </c>
      <c r="AN8" t="e">
        <f>AND(#REF!,"AAAAAH/rPyc=")</f>
        <v>#REF!</v>
      </c>
      <c r="AO8" t="e">
        <f>AND(#REF!,"AAAAAH/rPyg=")</f>
        <v>#REF!</v>
      </c>
      <c r="AP8" t="e">
        <f>AND(#REF!,"AAAAAH/rPyk=")</f>
        <v>#REF!</v>
      </c>
      <c r="AQ8" t="e">
        <f>IF(#REF!,"AAAAAH/rPyo=",0)</f>
        <v>#REF!</v>
      </c>
      <c r="AR8" t="e">
        <f>AND(#REF!,"AAAAAH/rPys=")</f>
        <v>#REF!</v>
      </c>
      <c r="AS8" t="e">
        <f>AND(#REF!,"AAAAAH/rPyw=")</f>
        <v>#REF!</v>
      </c>
      <c r="AT8" t="e">
        <f>AND(#REF!,"AAAAAH/rPy0=")</f>
        <v>#REF!</v>
      </c>
      <c r="AU8" t="e">
        <f>AND(#REF!,"AAAAAH/rPy4=")</f>
        <v>#REF!</v>
      </c>
      <c r="AV8" t="e">
        <f>AND(#REF!,"AAAAAH/rPy8=")</f>
        <v>#REF!</v>
      </c>
      <c r="AW8" t="e">
        <f>IF(#REF!,"AAAAAH/rPzA=",0)</f>
        <v>#REF!</v>
      </c>
      <c r="AX8" t="e">
        <f>IF(#REF!,"AAAAAH/rPzE=",0)</f>
        <v>#REF!</v>
      </c>
      <c r="AY8" t="e">
        <f>IF(#REF!,"AAAAAH/rPzI=",0)</f>
        <v>#REF!</v>
      </c>
      <c r="AZ8" t="e">
        <f>IF(#REF!,"AAAAAH/rPzM=",0)</f>
        <v>#REF!</v>
      </c>
      <c r="BA8" t="e">
        <f>IF(#REF!,"AAAAAH/rPzQ=",0)</f>
        <v>#REF!</v>
      </c>
      <c r="BB8" t="e">
        <f>IF(#REF!,"AAAAAH/rPzU=",0)</f>
        <v>#REF!</v>
      </c>
      <c r="BC8" t="e">
        <f>IF(#REF!,"AAAAAH/rPzY=",0)</f>
        <v>#REF!</v>
      </c>
      <c r="BD8" t="e">
        <f>IF(#REF!,"AAAAAH/rPzc=",0)</f>
        <v>#REF!</v>
      </c>
      <c r="BE8" t="e">
        <f>IF(#REF!,"AAAAAH/rPzg=",0)</f>
        <v>#REF!</v>
      </c>
      <c r="BF8" t="e">
        <f>IF(#REF!,"AAAAAH/rPzk=",0)</f>
        <v>#REF!</v>
      </c>
      <c r="BG8" t="e">
        <f>AND(#REF!,"AAAAAH/rPzo=")</f>
        <v>#REF!</v>
      </c>
      <c r="BH8" t="e">
        <f>AND(#REF!,"AAAAAH/rPzs=")</f>
        <v>#REF!</v>
      </c>
      <c r="BI8" t="e">
        <f>AND(#REF!,"AAAAAH/rPzw=")</f>
        <v>#REF!</v>
      </c>
      <c r="BJ8" t="e">
        <f>AND(#REF!,"AAAAAH/rPz0=")</f>
        <v>#REF!</v>
      </c>
      <c r="BK8" t="e">
        <f>AND(#REF!,"AAAAAH/rPz4=")</f>
        <v>#REF!</v>
      </c>
      <c r="BL8" t="e">
        <f>IF(#REF!,"AAAAAH/rPz8=",0)</f>
        <v>#REF!</v>
      </c>
      <c r="BM8" t="e">
        <f>AND(#REF!,"AAAAAH/rP0A=")</f>
        <v>#REF!</v>
      </c>
      <c r="BN8" t="e">
        <f>AND(#REF!,"AAAAAH/rP0E=")</f>
        <v>#REF!</v>
      </c>
      <c r="BO8" t="e">
        <f>AND(#REF!,"AAAAAH/rP0I=")</f>
        <v>#REF!</v>
      </c>
      <c r="BP8" t="e">
        <f>AND(#REF!,"AAAAAH/rP0M=")</f>
        <v>#REF!</v>
      </c>
      <c r="BQ8" t="e">
        <f>AND(#REF!,"AAAAAH/rP0Q=")</f>
        <v>#REF!</v>
      </c>
      <c r="BR8" t="e">
        <f>IF(#REF!,"AAAAAH/rP0U=",0)</f>
        <v>#REF!</v>
      </c>
      <c r="BS8" t="e">
        <f>AND(#REF!,"AAAAAH/rP0Y=")</f>
        <v>#REF!</v>
      </c>
      <c r="BT8" t="e">
        <f>AND(#REF!,"AAAAAH/rP0c=")</f>
        <v>#REF!</v>
      </c>
      <c r="BU8" t="e">
        <f>AND(#REF!,"AAAAAH/rP0g=")</f>
        <v>#REF!</v>
      </c>
      <c r="BV8" t="e">
        <f>AND(#REF!,"AAAAAH/rP0k=")</f>
        <v>#REF!</v>
      </c>
      <c r="BW8" t="e">
        <f>AND(#REF!,"AAAAAH/rP0o=")</f>
        <v>#REF!</v>
      </c>
      <c r="BX8" t="e">
        <f>IF(#REF!,"AAAAAH/rP0s=",0)</f>
        <v>#REF!</v>
      </c>
      <c r="BY8" t="e">
        <f>AND(#REF!,"AAAAAH/rP0w=")</f>
        <v>#REF!</v>
      </c>
      <c r="BZ8" t="e">
        <f>AND(#REF!,"AAAAAH/rP00=")</f>
        <v>#REF!</v>
      </c>
      <c r="CA8" t="e">
        <f>AND(#REF!,"AAAAAH/rP04=")</f>
        <v>#REF!</v>
      </c>
      <c r="CB8" t="e">
        <f>AND(#REF!,"AAAAAH/rP08=")</f>
        <v>#REF!</v>
      </c>
      <c r="CC8" t="e">
        <f>AND(#REF!,"AAAAAH/rP1A=")</f>
        <v>#REF!</v>
      </c>
      <c r="CD8" t="e">
        <f>IF(#REF!,"AAAAAH/rP1E=",0)</f>
        <v>#REF!</v>
      </c>
      <c r="CE8" t="e">
        <f>AND(#REF!,"AAAAAH/rP1I=")</f>
        <v>#REF!</v>
      </c>
      <c r="CF8" t="e">
        <f>AND(#REF!,"AAAAAH/rP1M=")</f>
        <v>#REF!</v>
      </c>
      <c r="CG8" t="e">
        <f>AND(#REF!,"AAAAAH/rP1Q=")</f>
        <v>#REF!</v>
      </c>
      <c r="CH8" t="e">
        <f>AND(#REF!,"AAAAAH/rP1U=")</f>
        <v>#REF!</v>
      </c>
      <c r="CI8" t="e">
        <f>AND(#REF!,"AAAAAH/rP1Y=")</f>
        <v>#REF!</v>
      </c>
      <c r="CJ8" t="e">
        <f>IF(#REF!,"AAAAAH/rP1c=",0)</f>
        <v>#REF!</v>
      </c>
      <c r="CK8" t="e">
        <f>AND(#REF!,"AAAAAH/rP1g=")</f>
        <v>#REF!</v>
      </c>
      <c r="CL8" t="e">
        <f>AND(#REF!,"AAAAAH/rP1k=")</f>
        <v>#REF!</v>
      </c>
      <c r="CM8" t="e">
        <f>AND(#REF!,"AAAAAH/rP1o=")</f>
        <v>#REF!</v>
      </c>
      <c r="CN8" t="e">
        <f>AND(#REF!,"AAAAAH/rP1s=")</f>
        <v>#REF!</v>
      </c>
      <c r="CO8" t="e">
        <f>AND(#REF!,"AAAAAH/rP1w=")</f>
        <v>#REF!</v>
      </c>
      <c r="CP8" t="e">
        <f>IF(#REF!,"AAAAAH/rP10=",0)</f>
        <v>#REF!</v>
      </c>
      <c r="CQ8" t="e">
        <f>AND(#REF!,"AAAAAH/rP14=")</f>
        <v>#REF!</v>
      </c>
      <c r="CR8" t="e">
        <f>AND(#REF!,"AAAAAH/rP18=")</f>
        <v>#REF!</v>
      </c>
      <c r="CS8" t="e">
        <f>AND(#REF!,"AAAAAH/rP2A=")</f>
        <v>#REF!</v>
      </c>
      <c r="CT8" t="e">
        <f>AND(#REF!,"AAAAAH/rP2E=")</f>
        <v>#REF!</v>
      </c>
      <c r="CU8" t="e">
        <f>AND(#REF!,"AAAAAH/rP2I=")</f>
        <v>#REF!</v>
      </c>
      <c r="CV8" t="e">
        <f>IF(#REF!,"AAAAAH/rP2M=",0)</f>
        <v>#REF!</v>
      </c>
      <c r="CW8" t="e">
        <f>AND(#REF!,"AAAAAH/rP2Q=")</f>
        <v>#REF!</v>
      </c>
      <c r="CX8" t="e">
        <f>AND(#REF!,"AAAAAH/rP2U=")</f>
        <v>#REF!</v>
      </c>
      <c r="CY8" t="e">
        <f>AND(#REF!,"AAAAAH/rP2Y=")</f>
        <v>#REF!</v>
      </c>
      <c r="CZ8" t="e">
        <f>AND(#REF!,"AAAAAH/rP2c=")</f>
        <v>#REF!</v>
      </c>
      <c r="DA8" t="e">
        <f>AND(#REF!,"AAAAAH/rP2g=")</f>
        <v>#REF!</v>
      </c>
      <c r="DB8" t="e">
        <f>IF(#REF!,"AAAAAH/rP2k=",0)</f>
        <v>#REF!</v>
      </c>
      <c r="DC8" t="e">
        <f>AND(#REF!,"AAAAAH/rP2o=")</f>
        <v>#REF!</v>
      </c>
      <c r="DD8" t="e">
        <f>AND(#REF!,"AAAAAH/rP2s=")</f>
        <v>#REF!</v>
      </c>
      <c r="DE8" t="e">
        <f>AND(#REF!,"AAAAAH/rP2w=")</f>
        <v>#REF!</v>
      </c>
      <c r="DF8" t="e">
        <f>AND(#REF!,"AAAAAH/rP20=")</f>
        <v>#REF!</v>
      </c>
      <c r="DG8" t="e">
        <f>AND(#REF!,"AAAAAH/rP24=")</f>
        <v>#REF!</v>
      </c>
      <c r="DH8" t="e">
        <f>IF(#REF!,"AAAAAH/rP28=",0)</f>
        <v>#REF!</v>
      </c>
      <c r="DI8" t="e">
        <f>AND(#REF!,"AAAAAH/rP3A=")</f>
        <v>#REF!</v>
      </c>
      <c r="DJ8" t="e">
        <f>AND(#REF!,"AAAAAH/rP3E=")</f>
        <v>#REF!</v>
      </c>
      <c r="DK8" t="e">
        <f>AND(#REF!,"AAAAAH/rP3I=")</f>
        <v>#REF!</v>
      </c>
      <c r="DL8" t="e">
        <f>AND(#REF!,"AAAAAH/rP3M=")</f>
        <v>#REF!</v>
      </c>
      <c r="DM8" t="e">
        <f>AND(#REF!,"AAAAAH/rP3Q=")</f>
        <v>#REF!</v>
      </c>
      <c r="DN8" t="e">
        <f>IF(#REF!,"AAAAAH/rP3U=",0)</f>
        <v>#REF!</v>
      </c>
      <c r="DO8" t="e">
        <f>AND(#REF!,"AAAAAH/rP3Y=")</f>
        <v>#REF!</v>
      </c>
      <c r="DP8" t="e">
        <f>AND(#REF!,"AAAAAH/rP3c=")</f>
        <v>#REF!</v>
      </c>
      <c r="DQ8" t="e">
        <f>AND(#REF!,"AAAAAH/rP3g=")</f>
        <v>#REF!</v>
      </c>
      <c r="DR8" t="e">
        <f>AND(#REF!,"AAAAAH/rP3k=")</f>
        <v>#REF!</v>
      </c>
      <c r="DS8" t="e">
        <f>AND(#REF!,"AAAAAH/rP3o=")</f>
        <v>#REF!</v>
      </c>
      <c r="DT8" t="e">
        <f>IF(#REF!,"AAAAAH/rP3s=",0)</f>
        <v>#REF!</v>
      </c>
      <c r="DU8" t="e">
        <f>AND(#REF!,"AAAAAH/rP3w=")</f>
        <v>#REF!</v>
      </c>
      <c r="DV8" t="e">
        <f>AND(#REF!,"AAAAAH/rP30=")</f>
        <v>#REF!</v>
      </c>
      <c r="DW8" t="e">
        <f>AND(#REF!,"AAAAAH/rP34=")</f>
        <v>#REF!</v>
      </c>
      <c r="DX8" t="e">
        <f>AND(#REF!,"AAAAAH/rP38=")</f>
        <v>#REF!</v>
      </c>
      <c r="DY8" t="e">
        <f>AND(#REF!,"AAAAAH/rP4A=")</f>
        <v>#REF!</v>
      </c>
      <c r="DZ8" t="e">
        <f>IF(#REF!,"AAAAAH/rP4E=",0)</f>
        <v>#REF!</v>
      </c>
      <c r="EA8" t="e">
        <f>AND(#REF!,"AAAAAH/rP4I=")</f>
        <v>#REF!</v>
      </c>
      <c r="EB8" t="e">
        <f>AND(#REF!,"AAAAAH/rP4M=")</f>
        <v>#REF!</v>
      </c>
      <c r="EC8" t="e">
        <f>AND(#REF!,"AAAAAH/rP4Q=")</f>
        <v>#REF!</v>
      </c>
      <c r="ED8" t="e">
        <f>AND(#REF!,"AAAAAH/rP4U=")</f>
        <v>#REF!</v>
      </c>
      <c r="EE8" t="e">
        <f>AND(#REF!,"AAAAAH/rP4Y=")</f>
        <v>#REF!</v>
      </c>
      <c r="EF8" t="e">
        <f>IF(#REF!,"AAAAAH/rP4c=",0)</f>
        <v>#REF!</v>
      </c>
      <c r="EG8" t="e">
        <f>AND(#REF!,"AAAAAH/rP4g=")</f>
        <v>#REF!</v>
      </c>
      <c r="EH8" t="e">
        <f>AND(#REF!,"AAAAAH/rP4k=")</f>
        <v>#REF!</v>
      </c>
      <c r="EI8" t="e">
        <f>AND(#REF!,"AAAAAH/rP4o=")</f>
        <v>#REF!</v>
      </c>
      <c r="EJ8" t="e">
        <f>AND(#REF!,"AAAAAH/rP4s=")</f>
        <v>#REF!</v>
      </c>
      <c r="EK8" t="e">
        <f>AND(#REF!,"AAAAAH/rP4w=")</f>
        <v>#REF!</v>
      </c>
      <c r="EL8" t="e">
        <f>IF(#REF!,"AAAAAH/rP40=",0)</f>
        <v>#REF!</v>
      </c>
      <c r="EM8" t="e">
        <f>AND(#REF!,"AAAAAH/rP44=")</f>
        <v>#REF!</v>
      </c>
      <c r="EN8" t="e">
        <f>AND(#REF!,"AAAAAH/rP48=")</f>
        <v>#REF!</v>
      </c>
      <c r="EO8" t="e">
        <f>AND(#REF!,"AAAAAH/rP5A=")</f>
        <v>#REF!</v>
      </c>
      <c r="EP8" t="e">
        <f>AND(#REF!,"AAAAAH/rP5E=")</f>
        <v>#REF!</v>
      </c>
      <c r="EQ8" t="e">
        <f>AND(#REF!,"AAAAAH/rP5I=")</f>
        <v>#REF!</v>
      </c>
      <c r="ER8" t="e">
        <f>IF(#REF!,"AAAAAH/rP5M=",0)</f>
        <v>#REF!</v>
      </c>
      <c r="ES8" t="e">
        <f>AND(#REF!,"AAAAAH/rP5Q=")</f>
        <v>#REF!</v>
      </c>
      <c r="ET8" t="e">
        <f>AND(#REF!,"AAAAAH/rP5U=")</f>
        <v>#REF!</v>
      </c>
      <c r="EU8" t="e">
        <f>AND(#REF!,"AAAAAH/rP5Y=")</f>
        <v>#REF!</v>
      </c>
      <c r="EV8" t="e">
        <f>AND(#REF!,"AAAAAH/rP5c=")</f>
        <v>#REF!</v>
      </c>
      <c r="EW8" t="e">
        <f>AND(#REF!,"AAAAAH/rP5g=")</f>
        <v>#REF!</v>
      </c>
      <c r="EX8" t="e">
        <f>IF(#REF!,"AAAAAH/rP5k=",0)</f>
        <v>#REF!</v>
      </c>
      <c r="EY8" t="e">
        <f>AND(#REF!,"AAAAAH/rP5o=")</f>
        <v>#REF!</v>
      </c>
      <c r="EZ8" t="e">
        <f>AND(#REF!,"AAAAAH/rP5s=")</f>
        <v>#REF!</v>
      </c>
      <c r="FA8" t="e">
        <f>AND(#REF!,"AAAAAH/rP5w=")</f>
        <v>#REF!</v>
      </c>
      <c r="FB8" t="e">
        <f>AND(#REF!,"AAAAAH/rP50=")</f>
        <v>#REF!</v>
      </c>
      <c r="FC8" t="e">
        <f>AND(#REF!,"AAAAAH/rP54=")</f>
        <v>#REF!</v>
      </c>
      <c r="FD8" t="e">
        <f>IF(#REF!,"AAAAAH/rP58=",0)</f>
        <v>#REF!</v>
      </c>
      <c r="FE8" t="e">
        <f>AND(#REF!,"AAAAAH/rP6A=")</f>
        <v>#REF!</v>
      </c>
      <c r="FF8" t="e">
        <f>AND(#REF!,"AAAAAH/rP6E=")</f>
        <v>#REF!</v>
      </c>
      <c r="FG8" t="e">
        <f>AND(#REF!,"AAAAAH/rP6I=")</f>
        <v>#REF!</v>
      </c>
      <c r="FH8" t="e">
        <f>AND(#REF!,"AAAAAH/rP6M=")</f>
        <v>#REF!</v>
      </c>
      <c r="FI8" t="e">
        <f>AND(#REF!,"AAAAAH/rP6Q=")</f>
        <v>#REF!</v>
      </c>
      <c r="FJ8" t="e">
        <f>IF(#REF!,"AAAAAH/rP6U=",0)</f>
        <v>#REF!</v>
      </c>
      <c r="FK8" t="e">
        <f>AND(#REF!,"AAAAAH/rP6Y=")</f>
        <v>#REF!</v>
      </c>
      <c r="FL8" t="e">
        <f>AND(#REF!,"AAAAAH/rP6c=")</f>
        <v>#REF!</v>
      </c>
      <c r="FM8" t="e">
        <f>AND(#REF!,"AAAAAH/rP6g=")</f>
        <v>#REF!</v>
      </c>
      <c r="FN8" t="e">
        <f>AND(#REF!,"AAAAAH/rP6k=")</f>
        <v>#REF!</v>
      </c>
      <c r="FO8" t="e">
        <f>AND(#REF!,"AAAAAH/rP6o=")</f>
        <v>#REF!</v>
      </c>
      <c r="FP8" t="e">
        <f>IF(#REF!,"AAAAAH/rP6s=",0)</f>
        <v>#REF!</v>
      </c>
      <c r="FQ8" t="e">
        <f>AND(#REF!,"AAAAAH/rP6w=")</f>
        <v>#REF!</v>
      </c>
      <c r="FR8" t="e">
        <f>AND(#REF!,"AAAAAH/rP60=")</f>
        <v>#REF!</v>
      </c>
      <c r="FS8" t="e">
        <f>AND(#REF!,"AAAAAH/rP64=")</f>
        <v>#REF!</v>
      </c>
      <c r="FT8" t="e">
        <f>AND(#REF!,"AAAAAH/rP68=")</f>
        <v>#REF!</v>
      </c>
      <c r="FU8" t="e">
        <f>AND(#REF!,"AAAAAH/rP7A=")</f>
        <v>#REF!</v>
      </c>
      <c r="FV8" t="e">
        <f>IF(#REF!,"AAAAAH/rP7E=",0)</f>
        <v>#REF!</v>
      </c>
      <c r="FW8" t="e">
        <f>AND(#REF!,"AAAAAH/rP7I=")</f>
        <v>#REF!</v>
      </c>
      <c r="FX8" t="e">
        <f>AND(#REF!,"AAAAAH/rP7M=")</f>
        <v>#REF!</v>
      </c>
      <c r="FY8" t="e">
        <f>AND(#REF!,"AAAAAH/rP7Q=")</f>
        <v>#REF!</v>
      </c>
      <c r="FZ8" t="e">
        <f>AND(#REF!,"AAAAAH/rP7U=")</f>
        <v>#REF!</v>
      </c>
      <c r="GA8" t="e">
        <f>AND(#REF!,"AAAAAH/rP7Y=")</f>
        <v>#REF!</v>
      </c>
      <c r="GB8" t="e">
        <f>IF(#REF!,"AAAAAH/rP7c=",0)</f>
        <v>#REF!</v>
      </c>
      <c r="GC8" t="e">
        <f>AND(#REF!,"AAAAAH/rP7g=")</f>
        <v>#REF!</v>
      </c>
      <c r="GD8" t="e">
        <f>AND(#REF!,"AAAAAH/rP7k=")</f>
        <v>#REF!</v>
      </c>
      <c r="GE8" t="e">
        <f>AND(#REF!,"AAAAAH/rP7o=")</f>
        <v>#REF!</v>
      </c>
      <c r="GF8" t="e">
        <f>AND(#REF!,"AAAAAH/rP7s=")</f>
        <v>#REF!</v>
      </c>
      <c r="GG8" t="e">
        <f>AND(#REF!,"AAAAAH/rP7w=")</f>
        <v>#REF!</v>
      </c>
      <c r="GH8" t="e">
        <f>IF(#REF!,"AAAAAH/rP70=",0)</f>
        <v>#REF!</v>
      </c>
      <c r="GI8" t="e">
        <f>AND(#REF!,"AAAAAH/rP74=")</f>
        <v>#REF!</v>
      </c>
      <c r="GJ8" t="e">
        <f>AND(#REF!,"AAAAAH/rP78=")</f>
        <v>#REF!</v>
      </c>
      <c r="GK8" t="e">
        <f>AND(#REF!,"AAAAAH/rP8A=")</f>
        <v>#REF!</v>
      </c>
      <c r="GL8" t="e">
        <f>AND(#REF!,"AAAAAH/rP8E=")</f>
        <v>#REF!</v>
      </c>
      <c r="GM8" t="e">
        <f>AND(#REF!,"AAAAAH/rP8I=")</f>
        <v>#REF!</v>
      </c>
      <c r="GN8" t="e">
        <f>IF(#REF!,"AAAAAH/rP8M=",0)</f>
        <v>#REF!</v>
      </c>
      <c r="GO8" t="e">
        <f>IF(#REF!,"AAAAAH/rP8Q=",0)</f>
        <v>#REF!</v>
      </c>
      <c r="GP8" t="e">
        <f>IF(#REF!,"AAAAAH/rP8U=",0)</f>
        <v>#REF!</v>
      </c>
      <c r="GQ8" t="e">
        <f>IF(#REF!,"AAAAAH/rP8Y=",0)</f>
        <v>#REF!</v>
      </c>
      <c r="GR8" t="e">
        <f>IF(#REF!,"AAAAAH/rP8c=",0)</f>
        <v>#REF!</v>
      </c>
      <c r="GS8" t="e">
        <f>IF(#REF!,"AAAAAH/rP8g=",0)</f>
        <v>#REF!</v>
      </c>
      <c r="GT8" t="e">
        <f>IF(#REF!,"AAAAAH/rP8k=",0)</f>
        <v>#REF!</v>
      </c>
      <c r="GU8" t="e">
        <f>AND(#REF!,"AAAAAH/rP8o=")</f>
        <v>#REF!</v>
      </c>
      <c r="GV8" t="e">
        <f>AND(#REF!,"AAAAAH/rP8s=")</f>
        <v>#REF!</v>
      </c>
      <c r="GW8" t="e">
        <f>AND(#REF!,"AAAAAH/rP8w=")</f>
        <v>#REF!</v>
      </c>
      <c r="GX8" t="e">
        <f>AND(#REF!,"AAAAAH/rP80=")</f>
        <v>#REF!</v>
      </c>
      <c r="GY8" t="e">
        <f>AND(#REF!,"AAAAAH/rP84=")</f>
        <v>#REF!</v>
      </c>
      <c r="GZ8" t="e">
        <f>IF(#REF!,"AAAAAH/rP88=",0)</f>
        <v>#REF!</v>
      </c>
      <c r="HA8" t="e">
        <f>AND(#REF!,"AAAAAH/rP9A=")</f>
        <v>#REF!</v>
      </c>
      <c r="HB8" t="e">
        <f>AND(#REF!,"AAAAAH/rP9E=")</f>
        <v>#REF!</v>
      </c>
      <c r="HC8" t="e">
        <f>AND(#REF!,"AAAAAH/rP9I=")</f>
        <v>#REF!</v>
      </c>
      <c r="HD8" t="e">
        <f>AND(#REF!,"AAAAAH/rP9M=")</f>
        <v>#REF!</v>
      </c>
      <c r="HE8" t="e">
        <f>AND(#REF!,"AAAAAH/rP9Q=")</f>
        <v>#REF!</v>
      </c>
      <c r="HF8" t="e">
        <f>IF(#REF!,"AAAAAH/rP9U=",0)</f>
        <v>#REF!</v>
      </c>
      <c r="HG8" t="e">
        <f>AND(#REF!,"AAAAAH/rP9Y=")</f>
        <v>#REF!</v>
      </c>
      <c r="HH8" t="e">
        <f>AND(#REF!,"AAAAAH/rP9c=")</f>
        <v>#REF!</v>
      </c>
      <c r="HI8" t="e">
        <f>AND(#REF!,"AAAAAH/rP9g=")</f>
        <v>#REF!</v>
      </c>
      <c r="HJ8" t="e">
        <f>AND(#REF!,"AAAAAH/rP9k=")</f>
        <v>#REF!</v>
      </c>
      <c r="HK8" t="e">
        <f>AND(#REF!,"AAAAAH/rP9o=")</f>
        <v>#REF!</v>
      </c>
      <c r="HL8" t="e">
        <f>IF(#REF!,"AAAAAH/rP9s=",0)</f>
        <v>#REF!</v>
      </c>
      <c r="HM8" t="e">
        <f>AND(#REF!,"AAAAAH/rP9w=")</f>
        <v>#REF!</v>
      </c>
      <c r="HN8" t="e">
        <f>AND(#REF!,"AAAAAH/rP90=")</f>
        <v>#REF!</v>
      </c>
      <c r="HO8" t="e">
        <f>AND(#REF!,"AAAAAH/rP94=")</f>
        <v>#REF!</v>
      </c>
      <c r="HP8" t="e">
        <f>AND(#REF!,"AAAAAH/rP98=")</f>
        <v>#REF!</v>
      </c>
      <c r="HQ8" t="e">
        <f>AND(#REF!,"AAAAAH/rP+A=")</f>
        <v>#REF!</v>
      </c>
      <c r="HR8" t="e">
        <f>IF(#REF!,"AAAAAH/rP+E=",0)</f>
        <v>#REF!</v>
      </c>
      <c r="HS8" t="e">
        <f>AND(#REF!,"AAAAAH/rP+I=")</f>
        <v>#REF!</v>
      </c>
      <c r="HT8" t="e">
        <f>AND(#REF!,"AAAAAH/rP+M=")</f>
        <v>#REF!</v>
      </c>
      <c r="HU8" t="e">
        <f>AND(#REF!,"AAAAAH/rP+Q=")</f>
        <v>#REF!</v>
      </c>
      <c r="HV8" t="e">
        <f>AND(#REF!,"AAAAAH/rP+U=")</f>
        <v>#REF!</v>
      </c>
      <c r="HW8" t="e">
        <f>AND(#REF!,"AAAAAH/rP+Y=")</f>
        <v>#REF!</v>
      </c>
      <c r="HX8" t="e">
        <f>IF(#REF!,"AAAAAH/rP+c=",0)</f>
        <v>#REF!</v>
      </c>
      <c r="HY8" t="e">
        <f>AND(#REF!,"AAAAAH/rP+g=")</f>
        <v>#REF!</v>
      </c>
      <c r="HZ8" t="e">
        <f>AND(#REF!,"AAAAAH/rP+k=")</f>
        <v>#REF!</v>
      </c>
      <c r="IA8" t="e">
        <f>AND(#REF!,"AAAAAH/rP+o=")</f>
        <v>#REF!</v>
      </c>
      <c r="IB8" t="e">
        <f>AND(#REF!,"AAAAAH/rP+s=")</f>
        <v>#REF!</v>
      </c>
      <c r="IC8" t="e">
        <f>AND(#REF!,"AAAAAH/rP+w=")</f>
        <v>#REF!</v>
      </c>
      <c r="ID8" t="e">
        <f>IF(#REF!,"AAAAAH/rP+0=",0)</f>
        <v>#REF!</v>
      </c>
      <c r="IE8" t="e">
        <f>AND(#REF!,"AAAAAH/rP+4=")</f>
        <v>#REF!</v>
      </c>
      <c r="IF8" t="e">
        <f>AND(#REF!,"AAAAAH/rP+8=")</f>
        <v>#REF!</v>
      </c>
      <c r="IG8" t="e">
        <f>AND(#REF!,"AAAAAH/rP/A=")</f>
        <v>#REF!</v>
      </c>
      <c r="IH8" t="e">
        <f>AND(#REF!,"AAAAAH/rP/E=")</f>
        <v>#REF!</v>
      </c>
      <c r="II8" t="e">
        <f>AND(#REF!,"AAAAAH/rP/I=")</f>
        <v>#REF!</v>
      </c>
      <c r="IJ8" t="e">
        <f>IF(#REF!,"AAAAAH/rP/M=",0)</f>
        <v>#REF!</v>
      </c>
      <c r="IK8" t="e">
        <f>AND(#REF!,"AAAAAH/rP/Q=")</f>
        <v>#REF!</v>
      </c>
      <c r="IL8" t="e">
        <f>AND(#REF!,"AAAAAH/rP/U=")</f>
        <v>#REF!</v>
      </c>
      <c r="IM8" t="e">
        <f>AND(#REF!,"AAAAAH/rP/Y=")</f>
        <v>#REF!</v>
      </c>
      <c r="IN8" t="e">
        <f>AND(#REF!,"AAAAAH/rP/c=")</f>
        <v>#REF!</v>
      </c>
      <c r="IO8" t="e">
        <f>AND(#REF!,"AAAAAH/rP/g=")</f>
        <v>#REF!</v>
      </c>
      <c r="IP8" t="e">
        <f>IF(#REF!,"AAAAAH/rP/k=",0)</f>
        <v>#REF!</v>
      </c>
      <c r="IQ8" t="e">
        <f>AND(#REF!,"AAAAAH/rP/o=")</f>
        <v>#REF!</v>
      </c>
      <c r="IR8" t="e">
        <f>AND(#REF!,"AAAAAH/rP/s=")</f>
        <v>#REF!</v>
      </c>
      <c r="IS8" t="e">
        <f>AND(#REF!,"AAAAAH/rP/w=")</f>
        <v>#REF!</v>
      </c>
      <c r="IT8" t="e">
        <f>AND(#REF!,"AAAAAH/rP/0=")</f>
        <v>#REF!</v>
      </c>
      <c r="IU8" t="e">
        <f>AND(#REF!,"AAAAAH/rP/4=")</f>
        <v>#REF!</v>
      </c>
      <c r="IV8" t="e">
        <f>IF(#REF!,"AAAAAH/rP/8=",0)</f>
        <v>#REF!</v>
      </c>
    </row>
    <row r="9" spans="1:256">
      <c r="A9" t="e">
        <f>AND(#REF!,"AAAAAH9erwA=")</f>
        <v>#REF!</v>
      </c>
      <c r="B9" t="e">
        <f>AND(#REF!,"AAAAAH9erwE=")</f>
        <v>#REF!</v>
      </c>
      <c r="C9" t="e">
        <f>AND(#REF!,"AAAAAH9erwI=")</f>
        <v>#REF!</v>
      </c>
      <c r="D9" t="e">
        <f>AND(#REF!,"AAAAAH9erwM=")</f>
        <v>#REF!</v>
      </c>
      <c r="E9" t="e">
        <f>AND(#REF!,"AAAAAH9erwQ=")</f>
        <v>#REF!</v>
      </c>
      <c r="F9" t="e">
        <f>IF(#REF!,"AAAAAH9erwU=",0)</f>
        <v>#REF!</v>
      </c>
      <c r="G9" t="e">
        <f>AND(#REF!,"AAAAAH9erwY=")</f>
        <v>#REF!</v>
      </c>
      <c r="H9" t="e">
        <f>AND(#REF!,"AAAAAH9erwc=")</f>
        <v>#REF!</v>
      </c>
      <c r="I9" t="e">
        <f>AND(#REF!,"AAAAAH9erwg=")</f>
        <v>#REF!</v>
      </c>
      <c r="J9" t="e">
        <f>AND(#REF!,"AAAAAH9erwk=")</f>
        <v>#REF!</v>
      </c>
      <c r="K9" t="e">
        <f>AND(#REF!,"AAAAAH9erwo=")</f>
        <v>#REF!</v>
      </c>
      <c r="L9" t="e">
        <f>IF(#REF!,"AAAAAH9erws=",0)</f>
        <v>#REF!</v>
      </c>
      <c r="M9" t="e">
        <f>AND(#REF!,"AAAAAH9erww=")</f>
        <v>#REF!</v>
      </c>
      <c r="N9" t="e">
        <f>AND(#REF!,"AAAAAH9erw0=")</f>
        <v>#REF!</v>
      </c>
      <c r="O9" t="e">
        <f>AND(#REF!,"AAAAAH9erw4=")</f>
        <v>#REF!</v>
      </c>
      <c r="P9" t="e">
        <f>AND(#REF!,"AAAAAH9erw8=")</f>
        <v>#REF!</v>
      </c>
      <c r="Q9" t="e">
        <f>AND(#REF!,"AAAAAH9erxA=")</f>
        <v>#REF!</v>
      </c>
      <c r="R9" t="e">
        <f>IF(#REF!,"AAAAAH9erxE=",0)</f>
        <v>#REF!</v>
      </c>
      <c r="S9" t="e">
        <f>AND(#REF!,"AAAAAH9erxI=")</f>
        <v>#REF!</v>
      </c>
      <c r="T9" t="e">
        <f>AND(#REF!,"AAAAAH9erxM=")</f>
        <v>#REF!</v>
      </c>
      <c r="U9" t="e">
        <f>AND(#REF!,"AAAAAH9erxQ=")</f>
        <v>#REF!</v>
      </c>
      <c r="V9" t="e">
        <f>AND(#REF!,"AAAAAH9erxU=")</f>
        <v>#REF!</v>
      </c>
      <c r="W9" t="e">
        <f>AND(#REF!,"AAAAAH9erxY=")</f>
        <v>#REF!</v>
      </c>
      <c r="X9" t="e">
        <f>IF(#REF!,"AAAAAH9erxc=",0)</f>
        <v>#REF!</v>
      </c>
      <c r="Y9" t="e">
        <f>AND(#REF!,"AAAAAH9erxg=")</f>
        <v>#REF!</v>
      </c>
      <c r="Z9" t="e">
        <f>AND(#REF!,"AAAAAH9erxk=")</f>
        <v>#REF!</v>
      </c>
      <c r="AA9" t="e">
        <f>AND(#REF!,"AAAAAH9erxo=")</f>
        <v>#REF!</v>
      </c>
      <c r="AB9" t="e">
        <f>AND(#REF!,"AAAAAH9erxs=")</f>
        <v>#REF!</v>
      </c>
      <c r="AC9" t="e">
        <f>AND(#REF!,"AAAAAH9erxw=")</f>
        <v>#REF!</v>
      </c>
      <c r="AD9" t="e">
        <f>IF(#REF!,"AAAAAH9erx0=",0)</f>
        <v>#REF!</v>
      </c>
      <c r="AE9" t="e">
        <f>AND(#REF!,"AAAAAH9erx4=")</f>
        <v>#REF!</v>
      </c>
      <c r="AF9" t="e">
        <f>AND(#REF!,"AAAAAH9erx8=")</f>
        <v>#REF!</v>
      </c>
      <c r="AG9" t="e">
        <f>AND(#REF!,"AAAAAH9eryA=")</f>
        <v>#REF!</v>
      </c>
      <c r="AH9" t="e">
        <f>AND(#REF!,"AAAAAH9eryE=")</f>
        <v>#REF!</v>
      </c>
      <c r="AI9" t="e">
        <f>AND(#REF!,"AAAAAH9eryI=")</f>
        <v>#REF!</v>
      </c>
      <c r="AJ9" t="e">
        <f>IF(#REF!,"AAAAAH9eryM=",0)</f>
        <v>#REF!</v>
      </c>
      <c r="AK9" t="e">
        <f>AND(#REF!,"AAAAAH9eryQ=")</f>
        <v>#REF!</v>
      </c>
      <c r="AL9" t="e">
        <f>AND(#REF!,"AAAAAH9eryU=")</f>
        <v>#REF!</v>
      </c>
      <c r="AM9" t="e">
        <f>AND(#REF!,"AAAAAH9eryY=")</f>
        <v>#REF!</v>
      </c>
      <c r="AN9" t="e">
        <f>AND(#REF!,"AAAAAH9eryc=")</f>
        <v>#REF!</v>
      </c>
      <c r="AO9" t="e">
        <f>AND(#REF!,"AAAAAH9eryg=")</f>
        <v>#REF!</v>
      </c>
      <c r="AP9" t="e">
        <f>IF(#REF!,"AAAAAH9eryk=",0)</f>
        <v>#REF!</v>
      </c>
      <c r="AQ9" t="e">
        <f>AND(#REF!,"AAAAAH9eryo=")</f>
        <v>#REF!</v>
      </c>
      <c r="AR9" t="e">
        <f>AND(#REF!,"AAAAAH9erys=")</f>
        <v>#REF!</v>
      </c>
      <c r="AS9" t="e">
        <f>AND(#REF!,"AAAAAH9eryw=")</f>
        <v>#REF!</v>
      </c>
      <c r="AT9" t="e">
        <f>AND(#REF!,"AAAAAH9ery0=")</f>
        <v>#REF!</v>
      </c>
      <c r="AU9" t="e">
        <f>AND(#REF!,"AAAAAH9ery4=")</f>
        <v>#REF!</v>
      </c>
      <c r="AV9" t="e">
        <f>IF(#REF!,"AAAAAH9ery8=",0)</f>
        <v>#REF!</v>
      </c>
      <c r="AW9" t="e">
        <f>AND(#REF!,"AAAAAH9erzA=")</f>
        <v>#REF!</v>
      </c>
      <c r="AX9" t="e">
        <f>AND(#REF!,"AAAAAH9erzE=")</f>
        <v>#REF!</v>
      </c>
      <c r="AY9" t="e">
        <f>AND(#REF!,"AAAAAH9erzI=")</f>
        <v>#REF!</v>
      </c>
      <c r="AZ9" t="e">
        <f>AND(#REF!,"AAAAAH9erzM=")</f>
        <v>#REF!</v>
      </c>
      <c r="BA9" t="e">
        <f>AND(#REF!,"AAAAAH9erzQ=")</f>
        <v>#REF!</v>
      </c>
      <c r="BB9" t="e">
        <f>IF(#REF!,"AAAAAH9erzU=",0)</f>
        <v>#REF!</v>
      </c>
      <c r="BC9" t="e">
        <f>AND(#REF!,"AAAAAH9erzY=")</f>
        <v>#REF!</v>
      </c>
      <c r="BD9" t="e">
        <f>AND(#REF!,"AAAAAH9erzc=")</f>
        <v>#REF!</v>
      </c>
      <c r="BE9" t="e">
        <f>AND(#REF!,"AAAAAH9erzg=")</f>
        <v>#REF!</v>
      </c>
      <c r="BF9" t="e">
        <f>AND(#REF!,"AAAAAH9erzk=")</f>
        <v>#REF!</v>
      </c>
      <c r="BG9" t="e">
        <f>AND(#REF!,"AAAAAH9erzo=")</f>
        <v>#REF!</v>
      </c>
      <c r="BH9" t="e">
        <f>IF(#REF!,"AAAAAH9erzs=",0)</f>
        <v>#REF!</v>
      </c>
      <c r="BI9" t="e">
        <f>AND(#REF!,"AAAAAH9erzw=")</f>
        <v>#REF!</v>
      </c>
      <c r="BJ9" t="e">
        <f>AND(#REF!,"AAAAAH9erz0=")</f>
        <v>#REF!</v>
      </c>
      <c r="BK9" t="e">
        <f>AND(#REF!,"AAAAAH9erz4=")</f>
        <v>#REF!</v>
      </c>
      <c r="BL9" t="e">
        <f>AND(#REF!,"AAAAAH9erz8=")</f>
        <v>#REF!</v>
      </c>
      <c r="BM9" t="e">
        <f>AND(#REF!,"AAAAAH9er0A=")</f>
        <v>#REF!</v>
      </c>
      <c r="BN9" t="e">
        <f>IF(#REF!,"AAAAAH9er0E=",0)</f>
        <v>#REF!</v>
      </c>
      <c r="BO9" t="e">
        <f>AND(#REF!,"AAAAAH9er0I=")</f>
        <v>#REF!</v>
      </c>
      <c r="BP9" t="e">
        <f>AND(#REF!,"AAAAAH9er0M=")</f>
        <v>#REF!</v>
      </c>
      <c r="BQ9" t="e">
        <f>AND(#REF!,"AAAAAH9er0Q=")</f>
        <v>#REF!</v>
      </c>
      <c r="BR9" t="e">
        <f>AND(#REF!,"AAAAAH9er0U=")</f>
        <v>#REF!</v>
      </c>
      <c r="BS9" t="e">
        <f>AND(#REF!,"AAAAAH9er0Y=")</f>
        <v>#REF!</v>
      </c>
      <c r="BT9" t="e">
        <f>IF(#REF!,"AAAAAH9er0c=",0)</f>
        <v>#REF!</v>
      </c>
      <c r="BU9" t="e">
        <f>AND(#REF!,"AAAAAH9er0g=")</f>
        <v>#REF!</v>
      </c>
      <c r="BV9" t="e">
        <f>AND(#REF!,"AAAAAH9er0k=")</f>
        <v>#REF!</v>
      </c>
      <c r="BW9" t="e">
        <f>AND(#REF!,"AAAAAH9er0o=")</f>
        <v>#REF!</v>
      </c>
      <c r="BX9" t="e">
        <f>AND(#REF!,"AAAAAH9er0s=")</f>
        <v>#REF!</v>
      </c>
      <c r="BY9" t="e">
        <f>AND(#REF!,"AAAAAH9er0w=")</f>
        <v>#REF!</v>
      </c>
      <c r="BZ9" t="e">
        <f>IF(#REF!,"AAAAAH9er00=",0)</f>
        <v>#REF!</v>
      </c>
      <c r="CA9" t="e">
        <f>AND(#REF!,"AAAAAH9er04=")</f>
        <v>#REF!</v>
      </c>
      <c r="CB9" t="e">
        <f>AND(#REF!,"AAAAAH9er08=")</f>
        <v>#REF!</v>
      </c>
      <c r="CC9" t="e">
        <f>AND(#REF!,"AAAAAH9er1A=")</f>
        <v>#REF!</v>
      </c>
      <c r="CD9" t="e">
        <f>AND(#REF!,"AAAAAH9er1E=")</f>
        <v>#REF!</v>
      </c>
      <c r="CE9" t="e">
        <f>AND(#REF!,"AAAAAH9er1I=")</f>
        <v>#REF!</v>
      </c>
      <c r="CF9" t="e">
        <f>IF(#REF!,"AAAAAH9er1M=",0)</f>
        <v>#REF!</v>
      </c>
      <c r="CG9" t="e">
        <f>IF(#REF!,"AAAAAH9er1Q=",0)</f>
        <v>#REF!</v>
      </c>
      <c r="CH9" t="e">
        <f>IF(#REF!,"AAAAAH9er1U=",0)</f>
        <v>#REF!</v>
      </c>
      <c r="CI9" t="e">
        <f>IF(#REF!,"AAAAAH9er1Y=",0)</f>
        <v>#REF!</v>
      </c>
      <c r="CJ9" t="e">
        <f>IF(#REF!,"AAAAAH9er1c=",0)</f>
        <v>#REF!</v>
      </c>
      <c r="CK9" t="e">
        <f>IF(#REF!,"AAAAAH9er1g=",0)</f>
        <v>#REF!</v>
      </c>
      <c r="CL9" t="e">
        <f>IF(#REF!,"AAAAAH9er1k=",0)</f>
        <v>#REF!</v>
      </c>
      <c r="CM9" t="e">
        <f>AND(#REF!,"AAAAAH9er1o=")</f>
        <v>#REF!</v>
      </c>
      <c r="CN9" t="e">
        <f>AND(#REF!,"AAAAAH9er1s=")</f>
        <v>#REF!</v>
      </c>
      <c r="CO9" t="e">
        <f>AND(#REF!,"AAAAAH9er1w=")</f>
        <v>#REF!</v>
      </c>
      <c r="CP9" t="e">
        <f>AND(#REF!,"AAAAAH9er10=")</f>
        <v>#REF!</v>
      </c>
      <c r="CQ9" t="e">
        <f>AND(#REF!,"AAAAAH9er14=")</f>
        <v>#REF!</v>
      </c>
      <c r="CR9" t="e">
        <f>IF(#REF!,"AAAAAH9er18=",0)</f>
        <v>#REF!</v>
      </c>
      <c r="CS9" t="e">
        <f>AND(#REF!,"AAAAAH9er2A=")</f>
        <v>#REF!</v>
      </c>
      <c r="CT9" t="e">
        <f>AND(#REF!,"AAAAAH9er2E=")</f>
        <v>#REF!</v>
      </c>
      <c r="CU9" t="e">
        <f>AND(#REF!,"AAAAAH9er2I=")</f>
        <v>#REF!</v>
      </c>
      <c r="CV9" t="e">
        <f>AND(#REF!,"AAAAAH9er2M=")</f>
        <v>#REF!</v>
      </c>
      <c r="CW9" t="e">
        <f>AND(#REF!,"AAAAAH9er2Q=")</f>
        <v>#REF!</v>
      </c>
      <c r="CX9" t="e">
        <f>IF(#REF!,"AAAAAH9er2U=",0)</f>
        <v>#REF!</v>
      </c>
      <c r="CY9" t="e">
        <f>AND(#REF!,"AAAAAH9er2Y=")</f>
        <v>#REF!</v>
      </c>
      <c r="CZ9" t="e">
        <f>AND(#REF!,"AAAAAH9er2c=")</f>
        <v>#REF!</v>
      </c>
      <c r="DA9" t="e">
        <f>AND(#REF!,"AAAAAH9er2g=")</f>
        <v>#REF!</v>
      </c>
      <c r="DB9" t="e">
        <f>AND(#REF!,"AAAAAH9er2k=")</f>
        <v>#REF!</v>
      </c>
      <c r="DC9" t="e">
        <f>AND(#REF!,"AAAAAH9er2o=")</f>
        <v>#REF!</v>
      </c>
      <c r="DD9" t="e">
        <f>IF(#REF!,"AAAAAH9er2s=",0)</f>
        <v>#REF!</v>
      </c>
      <c r="DE9" t="e">
        <f>AND(#REF!,"AAAAAH9er2w=")</f>
        <v>#REF!</v>
      </c>
      <c r="DF9" t="e">
        <f>AND(#REF!,"AAAAAH9er20=")</f>
        <v>#REF!</v>
      </c>
      <c r="DG9" t="e">
        <f>AND(#REF!,"AAAAAH9er24=")</f>
        <v>#REF!</v>
      </c>
      <c r="DH9" t="e">
        <f>AND(#REF!,"AAAAAH9er28=")</f>
        <v>#REF!</v>
      </c>
      <c r="DI9" t="e">
        <f>AND(#REF!,"AAAAAH9er3A=")</f>
        <v>#REF!</v>
      </c>
      <c r="DJ9" t="e">
        <f>IF(#REF!,"AAAAAH9er3E=",0)</f>
        <v>#REF!</v>
      </c>
      <c r="DK9" t="e">
        <f>AND(#REF!,"AAAAAH9er3I=")</f>
        <v>#REF!</v>
      </c>
      <c r="DL9" t="e">
        <f>AND(#REF!,"AAAAAH9er3M=")</f>
        <v>#REF!</v>
      </c>
      <c r="DM9" t="e">
        <f>AND(#REF!,"AAAAAH9er3Q=")</f>
        <v>#REF!</v>
      </c>
      <c r="DN9" t="e">
        <f>AND(#REF!,"AAAAAH9er3U=")</f>
        <v>#REF!</v>
      </c>
      <c r="DO9" t="e">
        <f>AND(#REF!,"AAAAAH9er3Y=")</f>
        <v>#REF!</v>
      </c>
      <c r="DP9" t="e">
        <f>IF(#REF!,"AAAAAH9er3c=",0)</f>
        <v>#REF!</v>
      </c>
      <c r="DQ9" t="e">
        <f>AND(#REF!,"AAAAAH9er3g=")</f>
        <v>#REF!</v>
      </c>
      <c r="DR9" t="e">
        <f>AND(#REF!,"AAAAAH9er3k=")</f>
        <v>#REF!</v>
      </c>
      <c r="DS9" t="e">
        <f>AND(#REF!,"AAAAAH9er3o=")</f>
        <v>#REF!</v>
      </c>
      <c r="DT9" t="e">
        <f>AND(#REF!,"AAAAAH9er3s=")</f>
        <v>#REF!</v>
      </c>
      <c r="DU9" t="e">
        <f>AND(#REF!,"AAAAAH9er3w=")</f>
        <v>#REF!</v>
      </c>
      <c r="DV9" t="e">
        <f>IF(#REF!,"AAAAAH9er30=",0)</f>
        <v>#REF!</v>
      </c>
      <c r="DW9" t="e">
        <f>AND(#REF!,"AAAAAH9er34=")</f>
        <v>#REF!</v>
      </c>
      <c r="DX9" t="e">
        <f>AND(#REF!,"AAAAAH9er38=")</f>
        <v>#REF!</v>
      </c>
      <c r="DY9" t="e">
        <f>AND(#REF!,"AAAAAH9er4A=")</f>
        <v>#REF!</v>
      </c>
      <c r="DZ9" t="e">
        <f>AND(#REF!,"AAAAAH9er4E=")</f>
        <v>#REF!</v>
      </c>
      <c r="EA9" t="e">
        <f>AND(#REF!,"AAAAAH9er4I=")</f>
        <v>#REF!</v>
      </c>
      <c r="EB9" t="e">
        <f>IF(#REF!,"AAAAAH9er4M=",0)</f>
        <v>#REF!</v>
      </c>
      <c r="EC9" t="e">
        <f>AND(#REF!,"AAAAAH9er4Q=")</f>
        <v>#REF!</v>
      </c>
      <c r="ED9" t="e">
        <f>AND(#REF!,"AAAAAH9er4U=")</f>
        <v>#REF!</v>
      </c>
      <c r="EE9" t="e">
        <f>AND(#REF!,"AAAAAH9er4Y=")</f>
        <v>#REF!</v>
      </c>
      <c r="EF9" t="e">
        <f>AND(#REF!,"AAAAAH9er4c=")</f>
        <v>#REF!</v>
      </c>
      <c r="EG9" t="e">
        <f>AND(#REF!,"AAAAAH9er4g=")</f>
        <v>#REF!</v>
      </c>
      <c r="EH9" t="e">
        <f>IF(#REF!,"AAAAAH9er4k=",0)</f>
        <v>#REF!</v>
      </c>
      <c r="EI9" t="e">
        <f>AND(#REF!,"AAAAAH9er4o=")</f>
        <v>#REF!</v>
      </c>
      <c r="EJ9" t="e">
        <f>AND(#REF!,"AAAAAH9er4s=")</f>
        <v>#REF!</v>
      </c>
      <c r="EK9" t="e">
        <f>AND(#REF!,"AAAAAH9er4w=")</f>
        <v>#REF!</v>
      </c>
      <c r="EL9" t="e">
        <f>AND(#REF!,"AAAAAH9er40=")</f>
        <v>#REF!</v>
      </c>
      <c r="EM9" t="e">
        <f>AND(#REF!,"AAAAAH9er44=")</f>
        <v>#REF!</v>
      </c>
      <c r="EN9" t="e">
        <f>IF(#REF!,"AAAAAH9er48=",0)</f>
        <v>#REF!</v>
      </c>
      <c r="EO9" t="e">
        <f>AND(#REF!,"AAAAAH9er5A=")</f>
        <v>#REF!</v>
      </c>
      <c r="EP9" t="e">
        <f>AND(#REF!,"AAAAAH9er5E=")</f>
        <v>#REF!</v>
      </c>
      <c r="EQ9" t="e">
        <f>AND(#REF!,"AAAAAH9er5I=")</f>
        <v>#REF!</v>
      </c>
      <c r="ER9" t="e">
        <f>AND(#REF!,"AAAAAH9er5M=")</f>
        <v>#REF!</v>
      </c>
      <c r="ES9" t="e">
        <f>AND(#REF!,"AAAAAH9er5Q=")</f>
        <v>#REF!</v>
      </c>
      <c r="ET9" t="e">
        <f>IF(#REF!,"AAAAAH9er5U=",0)</f>
        <v>#REF!</v>
      </c>
      <c r="EU9" t="e">
        <f>AND(#REF!,"AAAAAH9er5Y=")</f>
        <v>#REF!</v>
      </c>
      <c r="EV9" t="e">
        <f>AND(#REF!,"AAAAAH9er5c=")</f>
        <v>#REF!</v>
      </c>
      <c r="EW9" t="e">
        <f>AND(#REF!,"AAAAAH9er5g=")</f>
        <v>#REF!</v>
      </c>
      <c r="EX9" t="e">
        <f>AND(#REF!,"AAAAAH9er5k=")</f>
        <v>#REF!</v>
      </c>
      <c r="EY9" t="e">
        <f>AND(#REF!,"AAAAAH9er5o=")</f>
        <v>#REF!</v>
      </c>
      <c r="EZ9" t="e">
        <f>IF(#REF!,"AAAAAH9er5s=",0)</f>
        <v>#REF!</v>
      </c>
      <c r="FA9" t="e">
        <f>AND(#REF!,"AAAAAH9er5w=")</f>
        <v>#REF!</v>
      </c>
      <c r="FB9" t="e">
        <f>AND(#REF!,"AAAAAH9er50=")</f>
        <v>#REF!</v>
      </c>
      <c r="FC9" t="e">
        <f>AND(#REF!,"AAAAAH9er54=")</f>
        <v>#REF!</v>
      </c>
      <c r="FD9" t="e">
        <f>AND(#REF!,"AAAAAH9er58=")</f>
        <v>#REF!</v>
      </c>
      <c r="FE9" t="e">
        <f>AND(#REF!,"AAAAAH9er6A=")</f>
        <v>#REF!</v>
      </c>
      <c r="FF9" t="e">
        <f>IF(#REF!,"AAAAAH9er6E=",0)</f>
        <v>#REF!</v>
      </c>
      <c r="FG9" t="e">
        <f>AND(#REF!,"AAAAAH9er6I=")</f>
        <v>#REF!</v>
      </c>
      <c r="FH9" t="e">
        <f>AND(#REF!,"AAAAAH9er6M=")</f>
        <v>#REF!</v>
      </c>
      <c r="FI9" t="e">
        <f>AND(#REF!,"AAAAAH9er6Q=")</f>
        <v>#REF!</v>
      </c>
      <c r="FJ9" t="e">
        <f>AND(#REF!,"AAAAAH9er6U=")</f>
        <v>#REF!</v>
      </c>
      <c r="FK9" t="e">
        <f>AND(#REF!,"AAAAAH9er6Y=")</f>
        <v>#REF!</v>
      </c>
      <c r="FL9" t="e">
        <f>IF(#REF!,"AAAAAH9er6c=",0)</f>
        <v>#REF!</v>
      </c>
      <c r="FM9" t="e">
        <f>AND(#REF!,"AAAAAH9er6g=")</f>
        <v>#REF!</v>
      </c>
      <c r="FN9" t="e">
        <f>AND(#REF!,"AAAAAH9er6k=")</f>
        <v>#REF!</v>
      </c>
      <c r="FO9" t="e">
        <f>AND(#REF!,"AAAAAH9er6o=")</f>
        <v>#REF!</v>
      </c>
      <c r="FP9" t="e">
        <f>AND(#REF!,"AAAAAH9er6s=")</f>
        <v>#REF!</v>
      </c>
      <c r="FQ9" t="e">
        <f>AND(#REF!,"AAAAAH9er6w=")</f>
        <v>#REF!</v>
      </c>
      <c r="FR9" t="e">
        <f>IF(#REF!,"AAAAAH9er60=",0)</f>
        <v>#REF!</v>
      </c>
      <c r="FS9" t="e">
        <f>AND(#REF!,"AAAAAH9er64=")</f>
        <v>#REF!</v>
      </c>
      <c r="FT9" t="e">
        <f>AND(#REF!,"AAAAAH9er68=")</f>
        <v>#REF!</v>
      </c>
      <c r="FU9" t="e">
        <f>AND(#REF!,"AAAAAH9er7A=")</f>
        <v>#REF!</v>
      </c>
      <c r="FV9" t="e">
        <f>AND(#REF!,"AAAAAH9er7E=")</f>
        <v>#REF!</v>
      </c>
      <c r="FW9" t="e">
        <f>AND(#REF!,"AAAAAH9er7I=")</f>
        <v>#REF!</v>
      </c>
      <c r="FX9" t="e">
        <f>IF(#REF!,"AAAAAH9er7M=",0)</f>
        <v>#REF!</v>
      </c>
      <c r="FY9" t="e">
        <f>AND(#REF!,"AAAAAH9er7Q=")</f>
        <v>#REF!</v>
      </c>
      <c r="FZ9" t="e">
        <f>AND(#REF!,"AAAAAH9er7U=")</f>
        <v>#REF!</v>
      </c>
      <c r="GA9" t="e">
        <f>AND(#REF!,"AAAAAH9er7Y=")</f>
        <v>#REF!</v>
      </c>
      <c r="GB9" t="e">
        <f>AND(#REF!,"AAAAAH9er7c=")</f>
        <v>#REF!</v>
      </c>
      <c r="GC9" t="e">
        <f>AND(#REF!,"AAAAAH9er7g=")</f>
        <v>#REF!</v>
      </c>
      <c r="GD9" t="e">
        <f>IF(#REF!,"AAAAAH9er7k=",0)</f>
        <v>#REF!</v>
      </c>
      <c r="GE9" t="e">
        <f>AND(#REF!,"AAAAAH9er7o=")</f>
        <v>#REF!</v>
      </c>
      <c r="GF9" t="e">
        <f>AND(#REF!,"AAAAAH9er7s=")</f>
        <v>#REF!</v>
      </c>
      <c r="GG9" t="e">
        <f>AND(#REF!,"AAAAAH9er7w=")</f>
        <v>#REF!</v>
      </c>
      <c r="GH9" t="e">
        <f>AND(#REF!,"AAAAAH9er70=")</f>
        <v>#REF!</v>
      </c>
      <c r="GI9" t="e">
        <f>AND(#REF!,"AAAAAH9er74=")</f>
        <v>#REF!</v>
      </c>
      <c r="GJ9" t="e">
        <f>IF(#REF!,"AAAAAH9er78=",0)</f>
        <v>#REF!</v>
      </c>
      <c r="GK9" t="e">
        <f>AND(#REF!,"AAAAAH9er8A=")</f>
        <v>#REF!</v>
      </c>
      <c r="GL9" t="e">
        <f>AND(#REF!,"AAAAAH9er8E=")</f>
        <v>#REF!</v>
      </c>
      <c r="GM9" t="e">
        <f>AND(#REF!,"AAAAAH9er8I=")</f>
        <v>#REF!</v>
      </c>
      <c r="GN9" t="e">
        <f>AND(#REF!,"AAAAAH9er8M=")</f>
        <v>#REF!</v>
      </c>
      <c r="GO9" t="e">
        <f>AND(#REF!,"AAAAAH9er8Q=")</f>
        <v>#REF!</v>
      </c>
      <c r="GP9" t="e">
        <f>IF(#REF!,"AAAAAH9er8U=",0)</f>
        <v>#REF!</v>
      </c>
      <c r="GQ9" t="e">
        <f>AND(#REF!,"AAAAAH9er8Y=")</f>
        <v>#REF!</v>
      </c>
      <c r="GR9" t="e">
        <f>AND(#REF!,"AAAAAH9er8c=")</f>
        <v>#REF!</v>
      </c>
      <c r="GS9" t="e">
        <f>AND(#REF!,"AAAAAH9er8g=")</f>
        <v>#REF!</v>
      </c>
      <c r="GT9" t="e">
        <f>AND(#REF!,"AAAAAH9er8k=")</f>
        <v>#REF!</v>
      </c>
      <c r="GU9" t="e">
        <f>AND(#REF!,"AAAAAH9er8o=")</f>
        <v>#REF!</v>
      </c>
      <c r="GV9" t="e">
        <f>IF(#REF!,"AAAAAH9er8s=",0)</f>
        <v>#REF!</v>
      </c>
      <c r="GW9" t="e">
        <f>AND(#REF!,"AAAAAH9er8w=")</f>
        <v>#REF!</v>
      </c>
      <c r="GX9" t="e">
        <f>AND(#REF!,"AAAAAH9er80=")</f>
        <v>#REF!</v>
      </c>
      <c r="GY9" t="e">
        <f>AND(#REF!,"AAAAAH9er84=")</f>
        <v>#REF!</v>
      </c>
      <c r="GZ9" t="e">
        <f>AND(#REF!,"AAAAAH9er88=")</f>
        <v>#REF!</v>
      </c>
      <c r="HA9" t="e">
        <f>AND(#REF!,"AAAAAH9er9A=")</f>
        <v>#REF!</v>
      </c>
      <c r="HB9" t="e">
        <f>IF(#REF!,"AAAAAH9er9E=",0)</f>
        <v>#REF!</v>
      </c>
      <c r="HC9" t="e">
        <f>AND(#REF!,"AAAAAH9er9I=")</f>
        <v>#REF!</v>
      </c>
      <c r="HD9" t="e">
        <f>AND(#REF!,"AAAAAH9er9M=")</f>
        <v>#REF!</v>
      </c>
      <c r="HE9" t="e">
        <f>AND(#REF!,"AAAAAH9er9Q=")</f>
        <v>#REF!</v>
      </c>
      <c r="HF9" t="e">
        <f>AND(#REF!,"AAAAAH9er9U=")</f>
        <v>#REF!</v>
      </c>
      <c r="HG9" t="e">
        <f>AND(#REF!,"AAAAAH9er9Y=")</f>
        <v>#REF!</v>
      </c>
      <c r="HH9" t="e">
        <f>IF(#REF!,"AAAAAH9er9c=",0)</f>
        <v>#REF!</v>
      </c>
      <c r="HI9" t="e">
        <f>AND(#REF!,"AAAAAH9er9g=")</f>
        <v>#REF!</v>
      </c>
      <c r="HJ9" t="e">
        <f>AND(#REF!,"AAAAAH9er9k=")</f>
        <v>#REF!</v>
      </c>
      <c r="HK9" t="e">
        <f>AND(#REF!,"AAAAAH9er9o=")</f>
        <v>#REF!</v>
      </c>
      <c r="HL9" t="e">
        <f>AND(#REF!,"AAAAAH9er9s=")</f>
        <v>#REF!</v>
      </c>
      <c r="HM9" t="e">
        <f>AND(#REF!,"AAAAAH9er9w=")</f>
        <v>#REF!</v>
      </c>
      <c r="HN9" t="e">
        <f>IF(#REF!,"AAAAAH9er90=",0)</f>
        <v>#REF!</v>
      </c>
      <c r="HO9" t="e">
        <f>AND(#REF!,"AAAAAH9er94=")</f>
        <v>#REF!</v>
      </c>
      <c r="HP9" t="e">
        <f>AND(#REF!,"AAAAAH9er98=")</f>
        <v>#REF!</v>
      </c>
      <c r="HQ9" t="e">
        <f>AND(#REF!,"AAAAAH9er+A=")</f>
        <v>#REF!</v>
      </c>
      <c r="HR9" t="e">
        <f>AND(#REF!,"AAAAAH9er+E=")</f>
        <v>#REF!</v>
      </c>
      <c r="HS9" t="e">
        <f>AND(#REF!,"AAAAAH9er+I=")</f>
        <v>#REF!</v>
      </c>
      <c r="HT9" t="e">
        <f>IF(#REF!,"AAAAAH9er+M=",0)</f>
        <v>#REF!</v>
      </c>
      <c r="HU9" t="e">
        <f>IF(#REF!,"AAAAAH9er+Q=",0)</f>
        <v>#REF!</v>
      </c>
      <c r="HV9" t="e">
        <f>IF(#REF!,"AAAAAH9er+U=",0)</f>
        <v>#REF!</v>
      </c>
      <c r="HW9" t="e">
        <f>IF(#REF!,"AAAAAH9er+Y=",0)</f>
        <v>#REF!</v>
      </c>
      <c r="HX9" t="e">
        <f>IF(#REF!,"AAAAAH9er+c=",0)</f>
        <v>#REF!</v>
      </c>
      <c r="HY9" t="e">
        <f>IF(#REF!,"AAAAAH9er+g=",0)</f>
        <v>#REF!</v>
      </c>
      <c r="HZ9" t="e">
        <f>IF(#REF!,"AAAAAH9er+k=",0)</f>
        <v>#REF!</v>
      </c>
      <c r="IA9" t="e">
        <f>AND(#REF!,"AAAAAH9er+o=")</f>
        <v>#REF!</v>
      </c>
      <c r="IB9" t="e">
        <f>AND(#REF!,"AAAAAH9er+s=")</f>
        <v>#REF!</v>
      </c>
      <c r="IC9" t="e">
        <f>AND(#REF!,"AAAAAH9er+w=")</f>
        <v>#REF!</v>
      </c>
      <c r="ID9" t="e">
        <f>AND(#REF!,"AAAAAH9er+0=")</f>
        <v>#REF!</v>
      </c>
      <c r="IE9" t="e">
        <f>AND(#REF!,"AAAAAH9er+4=")</f>
        <v>#REF!</v>
      </c>
      <c r="IF9" t="e">
        <f>IF(#REF!,"AAAAAH9er+8=",0)</f>
        <v>#REF!</v>
      </c>
      <c r="IG9" t="e">
        <f>AND(#REF!,"AAAAAH9er/A=")</f>
        <v>#REF!</v>
      </c>
      <c r="IH9" t="e">
        <f>AND(#REF!,"AAAAAH9er/E=")</f>
        <v>#REF!</v>
      </c>
      <c r="II9" t="e">
        <f>AND(#REF!,"AAAAAH9er/I=")</f>
        <v>#REF!</v>
      </c>
      <c r="IJ9" t="e">
        <f>AND(#REF!,"AAAAAH9er/M=")</f>
        <v>#REF!</v>
      </c>
      <c r="IK9" t="e">
        <f>AND(#REF!,"AAAAAH9er/Q=")</f>
        <v>#REF!</v>
      </c>
      <c r="IL9" t="e">
        <f>IF(#REF!,"AAAAAH9er/U=",0)</f>
        <v>#REF!</v>
      </c>
      <c r="IM9" t="e">
        <f>AND(#REF!,"AAAAAH9er/Y=")</f>
        <v>#REF!</v>
      </c>
      <c r="IN9" t="e">
        <f>AND(#REF!,"AAAAAH9er/c=")</f>
        <v>#REF!</v>
      </c>
      <c r="IO9" t="e">
        <f>AND(#REF!,"AAAAAH9er/g=")</f>
        <v>#REF!</v>
      </c>
      <c r="IP9" t="e">
        <f>AND(#REF!,"AAAAAH9er/k=")</f>
        <v>#REF!</v>
      </c>
      <c r="IQ9" t="e">
        <f>AND(#REF!,"AAAAAH9er/o=")</f>
        <v>#REF!</v>
      </c>
      <c r="IR9" t="e">
        <f>IF(#REF!,"AAAAAH9er/s=",0)</f>
        <v>#REF!</v>
      </c>
      <c r="IS9" t="e">
        <f>AND(#REF!,"AAAAAH9er/w=")</f>
        <v>#REF!</v>
      </c>
      <c r="IT9" t="e">
        <f>AND(#REF!,"AAAAAH9er/0=")</f>
        <v>#REF!</v>
      </c>
      <c r="IU9" t="e">
        <f>AND(#REF!,"AAAAAH9er/4=")</f>
        <v>#REF!</v>
      </c>
      <c r="IV9" t="e">
        <f>AND(#REF!,"AAAAAH9er/8=")</f>
        <v>#REF!</v>
      </c>
    </row>
    <row r="10" spans="1:256">
      <c r="A10" t="e">
        <f>AND(#REF!,"AAAAADv9KQA=")</f>
        <v>#REF!</v>
      </c>
      <c r="B10" t="e">
        <f>IF(#REF!,"AAAAADv9KQE=",0)</f>
        <v>#REF!</v>
      </c>
      <c r="C10" t="e">
        <f>AND(#REF!,"AAAAADv9KQI=")</f>
        <v>#REF!</v>
      </c>
      <c r="D10" t="e">
        <f>AND(#REF!,"AAAAADv9KQM=")</f>
        <v>#REF!</v>
      </c>
      <c r="E10" t="e">
        <f>AND(#REF!,"AAAAADv9KQQ=")</f>
        <v>#REF!</v>
      </c>
      <c r="F10" t="e">
        <f>AND(#REF!,"AAAAADv9KQU=")</f>
        <v>#REF!</v>
      </c>
      <c r="G10" t="e">
        <f>AND(#REF!,"AAAAADv9KQY=")</f>
        <v>#REF!</v>
      </c>
      <c r="H10" t="e">
        <f>IF(#REF!,"AAAAADv9KQc=",0)</f>
        <v>#REF!</v>
      </c>
      <c r="I10" t="e">
        <f>AND(#REF!,"AAAAADv9KQg=")</f>
        <v>#REF!</v>
      </c>
      <c r="J10" t="e">
        <f>AND(#REF!,"AAAAADv9KQk=")</f>
        <v>#REF!</v>
      </c>
      <c r="K10" t="e">
        <f>AND(#REF!,"AAAAADv9KQo=")</f>
        <v>#REF!</v>
      </c>
      <c r="L10" t="e">
        <f>AND(#REF!,"AAAAADv9KQs=")</f>
        <v>#REF!</v>
      </c>
      <c r="M10" t="e">
        <f>AND(#REF!,"AAAAADv9KQw=")</f>
        <v>#REF!</v>
      </c>
      <c r="N10" t="e">
        <f>IF(#REF!,"AAAAADv9KQ0=",0)</f>
        <v>#REF!</v>
      </c>
      <c r="O10" t="e">
        <f>AND(#REF!,"AAAAADv9KQ4=")</f>
        <v>#REF!</v>
      </c>
      <c r="P10" t="e">
        <f>AND(#REF!,"AAAAADv9KQ8=")</f>
        <v>#REF!</v>
      </c>
      <c r="Q10" t="e">
        <f>AND(#REF!,"AAAAADv9KRA=")</f>
        <v>#REF!</v>
      </c>
      <c r="R10" t="e">
        <f>AND(#REF!,"AAAAADv9KRE=")</f>
        <v>#REF!</v>
      </c>
      <c r="S10" t="e">
        <f>AND(#REF!,"AAAAADv9KRI=")</f>
        <v>#REF!</v>
      </c>
      <c r="T10" t="e">
        <f>IF(#REF!,"AAAAADv9KRM=",0)</f>
        <v>#REF!</v>
      </c>
      <c r="U10" t="e">
        <f>AND(#REF!,"AAAAADv9KRQ=")</f>
        <v>#REF!</v>
      </c>
      <c r="V10" t="e">
        <f>AND(#REF!,"AAAAADv9KRU=")</f>
        <v>#REF!</v>
      </c>
      <c r="W10" t="e">
        <f>AND(#REF!,"AAAAADv9KRY=")</f>
        <v>#REF!</v>
      </c>
      <c r="X10" t="e">
        <f>AND(#REF!,"AAAAADv9KRc=")</f>
        <v>#REF!</v>
      </c>
      <c r="Y10" t="e">
        <f>AND(#REF!,"AAAAADv9KRg=")</f>
        <v>#REF!</v>
      </c>
      <c r="Z10" t="e">
        <f>IF(#REF!,"AAAAADv9KRk=",0)</f>
        <v>#REF!</v>
      </c>
      <c r="AA10" t="e">
        <f>AND(#REF!,"AAAAADv9KRo=")</f>
        <v>#REF!</v>
      </c>
      <c r="AB10" t="e">
        <f>AND(#REF!,"AAAAADv9KRs=")</f>
        <v>#REF!</v>
      </c>
      <c r="AC10" t="e">
        <f>AND(#REF!,"AAAAADv9KRw=")</f>
        <v>#REF!</v>
      </c>
      <c r="AD10" t="e">
        <f>AND(#REF!,"AAAAADv9KR0=")</f>
        <v>#REF!</v>
      </c>
      <c r="AE10" t="e">
        <f>AND(#REF!,"AAAAADv9KR4=")</f>
        <v>#REF!</v>
      </c>
      <c r="AF10" t="e">
        <f>IF(#REF!,"AAAAADv9KR8=",0)</f>
        <v>#REF!</v>
      </c>
      <c r="AG10" t="e">
        <f>AND(#REF!,"AAAAADv9KSA=")</f>
        <v>#REF!</v>
      </c>
      <c r="AH10" t="e">
        <f>AND(#REF!,"AAAAADv9KSE=")</f>
        <v>#REF!</v>
      </c>
      <c r="AI10" t="e">
        <f>AND(#REF!,"AAAAADv9KSI=")</f>
        <v>#REF!</v>
      </c>
      <c r="AJ10" t="e">
        <f>AND(#REF!,"AAAAADv9KSM=")</f>
        <v>#REF!</v>
      </c>
      <c r="AK10" t="e">
        <f>AND(#REF!,"AAAAADv9KSQ=")</f>
        <v>#REF!</v>
      </c>
      <c r="AL10" t="e">
        <f>IF(#REF!,"AAAAADv9KSU=",0)</f>
        <v>#REF!</v>
      </c>
      <c r="AM10" t="e">
        <f>AND(#REF!,"AAAAADv9KSY=")</f>
        <v>#REF!</v>
      </c>
      <c r="AN10" t="e">
        <f>AND(#REF!,"AAAAADv9KSc=")</f>
        <v>#REF!</v>
      </c>
      <c r="AO10" t="e">
        <f>AND(#REF!,"AAAAADv9KSg=")</f>
        <v>#REF!</v>
      </c>
      <c r="AP10" t="e">
        <f>AND(#REF!,"AAAAADv9KSk=")</f>
        <v>#REF!</v>
      </c>
      <c r="AQ10" t="e">
        <f>AND(#REF!,"AAAAADv9KSo=")</f>
        <v>#REF!</v>
      </c>
      <c r="AR10" t="e">
        <f>IF(#REF!,"AAAAADv9KSs=",0)</f>
        <v>#REF!</v>
      </c>
      <c r="AS10" t="e">
        <f>AND(#REF!,"AAAAADv9KSw=")</f>
        <v>#REF!</v>
      </c>
      <c r="AT10" t="e">
        <f>AND(#REF!,"AAAAADv9KS0=")</f>
        <v>#REF!</v>
      </c>
      <c r="AU10" t="e">
        <f>AND(#REF!,"AAAAADv9KS4=")</f>
        <v>#REF!</v>
      </c>
      <c r="AV10" t="e">
        <f>AND(#REF!,"AAAAADv9KS8=")</f>
        <v>#REF!</v>
      </c>
      <c r="AW10" t="e">
        <f>AND(#REF!,"AAAAADv9KTA=")</f>
        <v>#REF!</v>
      </c>
      <c r="AX10" t="e">
        <f>IF(#REF!,"AAAAADv9KTE=",0)</f>
        <v>#REF!</v>
      </c>
      <c r="AY10" t="e">
        <f>AND(#REF!,"AAAAADv9KTI=")</f>
        <v>#REF!</v>
      </c>
      <c r="AZ10" t="e">
        <f>AND(#REF!,"AAAAADv9KTM=")</f>
        <v>#REF!</v>
      </c>
      <c r="BA10" t="e">
        <f>AND(#REF!,"AAAAADv9KTQ=")</f>
        <v>#REF!</v>
      </c>
      <c r="BB10" t="e">
        <f>AND(#REF!,"AAAAADv9KTU=")</f>
        <v>#REF!</v>
      </c>
      <c r="BC10" t="e">
        <f>AND(#REF!,"AAAAADv9KTY=")</f>
        <v>#REF!</v>
      </c>
      <c r="BD10" t="e">
        <f>IF(#REF!,"AAAAADv9KTc=",0)</f>
        <v>#REF!</v>
      </c>
      <c r="BE10" t="e">
        <f>AND(#REF!,"AAAAADv9KTg=")</f>
        <v>#REF!</v>
      </c>
      <c r="BF10" t="e">
        <f>AND(#REF!,"AAAAADv9KTk=")</f>
        <v>#REF!</v>
      </c>
      <c r="BG10" t="e">
        <f>AND(#REF!,"AAAAADv9KTo=")</f>
        <v>#REF!</v>
      </c>
      <c r="BH10" t="e">
        <f>AND(#REF!,"AAAAADv9KTs=")</f>
        <v>#REF!</v>
      </c>
      <c r="BI10" t="e">
        <f>AND(#REF!,"AAAAADv9KTw=")</f>
        <v>#REF!</v>
      </c>
      <c r="BJ10" t="e">
        <f>IF(#REF!,"AAAAADv9KT0=",0)</f>
        <v>#REF!</v>
      </c>
      <c r="BK10" t="e">
        <f>AND(#REF!,"AAAAADv9KT4=")</f>
        <v>#REF!</v>
      </c>
      <c r="BL10" t="e">
        <f>AND(#REF!,"AAAAADv9KT8=")</f>
        <v>#REF!</v>
      </c>
      <c r="BM10" t="e">
        <f>AND(#REF!,"AAAAADv9KUA=")</f>
        <v>#REF!</v>
      </c>
      <c r="BN10" t="e">
        <f>AND(#REF!,"AAAAADv9KUE=")</f>
        <v>#REF!</v>
      </c>
      <c r="BO10" t="e">
        <f>AND(#REF!,"AAAAADv9KUI=")</f>
        <v>#REF!</v>
      </c>
      <c r="BP10" t="e">
        <f>IF(#REF!,"AAAAADv9KUM=",0)</f>
        <v>#REF!</v>
      </c>
      <c r="BQ10" t="e">
        <f>AND(#REF!,"AAAAADv9KUQ=")</f>
        <v>#REF!</v>
      </c>
      <c r="BR10" t="e">
        <f>AND(#REF!,"AAAAADv9KUU=")</f>
        <v>#REF!</v>
      </c>
      <c r="BS10" t="e">
        <f>AND(#REF!,"AAAAADv9KUY=")</f>
        <v>#REF!</v>
      </c>
      <c r="BT10" t="e">
        <f>AND(#REF!,"AAAAADv9KUc=")</f>
        <v>#REF!</v>
      </c>
      <c r="BU10" t="e">
        <f>AND(#REF!,"AAAAADv9KUg=")</f>
        <v>#REF!</v>
      </c>
      <c r="BV10" t="e">
        <f>IF(#REF!,"AAAAADv9KUk=",0)</f>
        <v>#REF!</v>
      </c>
      <c r="BW10" t="e">
        <f>AND(#REF!,"AAAAADv9KUo=")</f>
        <v>#REF!</v>
      </c>
      <c r="BX10" t="e">
        <f>AND(#REF!,"AAAAADv9KUs=")</f>
        <v>#REF!</v>
      </c>
      <c r="BY10" t="e">
        <f>AND(#REF!,"AAAAADv9KUw=")</f>
        <v>#REF!</v>
      </c>
      <c r="BZ10" t="e">
        <f>AND(#REF!,"AAAAADv9KU0=")</f>
        <v>#REF!</v>
      </c>
      <c r="CA10" t="e">
        <f>AND(#REF!,"AAAAADv9KU4=")</f>
        <v>#REF!</v>
      </c>
      <c r="CB10" t="e">
        <f>IF(#REF!,"AAAAADv9KU8=",0)</f>
        <v>#REF!</v>
      </c>
      <c r="CC10" t="e">
        <f>AND(#REF!,"AAAAADv9KVA=")</f>
        <v>#REF!</v>
      </c>
      <c r="CD10" t="e">
        <f>AND(#REF!,"AAAAADv9KVE=")</f>
        <v>#REF!</v>
      </c>
      <c r="CE10" t="e">
        <f>AND(#REF!,"AAAAADv9KVI=")</f>
        <v>#REF!</v>
      </c>
      <c r="CF10" t="e">
        <f>AND(#REF!,"AAAAADv9KVM=")</f>
        <v>#REF!</v>
      </c>
      <c r="CG10" t="e">
        <f>AND(#REF!,"AAAAADv9KVQ=")</f>
        <v>#REF!</v>
      </c>
      <c r="CH10" t="e">
        <f>IF(#REF!,"AAAAADv9KVU=",0)</f>
        <v>#REF!</v>
      </c>
      <c r="CI10" t="e">
        <f>AND(#REF!,"AAAAADv9KVY=")</f>
        <v>#REF!</v>
      </c>
      <c r="CJ10" t="e">
        <f>AND(#REF!,"AAAAADv9KVc=")</f>
        <v>#REF!</v>
      </c>
      <c r="CK10" t="e">
        <f>AND(#REF!,"AAAAADv9KVg=")</f>
        <v>#REF!</v>
      </c>
      <c r="CL10" t="e">
        <f>AND(#REF!,"AAAAADv9KVk=")</f>
        <v>#REF!</v>
      </c>
      <c r="CM10" t="e">
        <f>AND(#REF!,"AAAAADv9KVo=")</f>
        <v>#REF!</v>
      </c>
      <c r="CN10" t="e">
        <f>IF(#REF!,"AAAAADv9KVs=",0)</f>
        <v>#REF!</v>
      </c>
      <c r="CO10" t="e">
        <f>AND(#REF!,"AAAAADv9KVw=")</f>
        <v>#REF!</v>
      </c>
      <c r="CP10" t="e">
        <f>AND(#REF!,"AAAAADv9KV0=")</f>
        <v>#REF!</v>
      </c>
      <c r="CQ10" t="e">
        <f>AND(#REF!,"AAAAADv9KV4=")</f>
        <v>#REF!</v>
      </c>
      <c r="CR10" t="e">
        <f>AND(#REF!,"AAAAADv9KV8=")</f>
        <v>#REF!</v>
      </c>
      <c r="CS10" t="e">
        <f>AND(#REF!,"AAAAADv9KWA=")</f>
        <v>#REF!</v>
      </c>
      <c r="CT10" t="e">
        <f>IF(#REF!,"AAAAADv9KWE=",0)</f>
        <v>#REF!</v>
      </c>
      <c r="CU10" t="e">
        <f>AND(#REF!,"AAAAADv9KWI=")</f>
        <v>#REF!</v>
      </c>
      <c r="CV10" t="e">
        <f>AND(#REF!,"AAAAADv9KWM=")</f>
        <v>#REF!</v>
      </c>
      <c r="CW10" t="e">
        <f>AND(#REF!,"AAAAADv9KWQ=")</f>
        <v>#REF!</v>
      </c>
      <c r="CX10" t="e">
        <f>AND(#REF!,"AAAAADv9KWU=")</f>
        <v>#REF!</v>
      </c>
      <c r="CY10" t="e">
        <f>AND(#REF!,"AAAAADv9KWY=")</f>
        <v>#REF!</v>
      </c>
      <c r="CZ10" t="e">
        <f>IF(#REF!,"AAAAADv9KWc=",0)</f>
        <v>#REF!</v>
      </c>
      <c r="DA10" t="e">
        <f>AND(#REF!,"AAAAADv9KWg=")</f>
        <v>#REF!</v>
      </c>
      <c r="DB10" t="e">
        <f>AND(#REF!,"AAAAADv9KWk=")</f>
        <v>#REF!</v>
      </c>
      <c r="DC10" t="e">
        <f>AND(#REF!,"AAAAADv9KWo=")</f>
        <v>#REF!</v>
      </c>
      <c r="DD10" t="e">
        <f>AND(#REF!,"AAAAADv9KWs=")</f>
        <v>#REF!</v>
      </c>
      <c r="DE10" t="e">
        <f>AND(#REF!,"AAAAADv9KWw=")</f>
        <v>#REF!</v>
      </c>
      <c r="DF10" t="e">
        <f>IF(#REF!,"AAAAADv9KW0=",0)</f>
        <v>#REF!</v>
      </c>
      <c r="DG10" t="e">
        <f>AND(#REF!,"AAAAADv9KW4=")</f>
        <v>#REF!</v>
      </c>
      <c r="DH10" t="e">
        <f>AND(#REF!,"AAAAADv9KW8=")</f>
        <v>#REF!</v>
      </c>
      <c r="DI10" t="e">
        <f>AND(#REF!,"AAAAADv9KXA=")</f>
        <v>#REF!</v>
      </c>
      <c r="DJ10" t="e">
        <f>AND(#REF!,"AAAAADv9KXE=")</f>
        <v>#REF!</v>
      </c>
      <c r="DK10" t="e">
        <f>AND(#REF!,"AAAAADv9KXI=")</f>
        <v>#REF!</v>
      </c>
      <c r="DL10" t="e">
        <f>IF(#REF!,"AAAAADv9KXM=",0)</f>
        <v>#REF!</v>
      </c>
      <c r="DM10" t="e">
        <f>IF(#REF!,"AAAAADv9KXQ=",0)</f>
        <v>#REF!</v>
      </c>
      <c r="DN10" t="e">
        <f>IF(#REF!,"AAAAADv9KXU=",0)</f>
        <v>#REF!</v>
      </c>
      <c r="DO10" t="e">
        <f>IF(#REF!,"AAAAADv9KXY=",0)</f>
        <v>#REF!</v>
      </c>
      <c r="DP10" t="e">
        <f>IF(#REF!,"AAAAADv9KXc=",0)</f>
        <v>#REF!</v>
      </c>
      <c r="DQ10" t="e">
        <f>IF(#REF!,"AAAAADv9KXg=",0)</f>
        <v>#REF!</v>
      </c>
      <c r="DR10" t="e">
        <f>IF(#REF!,"AAAAADv9KXk=",0)</f>
        <v>#REF!</v>
      </c>
      <c r="DS10" t="e">
        <f>AND(#REF!,"AAAAADv9KXo=")</f>
        <v>#REF!</v>
      </c>
      <c r="DT10" t="e">
        <f>AND(#REF!,"AAAAADv9KXs=")</f>
        <v>#REF!</v>
      </c>
      <c r="DU10" t="e">
        <f>AND(#REF!,"AAAAADv9KXw=")</f>
        <v>#REF!</v>
      </c>
      <c r="DV10" t="e">
        <f>AND(#REF!,"AAAAADv9KX0=")</f>
        <v>#REF!</v>
      </c>
      <c r="DW10" t="e">
        <f>AND(#REF!,"AAAAADv9KX4=")</f>
        <v>#REF!</v>
      </c>
      <c r="DX10" t="e">
        <f>IF(#REF!,"AAAAADv9KX8=",0)</f>
        <v>#REF!</v>
      </c>
      <c r="DY10" t="e">
        <f>AND(#REF!,"AAAAADv9KYA=")</f>
        <v>#REF!</v>
      </c>
      <c r="DZ10" t="e">
        <f>AND(#REF!,"AAAAADv9KYE=")</f>
        <v>#REF!</v>
      </c>
      <c r="EA10" t="e">
        <f>AND(#REF!,"AAAAADv9KYI=")</f>
        <v>#REF!</v>
      </c>
      <c r="EB10" t="e">
        <f>AND(#REF!,"AAAAADv9KYM=")</f>
        <v>#REF!</v>
      </c>
      <c r="EC10" t="e">
        <f>AND(#REF!,"AAAAADv9KYQ=")</f>
        <v>#REF!</v>
      </c>
      <c r="ED10" t="e">
        <f>IF(#REF!,"AAAAADv9KYU=",0)</f>
        <v>#REF!</v>
      </c>
      <c r="EE10" t="e">
        <f>AND(#REF!,"AAAAADv9KYY=")</f>
        <v>#REF!</v>
      </c>
      <c r="EF10" t="e">
        <f>AND(#REF!,"AAAAADv9KYc=")</f>
        <v>#REF!</v>
      </c>
      <c r="EG10" t="e">
        <f>AND(#REF!,"AAAAADv9KYg=")</f>
        <v>#REF!</v>
      </c>
      <c r="EH10" t="e">
        <f>AND(#REF!,"AAAAADv9KYk=")</f>
        <v>#REF!</v>
      </c>
      <c r="EI10" t="e">
        <f>AND(#REF!,"AAAAADv9KYo=")</f>
        <v>#REF!</v>
      </c>
      <c r="EJ10" t="e">
        <f>IF(#REF!,"AAAAADv9KYs=",0)</f>
        <v>#REF!</v>
      </c>
      <c r="EK10" t="e">
        <f>AND(#REF!,"AAAAADv9KYw=")</f>
        <v>#REF!</v>
      </c>
      <c r="EL10" t="e">
        <f>AND(#REF!,"AAAAADv9KY0=")</f>
        <v>#REF!</v>
      </c>
      <c r="EM10" t="e">
        <f>AND(#REF!,"AAAAADv9KY4=")</f>
        <v>#REF!</v>
      </c>
      <c r="EN10" t="e">
        <f>AND(#REF!,"AAAAADv9KY8=")</f>
        <v>#REF!</v>
      </c>
      <c r="EO10" t="e">
        <f>AND(#REF!,"AAAAADv9KZA=")</f>
        <v>#REF!</v>
      </c>
      <c r="EP10" t="e">
        <f>IF(#REF!,"AAAAADv9KZE=",0)</f>
        <v>#REF!</v>
      </c>
      <c r="EQ10" t="e">
        <f>AND(#REF!,"AAAAADv9KZI=")</f>
        <v>#REF!</v>
      </c>
      <c r="ER10" t="e">
        <f>AND(#REF!,"AAAAADv9KZM=")</f>
        <v>#REF!</v>
      </c>
      <c r="ES10" t="e">
        <f>AND(#REF!,"AAAAADv9KZQ=")</f>
        <v>#REF!</v>
      </c>
      <c r="ET10" t="e">
        <f>AND(#REF!,"AAAAADv9KZU=")</f>
        <v>#REF!</v>
      </c>
      <c r="EU10" t="e">
        <f>AND(#REF!,"AAAAADv9KZY=")</f>
        <v>#REF!</v>
      </c>
      <c r="EV10" t="e">
        <f>IF(#REF!,"AAAAADv9KZc=",0)</f>
        <v>#REF!</v>
      </c>
      <c r="EW10" t="e">
        <f>AND(#REF!,"AAAAADv9KZg=")</f>
        <v>#REF!</v>
      </c>
      <c r="EX10" t="e">
        <f>AND(#REF!,"AAAAADv9KZk=")</f>
        <v>#REF!</v>
      </c>
      <c r="EY10" t="e">
        <f>AND(#REF!,"AAAAADv9KZo=")</f>
        <v>#REF!</v>
      </c>
      <c r="EZ10" t="e">
        <f>AND(#REF!,"AAAAADv9KZs=")</f>
        <v>#REF!</v>
      </c>
      <c r="FA10" t="e">
        <f>AND(#REF!,"AAAAADv9KZw=")</f>
        <v>#REF!</v>
      </c>
      <c r="FB10" t="e">
        <f>IF(#REF!,"AAAAADv9KZ0=",0)</f>
        <v>#REF!</v>
      </c>
      <c r="FC10" t="e">
        <f>AND(#REF!,"AAAAADv9KZ4=")</f>
        <v>#REF!</v>
      </c>
      <c r="FD10" t="e">
        <f>AND(#REF!,"AAAAADv9KZ8=")</f>
        <v>#REF!</v>
      </c>
      <c r="FE10" t="e">
        <f>AND(#REF!,"AAAAADv9KaA=")</f>
        <v>#REF!</v>
      </c>
      <c r="FF10" t="e">
        <f>AND(#REF!,"AAAAADv9KaE=")</f>
        <v>#REF!</v>
      </c>
      <c r="FG10" t="e">
        <f>AND(#REF!,"AAAAADv9KaI=")</f>
        <v>#REF!</v>
      </c>
      <c r="FH10" t="e">
        <f>IF(#REF!,"AAAAADv9KaM=",0)</f>
        <v>#REF!</v>
      </c>
      <c r="FI10" t="e">
        <f>AND(#REF!,"AAAAADv9KaQ=")</f>
        <v>#REF!</v>
      </c>
      <c r="FJ10" t="e">
        <f>AND(#REF!,"AAAAADv9KaU=")</f>
        <v>#REF!</v>
      </c>
      <c r="FK10" t="e">
        <f>AND(#REF!,"AAAAADv9KaY=")</f>
        <v>#REF!</v>
      </c>
      <c r="FL10" t="e">
        <f>AND(#REF!,"AAAAADv9Kac=")</f>
        <v>#REF!</v>
      </c>
      <c r="FM10" t="e">
        <f>AND(#REF!,"AAAAADv9Kag=")</f>
        <v>#REF!</v>
      </c>
      <c r="FN10" t="e">
        <f>IF(#REF!,"AAAAADv9Kak=",0)</f>
        <v>#REF!</v>
      </c>
      <c r="FO10" t="e">
        <f>AND(#REF!,"AAAAADv9Kao=")</f>
        <v>#REF!</v>
      </c>
      <c r="FP10" t="e">
        <f>AND(#REF!,"AAAAADv9Kas=")</f>
        <v>#REF!</v>
      </c>
      <c r="FQ10" t="e">
        <f>AND(#REF!,"AAAAADv9Kaw=")</f>
        <v>#REF!</v>
      </c>
      <c r="FR10" t="e">
        <f>AND(#REF!,"AAAAADv9Ka0=")</f>
        <v>#REF!</v>
      </c>
      <c r="FS10" t="e">
        <f>AND(#REF!,"AAAAADv9Ka4=")</f>
        <v>#REF!</v>
      </c>
      <c r="FT10" t="e">
        <f>IF(#REF!,"AAAAADv9Ka8=",0)</f>
        <v>#REF!</v>
      </c>
      <c r="FU10" t="e">
        <f>AND(#REF!,"AAAAADv9KbA=")</f>
        <v>#REF!</v>
      </c>
      <c r="FV10" t="e">
        <f>AND(#REF!,"AAAAADv9KbE=")</f>
        <v>#REF!</v>
      </c>
      <c r="FW10" t="e">
        <f>AND(#REF!,"AAAAADv9KbI=")</f>
        <v>#REF!</v>
      </c>
      <c r="FX10" t="e">
        <f>AND(#REF!,"AAAAADv9KbM=")</f>
        <v>#REF!</v>
      </c>
      <c r="FY10" t="e">
        <f>AND(#REF!,"AAAAADv9KbQ=")</f>
        <v>#REF!</v>
      </c>
      <c r="FZ10" t="e">
        <f>IF(#REF!,"AAAAADv9KbU=",0)</f>
        <v>#REF!</v>
      </c>
      <c r="GA10" t="e">
        <f>AND(#REF!,"AAAAADv9KbY=")</f>
        <v>#REF!</v>
      </c>
      <c r="GB10" t="e">
        <f>AND(#REF!,"AAAAADv9Kbc=")</f>
        <v>#REF!</v>
      </c>
      <c r="GC10" t="e">
        <f>AND(#REF!,"AAAAADv9Kbg=")</f>
        <v>#REF!</v>
      </c>
      <c r="GD10" t="e">
        <f>AND(#REF!,"AAAAADv9Kbk=")</f>
        <v>#REF!</v>
      </c>
      <c r="GE10" t="e">
        <f>AND(#REF!,"AAAAADv9Kbo=")</f>
        <v>#REF!</v>
      </c>
      <c r="GF10" t="e">
        <f>IF(#REF!,"AAAAADv9Kbs=",0)</f>
        <v>#REF!</v>
      </c>
      <c r="GG10" t="e">
        <f>AND(#REF!,"AAAAADv9Kbw=")</f>
        <v>#REF!</v>
      </c>
      <c r="GH10" t="e">
        <f>AND(#REF!,"AAAAADv9Kb0=")</f>
        <v>#REF!</v>
      </c>
      <c r="GI10" t="e">
        <f>AND(#REF!,"AAAAADv9Kb4=")</f>
        <v>#REF!</v>
      </c>
      <c r="GJ10" t="e">
        <f>AND(#REF!,"AAAAADv9Kb8=")</f>
        <v>#REF!</v>
      </c>
      <c r="GK10" t="e">
        <f>AND(#REF!,"AAAAADv9KcA=")</f>
        <v>#REF!</v>
      </c>
      <c r="GL10" t="e">
        <f>IF(#REF!,"AAAAADv9KcE=",0)</f>
        <v>#REF!</v>
      </c>
      <c r="GM10" t="e">
        <f>AND(#REF!,"AAAAADv9KcI=")</f>
        <v>#REF!</v>
      </c>
      <c r="GN10" t="e">
        <f>AND(#REF!,"AAAAADv9KcM=")</f>
        <v>#REF!</v>
      </c>
      <c r="GO10" t="e">
        <f>AND(#REF!,"AAAAADv9KcQ=")</f>
        <v>#REF!</v>
      </c>
      <c r="GP10" t="e">
        <f>AND(#REF!,"AAAAADv9KcU=")</f>
        <v>#REF!</v>
      </c>
      <c r="GQ10" t="e">
        <f>AND(#REF!,"AAAAADv9KcY=")</f>
        <v>#REF!</v>
      </c>
      <c r="GR10" t="e">
        <f>IF(#REF!,"AAAAADv9Kcc=",0)</f>
        <v>#REF!</v>
      </c>
      <c r="GS10" t="e">
        <f>AND(#REF!,"AAAAADv9Kcg=")</f>
        <v>#REF!</v>
      </c>
      <c r="GT10" t="e">
        <f>AND(#REF!,"AAAAADv9Kck=")</f>
        <v>#REF!</v>
      </c>
      <c r="GU10" t="e">
        <f>AND(#REF!,"AAAAADv9Kco=")</f>
        <v>#REF!</v>
      </c>
      <c r="GV10" t="e">
        <f>AND(#REF!,"AAAAADv9Kcs=")</f>
        <v>#REF!</v>
      </c>
      <c r="GW10" t="e">
        <f>AND(#REF!,"AAAAADv9Kcw=")</f>
        <v>#REF!</v>
      </c>
      <c r="GX10" t="e">
        <f>IF(#REF!,"AAAAADv9Kc0=",0)</f>
        <v>#REF!</v>
      </c>
      <c r="GY10" t="e">
        <f>AND(#REF!,"AAAAADv9Kc4=")</f>
        <v>#REF!</v>
      </c>
      <c r="GZ10" t="e">
        <f>AND(#REF!,"AAAAADv9Kc8=")</f>
        <v>#REF!</v>
      </c>
      <c r="HA10" t="e">
        <f>AND(#REF!,"AAAAADv9KdA=")</f>
        <v>#REF!</v>
      </c>
      <c r="HB10" t="e">
        <f>AND(#REF!,"AAAAADv9KdE=")</f>
        <v>#REF!</v>
      </c>
      <c r="HC10" t="e">
        <f>AND(#REF!,"AAAAADv9KdI=")</f>
        <v>#REF!</v>
      </c>
      <c r="HD10" t="e">
        <f>IF(#REF!,"AAAAADv9KdM=",0)</f>
        <v>#REF!</v>
      </c>
      <c r="HE10" t="e">
        <f>AND(#REF!,"AAAAADv9KdQ=")</f>
        <v>#REF!</v>
      </c>
      <c r="HF10" t="e">
        <f>AND(#REF!,"AAAAADv9KdU=")</f>
        <v>#REF!</v>
      </c>
      <c r="HG10" t="e">
        <f>AND(#REF!,"AAAAADv9KdY=")</f>
        <v>#REF!</v>
      </c>
      <c r="HH10" t="e">
        <f>AND(#REF!,"AAAAADv9Kdc=")</f>
        <v>#REF!</v>
      </c>
      <c r="HI10" t="e">
        <f>AND(#REF!,"AAAAADv9Kdg=")</f>
        <v>#REF!</v>
      </c>
      <c r="HJ10" t="e">
        <f>IF(#REF!,"AAAAADv9Kdk=",0)</f>
        <v>#REF!</v>
      </c>
      <c r="HK10" t="e">
        <f>AND(#REF!,"AAAAADv9Kdo=")</f>
        <v>#REF!</v>
      </c>
      <c r="HL10" t="e">
        <f>AND(#REF!,"AAAAADv9Kds=")</f>
        <v>#REF!</v>
      </c>
      <c r="HM10" t="e">
        <f>AND(#REF!,"AAAAADv9Kdw=")</f>
        <v>#REF!</v>
      </c>
      <c r="HN10" t="e">
        <f>AND(#REF!,"AAAAADv9Kd0=")</f>
        <v>#REF!</v>
      </c>
      <c r="HO10" t="e">
        <f>AND(#REF!,"AAAAADv9Kd4=")</f>
        <v>#REF!</v>
      </c>
      <c r="HP10" t="e">
        <f>IF(#REF!,"AAAAADv9Kd8=",0)</f>
        <v>#REF!</v>
      </c>
      <c r="HQ10" t="e">
        <f>AND(#REF!,"AAAAADv9KeA=")</f>
        <v>#REF!</v>
      </c>
      <c r="HR10" t="e">
        <f>AND(#REF!,"AAAAADv9KeE=")</f>
        <v>#REF!</v>
      </c>
      <c r="HS10" t="e">
        <f>AND(#REF!,"AAAAADv9KeI=")</f>
        <v>#REF!</v>
      </c>
      <c r="HT10" t="e">
        <f>AND(#REF!,"AAAAADv9KeM=")</f>
        <v>#REF!</v>
      </c>
      <c r="HU10" t="e">
        <f>AND(#REF!,"AAAAADv9KeQ=")</f>
        <v>#REF!</v>
      </c>
      <c r="HV10" t="e">
        <f>IF(#REF!,"AAAAADv9KeU=",0)</f>
        <v>#REF!</v>
      </c>
      <c r="HW10" t="e">
        <f>AND(#REF!,"AAAAADv9KeY=")</f>
        <v>#REF!</v>
      </c>
      <c r="HX10" t="e">
        <f>AND(#REF!,"AAAAADv9Kec=")</f>
        <v>#REF!</v>
      </c>
      <c r="HY10" t="e">
        <f>AND(#REF!,"AAAAADv9Keg=")</f>
        <v>#REF!</v>
      </c>
      <c r="HZ10" t="e">
        <f>AND(#REF!,"AAAAADv9Kek=")</f>
        <v>#REF!</v>
      </c>
      <c r="IA10" t="e">
        <f>AND(#REF!,"AAAAADv9Keo=")</f>
        <v>#REF!</v>
      </c>
      <c r="IB10" t="e">
        <f>IF(#REF!,"AAAAADv9Kes=",0)</f>
        <v>#REF!</v>
      </c>
      <c r="IC10" t="e">
        <f>AND(#REF!,"AAAAADv9Kew=")</f>
        <v>#REF!</v>
      </c>
      <c r="ID10" t="e">
        <f>AND(#REF!,"AAAAADv9Ke0=")</f>
        <v>#REF!</v>
      </c>
      <c r="IE10" t="e">
        <f>AND(#REF!,"AAAAADv9Ke4=")</f>
        <v>#REF!</v>
      </c>
      <c r="IF10" t="e">
        <f>AND(#REF!,"AAAAADv9Ke8=")</f>
        <v>#REF!</v>
      </c>
      <c r="IG10" t="e">
        <f>AND(#REF!,"AAAAADv9KfA=")</f>
        <v>#REF!</v>
      </c>
      <c r="IH10" t="e">
        <f>IF(#REF!,"AAAAADv9KfE=",0)</f>
        <v>#REF!</v>
      </c>
      <c r="II10" t="e">
        <f>AND(#REF!,"AAAAADv9KfI=")</f>
        <v>#REF!</v>
      </c>
      <c r="IJ10" t="e">
        <f>AND(#REF!,"AAAAADv9KfM=")</f>
        <v>#REF!</v>
      </c>
      <c r="IK10" t="e">
        <f>AND(#REF!,"AAAAADv9KfQ=")</f>
        <v>#REF!</v>
      </c>
      <c r="IL10" t="e">
        <f>AND(#REF!,"AAAAADv9KfU=")</f>
        <v>#REF!</v>
      </c>
      <c r="IM10" t="e">
        <f>AND(#REF!,"AAAAADv9KfY=")</f>
        <v>#REF!</v>
      </c>
      <c r="IN10" t="e">
        <f>IF(#REF!,"AAAAADv9Kfc=",0)</f>
        <v>#REF!</v>
      </c>
      <c r="IO10" t="e">
        <f>AND(#REF!,"AAAAADv9Kfg=")</f>
        <v>#REF!</v>
      </c>
      <c r="IP10" t="e">
        <f>AND(#REF!,"AAAAADv9Kfk=")</f>
        <v>#REF!</v>
      </c>
      <c r="IQ10" t="e">
        <f>AND(#REF!,"AAAAADv9Kfo=")</f>
        <v>#REF!</v>
      </c>
      <c r="IR10" t="e">
        <f>AND(#REF!,"AAAAADv9Kfs=")</f>
        <v>#REF!</v>
      </c>
      <c r="IS10" t="e">
        <f>AND(#REF!,"AAAAADv9Kfw=")</f>
        <v>#REF!</v>
      </c>
      <c r="IT10" t="e">
        <f>IF(#REF!,"AAAAADv9Kf0=",0)</f>
        <v>#REF!</v>
      </c>
      <c r="IU10" t="e">
        <f>AND(#REF!,"AAAAADv9Kf4=")</f>
        <v>#REF!</v>
      </c>
      <c r="IV10" t="e">
        <f>AND(#REF!,"AAAAADv9Kf8=")</f>
        <v>#REF!</v>
      </c>
    </row>
    <row r="11" spans="1:256">
      <c r="A11" t="e">
        <f>AND(#REF!,"AAAAAHT5zwA=")</f>
        <v>#REF!</v>
      </c>
      <c r="B11" t="e">
        <f>AND(#REF!,"AAAAAHT5zwE=")</f>
        <v>#REF!</v>
      </c>
      <c r="C11" t="e">
        <f>AND(#REF!,"AAAAAHT5zwI=")</f>
        <v>#REF!</v>
      </c>
      <c r="D11" t="e">
        <f>IF(#REF!,"AAAAAHT5zwM=",0)</f>
        <v>#REF!</v>
      </c>
      <c r="E11" t="e">
        <f>IF(#REF!,"AAAAAHT5zwQ=",0)</f>
        <v>#REF!</v>
      </c>
      <c r="F11" t="e">
        <f>IF(#REF!,"AAAAAHT5zwU=",0)</f>
        <v>#REF!</v>
      </c>
      <c r="G11" t="e">
        <f>IF(#REF!,"AAAAAHT5zwY=",0)</f>
        <v>#REF!</v>
      </c>
      <c r="H11" t="e">
        <f>IF(#REF!,"AAAAAHT5zwc=",0)</f>
        <v>#REF!</v>
      </c>
      <c r="I11" t="e">
        <f>IF(#REF!,"AAAAAHT5zwg=",0)</f>
        <v>#REF!</v>
      </c>
      <c r="J11" t="e">
        <f>IF(#REF!,"AAAAAHT5zwk=",0)</f>
        <v>#REF!</v>
      </c>
      <c r="K11" t="e">
        <f>AND(#REF!,"AAAAAHT5zwo=")</f>
        <v>#REF!</v>
      </c>
      <c r="L11" t="e">
        <f>AND(#REF!,"AAAAAHT5zws=")</f>
        <v>#REF!</v>
      </c>
      <c r="M11" t="e">
        <f>AND(#REF!,"AAAAAHT5zww=")</f>
        <v>#REF!</v>
      </c>
      <c r="N11" t="e">
        <f>AND(#REF!,"AAAAAHT5zw0=")</f>
        <v>#REF!</v>
      </c>
      <c r="O11" t="e">
        <f>AND(#REF!,"AAAAAHT5zw4=")</f>
        <v>#REF!</v>
      </c>
      <c r="P11" t="e">
        <f>IF(#REF!,"AAAAAHT5zw8=",0)</f>
        <v>#REF!</v>
      </c>
      <c r="Q11" t="e">
        <f>AND(#REF!,"AAAAAHT5zxA=")</f>
        <v>#REF!</v>
      </c>
      <c r="R11" t="e">
        <f>AND(#REF!,"AAAAAHT5zxE=")</f>
        <v>#REF!</v>
      </c>
      <c r="S11" t="e">
        <f>AND(#REF!,"AAAAAHT5zxI=")</f>
        <v>#REF!</v>
      </c>
      <c r="T11" t="e">
        <f>AND(#REF!,"AAAAAHT5zxM=")</f>
        <v>#REF!</v>
      </c>
      <c r="U11" t="e">
        <f>AND(#REF!,"AAAAAHT5zxQ=")</f>
        <v>#REF!</v>
      </c>
      <c r="V11" t="e">
        <f>IF(#REF!,"AAAAAHT5zxU=",0)</f>
        <v>#REF!</v>
      </c>
      <c r="W11" t="e">
        <f>AND(#REF!,"AAAAAHT5zxY=")</f>
        <v>#REF!</v>
      </c>
      <c r="X11" t="e">
        <f>AND(#REF!,"AAAAAHT5zxc=")</f>
        <v>#REF!</v>
      </c>
      <c r="Y11" t="e">
        <f>AND(#REF!,"AAAAAHT5zxg=")</f>
        <v>#REF!</v>
      </c>
      <c r="Z11" t="e">
        <f>AND(#REF!,"AAAAAHT5zxk=")</f>
        <v>#REF!</v>
      </c>
      <c r="AA11" t="e">
        <f>AND(#REF!,"AAAAAHT5zxo=")</f>
        <v>#REF!</v>
      </c>
      <c r="AB11" t="e">
        <f>IF(#REF!,"AAAAAHT5zxs=",0)</f>
        <v>#REF!</v>
      </c>
      <c r="AC11" t="e">
        <f>AND(#REF!,"AAAAAHT5zxw=")</f>
        <v>#REF!</v>
      </c>
      <c r="AD11" t="e">
        <f>AND(#REF!,"AAAAAHT5zx0=")</f>
        <v>#REF!</v>
      </c>
      <c r="AE11" t="e">
        <f>AND(#REF!,"AAAAAHT5zx4=")</f>
        <v>#REF!</v>
      </c>
      <c r="AF11" t="e">
        <f>AND(#REF!,"AAAAAHT5zx8=")</f>
        <v>#REF!</v>
      </c>
      <c r="AG11" t="e">
        <f>AND(#REF!,"AAAAAHT5zyA=")</f>
        <v>#REF!</v>
      </c>
      <c r="AH11" t="e">
        <f>IF(#REF!,"AAAAAHT5zyE=",0)</f>
        <v>#REF!</v>
      </c>
      <c r="AI11" t="e">
        <f>AND(#REF!,"AAAAAHT5zyI=")</f>
        <v>#REF!</v>
      </c>
      <c r="AJ11" t="e">
        <f>AND(#REF!,"AAAAAHT5zyM=")</f>
        <v>#REF!</v>
      </c>
      <c r="AK11" t="e">
        <f>AND(#REF!,"AAAAAHT5zyQ=")</f>
        <v>#REF!</v>
      </c>
      <c r="AL11" t="e">
        <f>AND(#REF!,"AAAAAHT5zyU=")</f>
        <v>#REF!</v>
      </c>
      <c r="AM11" t="e">
        <f>AND(#REF!,"AAAAAHT5zyY=")</f>
        <v>#REF!</v>
      </c>
      <c r="AN11" t="e">
        <f>IF(#REF!,"AAAAAHT5zyc=",0)</f>
        <v>#REF!</v>
      </c>
      <c r="AO11" t="e">
        <f>AND(#REF!,"AAAAAHT5zyg=")</f>
        <v>#REF!</v>
      </c>
      <c r="AP11" t="e">
        <f>AND(#REF!,"AAAAAHT5zyk=")</f>
        <v>#REF!</v>
      </c>
      <c r="AQ11" t="e">
        <f>AND(#REF!,"AAAAAHT5zyo=")</f>
        <v>#REF!</v>
      </c>
      <c r="AR11" t="e">
        <f>AND(#REF!,"AAAAAHT5zys=")</f>
        <v>#REF!</v>
      </c>
      <c r="AS11" t="e">
        <f>AND(#REF!,"AAAAAHT5zyw=")</f>
        <v>#REF!</v>
      </c>
      <c r="AT11" t="e">
        <f>IF(#REF!,"AAAAAHT5zy0=",0)</f>
        <v>#REF!</v>
      </c>
      <c r="AU11" t="e">
        <f>AND(#REF!,"AAAAAHT5zy4=")</f>
        <v>#REF!</v>
      </c>
      <c r="AV11" t="e">
        <f>AND(#REF!,"AAAAAHT5zy8=")</f>
        <v>#REF!</v>
      </c>
      <c r="AW11" t="e">
        <f>AND(#REF!,"AAAAAHT5zzA=")</f>
        <v>#REF!</v>
      </c>
      <c r="AX11" t="e">
        <f>AND(#REF!,"AAAAAHT5zzE=")</f>
        <v>#REF!</v>
      </c>
      <c r="AY11" t="e">
        <f>AND(#REF!,"AAAAAHT5zzI=")</f>
        <v>#REF!</v>
      </c>
      <c r="AZ11" t="e">
        <f>IF(#REF!,"AAAAAHT5zzM=",0)</f>
        <v>#REF!</v>
      </c>
      <c r="BA11" t="e">
        <f>AND(#REF!,"AAAAAHT5zzQ=")</f>
        <v>#REF!</v>
      </c>
      <c r="BB11" t="e">
        <f>AND(#REF!,"AAAAAHT5zzU=")</f>
        <v>#REF!</v>
      </c>
      <c r="BC11" t="e">
        <f>AND(#REF!,"AAAAAHT5zzY=")</f>
        <v>#REF!</v>
      </c>
      <c r="BD11" t="e">
        <f>AND(#REF!,"AAAAAHT5zzc=")</f>
        <v>#REF!</v>
      </c>
      <c r="BE11" t="e">
        <f>AND(#REF!,"AAAAAHT5zzg=")</f>
        <v>#REF!</v>
      </c>
      <c r="BF11" t="e">
        <f>IF(#REF!,"AAAAAHT5zzk=",0)</f>
        <v>#REF!</v>
      </c>
      <c r="BG11" t="e">
        <f>AND(#REF!,"AAAAAHT5zzo=")</f>
        <v>#REF!</v>
      </c>
      <c r="BH11" t="e">
        <f>AND(#REF!,"AAAAAHT5zzs=")</f>
        <v>#REF!</v>
      </c>
      <c r="BI11" t="e">
        <f>AND(#REF!,"AAAAAHT5zzw=")</f>
        <v>#REF!</v>
      </c>
      <c r="BJ11" t="e">
        <f>AND(#REF!,"AAAAAHT5zz0=")</f>
        <v>#REF!</v>
      </c>
      <c r="BK11" t="e">
        <f>AND(#REF!,"AAAAAHT5zz4=")</f>
        <v>#REF!</v>
      </c>
      <c r="BL11" t="e">
        <f>IF(#REF!,"AAAAAHT5zz8=",0)</f>
        <v>#REF!</v>
      </c>
      <c r="BM11" t="e">
        <f>AND(#REF!,"AAAAAHT5z0A=")</f>
        <v>#REF!</v>
      </c>
      <c r="BN11" t="e">
        <f>AND(#REF!,"AAAAAHT5z0E=")</f>
        <v>#REF!</v>
      </c>
      <c r="BO11" t="e">
        <f>AND(#REF!,"AAAAAHT5z0I=")</f>
        <v>#REF!</v>
      </c>
      <c r="BP11" t="e">
        <f>AND(#REF!,"AAAAAHT5z0M=")</f>
        <v>#REF!</v>
      </c>
      <c r="BQ11" t="e">
        <f>AND(#REF!,"AAAAAHT5z0Q=")</f>
        <v>#REF!</v>
      </c>
      <c r="BR11" t="e">
        <f>IF(#REF!,"AAAAAHT5z0U=",0)</f>
        <v>#REF!</v>
      </c>
      <c r="BS11" t="e">
        <f>AND(#REF!,"AAAAAHT5z0Y=")</f>
        <v>#REF!</v>
      </c>
      <c r="BT11" t="e">
        <f>AND(#REF!,"AAAAAHT5z0c=")</f>
        <v>#REF!</v>
      </c>
      <c r="BU11" t="e">
        <f>AND(#REF!,"AAAAAHT5z0g=")</f>
        <v>#REF!</v>
      </c>
      <c r="BV11" t="e">
        <f>AND(#REF!,"AAAAAHT5z0k=")</f>
        <v>#REF!</v>
      </c>
      <c r="BW11" t="e">
        <f>AND(#REF!,"AAAAAHT5z0o=")</f>
        <v>#REF!</v>
      </c>
      <c r="BX11" t="e">
        <f>IF(#REF!,"AAAAAHT5z0s=",0)</f>
        <v>#REF!</v>
      </c>
      <c r="BY11" t="e">
        <f>AND(#REF!,"AAAAAHT5z0w=")</f>
        <v>#REF!</v>
      </c>
      <c r="BZ11" t="e">
        <f>AND(#REF!,"AAAAAHT5z00=")</f>
        <v>#REF!</v>
      </c>
      <c r="CA11" t="e">
        <f>AND(#REF!,"AAAAAHT5z04=")</f>
        <v>#REF!</v>
      </c>
      <c r="CB11" t="e">
        <f>AND(#REF!,"AAAAAHT5z08=")</f>
        <v>#REF!</v>
      </c>
      <c r="CC11" t="e">
        <f>AND(#REF!,"AAAAAHT5z1A=")</f>
        <v>#REF!</v>
      </c>
      <c r="CD11" t="e">
        <f>IF(#REF!,"AAAAAHT5z1E=",0)</f>
        <v>#REF!</v>
      </c>
      <c r="CE11" t="e">
        <f>AND(#REF!,"AAAAAHT5z1I=")</f>
        <v>#REF!</v>
      </c>
      <c r="CF11" t="e">
        <f>AND(#REF!,"AAAAAHT5z1M=")</f>
        <v>#REF!</v>
      </c>
      <c r="CG11" t="e">
        <f>AND(#REF!,"AAAAAHT5z1Q=")</f>
        <v>#REF!</v>
      </c>
      <c r="CH11" t="e">
        <f>AND(#REF!,"AAAAAHT5z1U=")</f>
        <v>#REF!</v>
      </c>
      <c r="CI11" t="e">
        <f>AND(#REF!,"AAAAAHT5z1Y=")</f>
        <v>#REF!</v>
      </c>
      <c r="CJ11" t="e">
        <f>IF(#REF!,"AAAAAHT5z1c=",0)</f>
        <v>#REF!</v>
      </c>
      <c r="CK11" t="e">
        <f>AND(#REF!,"AAAAAHT5z1g=")</f>
        <v>#REF!</v>
      </c>
      <c r="CL11" t="e">
        <f>AND(#REF!,"AAAAAHT5z1k=")</f>
        <v>#REF!</v>
      </c>
      <c r="CM11" t="e">
        <f>AND(#REF!,"AAAAAHT5z1o=")</f>
        <v>#REF!</v>
      </c>
      <c r="CN11" t="e">
        <f>AND(#REF!,"AAAAAHT5z1s=")</f>
        <v>#REF!</v>
      </c>
      <c r="CO11" t="e">
        <f>AND(#REF!,"AAAAAHT5z1w=")</f>
        <v>#REF!</v>
      </c>
      <c r="CP11" t="e">
        <f>IF(#REF!,"AAAAAHT5z10=",0)</f>
        <v>#REF!</v>
      </c>
      <c r="CQ11" t="e">
        <f>AND(#REF!,"AAAAAHT5z14=")</f>
        <v>#REF!</v>
      </c>
      <c r="CR11" t="e">
        <f>AND(#REF!,"AAAAAHT5z18=")</f>
        <v>#REF!</v>
      </c>
      <c r="CS11" t="e">
        <f>AND(#REF!,"AAAAAHT5z2A=")</f>
        <v>#REF!</v>
      </c>
      <c r="CT11" t="e">
        <f>AND(#REF!,"AAAAAHT5z2E=")</f>
        <v>#REF!</v>
      </c>
      <c r="CU11" t="e">
        <f>AND(#REF!,"AAAAAHT5z2I=")</f>
        <v>#REF!</v>
      </c>
      <c r="CV11" t="e">
        <f>IF(#REF!,"AAAAAHT5z2M=",0)</f>
        <v>#REF!</v>
      </c>
      <c r="CW11" t="e">
        <f>AND(#REF!,"AAAAAHT5z2Q=")</f>
        <v>#REF!</v>
      </c>
      <c r="CX11" t="e">
        <f>AND(#REF!,"AAAAAHT5z2U=")</f>
        <v>#REF!</v>
      </c>
      <c r="CY11" t="e">
        <f>AND(#REF!,"AAAAAHT5z2Y=")</f>
        <v>#REF!</v>
      </c>
      <c r="CZ11" t="e">
        <f>AND(#REF!,"AAAAAHT5z2c=")</f>
        <v>#REF!</v>
      </c>
      <c r="DA11" t="e">
        <f>AND(#REF!,"AAAAAHT5z2g=")</f>
        <v>#REF!</v>
      </c>
      <c r="DB11" t="e">
        <f>IF(#REF!,"AAAAAHT5z2k=",0)</f>
        <v>#REF!</v>
      </c>
      <c r="DC11" t="e">
        <f>AND(#REF!,"AAAAAHT5z2o=")</f>
        <v>#REF!</v>
      </c>
      <c r="DD11" t="e">
        <f>AND(#REF!,"AAAAAHT5z2s=")</f>
        <v>#REF!</v>
      </c>
      <c r="DE11" t="e">
        <f>AND(#REF!,"AAAAAHT5z2w=")</f>
        <v>#REF!</v>
      </c>
      <c r="DF11" t="e">
        <f>AND(#REF!,"AAAAAHT5z20=")</f>
        <v>#REF!</v>
      </c>
      <c r="DG11" t="e">
        <f>AND(#REF!,"AAAAAHT5z24=")</f>
        <v>#REF!</v>
      </c>
      <c r="DH11" t="e">
        <f>IF(#REF!,"AAAAAHT5z28=",0)</f>
        <v>#REF!</v>
      </c>
      <c r="DI11" t="e">
        <f>AND(#REF!,"AAAAAHT5z3A=")</f>
        <v>#REF!</v>
      </c>
      <c r="DJ11" t="e">
        <f>AND(#REF!,"AAAAAHT5z3E=")</f>
        <v>#REF!</v>
      </c>
      <c r="DK11" t="e">
        <f>AND(#REF!,"AAAAAHT5z3I=")</f>
        <v>#REF!</v>
      </c>
      <c r="DL11" t="e">
        <f>AND(#REF!,"AAAAAHT5z3M=")</f>
        <v>#REF!</v>
      </c>
      <c r="DM11" t="e">
        <f>AND(#REF!,"AAAAAHT5z3Q=")</f>
        <v>#REF!</v>
      </c>
      <c r="DN11" t="e">
        <f>IF(#REF!,"AAAAAHT5z3U=",0)</f>
        <v>#REF!</v>
      </c>
      <c r="DO11" t="e">
        <f>AND(#REF!,"AAAAAHT5z3Y=")</f>
        <v>#REF!</v>
      </c>
      <c r="DP11" t="e">
        <f>AND(#REF!,"AAAAAHT5z3c=")</f>
        <v>#REF!</v>
      </c>
      <c r="DQ11" t="e">
        <f>AND(#REF!,"AAAAAHT5z3g=")</f>
        <v>#REF!</v>
      </c>
      <c r="DR11" t="e">
        <f>AND(#REF!,"AAAAAHT5z3k=")</f>
        <v>#REF!</v>
      </c>
      <c r="DS11" t="e">
        <f>AND(#REF!,"AAAAAHT5z3o=")</f>
        <v>#REF!</v>
      </c>
      <c r="DT11" t="e">
        <f>IF(#REF!,"AAAAAHT5z3s=",0)</f>
        <v>#REF!</v>
      </c>
      <c r="DU11" t="e">
        <f>AND(#REF!,"AAAAAHT5z3w=")</f>
        <v>#REF!</v>
      </c>
      <c r="DV11" t="e">
        <f>AND(#REF!,"AAAAAHT5z30=")</f>
        <v>#REF!</v>
      </c>
      <c r="DW11" t="e">
        <f>AND(#REF!,"AAAAAHT5z34=")</f>
        <v>#REF!</v>
      </c>
      <c r="DX11" t="e">
        <f>AND(#REF!,"AAAAAHT5z38=")</f>
        <v>#REF!</v>
      </c>
      <c r="DY11" t="e">
        <f>AND(#REF!,"AAAAAHT5z4A=")</f>
        <v>#REF!</v>
      </c>
      <c r="DZ11" t="e">
        <f>IF(#REF!,"AAAAAHT5z4E=",0)</f>
        <v>#REF!</v>
      </c>
      <c r="EA11" t="e">
        <f>AND(#REF!,"AAAAAHT5z4I=")</f>
        <v>#REF!</v>
      </c>
      <c r="EB11" t="e">
        <f>AND(#REF!,"AAAAAHT5z4M=")</f>
        <v>#REF!</v>
      </c>
      <c r="EC11" t="e">
        <f>AND(#REF!,"AAAAAHT5z4Q=")</f>
        <v>#REF!</v>
      </c>
      <c r="ED11" t="e">
        <f>AND(#REF!,"AAAAAHT5z4U=")</f>
        <v>#REF!</v>
      </c>
      <c r="EE11" t="e">
        <f>AND(#REF!,"AAAAAHT5z4Y=")</f>
        <v>#REF!</v>
      </c>
      <c r="EF11" t="e">
        <f>IF(#REF!,"AAAAAHT5z4c=",0)</f>
        <v>#REF!</v>
      </c>
      <c r="EG11" t="e">
        <f>IF(#REF!,"AAAAAHT5z4g=",0)</f>
        <v>#REF!</v>
      </c>
      <c r="EH11" t="e">
        <f>IF(#REF!,"AAAAAHT5z4k=",0)</f>
        <v>#REF!</v>
      </c>
      <c r="EI11" t="e">
        <f>IF(#REF!,"AAAAAHT5z4o=",0)</f>
        <v>#REF!</v>
      </c>
      <c r="EJ11" t="e">
        <f>IF(#REF!,"AAAAAHT5z4s=",0)</f>
        <v>#REF!</v>
      </c>
      <c r="EK11" t="e">
        <f>IF(#REF!,"AAAAAHT5z4w=",0)</f>
        <v>#REF!</v>
      </c>
      <c r="EL11" t="e">
        <f>IF(#REF!,"AAAAAHT5z40=",0)</f>
        <v>#REF!</v>
      </c>
      <c r="EM11" t="e">
        <f>IF(#REF!,"AAAAAHT5z44=",0)</f>
        <v>#REF!</v>
      </c>
      <c r="EN11" t="e">
        <f>IF(#REF!,"AAAAAHT5z48=",0)</f>
        <v>#REF!</v>
      </c>
      <c r="EO11" t="e">
        <f>AND(#REF!,"AAAAAHT5z5A=")</f>
        <v>#REF!</v>
      </c>
      <c r="EP11" t="e">
        <f>AND(#REF!,"AAAAAHT5z5E=")</f>
        <v>#REF!</v>
      </c>
      <c r="EQ11" t="e">
        <f>AND(#REF!,"AAAAAHT5z5I=")</f>
        <v>#REF!</v>
      </c>
      <c r="ER11" t="e">
        <f>AND(#REF!,"AAAAAHT5z5M=")</f>
        <v>#REF!</v>
      </c>
      <c r="ES11" t="e">
        <f>AND(#REF!,"AAAAAHT5z5Q=")</f>
        <v>#REF!</v>
      </c>
      <c r="ET11" t="e">
        <f>IF(#REF!,"AAAAAHT5z5U=",0)</f>
        <v>#REF!</v>
      </c>
      <c r="EU11" t="e">
        <f>AND(#REF!,"AAAAAHT5z5Y=")</f>
        <v>#REF!</v>
      </c>
      <c r="EV11" t="e">
        <f>AND(#REF!,"AAAAAHT5z5c=")</f>
        <v>#REF!</v>
      </c>
      <c r="EW11" t="e">
        <f>AND(#REF!,"AAAAAHT5z5g=")</f>
        <v>#REF!</v>
      </c>
      <c r="EX11" t="e">
        <f>AND(#REF!,"AAAAAHT5z5k=")</f>
        <v>#REF!</v>
      </c>
      <c r="EY11" t="e">
        <f>AND(#REF!,"AAAAAHT5z5o=")</f>
        <v>#REF!</v>
      </c>
      <c r="EZ11" t="e">
        <f>IF(#REF!,"AAAAAHT5z5s=",0)</f>
        <v>#REF!</v>
      </c>
      <c r="FA11" t="e">
        <f>AND(#REF!,"AAAAAHT5z5w=")</f>
        <v>#REF!</v>
      </c>
      <c r="FB11" t="e">
        <f>AND(#REF!,"AAAAAHT5z50=")</f>
        <v>#REF!</v>
      </c>
      <c r="FC11" t="e">
        <f>AND(#REF!,"AAAAAHT5z54=")</f>
        <v>#REF!</v>
      </c>
      <c r="FD11" t="e">
        <f>AND(#REF!,"AAAAAHT5z58=")</f>
        <v>#REF!</v>
      </c>
      <c r="FE11" t="e">
        <f>AND(#REF!,"AAAAAHT5z6A=")</f>
        <v>#REF!</v>
      </c>
      <c r="FF11" t="e">
        <f>IF(#REF!,"AAAAAHT5z6E=",0)</f>
        <v>#REF!</v>
      </c>
      <c r="FG11" t="e">
        <f>AND(#REF!,"AAAAAHT5z6I=")</f>
        <v>#REF!</v>
      </c>
      <c r="FH11" t="e">
        <f>AND(#REF!,"AAAAAHT5z6M=")</f>
        <v>#REF!</v>
      </c>
      <c r="FI11" t="e">
        <f>AND(#REF!,"AAAAAHT5z6Q=")</f>
        <v>#REF!</v>
      </c>
      <c r="FJ11" t="e">
        <f>AND(#REF!,"AAAAAHT5z6U=")</f>
        <v>#REF!</v>
      </c>
      <c r="FK11" t="e">
        <f>AND(#REF!,"AAAAAHT5z6Y=")</f>
        <v>#REF!</v>
      </c>
      <c r="FL11" t="e">
        <f>IF(#REF!,"AAAAAHT5z6c=",0)</f>
        <v>#REF!</v>
      </c>
      <c r="FM11" t="e">
        <f>AND(#REF!,"AAAAAHT5z6g=")</f>
        <v>#REF!</v>
      </c>
      <c r="FN11" t="e">
        <f>AND(#REF!,"AAAAAHT5z6k=")</f>
        <v>#REF!</v>
      </c>
      <c r="FO11" t="e">
        <f>AND(#REF!,"AAAAAHT5z6o=")</f>
        <v>#REF!</v>
      </c>
      <c r="FP11" t="e">
        <f>AND(#REF!,"AAAAAHT5z6s=")</f>
        <v>#REF!</v>
      </c>
      <c r="FQ11" t="e">
        <f>AND(#REF!,"AAAAAHT5z6w=")</f>
        <v>#REF!</v>
      </c>
      <c r="FR11" t="e">
        <f>IF(#REF!,"AAAAAHT5z60=",0)</f>
        <v>#REF!</v>
      </c>
      <c r="FS11" t="e">
        <f>AND(#REF!,"AAAAAHT5z64=")</f>
        <v>#REF!</v>
      </c>
      <c r="FT11" t="e">
        <f>AND(#REF!,"AAAAAHT5z68=")</f>
        <v>#REF!</v>
      </c>
      <c r="FU11" t="e">
        <f>AND(#REF!,"AAAAAHT5z7A=")</f>
        <v>#REF!</v>
      </c>
      <c r="FV11" t="e">
        <f>AND(#REF!,"AAAAAHT5z7E=")</f>
        <v>#REF!</v>
      </c>
      <c r="FW11" t="e">
        <f>AND(#REF!,"AAAAAHT5z7I=")</f>
        <v>#REF!</v>
      </c>
      <c r="FX11" t="e">
        <f>IF(#REF!,"AAAAAHT5z7M=",0)</f>
        <v>#REF!</v>
      </c>
      <c r="FY11" t="e">
        <f>AND(#REF!,"AAAAAHT5z7Q=")</f>
        <v>#REF!</v>
      </c>
      <c r="FZ11" t="e">
        <f>AND(#REF!,"AAAAAHT5z7U=")</f>
        <v>#REF!</v>
      </c>
      <c r="GA11" t="e">
        <f>AND(#REF!,"AAAAAHT5z7Y=")</f>
        <v>#REF!</v>
      </c>
      <c r="GB11" t="e">
        <f>AND(#REF!,"AAAAAHT5z7c=")</f>
        <v>#REF!</v>
      </c>
      <c r="GC11" t="e">
        <f>AND(#REF!,"AAAAAHT5z7g=")</f>
        <v>#REF!</v>
      </c>
      <c r="GD11" t="e">
        <f>IF(#REF!,"AAAAAHT5z7k=",0)</f>
        <v>#REF!</v>
      </c>
      <c r="GE11" t="e">
        <f>AND(#REF!,"AAAAAHT5z7o=")</f>
        <v>#REF!</v>
      </c>
      <c r="GF11" t="e">
        <f>AND(#REF!,"AAAAAHT5z7s=")</f>
        <v>#REF!</v>
      </c>
      <c r="GG11" t="e">
        <f>AND(#REF!,"AAAAAHT5z7w=")</f>
        <v>#REF!</v>
      </c>
      <c r="GH11" t="e">
        <f>AND(#REF!,"AAAAAHT5z70=")</f>
        <v>#REF!</v>
      </c>
      <c r="GI11" t="e">
        <f>AND(#REF!,"AAAAAHT5z74=")</f>
        <v>#REF!</v>
      </c>
      <c r="GJ11" t="e">
        <f>IF(#REF!,"AAAAAHT5z78=",0)</f>
        <v>#REF!</v>
      </c>
      <c r="GK11" t="e">
        <f>AND(#REF!,"AAAAAHT5z8A=")</f>
        <v>#REF!</v>
      </c>
      <c r="GL11" t="e">
        <f>AND(#REF!,"AAAAAHT5z8E=")</f>
        <v>#REF!</v>
      </c>
      <c r="GM11" t="e">
        <f>AND(#REF!,"AAAAAHT5z8I=")</f>
        <v>#REF!</v>
      </c>
      <c r="GN11" t="e">
        <f>AND(#REF!,"AAAAAHT5z8M=")</f>
        <v>#REF!</v>
      </c>
      <c r="GO11" t="e">
        <f>AND(#REF!,"AAAAAHT5z8Q=")</f>
        <v>#REF!</v>
      </c>
      <c r="GP11" t="e">
        <f>IF(#REF!,"AAAAAHT5z8U=",0)</f>
        <v>#REF!</v>
      </c>
      <c r="GQ11" t="e">
        <f>AND(#REF!,"AAAAAHT5z8Y=")</f>
        <v>#REF!</v>
      </c>
      <c r="GR11" t="e">
        <f>AND(#REF!,"AAAAAHT5z8c=")</f>
        <v>#REF!</v>
      </c>
      <c r="GS11" t="e">
        <f>AND(#REF!,"AAAAAHT5z8g=")</f>
        <v>#REF!</v>
      </c>
      <c r="GT11" t="e">
        <f>AND(#REF!,"AAAAAHT5z8k=")</f>
        <v>#REF!</v>
      </c>
      <c r="GU11" t="e">
        <f>AND(#REF!,"AAAAAHT5z8o=")</f>
        <v>#REF!</v>
      </c>
      <c r="GV11" t="e">
        <f>IF(#REF!,"AAAAAHT5z8s=",0)</f>
        <v>#REF!</v>
      </c>
      <c r="GW11" t="e">
        <f>AND(#REF!,"AAAAAHT5z8w=")</f>
        <v>#REF!</v>
      </c>
      <c r="GX11" t="e">
        <f>AND(#REF!,"AAAAAHT5z80=")</f>
        <v>#REF!</v>
      </c>
      <c r="GY11" t="e">
        <f>AND(#REF!,"AAAAAHT5z84=")</f>
        <v>#REF!</v>
      </c>
      <c r="GZ11" t="e">
        <f>AND(#REF!,"AAAAAHT5z88=")</f>
        <v>#REF!</v>
      </c>
      <c r="HA11" t="e">
        <f>AND(#REF!,"AAAAAHT5z9A=")</f>
        <v>#REF!</v>
      </c>
      <c r="HB11" t="e">
        <f>IF(#REF!,"AAAAAHT5z9E=",0)</f>
        <v>#REF!</v>
      </c>
      <c r="HC11" t="e">
        <f>AND(#REF!,"AAAAAHT5z9I=")</f>
        <v>#REF!</v>
      </c>
      <c r="HD11" t="e">
        <f>AND(#REF!,"AAAAAHT5z9M=")</f>
        <v>#REF!</v>
      </c>
      <c r="HE11" t="e">
        <f>AND(#REF!,"AAAAAHT5z9Q=")</f>
        <v>#REF!</v>
      </c>
      <c r="HF11" t="e">
        <f>AND(#REF!,"AAAAAHT5z9U=")</f>
        <v>#REF!</v>
      </c>
      <c r="HG11" t="e">
        <f>AND(#REF!,"AAAAAHT5z9Y=")</f>
        <v>#REF!</v>
      </c>
      <c r="HH11" t="e">
        <f>IF(#REF!,"AAAAAHT5z9c=",0)</f>
        <v>#REF!</v>
      </c>
      <c r="HI11" t="e">
        <f>AND(#REF!,"AAAAAHT5z9g=")</f>
        <v>#REF!</v>
      </c>
      <c r="HJ11" t="e">
        <f>AND(#REF!,"AAAAAHT5z9k=")</f>
        <v>#REF!</v>
      </c>
      <c r="HK11" t="e">
        <f>AND(#REF!,"AAAAAHT5z9o=")</f>
        <v>#REF!</v>
      </c>
      <c r="HL11" t="e">
        <f>AND(#REF!,"AAAAAHT5z9s=")</f>
        <v>#REF!</v>
      </c>
      <c r="HM11" t="e">
        <f>AND(#REF!,"AAAAAHT5z9w=")</f>
        <v>#REF!</v>
      </c>
      <c r="HN11" t="e">
        <f>IF(#REF!,"AAAAAHT5z90=",0)</f>
        <v>#REF!</v>
      </c>
      <c r="HO11" t="e">
        <f>AND(#REF!,"AAAAAHT5z94=")</f>
        <v>#REF!</v>
      </c>
      <c r="HP11" t="e">
        <f>AND(#REF!,"AAAAAHT5z98=")</f>
        <v>#REF!</v>
      </c>
      <c r="HQ11" t="e">
        <f>AND(#REF!,"AAAAAHT5z+A=")</f>
        <v>#REF!</v>
      </c>
      <c r="HR11" t="e">
        <f>AND(#REF!,"AAAAAHT5z+E=")</f>
        <v>#REF!</v>
      </c>
      <c r="HS11" t="e">
        <f>AND(#REF!,"AAAAAHT5z+I=")</f>
        <v>#REF!</v>
      </c>
      <c r="HT11" t="e">
        <f>IF(#REF!,"AAAAAHT5z+M=",0)</f>
        <v>#REF!</v>
      </c>
      <c r="HU11" t="e">
        <f>AND(#REF!,"AAAAAHT5z+Q=")</f>
        <v>#REF!</v>
      </c>
      <c r="HV11" t="e">
        <f>AND(#REF!,"AAAAAHT5z+U=")</f>
        <v>#REF!</v>
      </c>
      <c r="HW11" t="e">
        <f>AND(#REF!,"AAAAAHT5z+Y=")</f>
        <v>#REF!</v>
      </c>
      <c r="HX11" t="e">
        <f>AND(#REF!,"AAAAAHT5z+c=")</f>
        <v>#REF!</v>
      </c>
      <c r="HY11" t="e">
        <f>AND(#REF!,"AAAAAHT5z+g=")</f>
        <v>#REF!</v>
      </c>
      <c r="HZ11" t="e">
        <f>IF(#REF!,"AAAAAHT5z+k=",0)</f>
        <v>#REF!</v>
      </c>
      <c r="IA11" t="e">
        <f>AND(#REF!,"AAAAAHT5z+o=")</f>
        <v>#REF!</v>
      </c>
      <c r="IB11" t="e">
        <f>AND(#REF!,"AAAAAHT5z+s=")</f>
        <v>#REF!</v>
      </c>
      <c r="IC11" t="e">
        <f>AND(#REF!,"AAAAAHT5z+w=")</f>
        <v>#REF!</v>
      </c>
      <c r="ID11" t="e">
        <f>AND(#REF!,"AAAAAHT5z+0=")</f>
        <v>#REF!</v>
      </c>
      <c r="IE11" t="e">
        <f>AND(#REF!,"AAAAAHT5z+4=")</f>
        <v>#REF!</v>
      </c>
      <c r="IF11" t="e">
        <f>IF(#REF!,"AAAAAHT5z+8=",0)</f>
        <v>#REF!</v>
      </c>
      <c r="IG11" t="e">
        <f>AND(#REF!,"AAAAAHT5z/A=")</f>
        <v>#REF!</v>
      </c>
      <c r="IH11" t="e">
        <f>AND(#REF!,"AAAAAHT5z/E=")</f>
        <v>#REF!</v>
      </c>
      <c r="II11" t="e">
        <f>AND(#REF!,"AAAAAHT5z/I=")</f>
        <v>#REF!</v>
      </c>
      <c r="IJ11" t="e">
        <f>AND(#REF!,"AAAAAHT5z/M=")</f>
        <v>#REF!</v>
      </c>
      <c r="IK11" t="e">
        <f>AND(#REF!,"AAAAAHT5z/Q=")</f>
        <v>#REF!</v>
      </c>
      <c r="IL11" t="e">
        <f>IF(#REF!,"AAAAAHT5z/U=",0)</f>
        <v>#REF!</v>
      </c>
      <c r="IM11" t="e">
        <f>AND(#REF!,"AAAAAHT5z/Y=")</f>
        <v>#REF!</v>
      </c>
      <c r="IN11" t="e">
        <f>AND(#REF!,"AAAAAHT5z/c=")</f>
        <v>#REF!</v>
      </c>
      <c r="IO11" t="e">
        <f>AND(#REF!,"AAAAAHT5z/g=")</f>
        <v>#REF!</v>
      </c>
      <c r="IP11" t="e">
        <f>AND(#REF!,"AAAAAHT5z/k=")</f>
        <v>#REF!</v>
      </c>
      <c r="IQ11" t="e">
        <f>AND(#REF!,"AAAAAHT5z/o=")</f>
        <v>#REF!</v>
      </c>
      <c r="IR11" t="e">
        <f>IF(#REF!,"AAAAAHT5z/s=",0)</f>
        <v>#REF!</v>
      </c>
      <c r="IS11" t="e">
        <f>AND(#REF!,"AAAAAHT5z/w=")</f>
        <v>#REF!</v>
      </c>
      <c r="IT11" t="e">
        <f>AND(#REF!,"AAAAAHT5z/0=")</f>
        <v>#REF!</v>
      </c>
      <c r="IU11" t="e">
        <f>AND(#REF!,"AAAAAHT5z/4=")</f>
        <v>#REF!</v>
      </c>
      <c r="IV11" t="e">
        <f>AND(#REF!,"AAAAAHT5z/8=")</f>
        <v>#REF!</v>
      </c>
    </row>
    <row r="12" spans="1:256">
      <c r="A12" t="e">
        <f>AND(#REF!,"AAAAAH9jvwA=")</f>
        <v>#REF!</v>
      </c>
      <c r="B12" t="e">
        <f>IF(#REF!,"AAAAAH9jvwE=",0)</f>
        <v>#REF!</v>
      </c>
      <c r="C12" t="e">
        <f>AND(#REF!,"AAAAAH9jvwI=")</f>
        <v>#REF!</v>
      </c>
      <c r="D12" t="e">
        <f>AND(#REF!,"AAAAAH9jvwM=")</f>
        <v>#REF!</v>
      </c>
      <c r="E12" t="e">
        <f>AND(#REF!,"AAAAAH9jvwQ=")</f>
        <v>#REF!</v>
      </c>
      <c r="F12" t="e">
        <f>AND(#REF!,"AAAAAH9jvwU=")</f>
        <v>#REF!</v>
      </c>
      <c r="G12" t="e">
        <f>AND(#REF!,"AAAAAH9jvwY=")</f>
        <v>#REF!</v>
      </c>
      <c r="H12" t="e">
        <f>IF(#REF!,"AAAAAH9jvwc=",0)</f>
        <v>#REF!</v>
      </c>
      <c r="I12" t="e">
        <f>IF(#REF!,"AAAAAH9jvwg=",0)</f>
        <v>#REF!</v>
      </c>
      <c r="J12" t="e">
        <f>IF(#REF!,"AAAAAH9jvwk=",0)</f>
        <v>#REF!</v>
      </c>
      <c r="K12" t="e">
        <f>IF(#REF!,"AAAAAH9jvwo=",0)</f>
        <v>#REF!</v>
      </c>
      <c r="L12" t="e">
        <f>IF(#REF!,"AAAAAH9jvws=",0)</f>
        <v>#REF!</v>
      </c>
      <c r="M12" t="e">
        <f>IF(#REF!,"AAAAAH9jvww=",0)</f>
        <v>#REF!</v>
      </c>
      <c r="N12" t="e">
        <f>IF(#REF!,"AAAAAH9jvw0=",0)</f>
        <v>#REF!</v>
      </c>
      <c r="O12" t="e">
        <f>IF(#REF!,"AAAAAH9jvw4=",0)</f>
        <v>#REF!</v>
      </c>
      <c r="P12" t="e">
        <f>IF(#REF!,"AAAAAH9jvw8=",0)</f>
        <v>#REF!</v>
      </c>
      <c r="Q12">
        <f>IF(Récap!3:3,"AAAAAH9jvxA=",0)</f>
        <v>0</v>
      </c>
      <c r="R12" t="e">
        <f>AND(Récap!A3,"AAAAAH9jvxE=")</f>
        <v>#VALUE!</v>
      </c>
      <c r="S12" t="e">
        <f>AND(Récap!B3,"AAAAAH9jvxI=")</f>
        <v>#VALUE!</v>
      </c>
      <c r="T12" t="e">
        <f>AND(Récap!C3,"AAAAAH9jvxM=")</f>
        <v>#VALUE!</v>
      </c>
      <c r="U12" t="e">
        <f>AND(Récap!D3,"AAAAAH9jvxQ=")</f>
        <v>#VALUE!</v>
      </c>
      <c r="V12" t="e">
        <f>AND(Récap!E3,"AAAAAH9jvxU=")</f>
        <v>#VALUE!</v>
      </c>
      <c r="W12" t="e">
        <f>AND(Récap!F3,"AAAAAH9jvxY=")</f>
        <v>#VALUE!</v>
      </c>
      <c r="X12" t="e">
        <f>AND(Récap!G3,"AAAAAH9jvxc=")</f>
        <v>#VALUE!</v>
      </c>
      <c r="Y12" t="e">
        <f>AND(Récap!H3,"AAAAAH9jvxg=")</f>
        <v>#VALUE!</v>
      </c>
      <c r="Z12" t="e">
        <f>AND(Récap!I3,"AAAAAH9jvxk=")</f>
        <v>#VALUE!</v>
      </c>
      <c r="AA12">
        <f>IF(Récap!4:4,"AAAAAH9jvxo=",0)</f>
        <v>0</v>
      </c>
      <c r="AB12" t="e">
        <f>AND(Récap!A4,"AAAAAH9jvxs=")</f>
        <v>#VALUE!</v>
      </c>
      <c r="AC12" t="e">
        <f>AND(Récap!B4,"AAAAAH9jvxw=")</f>
        <v>#VALUE!</v>
      </c>
      <c r="AD12" t="e">
        <f>AND(Récap!C4,"AAAAAH9jvx0=")</f>
        <v>#VALUE!</v>
      </c>
      <c r="AE12" t="e">
        <f>AND(Récap!D4,"AAAAAH9jvx4=")</f>
        <v>#VALUE!</v>
      </c>
      <c r="AF12" t="e">
        <f>AND(Récap!E4,"AAAAAH9jvx8=")</f>
        <v>#VALUE!</v>
      </c>
      <c r="AG12">
        <f>IF(Récap!5:5,"AAAAAH9jvyA=",0)</f>
        <v>0</v>
      </c>
      <c r="AH12" t="e">
        <f>AND(Récap!A5,"AAAAAH9jvyE=")</f>
        <v>#VALUE!</v>
      </c>
      <c r="AI12" t="e">
        <f>AND(Récap!B5,"AAAAAH9jvyI=")</f>
        <v>#VALUE!</v>
      </c>
      <c r="AJ12" t="e">
        <f>AND(Récap!C5,"AAAAAH9jvyM=")</f>
        <v>#VALUE!</v>
      </c>
      <c r="AK12" t="e">
        <f>AND(Récap!D5,"AAAAAH9jvyQ=")</f>
        <v>#VALUE!</v>
      </c>
      <c r="AL12" t="e">
        <f>AND(Récap!E5,"AAAAAH9jvyU=")</f>
        <v>#VALUE!</v>
      </c>
      <c r="AM12">
        <f>IF(Récap!6:6,"AAAAAH9jvyY=",0)</f>
        <v>0</v>
      </c>
      <c r="AN12" t="e">
        <f>AND(Récap!A6,"AAAAAH9jvyc=")</f>
        <v>#VALUE!</v>
      </c>
      <c r="AO12" t="e">
        <f>AND(Récap!B6,"AAAAAH9jvyg=")</f>
        <v>#VALUE!</v>
      </c>
      <c r="AP12" t="e">
        <f>AND(Récap!C6,"AAAAAH9jvyk=")</f>
        <v>#VALUE!</v>
      </c>
      <c r="AQ12" t="e">
        <f>AND(Récap!D6,"AAAAAH9jvyo=")</f>
        <v>#VALUE!</v>
      </c>
      <c r="AR12" t="e">
        <f>AND(Récap!E6,"AAAAAH9jvys=")</f>
        <v>#VALUE!</v>
      </c>
      <c r="AS12">
        <f>IF(Récap!7:7,"AAAAAH9jvyw=",0)</f>
        <v>0</v>
      </c>
      <c r="AT12" t="e">
        <f>AND(Récap!A7,"AAAAAH9jvy0=")</f>
        <v>#VALUE!</v>
      </c>
      <c r="AU12" t="e">
        <f>AND(Récap!B7,"AAAAAH9jvy4=")</f>
        <v>#VALUE!</v>
      </c>
      <c r="AV12" t="e">
        <f>AND(Récap!C7,"AAAAAH9jvy8=")</f>
        <v>#VALUE!</v>
      </c>
      <c r="AW12" t="e">
        <f>AND(Récap!D7,"AAAAAH9jvzA=")</f>
        <v>#VALUE!</v>
      </c>
      <c r="AX12" t="e">
        <f>AND(Récap!E7,"AAAAAH9jvzE=")</f>
        <v>#VALUE!</v>
      </c>
      <c r="AY12">
        <f>IF(Récap!8:8,"AAAAAH9jvzI=",0)</f>
        <v>0</v>
      </c>
      <c r="AZ12" t="e">
        <f>AND(Récap!A8,"AAAAAH9jvzM=")</f>
        <v>#VALUE!</v>
      </c>
      <c r="BA12" t="e">
        <f>AND(Récap!B8,"AAAAAH9jvzQ=")</f>
        <v>#VALUE!</v>
      </c>
      <c r="BB12" t="e">
        <f>AND(Récap!C8,"AAAAAH9jvzU=")</f>
        <v>#VALUE!</v>
      </c>
      <c r="BC12" t="e">
        <f>AND(Récap!D8,"AAAAAH9jvzY=")</f>
        <v>#VALUE!</v>
      </c>
      <c r="BD12" t="e">
        <f>AND(Récap!E8,"AAAAAH9jvzc=")</f>
        <v>#VALUE!</v>
      </c>
      <c r="BE12">
        <f>IF(Récap!9:9,"AAAAAH9jvzg=",0)</f>
        <v>0</v>
      </c>
      <c r="BF12" t="e">
        <f>AND(Récap!A9,"AAAAAH9jvzk=")</f>
        <v>#VALUE!</v>
      </c>
      <c r="BG12" t="e">
        <f>AND(Récap!B9,"AAAAAH9jvzo=")</f>
        <v>#VALUE!</v>
      </c>
      <c r="BH12" t="e">
        <f>AND(Récap!C9,"AAAAAH9jvzs=")</f>
        <v>#VALUE!</v>
      </c>
      <c r="BI12" t="e">
        <f>AND(Récap!D9,"AAAAAH9jvzw=")</f>
        <v>#VALUE!</v>
      </c>
      <c r="BJ12" t="e">
        <f>AND(Récap!E9,"AAAAAH9jvz0=")</f>
        <v>#VALUE!</v>
      </c>
      <c r="BK12">
        <f>IF(Récap!10:10,"AAAAAH9jvz4=",0)</f>
        <v>0</v>
      </c>
      <c r="BL12" t="e">
        <f>AND(Récap!A10,"AAAAAH9jvz8=")</f>
        <v>#VALUE!</v>
      </c>
      <c r="BM12" t="e">
        <f>AND(Récap!B10,"AAAAAH9jv0A=")</f>
        <v>#VALUE!</v>
      </c>
      <c r="BN12" t="e">
        <f>AND(Récap!C10,"AAAAAH9jv0E=")</f>
        <v>#VALUE!</v>
      </c>
      <c r="BO12" t="e">
        <f>AND(Récap!D10,"AAAAAH9jv0I=")</f>
        <v>#VALUE!</v>
      </c>
      <c r="BP12" t="e">
        <f>AND(Récap!E10,"AAAAAH9jv0M=")</f>
        <v>#VALUE!</v>
      </c>
      <c r="BQ12">
        <f>IF(Récap!11:11,"AAAAAH9jv0Q=",0)</f>
        <v>0</v>
      </c>
      <c r="BR12" t="e">
        <f>AND(Récap!A11,"AAAAAH9jv0U=")</f>
        <v>#VALUE!</v>
      </c>
      <c r="BS12" t="e">
        <f>AND(Récap!B11,"AAAAAH9jv0Y=")</f>
        <v>#VALUE!</v>
      </c>
      <c r="BT12" t="e">
        <f>AND(Récap!C11,"AAAAAH9jv0c=")</f>
        <v>#VALUE!</v>
      </c>
      <c r="BU12" t="e">
        <f>AND(Récap!D11,"AAAAAH9jv0g=")</f>
        <v>#VALUE!</v>
      </c>
      <c r="BV12" t="e">
        <f>AND(Récap!E11,"AAAAAH9jv0k=")</f>
        <v>#VALUE!</v>
      </c>
      <c r="BW12">
        <f>IF(Récap!12:12,"AAAAAH9jv0o=",0)</f>
        <v>0</v>
      </c>
      <c r="BX12" t="e">
        <f>AND(Récap!A12,"AAAAAH9jv0s=")</f>
        <v>#VALUE!</v>
      </c>
      <c r="BY12" t="e">
        <f>AND(Récap!B12,"AAAAAH9jv0w=")</f>
        <v>#VALUE!</v>
      </c>
      <c r="BZ12" t="e">
        <f>AND(Récap!C12,"AAAAAH9jv00=")</f>
        <v>#VALUE!</v>
      </c>
      <c r="CA12" t="e">
        <f>AND(Récap!D12,"AAAAAH9jv04=")</f>
        <v>#VALUE!</v>
      </c>
      <c r="CB12" t="e">
        <f>AND(Récap!E12,"AAAAAH9jv08=")</f>
        <v>#VALUE!</v>
      </c>
      <c r="CC12">
        <f>IF(Récap!13:13,"AAAAAH9jv1A=",0)</f>
        <v>0</v>
      </c>
      <c r="CD12" t="e">
        <f>AND(Récap!A13,"AAAAAH9jv1E=")</f>
        <v>#VALUE!</v>
      </c>
      <c r="CE12" t="e">
        <f>AND(Récap!B13,"AAAAAH9jv1I=")</f>
        <v>#VALUE!</v>
      </c>
      <c r="CF12" t="e">
        <f>AND(Récap!C13,"AAAAAH9jv1M=")</f>
        <v>#VALUE!</v>
      </c>
      <c r="CG12" t="e">
        <f>AND(Récap!D13,"AAAAAH9jv1Q=")</f>
        <v>#VALUE!</v>
      </c>
      <c r="CH12" t="e">
        <f>AND(Récap!E13,"AAAAAH9jv1U=")</f>
        <v>#VALUE!</v>
      </c>
      <c r="CI12">
        <f>IF(Récap!14:14,"AAAAAH9jv1Y=",0)</f>
        <v>0</v>
      </c>
      <c r="CJ12" t="e">
        <f>AND(Récap!A14,"AAAAAH9jv1c=")</f>
        <v>#VALUE!</v>
      </c>
      <c r="CK12" t="e">
        <f>AND(Récap!B14,"AAAAAH9jv1g=")</f>
        <v>#VALUE!</v>
      </c>
      <c r="CL12" t="e">
        <f>AND(Récap!C14,"AAAAAH9jv1k=")</f>
        <v>#VALUE!</v>
      </c>
      <c r="CM12" t="e">
        <f>AND(Récap!D14,"AAAAAH9jv1o=")</f>
        <v>#VALUE!</v>
      </c>
      <c r="CN12" t="e">
        <f>AND(Récap!E14,"AAAAAH9jv1s=")</f>
        <v>#VALUE!</v>
      </c>
      <c r="CO12">
        <f>IF(Récap!15:15,"AAAAAH9jv1w=",0)</f>
        <v>0</v>
      </c>
      <c r="CP12" t="e">
        <f>AND(Récap!A15,"AAAAAH9jv10=")</f>
        <v>#VALUE!</v>
      </c>
      <c r="CQ12" t="e">
        <f>AND(Récap!B15,"AAAAAH9jv14=")</f>
        <v>#VALUE!</v>
      </c>
      <c r="CR12" t="e">
        <f>AND(Récap!C15,"AAAAAH9jv18=")</f>
        <v>#VALUE!</v>
      </c>
      <c r="CS12" t="e">
        <f>AND(Récap!D15,"AAAAAH9jv2A=")</f>
        <v>#VALUE!</v>
      </c>
      <c r="CT12" t="e">
        <f>AND(Récap!E15,"AAAAAH9jv2E=")</f>
        <v>#VALUE!</v>
      </c>
      <c r="CU12">
        <f>IF(Récap!16:16,"AAAAAH9jv2I=",0)</f>
        <v>0</v>
      </c>
      <c r="CV12" t="e">
        <f>AND(Récap!A16,"AAAAAH9jv2M=")</f>
        <v>#VALUE!</v>
      </c>
      <c r="CW12" t="e">
        <f>AND(Récap!B16,"AAAAAH9jv2Q=")</f>
        <v>#VALUE!</v>
      </c>
      <c r="CX12" t="e">
        <f>AND(Récap!C16,"AAAAAH9jv2U=")</f>
        <v>#VALUE!</v>
      </c>
      <c r="CY12" t="e">
        <f>AND(Récap!D16,"AAAAAH9jv2Y=")</f>
        <v>#VALUE!</v>
      </c>
      <c r="CZ12" t="e">
        <f>AND(Récap!E16,"AAAAAH9jv2c=")</f>
        <v>#VALUE!</v>
      </c>
      <c r="DA12">
        <f>IF(Récap!17:17,"AAAAAH9jv2g=",0)</f>
        <v>0</v>
      </c>
      <c r="DB12" t="e">
        <f>AND(Récap!A17,"AAAAAH9jv2k=")</f>
        <v>#VALUE!</v>
      </c>
      <c r="DC12" t="e">
        <f>AND(Récap!B17,"AAAAAH9jv2o=")</f>
        <v>#VALUE!</v>
      </c>
      <c r="DD12" t="e">
        <f>AND(Récap!C17,"AAAAAH9jv2s=")</f>
        <v>#VALUE!</v>
      </c>
      <c r="DE12" t="e">
        <f>AND(Récap!D17,"AAAAAH9jv2w=")</f>
        <v>#VALUE!</v>
      </c>
      <c r="DF12" t="e">
        <f>AND(Récap!E17,"AAAAAH9jv20=")</f>
        <v>#VALUE!</v>
      </c>
      <c r="DG12">
        <f>IF(Récap!18:18,"AAAAAH9jv24=",0)</f>
        <v>0</v>
      </c>
      <c r="DH12" t="e">
        <f>AND(Récap!A18,"AAAAAH9jv28=")</f>
        <v>#VALUE!</v>
      </c>
      <c r="DI12" t="e">
        <f>AND(Récap!B18,"AAAAAH9jv3A=")</f>
        <v>#VALUE!</v>
      </c>
      <c r="DJ12" t="e">
        <f>AND(Récap!C18,"AAAAAH9jv3E=")</f>
        <v>#VALUE!</v>
      </c>
      <c r="DK12" t="e">
        <f>AND(Récap!D18,"AAAAAH9jv3I=")</f>
        <v>#VALUE!</v>
      </c>
      <c r="DL12" t="e">
        <f>AND(Récap!E18,"AAAAAH9jv3M=")</f>
        <v>#VALUE!</v>
      </c>
      <c r="DM12">
        <f>IF(Récap!19:19,"AAAAAH9jv3Q=",0)</f>
        <v>0</v>
      </c>
      <c r="DN12" t="e">
        <f>AND(Récap!A19,"AAAAAH9jv3U=")</f>
        <v>#VALUE!</v>
      </c>
      <c r="DO12" t="e">
        <f>AND(Récap!B19,"AAAAAH9jv3Y=")</f>
        <v>#VALUE!</v>
      </c>
      <c r="DP12" t="e">
        <f>AND(Récap!C19,"AAAAAH9jv3c=")</f>
        <v>#VALUE!</v>
      </c>
      <c r="DQ12" t="e">
        <f>AND(Récap!D19,"AAAAAH9jv3g=")</f>
        <v>#VALUE!</v>
      </c>
      <c r="DR12" t="e">
        <f>AND(Récap!E19,"AAAAAH9jv3k=")</f>
        <v>#VALUE!</v>
      </c>
      <c r="DS12">
        <f>IF(Récap!20:20,"AAAAAH9jv3o=",0)</f>
        <v>0</v>
      </c>
      <c r="DT12" t="e">
        <f>AND(Récap!A20,"AAAAAH9jv3s=")</f>
        <v>#VALUE!</v>
      </c>
      <c r="DU12" t="e">
        <f>AND(Récap!B20,"AAAAAH9jv3w=")</f>
        <v>#VALUE!</v>
      </c>
      <c r="DV12" t="e">
        <f>AND(Récap!C20,"AAAAAH9jv30=")</f>
        <v>#VALUE!</v>
      </c>
      <c r="DW12" t="e">
        <f>AND(Récap!D20,"AAAAAH9jv34=")</f>
        <v>#VALUE!</v>
      </c>
      <c r="DX12" t="e">
        <f>AND(Récap!E20,"AAAAAH9jv38=")</f>
        <v>#VALUE!</v>
      </c>
      <c r="DY12">
        <f>IF(Récap!21:21,"AAAAAH9jv4A=",0)</f>
        <v>0</v>
      </c>
      <c r="DZ12" t="e">
        <f>AND(Récap!A21,"AAAAAH9jv4E=")</f>
        <v>#VALUE!</v>
      </c>
      <c r="EA12" t="e">
        <f>AND(Récap!B21,"AAAAAH9jv4I=")</f>
        <v>#VALUE!</v>
      </c>
      <c r="EB12" t="e">
        <f>AND(Récap!C21,"AAAAAH9jv4M=")</f>
        <v>#VALUE!</v>
      </c>
      <c r="EC12" t="e">
        <f>AND(Récap!D21,"AAAAAH9jv4Q=")</f>
        <v>#VALUE!</v>
      </c>
      <c r="ED12" t="e">
        <f>AND(Récap!E21,"AAAAAH9jv4U=")</f>
        <v>#VALUE!</v>
      </c>
      <c r="EE12">
        <f>IF(Récap!22:22,"AAAAAH9jv4Y=",0)</f>
        <v>0</v>
      </c>
      <c r="EF12" t="e">
        <f>AND(Récap!A22,"AAAAAH9jv4c=")</f>
        <v>#VALUE!</v>
      </c>
      <c r="EG12" t="e">
        <f>AND(Récap!B22,"AAAAAH9jv4g=")</f>
        <v>#VALUE!</v>
      </c>
      <c r="EH12" t="e">
        <f>AND(Récap!C22,"AAAAAH9jv4k=")</f>
        <v>#VALUE!</v>
      </c>
      <c r="EI12" t="e">
        <f>AND(Récap!D22,"AAAAAH9jv4o=")</f>
        <v>#VALUE!</v>
      </c>
      <c r="EJ12" t="e">
        <f>AND(Récap!E22,"AAAAAH9jv4s=")</f>
        <v>#VALUE!</v>
      </c>
      <c r="EK12">
        <f>IF(Récap!23:23,"AAAAAH9jv4w=",0)</f>
        <v>0</v>
      </c>
      <c r="EL12" t="e">
        <f>AND(Récap!A23,"AAAAAH9jv40=")</f>
        <v>#VALUE!</v>
      </c>
      <c r="EM12" t="e">
        <f>AND(Récap!B23,"AAAAAH9jv44=")</f>
        <v>#VALUE!</v>
      </c>
      <c r="EN12" t="e">
        <f>AND(Récap!C23,"AAAAAH9jv48=")</f>
        <v>#VALUE!</v>
      </c>
      <c r="EO12" t="e">
        <f>AND(Récap!D23,"AAAAAH9jv5A=")</f>
        <v>#VALUE!</v>
      </c>
      <c r="EP12" t="e">
        <f>AND(Récap!E23,"AAAAAH9jv5E=")</f>
        <v>#VALUE!</v>
      </c>
      <c r="EQ12">
        <f>IF(Récap!24:24,"AAAAAH9jv5I=",0)</f>
        <v>0</v>
      </c>
      <c r="ER12" t="e">
        <f>AND(Récap!A24,"AAAAAH9jv5M=")</f>
        <v>#VALUE!</v>
      </c>
      <c r="ES12" t="e">
        <f>AND(Récap!B24,"AAAAAH9jv5Q=")</f>
        <v>#VALUE!</v>
      </c>
      <c r="ET12" t="e">
        <f>AND(Récap!C24,"AAAAAH9jv5U=")</f>
        <v>#VALUE!</v>
      </c>
      <c r="EU12" t="e">
        <f>AND(Récap!D24,"AAAAAH9jv5Y=")</f>
        <v>#VALUE!</v>
      </c>
      <c r="EV12" t="e">
        <f>AND(Récap!E24,"AAAAAH9jv5c=")</f>
        <v>#VALUE!</v>
      </c>
      <c r="EW12">
        <f>IF(Récap!25:25,"AAAAAH9jv5g=",0)</f>
        <v>0</v>
      </c>
      <c r="EX12" t="e">
        <f>AND(Récap!A25,"AAAAAH9jv5k=")</f>
        <v>#VALUE!</v>
      </c>
      <c r="EY12" t="e">
        <f>AND(Récap!B25,"AAAAAH9jv5o=")</f>
        <v>#VALUE!</v>
      </c>
      <c r="EZ12" t="e">
        <f>AND(Récap!C25,"AAAAAH9jv5s=")</f>
        <v>#VALUE!</v>
      </c>
      <c r="FA12" t="e">
        <f>AND(Récap!D25,"AAAAAH9jv5w=")</f>
        <v>#VALUE!</v>
      </c>
      <c r="FB12" t="e">
        <f>AND(Récap!E25,"AAAAAH9jv50=")</f>
        <v>#VALUE!</v>
      </c>
      <c r="FC12">
        <f>IF(Récap!26:26,"AAAAAH9jv54=",0)</f>
        <v>0</v>
      </c>
      <c r="FD12" t="e">
        <f>AND(Récap!A26,"AAAAAH9jv58=")</f>
        <v>#VALUE!</v>
      </c>
      <c r="FE12" t="e">
        <f>AND(Récap!B26,"AAAAAH9jv6A=")</f>
        <v>#VALUE!</v>
      </c>
      <c r="FF12" t="e">
        <f>AND(Récap!C26,"AAAAAH9jv6E=")</f>
        <v>#VALUE!</v>
      </c>
      <c r="FG12" t="e">
        <f>AND(Récap!D26,"AAAAAH9jv6I=")</f>
        <v>#VALUE!</v>
      </c>
      <c r="FH12" t="e">
        <f>AND(Récap!E26,"AAAAAH9jv6M=")</f>
        <v>#VALUE!</v>
      </c>
      <c r="FI12">
        <f>IF(Récap!27:27,"AAAAAH9jv6Q=",0)</f>
        <v>0</v>
      </c>
      <c r="FJ12" t="e">
        <f>AND(Récap!A27,"AAAAAH9jv6U=")</f>
        <v>#VALUE!</v>
      </c>
      <c r="FK12" t="e">
        <f>AND(Récap!B27,"AAAAAH9jv6Y=")</f>
        <v>#VALUE!</v>
      </c>
      <c r="FL12" t="e">
        <f>AND(Récap!C27,"AAAAAH9jv6c=")</f>
        <v>#VALUE!</v>
      </c>
      <c r="FM12" t="e">
        <f>AND(Récap!D27,"AAAAAH9jv6g=")</f>
        <v>#VALUE!</v>
      </c>
      <c r="FN12" t="e">
        <f>AND(Récap!E27,"AAAAAH9jv6k=")</f>
        <v>#VALUE!</v>
      </c>
      <c r="FO12">
        <f>IF(Récap!28:28,"AAAAAH9jv6o=",0)</f>
        <v>0</v>
      </c>
      <c r="FP12" t="e">
        <f>AND(Récap!A28,"AAAAAH9jv6s=")</f>
        <v>#VALUE!</v>
      </c>
      <c r="FQ12" t="e">
        <f>AND(Récap!B28,"AAAAAH9jv6w=")</f>
        <v>#VALUE!</v>
      </c>
      <c r="FR12" t="e">
        <f>AND(Récap!C28,"AAAAAH9jv60=")</f>
        <v>#VALUE!</v>
      </c>
      <c r="FS12" t="e">
        <f>AND(Récap!D28,"AAAAAH9jv64=")</f>
        <v>#VALUE!</v>
      </c>
      <c r="FT12" t="e">
        <f>AND(Récap!E28,"AAAAAH9jv68=")</f>
        <v>#VALUE!</v>
      </c>
      <c r="FU12" t="e">
        <f ca="1">IF(Récap!A:A,"AAAAAH9jv7A=",0)</f>
        <v>#VALUE!</v>
      </c>
      <c r="FV12" t="e">
        <f ca="1">IF(Récap!B:B,"AAAAAH9jv7E=",0)</f>
        <v>#VALUE!</v>
      </c>
      <c r="FW12" t="e">
        <f ca="1">IF(Récap!C:C,"AAAAAH9jv7I=",0)</f>
        <v>#VALUE!</v>
      </c>
      <c r="FX12" t="e">
        <f ca="1">IF(Récap!D:D,"AAAAAH9jv7M=",0)</f>
        <v>#VALUE!</v>
      </c>
      <c r="FY12" t="e">
        <f ca="1">IF(Récap!E:E,"AAAAAH9jv7Q=",0)</f>
        <v>#VALUE!</v>
      </c>
      <c r="FZ12">
        <f>IF(Récap!F:F,"AAAAAH9jv7U=",0)</f>
        <v>0</v>
      </c>
      <c r="GA12">
        <f>IF(Récap!G:G,"AAAAAH9jv7Y=",0)</f>
        <v>0</v>
      </c>
      <c r="GB12">
        <f>IF(Récap!H:H,"AAAAAH9jv7c=",0)</f>
        <v>0</v>
      </c>
      <c r="GC12">
        <f>IF(Récap!I:I,"AAAAAH9jv7g=",0)</f>
        <v>0</v>
      </c>
      <c r="GD12" t="s">
        <v>14</v>
      </c>
      <c r="GE12" t="e">
        <f>IF("N",modèle!_xlnm.Print_Area,"AAAAAH9jv7o=")</f>
        <v>#VALUE!</v>
      </c>
      <c r="GF12" t="e">
        <f>IF("N",[0]!_xlnm.Print_Area,"AAAAAH9jv7s=")</f>
        <v>#VALUE!</v>
      </c>
      <c r="GG12" t="e">
        <f>IF("N",[0]!_xlnm.Print_Area,"AAAAAH9jv7w=")</f>
        <v>#VALUE!</v>
      </c>
      <c r="GH12" t="e">
        <f>IF("N",[0]!_xlnm.Print_Area,"AAAAAH9jv70=")</f>
        <v>#VALUE!</v>
      </c>
      <c r="GI12" t="e">
        <f>IF("N",[0]!_xlnm.Print_Area,"AAAAAH9jv74=")</f>
        <v>#VALUE!</v>
      </c>
      <c r="GJ12" t="e">
        <f>IF("N",[0]!_xlnm.Print_Area,"AAAAAH9jv78=")</f>
        <v>#VALUE!</v>
      </c>
      <c r="GK12" t="e">
        <f>IF("N",[0]!_xlnm.Print_Area,"AAAAAH9jv8A=")</f>
        <v>#VALUE!</v>
      </c>
      <c r="GL12" t="e">
        <f>IF("N",[0]!_xlnm.Print_Area,"AAAAAH9jv8E=")</f>
        <v>#VALUE!</v>
      </c>
      <c r="GM12" t="e">
        <f>IF("N",[0]!_xlnm.Print_Area,"AAAAAH9jv8I=")</f>
        <v>#VALUE!</v>
      </c>
      <c r="GN12" t="e">
        <f>IF("N",[0]!_xlnm.Print_Area,"AAAAAH9jv8M=")</f>
        <v>#VALUE!</v>
      </c>
      <c r="GO12" t="e">
        <f>IF("N",[0]!_xlnm.Print_Area,"AAAAAH9jv8Q=")</f>
        <v>#VALUE!</v>
      </c>
      <c r="GP12" t="e">
        <f>IF("N",[0]!_xlnm.Print_Area,"AAAAAH9jv8U=")</f>
        <v>#VALUE!</v>
      </c>
      <c r="GQ12" t="e">
        <f>IF("N",[0]!_xlnm.Print_Area,"AAAAAH9jv8Y=")</f>
        <v>#VALUE!</v>
      </c>
      <c r="GR12" t="e">
        <f>IF("N",[0]!_xlnm.Print_Area,"AAAAAH9jv8c=")</f>
        <v>#VALUE!</v>
      </c>
      <c r="GS12" t="e">
        <f>IF("N",[0]!_xlnm.Print_Area,"AAAAAH9jv8g=")</f>
        <v>#VALUE!</v>
      </c>
      <c r="GT12" t="e">
        <f>IF("N",[0]!_xlnm.Print_Area,"AAAAAH9jv8k=")</f>
        <v>#VALUE!</v>
      </c>
      <c r="GU12" t="e">
        <f>IF("N",[0]!_xlnm.Print_Area,"AAAAAH9jv8o=")</f>
        <v>#VALUE!</v>
      </c>
      <c r="GV12" t="e">
        <f>IF("N",[0]!_xlnm.Print_Area,"AAAAAH9jv8s=")</f>
        <v>#VALUE!</v>
      </c>
      <c r="GW12" t="e">
        <f>IF("N",[0]!_xlnm.Print_Area,"AAAAAH9jv8w=")</f>
        <v>#VALUE!</v>
      </c>
      <c r="GX12" t="e">
        <f>IF("N",[0]!_xlnm.Print_Area,"AAAAAH9jv80=")</f>
        <v>#VALUE!</v>
      </c>
      <c r="GY12" t="e">
        <f>IF("N",[0]!_xlnm.Print_Area,"AAAAAH9jv84=")</f>
        <v>#VALUE!</v>
      </c>
      <c r="GZ12" t="e">
        <f>IF("N",[0]!_xlnm.Print_Area,"AAAAAH9jv88=")</f>
        <v>#VALUE!</v>
      </c>
      <c r="HA12" t="e">
        <f>IF("N",[0]!_xlnm.Print_Area,"AAAAAH9jv9A=")</f>
        <v>#VALUE!</v>
      </c>
      <c r="HB12" t="e">
        <f>IF("N",[0]!_xlnm.Print_Area,"AAAAAH9jv9E=")</f>
        <v>#VALUE!</v>
      </c>
    </row>
    <row r="13" spans="1:256">
      <c r="A13" t="e">
        <f>IF("N",modèle!_xlnm.Print_Area,"AAAAAC37zgA=")</f>
        <v>#VALUE!</v>
      </c>
      <c r="B13" t="e">
        <f>IF("N",[0]!_xlnm.Print_Area,"AAAAAC37zgE=")</f>
        <v>#VALUE!</v>
      </c>
      <c r="C13" t="e">
        <f>IF("N",[0]!_xlnm.Print_Area,"AAAAAC37zgI=")</f>
        <v>#VALUE!</v>
      </c>
      <c r="D13" t="e">
        <f>IF("N",[0]!_xlnm.Print_Area,"AAAAAC37zgM=")</f>
        <v>#VALUE!</v>
      </c>
      <c r="E13" t="e">
        <f>IF("N",[0]!_xlnm.Print_Area,"AAAAAC37zgQ=")</f>
        <v>#VALUE!</v>
      </c>
      <c r="F13" t="e">
        <f>IF("N",[0]!_xlnm.Print_Area,"AAAAAC37zgU=")</f>
        <v>#VALUE!</v>
      </c>
      <c r="G13" t="e">
        <f>IF("N",[0]!_xlnm.Print_Area,"AAAAAC37zgY=")</f>
        <v>#VALUE!</v>
      </c>
      <c r="H13" t="e">
        <f>IF("N",[0]!_xlnm.Print_Area,"AAAAAC37zgc=")</f>
        <v>#VALUE!</v>
      </c>
      <c r="I13" t="e">
        <f>IF("N",[0]!_xlnm.Print_Area,"AAAAAC37zgg=")</f>
        <v>#VALUE!</v>
      </c>
      <c r="J13" t="e">
        <f>IF("N",[0]!_xlnm.Print_Area,"AAAAAC37zgk=")</f>
        <v>#VALUE!</v>
      </c>
      <c r="K13" t="e">
        <f>IF("N",[0]!_xlnm.Print_Area,"AAAAAC37zgo=")</f>
        <v>#VALUE!</v>
      </c>
      <c r="L13" t="e">
        <f>IF("N",[0]!_xlnm.Print_Area,"AAAAAC37zgs=")</f>
        <v>#VALUE!</v>
      </c>
      <c r="M13" t="e">
        <f>IF("N",[0]!_xlnm.Print_Area,"AAAAAC37zgw=")</f>
        <v>#VALUE!</v>
      </c>
      <c r="N13" t="e">
        <f>IF("N",[0]!_xlnm.Print_Area,"AAAAAC37zg0=")</f>
        <v>#VALUE!</v>
      </c>
      <c r="O13" t="e">
        <f>IF("N",[0]!_xlnm.Print_Area,"AAAAAC37zg4=")</f>
        <v>#VALUE!</v>
      </c>
      <c r="P13" t="e">
        <f>IF("N",[0]!_xlnm.Print_Area,"AAAAAC37zg8=")</f>
        <v>#VALUE!</v>
      </c>
      <c r="Q13" t="e">
        <f>IF("N",[0]!_xlnm.Print_Area,"AAAAAC37zhA=")</f>
        <v>#VALUE!</v>
      </c>
      <c r="R13" t="e">
        <f>IF("N",[0]!_xlnm.Print_Area,"AAAAAC37zhE=")</f>
        <v>#VALUE!</v>
      </c>
      <c r="S13" t="e">
        <f>IF("N",[0]!_xlnm.Print_Area,"AAAAAC37zhI=")</f>
        <v>#VALUE!</v>
      </c>
      <c r="T13" t="e">
        <f>IF("N",[0]!_xlnm.Print_Area,"AAAAAC37zhM=")</f>
        <v>#VALUE!</v>
      </c>
      <c r="U13" t="e">
        <f>IF("N",[0]!_xlnm.Print_Area,"AAAAAC37zhQ=")</f>
        <v>#VALUE!</v>
      </c>
      <c r="V13" t="e">
        <f>IF("N",[0]!_xlnm.Print_Area,"AAAAAC37zhU=")</f>
        <v>#VALUE!</v>
      </c>
      <c r="W13" t="e">
        <f>IF("N",[0]!_xlnm.Print_Area,"AAAAAC37zhY=")</f>
        <v>#VALUE!</v>
      </c>
      <c r="X13" t="e">
        <f>IF("N",[0]!_xlnm.Print_Area,"AAAAAC37zhc=")</f>
        <v>#VALUE!</v>
      </c>
    </row>
    <row r="14" spans="1:256">
      <c r="A14" t="e">
        <f>IF("N",modèle!_xlnm.Print_Area,"AAAAAD3z/wA=")</f>
        <v>#VALUE!</v>
      </c>
      <c r="B14" t="e">
        <f>IF("N",[0]!_xlnm.Print_Area,"AAAAAD3z/wE=")</f>
        <v>#VALUE!</v>
      </c>
      <c r="C14" t="e">
        <f>IF("N",[0]!_xlnm.Print_Area,"AAAAAD3z/wI=")</f>
        <v>#VALUE!</v>
      </c>
      <c r="D14" t="e">
        <f>IF("N",[0]!_xlnm.Print_Area,"AAAAAD3z/wM=")</f>
        <v>#VALUE!</v>
      </c>
      <c r="E14" t="e">
        <f>IF("N",[0]!_xlnm.Print_Area,"AAAAAD3z/wQ=")</f>
        <v>#VALUE!</v>
      </c>
      <c r="F14" t="e">
        <f>IF("N",[0]!_xlnm.Print_Area,"AAAAAD3z/wU=")</f>
        <v>#VALUE!</v>
      </c>
      <c r="G14" t="e">
        <f>IF("N",[0]!_xlnm.Print_Area,"AAAAAD3z/wY=")</f>
        <v>#VALUE!</v>
      </c>
      <c r="H14" t="e">
        <f>IF("N",[0]!_xlnm.Print_Area,"AAAAAD3z/wc=")</f>
        <v>#VALUE!</v>
      </c>
      <c r="I14" t="e">
        <f>IF("N",[0]!_xlnm.Print_Area,"AAAAAD3z/wg=")</f>
        <v>#VALUE!</v>
      </c>
      <c r="J14" t="e">
        <f>IF("N",[0]!_xlnm.Print_Area,"AAAAAD3z/wk=")</f>
        <v>#VALUE!</v>
      </c>
      <c r="K14" t="e">
        <f>IF("N",[0]!_xlnm.Print_Area,"AAAAAD3z/wo=")</f>
        <v>#VALUE!</v>
      </c>
      <c r="L14" t="e">
        <f>IF("N",[0]!_xlnm.Print_Area,"AAAAAD3z/ws=")</f>
        <v>#VALUE!</v>
      </c>
      <c r="M14" t="e">
        <f>IF("N",[0]!_xlnm.Print_Area,"AAAAAD3z/ww=")</f>
        <v>#VALUE!</v>
      </c>
      <c r="N14" t="e">
        <f>IF("N",[0]!_xlnm.Print_Area,"AAAAAD3z/w0=")</f>
        <v>#VALUE!</v>
      </c>
      <c r="O14" t="e">
        <f>IF("N",[0]!_xlnm.Print_Area,"AAAAAD3z/w4=")</f>
        <v>#VALUE!</v>
      </c>
      <c r="P14" t="e">
        <f>IF("N",[0]!_xlnm.Print_Area,"AAAAAD3z/w8=")</f>
        <v>#VALUE!</v>
      </c>
      <c r="Q14" t="e">
        <f>IF("N",[0]!_xlnm.Print_Area,"AAAAAD3z/xA=")</f>
        <v>#VALUE!</v>
      </c>
      <c r="R14" t="e">
        <f>IF("N",[0]!_xlnm.Print_Area,"AAAAAD3z/xE=")</f>
        <v>#VALUE!</v>
      </c>
      <c r="S14" t="e">
        <f>IF("N",[0]!_xlnm.Print_Area,"AAAAAD3z/xI=")</f>
        <v>#VALUE!</v>
      </c>
      <c r="T14" t="e">
        <f>IF("N",[0]!_xlnm.Print_Area,"AAAAAD3z/xM=")</f>
        <v>#VALUE!</v>
      </c>
      <c r="U14" t="e">
        <f>IF("N",[0]!_xlnm.Print_Area,"AAAAAD3z/xQ=")</f>
        <v>#VALUE!</v>
      </c>
      <c r="V14" t="e">
        <f>IF("N",[0]!_xlnm.Print_Area,"AAAAAD3z/xU=")</f>
        <v>#VALUE!</v>
      </c>
      <c r="W14" t="e">
        <f>IF("N",[0]!_xlnm.Print_Area,"AAAAAD3z/xY=")</f>
        <v>#VALUE!</v>
      </c>
      <c r="X14" t="e">
        <f>IF("N",[0]!_xlnm.Print_Area,"AAAAAD3z/xc=")</f>
        <v>#VALUE!</v>
      </c>
    </row>
    <row r="15" spans="1:256">
      <c r="A15" t="e">
        <f>IF("N",modèle!_xlnm.Print_Area,"AAAAAH+58wA=")</f>
        <v>#VALUE!</v>
      </c>
      <c r="B15" t="e">
        <f>IF("N",[0]!_xlnm.Print_Area,"AAAAAH+58wE=")</f>
        <v>#VALUE!</v>
      </c>
      <c r="C15" t="e">
        <f>IF("N",[0]!_xlnm.Print_Area,"AAAAAH+58wI=")</f>
        <v>#VALUE!</v>
      </c>
      <c r="D15" t="e">
        <f>IF("N",[0]!_xlnm.Print_Area,"AAAAAH+58wM=")</f>
        <v>#VALUE!</v>
      </c>
      <c r="E15" t="e">
        <f>IF("N",[0]!_xlnm.Print_Area,"AAAAAH+58wQ=")</f>
        <v>#VALUE!</v>
      </c>
      <c r="F15" t="e">
        <f>IF("N",[0]!_xlnm.Print_Area,"AAAAAH+58wU=")</f>
        <v>#VALUE!</v>
      </c>
      <c r="G15" t="e">
        <f>IF("N",[0]!_xlnm.Print_Area,"AAAAAH+58wY=")</f>
        <v>#VALUE!</v>
      </c>
      <c r="H15" t="e">
        <f>IF("N",[0]!_xlnm.Print_Area,"AAAAAH+58wc=")</f>
        <v>#VALUE!</v>
      </c>
      <c r="I15" t="e">
        <f>IF("N",[0]!_xlnm.Print_Area,"AAAAAH+58wg=")</f>
        <v>#VALUE!</v>
      </c>
      <c r="J15" t="e">
        <f>IF("N",[0]!_xlnm.Print_Area,"AAAAAH+58wk=")</f>
        <v>#VALUE!</v>
      </c>
      <c r="K15" t="e">
        <f>IF("N",[0]!_xlnm.Print_Area,"AAAAAH+58wo=")</f>
        <v>#VALUE!</v>
      </c>
      <c r="L15" t="e">
        <f>IF("N",[0]!_xlnm.Print_Area,"AAAAAH+58ws=")</f>
        <v>#VALUE!</v>
      </c>
      <c r="M15" t="e">
        <f>IF("N",[0]!_xlnm.Print_Area,"AAAAAH+58ww=")</f>
        <v>#VALUE!</v>
      </c>
      <c r="N15" t="e">
        <f>IF("N",[0]!_xlnm.Print_Area,"AAAAAH+58w0=")</f>
        <v>#VALUE!</v>
      </c>
      <c r="O15" t="e">
        <f>IF("N",[0]!_xlnm.Print_Area,"AAAAAH+58w4=")</f>
        <v>#VALUE!</v>
      </c>
      <c r="P15" t="e">
        <f>IF("N",[0]!_xlnm.Print_Area,"AAAAAH+58w8=")</f>
        <v>#VALUE!</v>
      </c>
      <c r="Q15" t="e">
        <f>IF("N",[0]!_xlnm.Print_Area,"AAAAAH+58xA=")</f>
        <v>#VALUE!</v>
      </c>
      <c r="R15" t="e">
        <f>IF("N",[0]!_xlnm.Print_Area,"AAAAAH+58xE=")</f>
        <v>#VALUE!</v>
      </c>
      <c r="S15" t="e">
        <f>IF("N",[0]!_xlnm.Print_Area,"AAAAAH+58xI=")</f>
        <v>#VALUE!</v>
      </c>
      <c r="T15" t="e">
        <f>IF("N",[0]!_xlnm.Print_Area,"AAAAAH+58xM=")</f>
        <v>#VALUE!</v>
      </c>
      <c r="U15" t="e">
        <f>IF("N",[0]!_xlnm.Print_Area,"AAAAAH+58xQ=")</f>
        <v>#VALUE!</v>
      </c>
      <c r="V15" t="e">
        <f>IF("N",[0]!_xlnm.Print_Area,"AAAAAH+58xU=")</f>
        <v>#VALUE!</v>
      </c>
      <c r="W15" t="e">
        <f>IF("N",[0]!_xlnm.Print_Area,"AAAAAH+58xY=")</f>
        <v>#VALUE!</v>
      </c>
      <c r="X15" t="e">
        <f>IF("N",[0]!_xlnm.Print_Area,"AAAAAH+58xc=")</f>
        <v>#VALUE!</v>
      </c>
    </row>
    <row r="16" spans="1:256">
      <c r="A16" t="e">
        <f>IF("N",modèle!_xlnm.Print_Area,"AAAAAD7+6QA=")</f>
        <v>#VALUE!</v>
      </c>
      <c r="B16" t="e">
        <f>IF("N",[0]!_xlnm.Print_Area,"AAAAAD7+6QE=")</f>
        <v>#VALUE!</v>
      </c>
      <c r="C16" t="e">
        <f>IF("N",[0]!_xlnm.Print_Area,"AAAAAD7+6QI=")</f>
        <v>#VALUE!</v>
      </c>
      <c r="D16" t="e">
        <f>IF("N",[0]!_xlnm.Print_Area,"AAAAAD7+6QM=")</f>
        <v>#VALUE!</v>
      </c>
      <c r="E16" t="e">
        <f>IF("N",[0]!_xlnm.Print_Area,"AAAAAD7+6QQ=")</f>
        <v>#VALUE!</v>
      </c>
      <c r="F16" t="e">
        <f>IF("N",[0]!_xlnm.Print_Area,"AAAAAD7+6QU=")</f>
        <v>#VALUE!</v>
      </c>
      <c r="G16" t="e">
        <f>IF("N",[0]!_xlnm.Print_Area,"AAAAAD7+6QY=")</f>
        <v>#VALUE!</v>
      </c>
      <c r="H16" t="e">
        <f>IF("N",[0]!_xlnm.Print_Area,"AAAAAD7+6Qc=")</f>
        <v>#VALUE!</v>
      </c>
      <c r="I16" t="e">
        <f>IF("N",[0]!_xlnm.Print_Area,"AAAAAD7+6Qg=")</f>
        <v>#VALUE!</v>
      </c>
      <c r="J16" t="e">
        <f>IF("N",[0]!_xlnm.Print_Area,"AAAAAD7+6Qk=")</f>
        <v>#VALUE!</v>
      </c>
      <c r="K16" t="e">
        <f>IF("N",[0]!_xlnm.Print_Area,"AAAAAD7+6Qo=")</f>
        <v>#VALUE!</v>
      </c>
      <c r="L16" t="e">
        <f>IF("N",[0]!_xlnm.Print_Area,"AAAAAD7+6Qs=")</f>
        <v>#VALUE!</v>
      </c>
      <c r="M16" t="e">
        <f>IF("N",[0]!_xlnm.Print_Area,"AAAAAD7+6Qw=")</f>
        <v>#VALUE!</v>
      </c>
      <c r="N16" t="e">
        <f>IF("N",[0]!_xlnm.Print_Area,"AAAAAD7+6Q0=")</f>
        <v>#VALUE!</v>
      </c>
      <c r="O16" t="e">
        <f>IF("N",[0]!_xlnm.Print_Area,"AAAAAD7+6Q4=")</f>
        <v>#VALUE!</v>
      </c>
      <c r="P16" t="e">
        <f>IF("N",[0]!_xlnm.Print_Area,"AAAAAD7+6Q8=")</f>
        <v>#VALUE!</v>
      </c>
      <c r="Q16" t="e">
        <f>IF("N",[0]!_xlnm.Print_Area,"AAAAAD7+6RA=")</f>
        <v>#VALUE!</v>
      </c>
      <c r="R16" t="e">
        <f>IF("N",[0]!_xlnm.Print_Area,"AAAAAD7+6RE=")</f>
        <v>#VALUE!</v>
      </c>
      <c r="S16" t="e">
        <f>IF("N",[0]!_xlnm.Print_Area,"AAAAAD7+6RI=")</f>
        <v>#VALUE!</v>
      </c>
      <c r="T16" t="e">
        <f>IF("N",[0]!_xlnm.Print_Area,"AAAAAD7+6RM=")</f>
        <v>#VALUE!</v>
      </c>
      <c r="U16" t="e">
        <f>IF("N",[0]!_xlnm.Print_Area,"AAAAAD7+6RQ=")</f>
        <v>#VALUE!</v>
      </c>
      <c r="V16" t="e">
        <f>IF("N",[0]!_xlnm.Print_Area,"AAAAAD7+6RU=")</f>
        <v>#VALUE!</v>
      </c>
      <c r="W16" t="e">
        <f>IF("N",[0]!_xlnm.Print_Area,"AAAAAD7+6RY=")</f>
        <v>#VALUE!</v>
      </c>
      <c r="X16" t="e">
        <f>IF("N",[0]!_xlnm.Print_Area,"AAAAAD7+6Rc=")</f>
        <v>#VALUE!</v>
      </c>
    </row>
    <row r="17" spans="1:48">
      <c r="A17" t="e">
        <f>AND(#REF!,"AAAAAD799wA=")</f>
        <v>#REF!</v>
      </c>
      <c r="B17" t="e">
        <f>AND(#REF!,"AAAAAD799wE=")</f>
        <v>#REF!</v>
      </c>
      <c r="C17" t="e">
        <f>AND(#REF!,"AAAAAD799wI=")</f>
        <v>#REF!</v>
      </c>
      <c r="D17" t="e">
        <f>IF("N",modèle!_xlnm.Print_Area,"AAAAAD799wM=")</f>
        <v>#VALUE!</v>
      </c>
      <c r="E17" t="e">
        <f>IF("N",[0]!_xlnm.Print_Area,"AAAAAD799wQ=")</f>
        <v>#VALUE!</v>
      </c>
      <c r="F17" t="e">
        <f>IF("N",[0]!_xlnm.Print_Area,"AAAAAD799wU=")</f>
        <v>#VALUE!</v>
      </c>
      <c r="G17" t="e">
        <f>IF("N",[0]!_xlnm.Print_Area,"AAAAAD799wY=")</f>
        <v>#VALUE!</v>
      </c>
      <c r="H17" t="e">
        <f>IF("N",[0]!_xlnm.Print_Area,"AAAAAD799wc=")</f>
        <v>#VALUE!</v>
      </c>
      <c r="I17" t="e">
        <f>IF("N",[0]!_xlnm.Print_Area,"AAAAAD799wg=")</f>
        <v>#VALUE!</v>
      </c>
      <c r="J17" t="e">
        <f>IF("N",[0]!_xlnm.Print_Area,"AAAAAD799wk=")</f>
        <v>#VALUE!</v>
      </c>
      <c r="K17" t="e">
        <f>IF("N",[0]!_xlnm.Print_Area,"AAAAAD799wo=")</f>
        <v>#VALUE!</v>
      </c>
      <c r="L17" t="e">
        <f>IF("N",[0]!_xlnm.Print_Area,"AAAAAD799ws=")</f>
        <v>#VALUE!</v>
      </c>
      <c r="M17" t="e">
        <f>IF("N",[0]!_xlnm.Print_Area,"AAAAAD799ww=")</f>
        <v>#VALUE!</v>
      </c>
      <c r="N17" t="e">
        <f>IF("N",[0]!_xlnm.Print_Area,"AAAAAD799w0=")</f>
        <v>#VALUE!</v>
      </c>
      <c r="O17" t="e">
        <f>IF("N",[0]!_xlnm.Print_Area,"AAAAAD799w4=")</f>
        <v>#VALUE!</v>
      </c>
      <c r="P17" t="e">
        <f>IF("N",[0]!_xlnm.Print_Area,"AAAAAD799w8=")</f>
        <v>#VALUE!</v>
      </c>
      <c r="Q17" t="e">
        <f>IF("N",[0]!_xlnm.Print_Area,"AAAAAD799xA=")</f>
        <v>#VALUE!</v>
      </c>
      <c r="R17" t="e">
        <f>IF("N",[0]!_xlnm.Print_Area,"AAAAAD799xE=")</f>
        <v>#VALUE!</v>
      </c>
      <c r="S17" t="e">
        <f>IF("N",[0]!_xlnm.Print_Area,"AAAAAD799xI=")</f>
        <v>#VALUE!</v>
      </c>
      <c r="T17" t="e">
        <f>IF("N",[0]!_xlnm.Print_Area,"AAAAAD799xM=")</f>
        <v>#VALUE!</v>
      </c>
      <c r="U17" t="e">
        <f>IF("N",[0]!_xlnm.Print_Area,"AAAAAD799xQ=")</f>
        <v>#VALUE!</v>
      </c>
      <c r="V17" t="e">
        <f>IF("N",[0]!_xlnm.Print_Area,"AAAAAD799xU=")</f>
        <v>#VALUE!</v>
      </c>
      <c r="W17" t="e">
        <f>IF("N",[0]!_xlnm.Print_Area,"AAAAAD799xY=")</f>
        <v>#VALUE!</v>
      </c>
      <c r="X17" t="e">
        <f>IF("N",[0]!_xlnm.Print_Area,"AAAAAD799xc=")</f>
        <v>#VALUE!</v>
      </c>
      <c r="Y17" t="e">
        <f>IF("N",[0]!_xlnm.Print_Area,"AAAAAD799xg=")</f>
        <v>#VALUE!</v>
      </c>
      <c r="Z17" t="e">
        <f>IF("N",[0]!_xlnm.Print_Area,"AAAAAD799xk=")</f>
        <v>#VALUE!</v>
      </c>
      <c r="AA17" t="e">
        <f>IF("N",[0]!_xlnm.Print_Area,"AAAAAD799xo=")</f>
        <v>#VALUE!</v>
      </c>
    </row>
    <row r="18" spans="1:48">
      <c r="A18" t="e">
        <f>IF("N",modèle!_xlnm.Print_Area,"AAAAAH3//wA=")</f>
        <v>#VALUE!</v>
      </c>
      <c r="B18" t="e">
        <f>IF("N",[0]!_xlnm.Print_Area,"AAAAAH3//wE=")</f>
        <v>#VALUE!</v>
      </c>
      <c r="C18" t="e">
        <f>IF("N",[0]!_xlnm.Print_Area,"AAAAAH3//wI=")</f>
        <v>#VALUE!</v>
      </c>
      <c r="D18" t="e">
        <f>IF("N",[0]!_xlnm.Print_Area,"AAAAAH3//wM=")</f>
        <v>#VALUE!</v>
      </c>
      <c r="E18" t="e">
        <f>IF("N",[0]!_xlnm.Print_Area,"AAAAAH3//wQ=")</f>
        <v>#VALUE!</v>
      </c>
      <c r="F18" t="e">
        <f>IF("N",[0]!_xlnm.Print_Area,"AAAAAH3//wU=")</f>
        <v>#VALUE!</v>
      </c>
      <c r="G18" t="e">
        <f>IF("N",[0]!_xlnm.Print_Area,"AAAAAH3//wY=")</f>
        <v>#VALUE!</v>
      </c>
      <c r="H18" t="e">
        <f>IF("N",[0]!_xlnm.Print_Area,"AAAAAH3//wc=")</f>
        <v>#VALUE!</v>
      </c>
      <c r="I18" t="e">
        <f>IF("N",[0]!_xlnm.Print_Area,"AAAAAH3//wg=")</f>
        <v>#VALUE!</v>
      </c>
      <c r="J18" t="e">
        <f>IF("N",[0]!_xlnm.Print_Area,"AAAAAH3//wk=")</f>
        <v>#VALUE!</v>
      </c>
      <c r="K18" t="e">
        <f>IF("N",[0]!_xlnm.Print_Area,"AAAAAH3//wo=")</f>
        <v>#VALUE!</v>
      </c>
      <c r="L18" t="e">
        <f>IF("N",[0]!_xlnm.Print_Area,"AAAAAH3//ws=")</f>
        <v>#VALUE!</v>
      </c>
      <c r="M18" t="e">
        <f>IF("N",[0]!_xlnm.Print_Area,"AAAAAH3//ww=")</f>
        <v>#VALUE!</v>
      </c>
      <c r="N18" t="e">
        <f>IF("N",[0]!_xlnm.Print_Area,"AAAAAH3//w0=")</f>
        <v>#VALUE!</v>
      </c>
      <c r="O18" t="e">
        <f>IF("N",[0]!_xlnm.Print_Area,"AAAAAH3//w4=")</f>
        <v>#VALUE!</v>
      </c>
      <c r="P18" t="e">
        <f>IF("N",[0]!_xlnm.Print_Area,"AAAAAH3//w8=")</f>
        <v>#VALUE!</v>
      </c>
      <c r="Q18" t="e">
        <f>IF("N",[0]!_xlnm.Print_Area,"AAAAAH3//xA=")</f>
        <v>#VALUE!</v>
      </c>
      <c r="R18" t="e">
        <f>IF("N",[0]!_xlnm.Print_Area,"AAAAAH3//xE=")</f>
        <v>#VALUE!</v>
      </c>
      <c r="S18" t="e">
        <f>IF("N",[0]!_xlnm.Print_Area,"AAAAAH3//xI=")</f>
        <v>#VALUE!</v>
      </c>
      <c r="T18" t="e">
        <f>IF("N",[0]!_xlnm.Print_Area,"AAAAAH3//xM=")</f>
        <v>#VALUE!</v>
      </c>
      <c r="U18" t="e">
        <f>IF("N",[0]!_xlnm.Print_Area,"AAAAAH3//xQ=")</f>
        <v>#VALUE!</v>
      </c>
      <c r="V18" t="e">
        <f>IF("N",[0]!_xlnm.Print_Area,"AAAAAH3//xU=")</f>
        <v>#VALUE!</v>
      </c>
      <c r="W18" t="e">
        <f>IF("N",[0]!_xlnm.Print_Area,"AAAAAH3//xY=")</f>
        <v>#VALUE!</v>
      </c>
      <c r="X18" t="e">
        <f>IF("N",[0]!_xlnm.Print_Area,"AAAAAH3//xc=")</f>
        <v>#VALUE!</v>
      </c>
    </row>
    <row r="19" spans="1:48">
      <c r="A19" t="e">
        <f>IF("N",modèle!_xlnm.Print_Area,"AAAAAGjt8gA=")</f>
        <v>#VALUE!</v>
      </c>
      <c r="B19" t="e">
        <f>IF("N",[0]!_xlnm.Print_Area,"AAAAAGjt8gE=")</f>
        <v>#VALUE!</v>
      </c>
      <c r="C19" t="e">
        <f>IF("N",[0]!_xlnm.Print_Area,"AAAAAGjt8gI=")</f>
        <v>#VALUE!</v>
      </c>
      <c r="D19" t="e">
        <f>IF("N",[0]!_xlnm.Print_Area,"AAAAAGjt8gM=")</f>
        <v>#VALUE!</v>
      </c>
      <c r="E19" t="e">
        <f>IF("N",[0]!_xlnm.Print_Area,"AAAAAGjt8gQ=")</f>
        <v>#VALUE!</v>
      </c>
      <c r="F19" t="e">
        <f>IF("N",[0]!_xlnm.Print_Area,"AAAAAGjt8gU=")</f>
        <v>#VALUE!</v>
      </c>
      <c r="G19" t="e">
        <f>IF("N",[0]!_xlnm.Print_Area,"AAAAAGjt8gY=")</f>
        <v>#VALUE!</v>
      </c>
      <c r="H19" t="e">
        <f>IF("N",[0]!_xlnm.Print_Area,"AAAAAGjt8gc=")</f>
        <v>#VALUE!</v>
      </c>
      <c r="I19" t="e">
        <f>IF("N",[0]!_xlnm.Print_Area,"AAAAAGjt8gg=")</f>
        <v>#VALUE!</v>
      </c>
      <c r="J19" t="e">
        <f>IF("N",[0]!_xlnm.Print_Area,"AAAAAGjt8gk=")</f>
        <v>#VALUE!</v>
      </c>
      <c r="K19" t="e">
        <f>IF("N",[0]!_xlnm.Print_Area,"AAAAAGjt8go=")</f>
        <v>#VALUE!</v>
      </c>
      <c r="L19" t="e">
        <f>IF("N",[0]!_xlnm.Print_Area,"AAAAAGjt8gs=")</f>
        <v>#VALUE!</v>
      </c>
      <c r="M19" t="e">
        <f>IF("N",[0]!_xlnm.Print_Area,"AAAAAGjt8gw=")</f>
        <v>#VALUE!</v>
      </c>
      <c r="N19" t="e">
        <f>IF("N",[0]!_xlnm.Print_Area,"AAAAAGjt8g0=")</f>
        <v>#VALUE!</v>
      </c>
      <c r="O19" t="e">
        <f>IF("N",[0]!_xlnm.Print_Area,"AAAAAGjt8g4=")</f>
        <v>#VALUE!</v>
      </c>
      <c r="P19" t="e">
        <f>IF("N",[0]!_xlnm.Print_Area,"AAAAAGjt8g8=")</f>
        <v>#VALUE!</v>
      </c>
      <c r="Q19" t="e">
        <f>IF("N",[0]!_xlnm.Print_Area,"AAAAAGjt8hA=")</f>
        <v>#VALUE!</v>
      </c>
      <c r="R19" t="e">
        <f>IF("N",[0]!_xlnm.Print_Area,"AAAAAGjt8hE=")</f>
        <v>#VALUE!</v>
      </c>
      <c r="S19" t="e">
        <f>IF("N",[0]!_xlnm.Print_Area,"AAAAAGjt8hI=")</f>
        <v>#VALUE!</v>
      </c>
      <c r="T19" t="e">
        <f>IF("N",[0]!_xlnm.Print_Area,"AAAAAGjt8hM=")</f>
        <v>#VALUE!</v>
      </c>
      <c r="U19" t="e">
        <f>IF("N",[0]!_xlnm.Print_Area,"AAAAAGjt8hQ=")</f>
        <v>#VALUE!</v>
      </c>
      <c r="V19" t="e">
        <f>IF("N",[0]!_xlnm.Print_Area,"AAAAAGjt8hU=")</f>
        <v>#VALUE!</v>
      </c>
      <c r="W19" t="e">
        <f>IF("N",[0]!_xlnm.Print_Area,"AAAAAGjt8hY=")</f>
        <v>#VALUE!</v>
      </c>
      <c r="X19" t="e">
        <f>IF("N",[0]!_xlnm.Print_Area,"AAAAAGjt8hc=")</f>
        <v>#VALUE!</v>
      </c>
    </row>
    <row r="20" spans="1:48">
      <c r="A20" t="e">
        <f>IF("N",modèle!_xlnm.Print_Area,"AAAAACz+/gA=")</f>
        <v>#VALUE!</v>
      </c>
      <c r="B20" t="e">
        <f>IF("N",[0]!_xlnm.Print_Area,"AAAAACz+/gE=")</f>
        <v>#VALUE!</v>
      </c>
      <c r="C20" t="e">
        <f>IF("N",[0]!_xlnm.Print_Area,"AAAAACz+/gI=")</f>
        <v>#VALUE!</v>
      </c>
      <c r="D20" t="e">
        <f>IF("N",[0]!_xlnm.Print_Area,"AAAAACz+/gM=")</f>
        <v>#VALUE!</v>
      </c>
      <c r="E20" t="e">
        <f>IF("N",[0]!_xlnm.Print_Area,"AAAAACz+/gQ=")</f>
        <v>#VALUE!</v>
      </c>
      <c r="F20" t="e">
        <f>IF("N",[0]!_xlnm.Print_Area,"AAAAACz+/gU=")</f>
        <v>#VALUE!</v>
      </c>
      <c r="G20" t="e">
        <f>IF("N",[0]!_xlnm.Print_Area,"AAAAACz+/gY=")</f>
        <v>#VALUE!</v>
      </c>
      <c r="H20" t="e">
        <f>IF("N",[0]!_xlnm.Print_Area,"AAAAACz+/gc=")</f>
        <v>#VALUE!</v>
      </c>
      <c r="I20" t="e">
        <f>IF("N",[0]!_xlnm.Print_Area,"AAAAACz+/gg=")</f>
        <v>#VALUE!</v>
      </c>
      <c r="J20" t="e">
        <f>IF("N",[0]!_xlnm.Print_Area,"AAAAACz+/gk=")</f>
        <v>#VALUE!</v>
      </c>
      <c r="K20" t="e">
        <f>IF("N",[0]!_xlnm.Print_Area,"AAAAACz+/go=")</f>
        <v>#VALUE!</v>
      </c>
      <c r="L20" t="e">
        <f>IF("N",[0]!_xlnm.Print_Area,"AAAAACz+/gs=")</f>
        <v>#VALUE!</v>
      </c>
      <c r="M20" t="e">
        <f>IF("N",[0]!_xlnm.Print_Area,"AAAAACz+/gw=")</f>
        <v>#VALUE!</v>
      </c>
      <c r="N20" t="e">
        <f>IF("N",[0]!_xlnm.Print_Area,"AAAAACz+/g0=")</f>
        <v>#VALUE!</v>
      </c>
      <c r="O20" t="e">
        <f>IF("N",[0]!_xlnm.Print_Area,"AAAAACz+/g4=")</f>
        <v>#VALUE!</v>
      </c>
      <c r="P20" t="e">
        <f>IF("N",[0]!_xlnm.Print_Area,"AAAAACz+/g8=")</f>
        <v>#VALUE!</v>
      </c>
      <c r="Q20" t="e">
        <f>IF("N",[0]!_xlnm.Print_Area,"AAAAACz+/hA=")</f>
        <v>#VALUE!</v>
      </c>
      <c r="R20" t="e">
        <f>IF("N",[0]!_xlnm.Print_Area,"AAAAACz+/hE=")</f>
        <v>#VALUE!</v>
      </c>
      <c r="S20" t="e">
        <f>IF("N",[0]!_xlnm.Print_Area,"AAAAACz+/hI=")</f>
        <v>#VALUE!</v>
      </c>
      <c r="T20" t="e">
        <f>IF("N",[0]!_xlnm.Print_Area,"AAAAACz+/hM=")</f>
        <v>#VALUE!</v>
      </c>
      <c r="U20" t="e">
        <f>IF("N",[0]!_xlnm.Print_Area,"AAAAACz+/hQ=")</f>
        <v>#VALUE!</v>
      </c>
      <c r="V20" t="e">
        <f>IF("N",[0]!_xlnm.Print_Area,"AAAAACz+/hU=")</f>
        <v>#VALUE!</v>
      </c>
      <c r="W20" t="e">
        <f>IF("N",[0]!_xlnm.Print_Area,"AAAAACz+/hY=")</f>
        <v>#VALUE!</v>
      </c>
      <c r="X20" t="e">
        <f>IF("N",[0]!_xlnm.Print_Area,"AAAAACz+/hc=")</f>
        <v>#VALUE!</v>
      </c>
    </row>
    <row r="21" spans="1:48">
      <c r="A21" t="e">
        <f>IF("N",modèle!_xlnm.Print_Area,"AAAAAH+9/QA=")</f>
        <v>#VALUE!</v>
      </c>
      <c r="B21" t="e">
        <f>IF("N",[0]!_xlnm.Print_Area,"AAAAAH+9/QE=")</f>
        <v>#VALUE!</v>
      </c>
      <c r="C21" t="e">
        <f>IF("N",[0]!_xlnm.Print_Area,"AAAAAH+9/QI=")</f>
        <v>#VALUE!</v>
      </c>
      <c r="D21" t="e">
        <f>IF("N",[0]!_xlnm.Print_Area,"AAAAAH+9/QM=")</f>
        <v>#VALUE!</v>
      </c>
      <c r="E21" t="e">
        <f>IF("N",[0]!_xlnm.Print_Area,"AAAAAH+9/QQ=")</f>
        <v>#VALUE!</v>
      </c>
      <c r="F21" t="e">
        <f>IF("N",[0]!_xlnm.Print_Area,"AAAAAH+9/QU=")</f>
        <v>#VALUE!</v>
      </c>
      <c r="G21" t="e">
        <f>IF("N",[0]!_xlnm.Print_Area,"AAAAAH+9/QY=")</f>
        <v>#VALUE!</v>
      </c>
      <c r="H21" t="e">
        <f>IF("N",[0]!_xlnm.Print_Area,"AAAAAH+9/Qc=")</f>
        <v>#VALUE!</v>
      </c>
      <c r="I21" t="e">
        <f>IF("N",[0]!_xlnm.Print_Area,"AAAAAH+9/Qg=")</f>
        <v>#VALUE!</v>
      </c>
      <c r="J21" t="e">
        <f>IF("N",[0]!_xlnm.Print_Area,"AAAAAH+9/Qk=")</f>
        <v>#VALUE!</v>
      </c>
      <c r="K21" t="e">
        <f>IF("N",[0]!_xlnm.Print_Area,"AAAAAH+9/Qo=")</f>
        <v>#VALUE!</v>
      </c>
      <c r="L21" t="e">
        <f>IF("N",[0]!_xlnm.Print_Area,"AAAAAH+9/Qs=")</f>
        <v>#VALUE!</v>
      </c>
      <c r="M21" t="e">
        <f>IF("N",[0]!_xlnm.Print_Area,"AAAAAH+9/Qw=")</f>
        <v>#VALUE!</v>
      </c>
      <c r="N21" t="e">
        <f>IF("N",[0]!_xlnm.Print_Area,"AAAAAH+9/Q0=")</f>
        <v>#VALUE!</v>
      </c>
      <c r="O21" t="e">
        <f>IF("N",[0]!_xlnm.Print_Area,"AAAAAH+9/Q4=")</f>
        <v>#VALUE!</v>
      </c>
      <c r="P21" t="e">
        <f>IF("N",[0]!_xlnm.Print_Area,"AAAAAH+9/Q8=")</f>
        <v>#VALUE!</v>
      </c>
      <c r="Q21" t="e">
        <f>IF("N",[0]!_xlnm.Print_Area,"AAAAAH+9/RA=")</f>
        <v>#VALUE!</v>
      </c>
      <c r="R21" t="e">
        <f>IF("N",[0]!_xlnm.Print_Area,"AAAAAH+9/RE=")</f>
        <v>#VALUE!</v>
      </c>
      <c r="S21" t="e">
        <f>IF("N",[0]!_xlnm.Print_Area,"AAAAAH+9/RI=")</f>
        <v>#VALUE!</v>
      </c>
      <c r="T21" t="e">
        <f>IF("N",[0]!_xlnm.Print_Area,"AAAAAH+9/RM=")</f>
        <v>#VALUE!</v>
      </c>
      <c r="U21" t="e">
        <f>IF("N",[0]!_xlnm.Print_Area,"AAAAAH+9/RQ=")</f>
        <v>#VALUE!</v>
      </c>
      <c r="V21" t="e">
        <f>IF("N",[0]!_xlnm.Print_Area,"AAAAAH+9/RU=")</f>
        <v>#VALUE!</v>
      </c>
      <c r="W21" t="e">
        <f>IF("N",[0]!_xlnm.Print_Area,"AAAAAH+9/RY=")</f>
        <v>#VALUE!</v>
      </c>
      <c r="X21" t="e">
        <f>IF("N",[0]!_xlnm.Print_Area,"AAAAAH+9/Rc=")</f>
        <v>#VALUE!</v>
      </c>
    </row>
    <row r="22" spans="1:48">
      <c r="A22" t="e">
        <f>AND(#REF!,"AAAAAH/f/wA=")</f>
        <v>#REF!</v>
      </c>
      <c r="B22" t="e">
        <f>AND(#REF!,"AAAAAH/f/wE=")</f>
        <v>#REF!</v>
      </c>
      <c r="C22" t="e">
        <f>AND(#REF!,"AAAAAH/f/wI=")</f>
        <v>#REF!</v>
      </c>
      <c r="D22" t="e">
        <f>AND(#REF!,"AAAAAH/f/wM=")</f>
        <v>#REF!</v>
      </c>
      <c r="E22" t="e">
        <f>AND(#REF!,"AAAAAH/f/wQ=")</f>
        <v>#REF!</v>
      </c>
      <c r="F22" t="e">
        <f>AND(#REF!,"AAAAAH/f/wU=")</f>
        <v>#REF!</v>
      </c>
      <c r="G22" t="e">
        <f>AND(#REF!,"AAAAAH/f/wY=")</f>
        <v>#REF!</v>
      </c>
      <c r="H22" t="e">
        <f>AND(#REF!,"AAAAAH/f/wc=")</f>
        <v>#REF!</v>
      </c>
      <c r="I22" t="e">
        <f>AND(#REF!,"AAAAAH/f/wg=")</f>
        <v>#REF!</v>
      </c>
      <c r="J22" t="e">
        <f>AND(#REF!,"AAAAAH/f/wk=")</f>
        <v>#REF!</v>
      </c>
      <c r="K22" t="e">
        <f>AND(#REF!,"AAAAAH/f/wo=")</f>
        <v>#REF!</v>
      </c>
      <c r="L22" t="e">
        <f>AND(#REF!,"AAAAAH/f/ws=")</f>
        <v>#REF!</v>
      </c>
      <c r="M22" t="e">
        <f>AND(#REF!,"AAAAAH/f/ww=")</f>
        <v>#REF!</v>
      </c>
      <c r="N22" t="e">
        <f>AND(#REF!,"AAAAAH/f/w0=")</f>
        <v>#REF!</v>
      </c>
      <c r="O22" t="e">
        <f>AND(#REF!,"AAAAAH/f/w4=")</f>
        <v>#REF!</v>
      </c>
      <c r="P22" t="e">
        <f>AND(#REF!,"AAAAAH/f/w8=")</f>
        <v>#REF!</v>
      </c>
      <c r="Q22" t="e">
        <f>AND(#REF!,"AAAAAH/f/xA=")</f>
        <v>#REF!</v>
      </c>
      <c r="R22" t="e">
        <f>AND(#REF!,"AAAAAH/f/xE=")</f>
        <v>#REF!</v>
      </c>
      <c r="S22" t="e">
        <f>IF(#REF!,"AAAAAH/f/xI=",0)</f>
        <v>#REF!</v>
      </c>
      <c r="T22" t="e">
        <f>AND(#REF!,"AAAAAH/f/xM=")</f>
        <v>#REF!</v>
      </c>
      <c r="U22" t="e">
        <f>IF(#REF!,"AAAAAH/f/xQ=",0)</f>
        <v>#REF!</v>
      </c>
      <c r="V22" t="e">
        <f>AND(#REF!,"AAAAAH/f/xU=")</f>
        <v>#REF!</v>
      </c>
      <c r="W22" t="e">
        <f>IF(#REF!,"AAAAAH/f/xY=",0)</f>
        <v>#REF!</v>
      </c>
      <c r="X22" t="e">
        <f>AND(#REF!,"AAAAAH/f/xc=")</f>
        <v>#REF!</v>
      </c>
      <c r="Y22" t="e">
        <f>IF("N",modèle!_xlnm.Print_Area,"AAAAAH/f/xg=")</f>
        <v>#VALUE!</v>
      </c>
      <c r="Z22" t="e">
        <f>IF("N",[0]!_xlnm.Print_Area,"AAAAAH/f/xk=")</f>
        <v>#VALUE!</v>
      </c>
      <c r="AA22" t="e">
        <f>IF("N",[0]!_xlnm.Print_Area,"AAAAAH/f/xo=")</f>
        <v>#VALUE!</v>
      </c>
      <c r="AB22" t="e">
        <f>IF("N",[0]!_xlnm.Print_Area,"AAAAAH/f/xs=")</f>
        <v>#VALUE!</v>
      </c>
      <c r="AC22" t="e">
        <f>IF("N",[0]!_xlnm.Print_Area,"AAAAAH/f/xw=")</f>
        <v>#VALUE!</v>
      </c>
      <c r="AD22" t="e">
        <f>IF("N",[0]!_xlnm.Print_Area,"AAAAAH/f/x0=")</f>
        <v>#VALUE!</v>
      </c>
      <c r="AE22" t="e">
        <f>IF("N",[0]!_xlnm.Print_Area,"AAAAAH/f/x4=")</f>
        <v>#VALUE!</v>
      </c>
      <c r="AF22" t="e">
        <f>IF("N",[0]!_xlnm.Print_Area,"AAAAAH/f/x8=")</f>
        <v>#VALUE!</v>
      </c>
      <c r="AG22" t="e">
        <f>IF("N",[0]!_xlnm.Print_Area,"AAAAAH/f/yA=")</f>
        <v>#VALUE!</v>
      </c>
      <c r="AH22" t="e">
        <f>IF("N",[0]!_xlnm.Print_Area,"AAAAAH/f/yE=")</f>
        <v>#VALUE!</v>
      </c>
      <c r="AI22" t="e">
        <f>IF("N",[0]!_xlnm.Print_Area,"AAAAAH/f/yI=")</f>
        <v>#VALUE!</v>
      </c>
      <c r="AJ22" t="e">
        <f>IF("N",[0]!_xlnm.Print_Area,"AAAAAH/f/yM=")</f>
        <v>#VALUE!</v>
      </c>
      <c r="AK22" t="e">
        <f>IF("N",[0]!_xlnm.Print_Area,"AAAAAH/f/yQ=")</f>
        <v>#VALUE!</v>
      </c>
      <c r="AL22" t="e">
        <f>IF("N",[0]!_xlnm.Print_Area,"AAAAAH/f/yU=")</f>
        <v>#VALUE!</v>
      </c>
      <c r="AM22" t="e">
        <f>IF("N",[0]!_xlnm.Print_Area,"AAAAAH/f/yY=")</f>
        <v>#VALUE!</v>
      </c>
      <c r="AN22" t="e">
        <f>IF("N",[0]!_xlnm.Print_Area,"AAAAAH/f/yc=")</f>
        <v>#VALUE!</v>
      </c>
      <c r="AO22" t="e">
        <f>IF("N",[0]!_xlnm.Print_Area,"AAAAAH/f/yg=")</f>
        <v>#VALUE!</v>
      </c>
      <c r="AP22" t="e">
        <f>IF("N",[0]!_xlnm.Print_Area,"AAAAAH/f/yk=")</f>
        <v>#VALUE!</v>
      </c>
      <c r="AQ22" t="e">
        <f>IF("N",[0]!_xlnm.Print_Area,"AAAAAH/f/yo=")</f>
        <v>#VALUE!</v>
      </c>
      <c r="AR22" t="e">
        <f>IF("N",[0]!_xlnm.Print_Area,"AAAAAH/f/ys=")</f>
        <v>#VALUE!</v>
      </c>
      <c r="AS22" t="e">
        <f>IF("N",[0]!_xlnm.Print_Area,"AAAAAH/f/yw=")</f>
        <v>#VALUE!</v>
      </c>
      <c r="AT22" t="e">
        <f>IF("N",[0]!_xlnm.Print_Area,"AAAAAH/f/y0=")</f>
        <v>#VALUE!</v>
      </c>
      <c r="AU22" t="e">
        <f>IF("N",[0]!_xlnm.Print_Area,"AAAAAH/f/y4=")</f>
        <v>#VALUE!</v>
      </c>
      <c r="AV22" t="e">
        <f>IF("N",[0]!_xlnm.Print_Area,"AAAAAH/f/y8=")</f>
        <v>#VALUE!</v>
      </c>
    </row>
    <row r="23" spans="1:48">
      <c r="A23" t="e">
        <f>IF("N",modèle!_xlnm.Print_Area,"AAAAAHPPbgA=")</f>
        <v>#VALUE!</v>
      </c>
      <c r="B23" t="e">
        <f>IF("N",[0]!_xlnm.Print_Area,"AAAAAHPPbgE=")</f>
        <v>#VALUE!</v>
      </c>
      <c r="C23" t="e">
        <f>IF("N",[0]!_xlnm.Print_Area,"AAAAAHPPbgI=")</f>
        <v>#VALUE!</v>
      </c>
      <c r="D23" t="e">
        <f>IF("N",[0]!_xlnm.Print_Area,"AAAAAHPPbgM=")</f>
        <v>#VALUE!</v>
      </c>
      <c r="E23" t="e">
        <f>IF("N",[0]!_xlnm.Print_Area,"AAAAAHPPbgQ=")</f>
        <v>#VALUE!</v>
      </c>
      <c r="F23" t="e">
        <f>IF("N",[0]!_xlnm.Print_Area,"AAAAAHPPbgU=")</f>
        <v>#VALUE!</v>
      </c>
      <c r="G23" t="e">
        <f>IF("N",[0]!_xlnm.Print_Area,"AAAAAHPPbgY=")</f>
        <v>#VALUE!</v>
      </c>
      <c r="H23" t="e">
        <f>IF("N",[0]!_xlnm.Print_Area,"AAAAAHPPbgc=")</f>
        <v>#VALUE!</v>
      </c>
      <c r="I23" t="e">
        <f>IF("N",[0]!_xlnm.Print_Area,"AAAAAHPPbgg=")</f>
        <v>#VALUE!</v>
      </c>
      <c r="J23" t="e">
        <f>IF("N",[0]!_xlnm.Print_Area,"AAAAAHPPbgk=")</f>
        <v>#VALUE!</v>
      </c>
      <c r="K23" t="e">
        <f>IF("N",[0]!_xlnm.Print_Area,"AAAAAHPPbgo=")</f>
        <v>#VALUE!</v>
      </c>
      <c r="L23" t="e">
        <f>IF("N",[0]!_xlnm.Print_Area,"AAAAAHPPbgs=")</f>
        <v>#VALUE!</v>
      </c>
      <c r="M23" t="e">
        <f>IF("N",[0]!_xlnm.Print_Area,"AAAAAHPPbgw=")</f>
        <v>#VALUE!</v>
      </c>
      <c r="N23" t="e">
        <f>IF("N",[0]!_xlnm.Print_Area,"AAAAAHPPbg0=")</f>
        <v>#VALUE!</v>
      </c>
      <c r="O23" t="e">
        <f>IF("N",[0]!_xlnm.Print_Area,"AAAAAHPPbg4=")</f>
        <v>#VALUE!</v>
      </c>
      <c r="P23" t="e">
        <f>IF("N",[0]!_xlnm.Print_Area,"AAAAAHPPbg8=")</f>
        <v>#VALUE!</v>
      </c>
      <c r="Q23" t="e">
        <f>IF("N",[0]!_xlnm.Print_Area,"AAAAAHPPbhA=")</f>
        <v>#VALUE!</v>
      </c>
      <c r="R23" t="e">
        <f>IF("N",[0]!_xlnm.Print_Area,"AAAAAHPPbhE=")</f>
        <v>#VALUE!</v>
      </c>
      <c r="S23" t="e">
        <f>IF("N",[0]!_xlnm.Print_Area,"AAAAAHPPbhI=")</f>
        <v>#VALUE!</v>
      </c>
      <c r="T23" t="e">
        <f>IF("N",[0]!_xlnm.Print_Area,"AAAAAHPPbhM=")</f>
        <v>#VALUE!</v>
      </c>
      <c r="U23" t="e">
        <f>IF("N",[0]!_xlnm.Print_Area,"AAAAAHPPbhQ=")</f>
        <v>#VALUE!</v>
      </c>
      <c r="V23" t="e">
        <f>IF("N",[0]!_xlnm.Print_Area,"AAAAAHPPbhU=")</f>
        <v>#VALUE!</v>
      </c>
      <c r="W23" t="e">
        <f>IF("N",[0]!_xlnm.Print_Area,"AAAAAHPPbhY=")</f>
        <v>#VALUE!</v>
      </c>
      <c r="X23" t="e">
        <f>IF("N",[0]!_xlnm.Print_Area,"AAAAAHPPbhc=")</f>
        <v>#VALUE!</v>
      </c>
    </row>
    <row r="24" spans="1:48">
      <c r="A24" t="e">
        <f>IF("N",modèle!_xlnm.Print_Area,"AAAAAGz2PwA=")</f>
        <v>#VALUE!</v>
      </c>
      <c r="B24" t="e">
        <f>IF("N",[0]!_xlnm.Print_Area,"AAAAAGz2PwE=")</f>
        <v>#VALUE!</v>
      </c>
      <c r="C24" t="e">
        <f>IF("N",[0]!_xlnm.Print_Area,"AAAAAGz2PwI=")</f>
        <v>#VALUE!</v>
      </c>
      <c r="D24" t="e">
        <f>IF("N",[0]!_xlnm.Print_Area,"AAAAAGz2PwM=")</f>
        <v>#VALUE!</v>
      </c>
      <c r="E24" t="e">
        <f>IF("N",[0]!_xlnm.Print_Area,"AAAAAGz2PwQ=")</f>
        <v>#VALUE!</v>
      </c>
      <c r="F24" t="e">
        <f>IF("N",[0]!_xlnm.Print_Area,"AAAAAGz2PwU=")</f>
        <v>#VALUE!</v>
      </c>
      <c r="G24" t="e">
        <f>IF("N",[0]!_xlnm.Print_Area,"AAAAAGz2PwY=")</f>
        <v>#VALUE!</v>
      </c>
      <c r="H24" t="e">
        <f>IF("N",[0]!_xlnm.Print_Area,"AAAAAGz2Pwc=")</f>
        <v>#VALUE!</v>
      </c>
      <c r="I24" t="e">
        <f>IF("N",[0]!_xlnm.Print_Area,"AAAAAGz2Pwg=")</f>
        <v>#VALUE!</v>
      </c>
      <c r="J24" t="e">
        <f>IF("N",[0]!_xlnm.Print_Area,"AAAAAGz2Pwk=")</f>
        <v>#VALUE!</v>
      </c>
      <c r="K24" t="e">
        <f>IF("N",[0]!_xlnm.Print_Area,"AAAAAGz2Pwo=")</f>
        <v>#VALUE!</v>
      </c>
      <c r="L24" t="e">
        <f>IF("N",[0]!_xlnm.Print_Area,"AAAAAGz2Pws=")</f>
        <v>#VALUE!</v>
      </c>
      <c r="M24" t="e">
        <f>IF("N",[0]!_xlnm.Print_Area,"AAAAAGz2Pww=")</f>
        <v>#VALUE!</v>
      </c>
      <c r="N24" t="e">
        <f>IF("N",[0]!_xlnm.Print_Area,"AAAAAGz2Pw0=")</f>
        <v>#VALUE!</v>
      </c>
      <c r="O24" t="e">
        <f>IF("N",[0]!_xlnm.Print_Area,"AAAAAGz2Pw4=")</f>
        <v>#VALUE!</v>
      </c>
      <c r="P24" t="e">
        <f>IF("N",[0]!_xlnm.Print_Area,"AAAAAGz2Pw8=")</f>
        <v>#VALUE!</v>
      </c>
      <c r="Q24" t="e">
        <f>IF("N",[0]!_xlnm.Print_Area,"AAAAAGz2PxA=")</f>
        <v>#VALUE!</v>
      </c>
      <c r="R24" t="e">
        <f>IF("N",[0]!_xlnm.Print_Area,"AAAAAGz2PxE=")</f>
        <v>#VALUE!</v>
      </c>
      <c r="S24" t="e">
        <f>IF("N",[0]!_xlnm.Print_Area,"AAAAAGz2PxI=")</f>
        <v>#VALUE!</v>
      </c>
      <c r="T24" t="e">
        <f>IF("N",[0]!_xlnm.Print_Area,"AAAAAGz2PxM=")</f>
        <v>#VALUE!</v>
      </c>
      <c r="U24" t="e">
        <f>IF("N",[0]!_xlnm.Print_Area,"AAAAAGz2PxQ=")</f>
        <v>#VALUE!</v>
      </c>
      <c r="V24" t="e">
        <f>IF("N",[0]!_xlnm.Print_Area,"AAAAAGz2PxU=")</f>
        <v>#VALUE!</v>
      </c>
      <c r="W24" t="e">
        <f>IF("N",[0]!_xlnm.Print_Area,"AAAAAGz2PxY=")</f>
        <v>#VALUE!</v>
      </c>
      <c r="X24" t="e">
        <f>IF("N",[0]!_xlnm.Print_Area,"AAAAAGz2Pxc=")</f>
        <v>#VALUE!</v>
      </c>
    </row>
    <row r="25" spans="1:48">
      <c r="A25" t="e">
        <f>IF("N",modèle!_xlnm.Print_Area,"AAAAAHn3fQA=")</f>
        <v>#VALUE!</v>
      </c>
      <c r="B25" t="e">
        <f>IF("N",[0]!_xlnm.Print_Area,"AAAAAHn3fQE=")</f>
        <v>#VALUE!</v>
      </c>
      <c r="C25" t="e">
        <f>IF("N",[0]!_xlnm.Print_Area,"AAAAAHn3fQI=")</f>
        <v>#VALUE!</v>
      </c>
      <c r="D25" t="e">
        <f>IF("N",[0]!_xlnm.Print_Area,"AAAAAHn3fQM=")</f>
        <v>#VALUE!</v>
      </c>
      <c r="E25" t="e">
        <f>IF("N",[0]!_xlnm.Print_Area,"AAAAAHn3fQQ=")</f>
        <v>#VALUE!</v>
      </c>
      <c r="F25" t="e">
        <f>IF("N",[0]!_xlnm.Print_Area,"AAAAAHn3fQU=")</f>
        <v>#VALUE!</v>
      </c>
      <c r="G25" t="e">
        <f>IF("N",[0]!_xlnm.Print_Area,"AAAAAHn3fQY=")</f>
        <v>#VALUE!</v>
      </c>
      <c r="H25" t="e">
        <f>IF("N",[0]!_xlnm.Print_Area,"AAAAAHn3fQc=")</f>
        <v>#VALUE!</v>
      </c>
      <c r="I25" t="e">
        <f>IF("N",[0]!_xlnm.Print_Area,"AAAAAHn3fQg=")</f>
        <v>#VALUE!</v>
      </c>
      <c r="J25" t="e">
        <f>IF("N",[0]!_xlnm.Print_Area,"AAAAAHn3fQk=")</f>
        <v>#VALUE!</v>
      </c>
      <c r="K25" t="e">
        <f>IF("N",[0]!_xlnm.Print_Area,"AAAAAHn3fQo=")</f>
        <v>#VALUE!</v>
      </c>
      <c r="L25" t="e">
        <f>IF("N",[0]!_xlnm.Print_Area,"AAAAAHn3fQs=")</f>
        <v>#VALUE!</v>
      </c>
      <c r="M25" t="e">
        <f>IF("N",[0]!_xlnm.Print_Area,"AAAAAHn3fQw=")</f>
        <v>#VALUE!</v>
      </c>
      <c r="N25" t="e">
        <f>IF("N",[0]!_xlnm.Print_Area,"AAAAAHn3fQ0=")</f>
        <v>#VALUE!</v>
      </c>
      <c r="O25" t="e">
        <f>IF("N",[0]!_xlnm.Print_Area,"AAAAAHn3fQ4=")</f>
        <v>#VALUE!</v>
      </c>
      <c r="P25" t="e">
        <f>IF("N",[0]!_xlnm.Print_Area,"AAAAAHn3fQ8=")</f>
        <v>#VALUE!</v>
      </c>
      <c r="Q25" t="e">
        <f>IF("N",[0]!_xlnm.Print_Area,"AAAAAHn3fRA=")</f>
        <v>#VALUE!</v>
      </c>
      <c r="R25" t="e">
        <f>IF("N",[0]!_xlnm.Print_Area,"AAAAAHn3fRE=")</f>
        <v>#VALUE!</v>
      </c>
      <c r="S25" t="e">
        <f>IF("N",[0]!_xlnm.Print_Area,"AAAAAHn3fRI=")</f>
        <v>#VALUE!</v>
      </c>
      <c r="T25" t="e">
        <f>IF("N",[0]!_xlnm.Print_Area,"AAAAAHn3fRM=")</f>
        <v>#VALUE!</v>
      </c>
      <c r="U25" t="e">
        <f>IF("N",[0]!_xlnm.Print_Area,"AAAAAHn3fRQ=")</f>
        <v>#VALUE!</v>
      </c>
      <c r="V25" t="e">
        <f>IF("N",[0]!_xlnm.Print_Area,"AAAAAHn3fRU=")</f>
        <v>#VALUE!</v>
      </c>
      <c r="W25" t="e">
        <f>IF("N",[0]!_xlnm.Print_Area,"AAAAAHn3fRY=")</f>
        <v>#VALUE!</v>
      </c>
      <c r="X25" t="e">
        <f>IF("N",[0]!_xlnm.Print_Area,"AAAAAHn3fRc=")</f>
        <v>#VALUE!</v>
      </c>
    </row>
    <row r="26" spans="1:48">
      <c r="A26" t="e">
        <f>IF("N",modèle!_xlnm.Print_Area,"AAAAAH439gA=")</f>
        <v>#VALUE!</v>
      </c>
      <c r="B26" t="e">
        <f>IF("N",[0]!_xlnm.Print_Area,"AAAAAH439gE=")</f>
        <v>#VALUE!</v>
      </c>
      <c r="C26" t="e">
        <f>IF("N",[0]!_xlnm.Print_Area,"AAAAAH439gI=")</f>
        <v>#VALUE!</v>
      </c>
      <c r="D26" t="e">
        <f>IF("N",[0]!_xlnm.Print_Area,"AAAAAH439gM=")</f>
        <v>#VALUE!</v>
      </c>
      <c r="E26" t="e">
        <f>IF("N",[0]!_xlnm.Print_Area,"AAAAAH439gQ=")</f>
        <v>#VALUE!</v>
      </c>
      <c r="F26" t="e">
        <f>IF("N",[0]!_xlnm.Print_Area,"AAAAAH439gU=")</f>
        <v>#VALUE!</v>
      </c>
      <c r="G26" t="e">
        <f>IF("N",[0]!_xlnm.Print_Area,"AAAAAH439gY=")</f>
        <v>#VALUE!</v>
      </c>
      <c r="H26" t="e">
        <f>IF("N",[0]!_xlnm.Print_Area,"AAAAAH439gc=")</f>
        <v>#VALUE!</v>
      </c>
      <c r="I26" t="e">
        <f>IF("N",[0]!_xlnm.Print_Area,"AAAAAH439gg=")</f>
        <v>#VALUE!</v>
      </c>
      <c r="J26" t="e">
        <f>IF("N",[0]!_xlnm.Print_Area,"AAAAAH439gk=")</f>
        <v>#VALUE!</v>
      </c>
      <c r="K26" t="e">
        <f>IF("N",[0]!_xlnm.Print_Area,"AAAAAH439go=")</f>
        <v>#VALUE!</v>
      </c>
      <c r="L26" t="e">
        <f>IF("N",[0]!_xlnm.Print_Area,"AAAAAH439gs=")</f>
        <v>#VALUE!</v>
      </c>
      <c r="M26" t="e">
        <f>IF("N",[0]!_xlnm.Print_Area,"AAAAAH439gw=")</f>
        <v>#VALUE!</v>
      </c>
      <c r="N26" t="e">
        <f>IF("N",[0]!_xlnm.Print_Area,"AAAAAH439g0=")</f>
        <v>#VALUE!</v>
      </c>
      <c r="O26" t="e">
        <f>IF("N",[0]!_xlnm.Print_Area,"AAAAAH439g4=")</f>
        <v>#VALUE!</v>
      </c>
      <c r="P26" t="e">
        <f>IF("N",[0]!_xlnm.Print_Area,"AAAAAH439g8=")</f>
        <v>#VALUE!</v>
      </c>
      <c r="Q26" t="e">
        <f>IF("N",[0]!_xlnm.Print_Area,"AAAAAH439hA=")</f>
        <v>#VALUE!</v>
      </c>
      <c r="R26" t="e">
        <f>IF("N",[0]!_xlnm.Print_Area,"AAAAAH439hE=")</f>
        <v>#VALUE!</v>
      </c>
      <c r="S26" t="e">
        <f>IF("N",[0]!_xlnm.Print_Area,"AAAAAH439hI=")</f>
        <v>#VALUE!</v>
      </c>
      <c r="T26" t="e">
        <f>IF("N",[0]!_xlnm.Print_Area,"AAAAAH439hM=")</f>
        <v>#VALUE!</v>
      </c>
      <c r="U26" t="e">
        <f>IF("N",[0]!_xlnm.Print_Area,"AAAAAH439hQ=")</f>
        <v>#VALUE!</v>
      </c>
      <c r="V26" t="e">
        <f>IF("N",[0]!_xlnm.Print_Area,"AAAAAH439hU=")</f>
        <v>#VALUE!</v>
      </c>
      <c r="W26" t="e">
        <f>IF("N",[0]!_xlnm.Print_Area,"AAAAAH439hY=")</f>
        <v>#VALUE!</v>
      </c>
      <c r="X26" t="e">
        <f>IF("N",[0]!_xlnm.Print_Area,"AAAAAH439hc=")</f>
        <v>#VALUE!</v>
      </c>
    </row>
    <row r="27" spans="1:48">
      <c r="A27" t="e">
        <f>AND(#REF!,"AAAAAGP/9wA=")</f>
        <v>#REF!</v>
      </c>
      <c r="B27" t="e">
        <f>AND(#REF!,"AAAAAGP/9wE=")</f>
        <v>#REF!</v>
      </c>
      <c r="C27" t="e">
        <f>AND(#REF!,"AAAAAGP/9wI=")</f>
        <v>#REF!</v>
      </c>
      <c r="D27" t="e">
        <f>AND(#REF!,"AAAAAGP/9wM=")</f>
        <v>#REF!</v>
      </c>
      <c r="E27" t="e">
        <f>AND(#REF!,"AAAAAGP/9wQ=")</f>
        <v>#REF!</v>
      </c>
      <c r="F27" t="e">
        <f>AND(#REF!,"AAAAAGP/9wU=")</f>
        <v>#REF!</v>
      </c>
      <c r="G27" t="e">
        <f>AND(#REF!,"AAAAAGP/9wY=")</f>
        <v>#REF!</v>
      </c>
      <c r="H27" t="e">
        <f>AND(#REF!,"AAAAAGP/9wc=")</f>
        <v>#REF!</v>
      </c>
      <c r="I27" t="e">
        <f>AND(#REF!,"AAAAAGP/9wg=")</f>
        <v>#REF!</v>
      </c>
      <c r="J27" t="e">
        <f>AND(#REF!,"AAAAAGP/9wk=")</f>
        <v>#REF!</v>
      </c>
      <c r="K27" t="e">
        <f>AND(#REF!,"AAAAAGP/9wo=")</f>
        <v>#REF!</v>
      </c>
      <c r="L27" t="e">
        <f>AND(#REF!,"AAAAAGP/9ws=")</f>
        <v>#REF!</v>
      </c>
      <c r="M27" t="e">
        <f>AND(#REF!,"AAAAAGP/9ww=")</f>
        <v>#REF!</v>
      </c>
      <c r="N27" t="e">
        <f>AND(#REF!,"AAAAAGP/9w0=")</f>
        <v>#REF!</v>
      </c>
      <c r="O27" t="e">
        <f>AND(#REF!,"AAAAAGP/9w4=")</f>
        <v>#REF!</v>
      </c>
      <c r="P27" t="e">
        <f>AND(#REF!,"AAAAAGP/9w8=")</f>
        <v>#REF!</v>
      </c>
      <c r="Q27" t="e">
        <f>IF(#REF!,"AAAAAGP/9xA=",0)</f>
        <v>#REF!</v>
      </c>
      <c r="R27" t="e">
        <f>AND(#REF!,"AAAAAGP/9xE=")</f>
        <v>#REF!</v>
      </c>
      <c r="S27" t="e">
        <f>IF(#REF!,"AAAAAGP/9xI=",0)</f>
        <v>#REF!</v>
      </c>
      <c r="T27" t="e">
        <f>AND(#REF!,"AAAAAGP/9xM=")</f>
        <v>#REF!</v>
      </c>
      <c r="U27" t="e">
        <f>IF("N",modèle!_xlnm.Print_Area,"AAAAAGP/9xQ=")</f>
        <v>#VALUE!</v>
      </c>
      <c r="V27" t="e">
        <f>IF("N",[0]!_xlnm.Print_Area,"AAAAAGP/9xU=")</f>
        <v>#VALUE!</v>
      </c>
      <c r="W27" t="e">
        <f>IF("N",[0]!_xlnm.Print_Area,"AAAAAGP/9xY=")</f>
        <v>#VALUE!</v>
      </c>
      <c r="X27" t="e">
        <f>IF("N",[0]!_xlnm.Print_Area,"AAAAAGP/9xc=")</f>
        <v>#VALUE!</v>
      </c>
      <c r="Y27" t="e">
        <f>IF("N",[0]!_xlnm.Print_Area,"AAAAAGP/9xg=")</f>
        <v>#VALUE!</v>
      </c>
      <c r="Z27" t="e">
        <f>IF("N",[0]!_xlnm.Print_Area,"AAAAAGP/9xk=")</f>
        <v>#VALUE!</v>
      </c>
      <c r="AA27" t="e">
        <f>IF("N",[0]!_xlnm.Print_Area,"AAAAAGP/9xo=")</f>
        <v>#VALUE!</v>
      </c>
      <c r="AB27" t="e">
        <f>IF("N",[0]!_xlnm.Print_Area,"AAAAAGP/9xs=")</f>
        <v>#VALUE!</v>
      </c>
      <c r="AC27" t="e">
        <f>IF("N",[0]!_xlnm.Print_Area,"AAAAAGP/9xw=")</f>
        <v>#VALUE!</v>
      </c>
      <c r="AD27" t="e">
        <f>IF("N",[0]!_xlnm.Print_Area,"AAAAAGP/9x0=")</f>
        <v>#VALUE!</v>
      </c>
      <c r="AE27" t="e">
        <f>IF("N",[0]!_xlnm.Print_Area,"AAAAAGP/9x4=")</f>
        <v>#VALUE!</v>
      </c>
      <c r="AF27" t="e">
        <f>IF("N",[0]!_xlnm.Print_Area,"AAAAAGP/9x8=")</f>
        <v>#VALUE!</v>
      </c>
      <c r="AG27" t="e">
        <f>IF("N",[0]!_xlnm.Print_Area,"AAAAAGP/9yA=")</f>
        <v>#VALUE!</v>
      </c>
      <c r="AH27" t="e">
        <f>IF("N",[0]!_xlnm.Print_Area,"AAAAAGP/9yE=")</f>
        <v>#VALUE!</v>
      </c>
      <c r="AI27" t="e">
        <f>IF("N",[0]!_xlnm.Print_Area,"AAAAAGP/9yI=")</f>
        <v>#VALUE!</v>
      </c>
      <c r="AJ27" t="e">
        <f>IF("N",[0]!_xlnm.Print_Area,"AAAAAGP/9yM=")</f>
        <v>#VALUE!</v>
      </c>
      <c r="AK27" t="e">
        <f>IF("N",[0]!_xlnm.Print_Area,"AAAAAGP/9yQ=")</f>
        <v>#VALUE!</v>
      </c>
      <c r="AL27" t="e">
        <f>IF("N",[0]!_xlnm.Print_Area,"AAAAAGP/9yU=")</f>
        <v>#VALUE!</v>
      </c>
      <c r="AM27" t="e">
        <f>IF("N",[0]!_xlnm.Print_Area,"AAAAAGP/9yY=")</f>
        <v>#VALUE!</v>
      </c>
      <c r="AN27" t="e">
        <f>IF("N",[0]!_xlnm.Print_Area,"AAAAAGP/9yc=")</f>
        <v>#VALUE!</v>
      </c>
      <c r="AO27" t="e">
        <f>IF("N",[0]!_xlnm.Print_Area,"AAAAAGP/9yg=")</f>
        <v>#VALUE!</v>
      </c>
      <c r="AP27" t="e">
        <f>IF("N",[0]!_xlnm.Print_Area,"AAAAAGP/9yk=")</f>
        <v>#VALUE!</v>
      </c>
      <c r="AQ27" t="e">
        <f>IF("N",[0]!_xlnm.Print_Area,"AAAAAGP/9yo=")</f>
        <v>#VALUE!</v>
      </c>
      <c r="AR27" t="e">
        <f>IF("N",[0]!_xlnm.Print_Area,"AAAAAGP/9ys=")</f>
        <v>#VALUE!</v>
      </c>
    </row>
    <row r="28" spans="1:48">
      <c r="A28" t="e">
        <f>AND(#REF!,"AAAAAH/vvQA=")</f>
        <v>#REF!</v>
      </c>
      <c r="B28" t="e">
        <f>AND(#REF!,"AAAAAH/vvQE=")</f>
        <v>#REF!</v>
      </c>
      <c r="C28" t="e">
        <f>AND(#REF!,"AAAAAH/vvQI=")</f>
        <v>#REF!</v>
      </c>
      <c r="D28" t="e">
        <f>AND(#REF!,"AAAAAH/vvQM=")</f>
        <v>#REF!</v>
      </c>
      <c r="E28" t="e">
        <f>AND(#REF!,"AAAAAH/vvQQ=")</f>
        <v>#REF!</v>
      </c>
      <c r="F28" t="e">
        <f>AND(#REF!,"AAAAAH/vvQU=")</f>
        <v>#REF!</v>
      </c>
      <c r="G28" t="e">
        <f>AND(#REF!,"AAAAAH/vvQY=")</f>
        <v>#REF!</v>
      </c>
      <c r="H28" t="e">
        <f>AND(#REF!,"AAAAAH/vvQc=")</f>
        <v>#REF!</v>
      </c>
      <c r="I28" t="e">
        <f>AND(#REF!,"AAAAAH/vvQg=")</f>
        <v>#REF!</v>
      </c>
      <c r="J28" t="e">
        <f>AND(#REF!,"AAAAAH/vvQk=")</f>
        <v>#REF!</v>
      </c>
      <c r="K28" t="e">
        <f>AND(#REF!,"AAAAAH/vvQo=")</f>
        <v>#REF!</v>
      </c>
      <c r="L28" t="e">
        <f>AND(#REF!,"AAAAAH/vvQs=")</f>
        <v>#REF!</v>
      </c>
      <c r="M28" t="e">
        <f>AND(#REF!,"AAAAAH/vvQw=")</f>
        <v>#REF!</v>
      </c>
      <c r="N28" t="e">
        <f>AND(#REF!,"AAAAAH/vvQ0=")</f>
        <v>#REF!</v>
      </c>
      <c r="O28" t="e">
        <f>AND(#REF!,"AAAAAH/vvQ4=")</f>
        <v>#REF!</v>
      </c>
      <c r="P28" t="e">
        <f>AND(#REF!,"AAAAAH/vvQ8=")</f>
        <v>#REF!</v>
      </c>
      <c r="Q28" t="e">
        <f>IF(#REF!,"AAAAAH/vvRA=",0)</f>
        <v>#REF!</v>
      </c>
      <c r="R28" t="e">
        <f>AND(#REF!,"AAAAAH/vvRE=")</f>
        <v>#REF!</v>
      </c>
      <c r="S28" t="e">
        <f>IF("N",modèle!_xlnm.Print_Area,"AAAAAH/vvRI=")</f>
        <v>#VALUE!</v>
      </c>
      <c r="T28" t="e">
        <f>IF("N",[0]!_xlnm.Print_Area,"AAAAAH/vvRM=")</f>
        <v>#VALUE!</v>
      </c>
      <c r="U28" t="e">
        <f>IF("N",[0]!_xlnm.Print_Area,"AAAAAH/vvRQ=")</f>
        <v>#VALUE!</v>
      </c>
      <c r="V28" t="e">
        <f>IF("N",[0]!_xlnm.Print_Area,"AAAAAH/vvRU=")</f>
        <v>#VALUE!</v>
      </c>
      <c r="W28" t="e">
        <f>IF("N",[0]!_xlnm.Print_Area,"AAAAAH/vvRY=")</f>
        <v>#VALUE!</v>
      </c>
      <c r="X28" t="e">
        <f>IF("N",[0]!_xlnm.Print_Area,"AAAAAH/vvRc=")</f>
        <v>#VALUE!</v>
      </c>
      <c r="Y28" t="e">
        <f>IF("N",[0]!_xlnm.Print_Area,"AAAAAH/vvRg=")</f>
        <v>#VALUE!</v>
      </c>
      <c r="Z28" t="e">
        <f>IF("N",[0]!_xlnm.Print_Area,"AAAAAH/vvRk=")</f>
        <v>#VALUE!</v>
      </c>
      <c r="AA28" t="e">
        <f>IF("N",[0]!_xlnm.Print_Area,"AAAAAH/vvRo=")</f>
        <v>#VALUE!</v>
      </c>
      <c r="AB28" t="e">
        <f>IF("N",[0]!_xlnm.Print_Area,"AAAAAH/vvRs=")</f>
        <v>#VALUE!</v>
      </c>
      <c r="AC28" t="e">
        <f>IF("N",[0]!_xlnm.Print_Area,"AAAAAH/vvRw=")</f>
        <v>#VALUE!</v>
      </c>
      <c r="AD28" t="e">
        <f>IF("N",[0]!_xlnm.Print_Area,"AAAAAH/vvR0=")</f>
        <v>#VALUE!</v>
      </c>
      <c r="AE28" t="e">
        <f>IF("N",[0]!_xlnm.Print_Area,"AAAAAH/vvR4=")</f>
        <v>#VALUE!</v>
      </c>
      <c r="AF28" t="e">
        <f>IF("N",[0]!_xlnm.Print_Area,"AAAAAH/vvR8=")</f>
        <v>#VALUE!</v>
      </c>
      <c r="AG28" t="e">
        <f>IF("N",[0]!_xlnm.Print_Area,"AAAAAH/vvSA=")</f>
        <v>#VALUE!</v>
      </c>
      <c r="AH28" t="e">
        <f>IF("N",[0]!_xlnm.Print_Area,"AAAAAH/vvSE=")</f>
        <v>#VALUE!</v>
      </c>
      <c r="AI28" t="e">
        <f>IF("N",[0]!_xlnm.Print_Area,"AAAAAH/vvSI=")</f>
        <v>#VALUE!</v>
      </c>
      <c r="AJ28" t="e">
        <f>IF("N",[0]!_xlnm.Print_Area,"AAAAAH/vvSM=")</f>
        <v>#VALUE!</v>
      </c>
      <c r="AK28" t="e">
        <f>IF("N",[0]!_xlnm.Print_Area,"AAAAAH/vvSQ=")</f>
        <v>#VALUE!</v>
      </c>
      <c r="AL28" t="e">
        <f>IF("N",[0]!_xlnm.Print_Area,"AAAAAH/vvSU=")</f>
        <v>#VALUE!</v>
      </c>
      <c r="AM28" t="e">
        <f>IF("N",[0]!_xlnm.Print_Area,"AAAAAH/vvSY=")</f>
        <v>#VALUE!</v>
      </c>
      <c r="AN28" t="e">
        <f>IF("N",[0]!_xlnm.Print_Area,"AAAAAH/vvSc=")</f>
        <v>#VALUE!</v>
      </c>
      <c r="AO28" t="e">
        <f>IF("N",[0]!_xlnm.Print_Area,"AAAAAH/vvSg=")</f>
        <v>#VALUE!</v>
      </c>
      <c r="AP28" t="e">
        <f>IF("N",[0]!_xlnm.Print_Area,"AAAAAH/vvSk=")</f>
        <v>#VALUE!</v>
      </c>
    </row>
    <row r="29" spans="1:48">
      <c r="A29" t="e">
        <f>IF("N",modèle!_xlnm.Print_Area,"AAAAAH789AA=")</f>
        <v>#VALUE!</v>
      </c>
      <c r="B29" t="e">
        <f>IF("N",[0]!_xlnm.Print_Area,"AAAAAH789AE=")</f>
        <v>#VALUE!</v>
      </c>
      <c r="C29" t="e">
        <f>IF("N",[0]!_xlnm.Print_Area,"AAAAAH789AI=")</f>
        <v>#VALUE!</v>
      </c>
      <c r="D29" t="e">
        <f>IF("N",[0]!_xlnm.Print_Area,"AAAAAH789AM=")</f>
        <v>#VALUE!</v>
      </c>
      <c r="E29" t="e">
        <f>IF("N",[0]!_xlnm.Print_Area,"AAAAAH789AQ=")</f>
        <v>#VALUE!</v>
      </c>
      <c r="F29" t="e">
        <f>IF("N",[0]!_xlnm.Print_Area,"AAAAAH789AU=")</f>
        <v>#VALUE!</v>
      </c>
      <c r="G29" t="e">
        <f>IF("N",[0]!_xlnm.Print_Area,"AAAAAH789AY=")</f>
        <v>#VALUE!</v>
      </c>
      <c r="H29" t="e">
        <f>IF("N",[0]!_xlnm.Print_Area,"AAAAAH789Ac=")</f>
        <v>#VALUE!</v>
      </c>
      <c r="I29" t="e">
        <f>IF("N",[0]!_xlnm.Print_Area,"AAAAAH789Ag=")</f>
        <v>#VALUE!</v>
      </c>
      <c r="J29" t="e">
        <f>IF("N",[0]!_xlnm.Print_Area,"AAAAAH789Ak=")</f>
        <v>#VALUE!</v>
      </c>
      <c r="K29" t="e">
        <f>IF("N",[0]!_xlnm.Print_Area,"AAAAAH789Ao=")</f>
        <v>#VALUE!</v>
      </c>
      <c r="L29" t="e">
        <f>IF("N",[0]!_xlnm.Print_Area,"AAAAAH789As=")</f>
        <v>#VALUE!</v>
      </c>
      <c r="M29" t="e">
        <f>IF("N",[0]!_xlnm.Print_Area,"AAAAAH789Aw=")</f>
        <v>#VALUE!</v>
      </c>
      <c r="N29" t="e">
        <f>IF("N",[0]!_xlnm.Print_Area,"AAAAAH789A0=")</f>
        <v>#VALUE!</v>
      </c>
      <c r="O29" t="e">
        <f>IF("N",[0]!_xlnm.Print_Area,"AAAAAH789A4=")</f>
        <v>#VALUE!</v>
      </c>
      <c r="P29" t="e">
        <f>IF("N",[0]!_xlnm.Print_Area,"AAAAAH789A8=")</f>
        <v>#VALUE!</v>
      </c>
      <c r="Q29" t="e">
        <f>IF("N",[0]!_xlnm.Print_Area,"AAAAAH789BA=")</f>
        <v>#VALUE!</v>
      </c>
      <c r="R29" t="e">
        <f>IF("N",[0]!_xlnm.Print_Area,"AAAAAH789BE=")</f>
        <v>#VALUE!</v>
      </c>
      <c r="S29" t="e">
        <f>IF("N",[0]!_xlnm.Print_Area,"AAAAAH789BI=")</f>
        <v>#VALUE!</v>
      </c>
      <c r="T29" t="e">
        <f>IF("N",[0]!_xlnm.Print_Area,"AAAAAH789BM=")</f>
        <v>#VALUE!</v>
      </c>
      <c r="U29" t="e">
        <f>IF("N",[0]!_xlnm.Print_Area,"AAAAAH789BQ=")</f>
        <v>#VALUE!</v>
      </c>
      <c r="V29" t="e">
        <f>IF("N",[0]!_xlnm.Print_Area,"AAAAAH789BU=")</f>
        <v>#VALUE!</v>
      </c>
      <c r="W29" t="e">
        <f>IF("N",[0]!_xlnm.Print_Area,"AAAAAH789BY=")</f>
        <v>#VALUE!</v>
      </c>
      <c r="X29" t="e">
        <f>IF("N",[0]!_xlnm.Print_Area,"AAAAAH789Bc=")</f>
        <v>#VALUE!</v>
      </c>
    </row>
    <row r="30" spans="1:48">
      <c r="A30" t="e">
        <f>AND(#REF!,"AAAAAH/8/wA=")</f>
        <v>#REF!</v>
      </c>
      <c r="B30" t="e">
        <f>AND(#REF!,"AAAAAH/8/wE=")</f>
        <v>#REF!</v>
      </c>
      <c r="C30" t="e">
        <f>AND(#REF!,"AAAAAH/8/wI=")</f>
        <v>#REF!</v>
      </c>
      <c r="D30" t="e">
        <f>AND(#REF!,"AAAAAH/8/wM=")</f>
        <v>#REF!</v>
      </c>
      <c r="E30" t="e">
        <f>AND(#REF!,"AAAAAH/8/wQ=")</f>
        <v>#REF!</v>
      </c>
      <c r="F30" t="e">
        <f>AND(#REF!,"AAAAAH/8/wU=")</f>
        <v>#REF!</v>
      </c>
      <c r="G30" t="e">
        <f>AND(#REF!,"AAAAAH/8/wY=")</f>
        <v>#REF!</v>
      </c>
      <c r="H30" t="e">
        <f>AND(#REF!,"AAAAAH/8/wc=")</f>
        <v>#REF!</v>
      </c>
      <c r="I30" t="e">
        <f>AND(#REF!,"AAAAAH/8/wg=")</f>
        <v>#REF!</v>
      </c>
      <c r="J30" t="e">
        <f>AND(#REF!,"AAAAAH/8/wk=")</f>
        <v>#REF!</v>
      </c>
      <c r="K30" t="e">
        <f>AND(#REF!,"AAAAAH/8/wo=")</f>
        <v>#REF!</v>
      </c>
      <c r="L30" t="e">
        <f>AND(#REF!,"AAAAAH/8/ws=")</f>
        <v>#REF!</v>
      </c>
      <c r="M30" t="e">
        <f>AND(#REF!,"AAAAAH/8/ww=")</f>
        <v>#REF!</v>
      </c>
      <c r="N30" t="e">
        <f>AND(#REF!,"AAAAAH/8/w0=")</f>
        <v>#REF!</v>
      </c>
      <c r="O30" t="e">
        <f>AND(#REF!,"AAAAAH/8/w4=")</f>
        <v>#REF!</v>
      </c>
      <c r="P30" t="e">
        <f>AND(#REF!,"AAAAAH/8/w8=")</f>
        <v>#REF!</v>
      </c>
      <c r="Q30" t="e">
        <f>IF(#REF!,"AAAAAH/8/xA=",0)</f>
        <v>#REF!</v>
      </c>
      <c r="R30" t="e">
        <f>AND(#REF!,"AAAAAH/8/xE=")</f>
        <v>#REF!</v>
      </c>
      <c r="S30" t="e">
        <f>IF("N",modèle!_xlnm.Print_Area,"AAAAAH/8/xI=")</f>
        <v>#VALUE!</v>
      </c>
      <c r="T30" t="e">
        <f>IF("N",[0]!_xlnm.Print_Area,"AAAAAH/8/xM=")</f>
        <v>#VALUE!</v>
      </c>
      <c r="U30" t="e">
        <f>IF("N",[0]!_xlnm.Print_Area,"AAAAAH/8/xQ=")</f>
        <v>#VALUE!</v>
      </c>
      <c r="V30" t="e">
        <f>IF("N",[0]!_xlnm.Print_Area,"AAAAAH/8/xU=")</f>
        <v>#VALUE!</v>
      </c>
      <c r="W30" t="e">
        <f>IF("N",[0]!_xlnm.Print_Area,"AAAAAH/8/xY=")</f>
        <v>#VALUE!</v>
      </c>
      <c r="X30" t="e">
        <f>IF("N",[0]!_xlnm.Print_Area,"AAAAAH/8/xc=")</f>
        <v>#VALUE!</v>
      </c>
      <c r="Y30" t="e">
        <f>IF("N",[0]!_xlnm.Print_Area,"AAAAAH/8/xg=")</f>
        <v>#VALUE!</v>
      </c>
      <c r="Z30" t="e">
        <f>IF("N",[0]!_xlnm.Print_Area,"AAAAAH/8/xk=")</f>
        <v>#VALUE!</v>
      </c>
      <c r="AA30" t="e">
        <f>IF("N",[0]!_xlnm.Print_Area,"AAAAAH/8/xo=")</f>
        <v>#VALUE!</v>
      </c>
      <c r="AB30" t="e">
        <f>IF("N",[0]!_xlnm.Print_Area,"AAAAAH/8/xs=")</f>
        <v>#VALUE!</v>
      </c>
      <c r="AC30" t="e">
        <f>IF("N",[0]!_xlnm.Print_Area,"AAAAAH/8/xw=")</f>
        <v>#VALUE!</v>
      </c>
      <c r="AD30" t="e">
        <f>IF("N",[0]!_xlnm.Print_Area,"AAAAAH/8/x0=")</f>
        <v>#VALUE!</v>
      </c>
      <c r="AE30" t="e">
        <f>IF("N",[0]!_xlnm.Print_Area,"AAAAAH/8/x4=")</f>
        <v>#VALUE!</v>
      </c>
      <c r="AF30" t="e">
        <f>IF("N",[0]!_xlnm.Print_Area,"AAAAAH/8/x8=")</f>
        <v>#VALUE!</v>
      </c>
      <c r="AG30" t="e">
        <f>IF("N",[0]!_xlnm.Print_Area,"AAAAAH/8/yA=")</f>
        <v>#VALUE!</v>
      </c>
      <c r="AH30" t="e">
        <f>IF("N",[0]!_xlnm.Print_Area,"AAAAAH/8/yE=")</f>
        <v>#VALUE!</v>
      </c>
      <c r="AI30" t="e">
        <f>IF("N",[0]!_xlnm.Print_Area,"AAAAAH/8/yI=")</f>
        <v>#VALUE!</v>
      </c>
      <c r="AJ30" t="e">
        <f>IF("N",[0]!_xlnm.Print_Area,"AAAAAH/8/yM=")</f>
        <v>#VALUE!</v>
      </c>
      <c r="AK30" t="e">
        <f>IF("N",[0]!_xlnm.Print_Area,"AAAAAH/8/yQ=")</f>
        <v>#VALUE!</v>
      </c>
      <c r="AL30" t="e">
        <f>IF("N",[0]!_xlnm.Print_Area,"AAAAAH/8/yU=")</f>
        <v>#VALUE!</v>
      </c>
      <c r="AM30" t="e">
        <f>IF("N",[0]!_xlnm.Print_Area,"AAAAAH/8/yY=")</f>
        <v>#VALUE!</v>
      </c>
      <c r="AN30" t="e">
        <f>IF("N",[0]!_xlnm.Print_Area,"AAAAAH/8/yc=")</f>
        <v>#VALUE!</v>
      </c>
      <c r="AO30" t="e">
        <f>IF("N",[0]!_xlnm.Print_Area,"AAAAAH/8/yg=")</f>
        <v>#VALUE!</v>
      </c>
      <c r="AP30" t="e">
        <f>IF("N",[0]!_xlnm.Print_Area,"AAAAAH/8/yk=")</f>
        <v>#VALUE!</v>
      </c>
    </row>
    <row r="31" spans="1:48">
      <c r="A31" t="e">
        <f>IF(#REF!,"AAAAAH/DvQA=",0)</f>
        <v>#REF!</v>
      </c>
      <c r="B31" t="e">
        <f>AND(#REF!,"AAAAAH/DvQE=")</f>
        <v>#REF!</v>
      </c>
      <c r="C31" t="e">
        <f>IF("N",modèle!_xlnm.Print_Area,"AAAAAH/DvQI=")</f>
        <v>#VALUE!</v>
      </c>
      <c r="D31" t="e">
        <f>IF("N",[0]!_xlnm.Print_Area,"AAAAAH/DvQM=")</f>
        <v>#VALUE!</v>
      </c>
      <c r="E31" t="e">
        <f>IF("N",[0]!_xlnm.Print_Area,"AAAAAH/DvQQ=")</f>
        <v>#VALUE!</v>
      </c>
      <c r="F31" t="e">
        <f>IF("N",[0]!_xlnm.Print_Area,"AAAAAH/DvQU=")</f>
        <v>#VALUE!</v>
      </c>
      <c r="G31" t="e">
        <f>IF("N",[0]!_xlnm.Print_Area,"AAAAAH/DvQY=")</f>
        <v>#VALUE!</v>
      </c>
      <c r="H31" t="e">
        <f>IF("N",[0]!_xlnm.Print_Area,"AAAAAH/DvQc=")</f>
        <v>#VALUE!</v>
      </c>
      <c r="I31" t="e">
        <f>IF("N",[0]!_xlnm.Print_Area,"AAAAAH/DvQg=")</f>
        <v>#VALUE!</v>
      </c>
      <c r="J31" t="e">
        <f>IF("N",[0]!_xlnm.Print_Area,"AAAAAH/DvQk=")</f>
        <v>#VALUE!</v>
      </c>
      <c r="K31" t="e">
        <f>IF("N",[0]!_xlnm.Print_Area,"AAAAAH/DvQo=")</f>
        <v>#VALUE!</v>
      </c>
      <c r="L31" t="e">
        <f>IF("N",[0]!_xlnm.Print_Area,"AAAAAH/DvQs=")</f>
        <v>#VALUE!</v>
      </c>
      <c r="M31" t="e">
        <f>IF("N",[0]!_xlnm.Print_Area,"AAAAAH/DvQw=")</f>
        <v>#VALUE!</v>
      </c>
      <c r="N31" t="e">
        <f>IF("N",[0]!_xlnm.Print_Area,"AAAAAH/DvQ0=")</f>
        <v>#VALUE!</v>
      </c>
      <c r="O31" t="e">
        <f>IF("N",[0]!_xlnm.Print_Area,"AAAAAH/DvQ4=")</f>
        <v>#VALUE!</v>
      </c>
      <c r="P31" t="e">
        <f>IF("N",[0]!_xlnm.Print_Area,"AAAAAH/DvQ8=")</f>
        <v>#VALUE!</v>
      </c>
      <c r="Q31" t="e">
        <f>IF("N",[0]!_xlnm.Print_Area,"AAAAAH/DvRA=")</f>
        <v>#VALUE!</v>
      </c>
      <c r="R31" t="e">
        <f>IF("N",[0]!_xlnm.Print_Area,"AAAAAH/DvRE=")</f>
        <v>#VALUE!</v>
      </c>
      <c r="S31" t="e">
        <f>IF("N",[0]!_xlnm.Print_Area,"AAAAAH/DvRI=")</f>
        <v>#VALUE!</v>
      </c>
      <c r="T31" t="e">
        <f>IF("N",[0]!_xlnm.Print_Area,"AAAAAH/DvRM=")</f>
        <v>#VALUE!</v>
      </c>
      <c r="U31" t="e">
        <f>IF("N",[0]!_xlnm.Print_Area,"AAAAAH/DvRQ=")</f>
        <v>#VALUE!</v>
      </c>
      <c r="V31" t="e">
        <f>IF("N",[0]!_xlnm.Print_Area,"AAAAAH/DvRU=")</f>
        <v>#VALUE!</v>
      </c>
      <c r="W31" t="e">
        <f>IF("N",[0]!_xlnm.Print_Area,"AAAAAH/DvRY=")</f>
        <v>#VALUE!</v>
      </c>
      <c r="X31" t="e">
        <f>IF("N",[0]!_xlnm.Print_Area,"AAAAAH/DvRc=")</f>
        <v>#VALUE!</v>
      </c>
      <c r="Y31" t="e">
        <f>IF("N",[0]!_xlnm.Print_Area,"AAAAAH/DvRg=")</f>
        <v>#VALUE!</v>
      </c>
      <c r="Z31" t="e">
        <f>IF("N",[0]!_xlnm.Print_Area,"AAAAAH/DvRk=")</f>
        <v>#VALUE!</v>
      </c>
    </row>
    <row r="32" spans="1:48">
      <c r="A32" t="e">
        <f>IF(#REF!,"AAAAAGfv/gA=",0)</f>
        <v>#REF!</v>
      </c>
      <c r="B32" t="e">
        <f>AND(#REF!,"AAAAAGfv/gE=")</f>
        <v>#REF!</v>
      </c>
      <c r="C32" t="e">
        <f>IF("N",modèle!_xlnm.Print_Area,"AAAAAGfv/gI=")</f>
        <v>#VALUE!</v>
      </c>
      <c r="D32" t="e">
        <f>IF("N",[0]!_xlnm.Print_Area,"AAAAAGfv/gM=")</f>
        <v>#VALUE!</v>
      </c>
      <c r="E32" t="e">
        <f>IF("N",[0]!_xlnm.Print_Area,"AAAAAGfv/gQ=")</f>
        <v>#VALUE!</v>
      </c>
      <c r="F32" t="e">
        <f>IF("N",[0]!_xlnm.Print_Area,"AAAAAGfv/gU=")</f>
        <v>#VALUE!</v>
      </c>
      <c r="G32" t="e">
        <f>IF("N",[0]!_xlnm.Print_Area,"AAAAAGfv/gY=")</f>
        <v>#VALUE!</v>
      </c>
      <c r="H32" t="e">
        <f>IF("N",[0]!_xlnm.Print_Area,"AAAAAGfv/gc=")</f>
        <v>#VALUE!</v>
      </c>
      <c r="I32" t="e">
        <f>IF("N",[0]!_xlnm.Print_Area,"AAAAAGfv/gg=")</f>
        <v>#VALUE!</v>
      </c>
      <c r="J32" t="e">
        <f>IF("N",[0]!_xlnm.Print_Area,"AAAAAGfv/gk=")</f>
        <v>#VALUE!</v>
      </c>
      <c r="K32" t="e">
        <f>IF("N",[0]!_xlnm.Print_Area,"AAAAAGfv/go=")</f>
        <v>#VALUE!</v>
      </c>
      <c r="L32" t="e">
        <f>IF("N",[0]!_xlnm.Print_Area,"AAAAAGfv/gs=")</f>
        <v>#VALUE!</v>
      </c>
      <c r="M32" t="e">
        <f>IF("N",[0]!_xlnm.Print_Area,"AAAAAGfv/gw=")</f>
        <v>#VALUE!</v>
      </c>
      <c r="N32" t="e">
        <f>IF("N",[0]!_xlnm.Print_Area,"AAAAAGfv/g0=")</f>
        <v>#VALUE!</v>
      </c>
      <c r="O32" t="e">
        <f>IF("N",[0]!_xlnm.Print_Area,"AAAAAGfv/g4=")</f>
        <v>#VALUE!</v>
      </c>
      <c r="P32" t="e">
        <f>IF("N",[0]!_xlnm.Print_Area,"AAAAAGfv/g8=")</f>
        <v>#VALUE!</v>
      </c>
      <c r="Q32" t="e">
        <f>IF("N",[0]!_xlnm.Print_Area,"AAAAAGfv/hA=")</f>
        <v>#VALUE!</v>
      </c>
      <c r="R32" t="e">
        <f>IF("N",[0]!_xlnm.Print_Area,"AAAAAGfv/hE=")</f>
        <v>#VALUE!</v>
      </c>
      <c r="S32" t="e">
        <f>IF("N",[0]!_xlnm.Print_Area,"AAAAAGfv/hI=")</f>
        <v>#VALUE!</v>
      </c>
      <c r="T32" t="e">
        <f>IF("N",[0]!_xlnm.Print_Area,"AAAAAGfv/hM=")</f>
        <v>#VALUE!</v>
      </c>
      <c r="U32" t="e">
        <f>IF("N",[0]!_xlnm.Print_Area,"AAAAAGfv/hQ=")</f>
        <v>#VALUE!</v>
      </c>
      <c r="V32" t="e">
        <f>IF("N",[0]!_xlnm.Print_Area,"AAAAAGfv/hU=")</f>
        <v>#VALUE!</v>
      </c>
      <c r="W32" t="e">
        <f>IF("N",[0]!_xlnm.Print_Area,"AAAAAGfv/hY=")</f>
        <v>#VALUE!</v>
      </c>
      <c r="X32" t="e">
        <f>IF("N",[0]!_xlnm.Print_Area,"AAAAAGfv/hc=")</f>
        <v>#VALUE!</v>
      </c>
      <c r="Y32" t="e">
        <f>IF("N",[0]!_xlnm.Print_Area,"AAAAAGfv/hg=")</f>
        <v>#VALUE!</v>
      </c>
      <c r="Z32" t="e">
        <f>IF("N",[0]!_xlnm.Print_Area,"AAAAAGfv/hk=")</f>
        <v>#VALUE!</v>
      </c>
    </row>
    <row r="33" spans="1:44">
      <c r="A33" t="e">
        <f>IF("N",modèle!_xlnm.Print_Area,"AAAAAG9jPQA=")</f>
        <v>#VALUE!</v>
      </c>
      <c r="B33" t="e">
        <f>IF("N",[0]!_xlnm.Print_Area,"AAAAAG9jPQE=")</f>
        <v>#VALUE!</v>
      </c>
      <c r="C33" t="e">
        <f>IF("N",[0]!_xlnm.Print_Area,"AAAAAG9jPQI=")</f>
        <v>#VALUE!</v>
      </c>
      <c r="D33" t="e">
        <f>IF("N",[0]!_xlnm.Print_Area,"AAAAAG9jPQM=")</f>
        <v>#VALUE!</v>
      </c>
      <c r="E33" t="e">
        <f>IF("N",[0]!_xlnm.Print_Area,"AAAAAG9jPQQ=")</f>
        <v>#VALUE!</v>
      </c>
      <c r="F33" t="e">
        <f>IF("N",[0]!_xlnm.Print_Area,"AAAAAG9jPQU=")</f>
        <v>#VALUE!</v>
      </c>
      <c r="G33" t="e">
        <f>IF("N",[0]!_xlnm.Print_Area,"AAAAAG9jPQY=")</f>
        <v>#VALUE!</v>
      </c>
      <c r="H33" t="e">
        <f>IF("N",[0]!_xlnm.Print_Area,"AAAAAG9jPQc=")</f>
        <v>#VALUE!</v>
      </c>
      <c r="I33" t="e">
        <f>IF("N",[0]!_xlnm.Print_Area,"AAAAAG9jPQg=")</f>
        <v>#VALUE!</v>
      </c>
      <c r="J33" t="e">
        <f>IF("N",[0]!_xlnm.Print_Area,"AAAAAG9jPQk=")</f>
        <v>#VALUE!</v>
      </c>
      <c r="K33" t="e">
        <f>IF("N",[0]!_xlnm.Print_Area,"AAAAAG9jPQo=")</f>
        <v>#VALUE!</v>
      </c>
      <c r="L33" t="e">
        <f>IF("N",[0]!_xlnm.Print_Area,"AAAAAG9jPQs=")</f>
        <v>#VALUE!</v>
      </c>
      <c r="M33" t="e">
        <f>IF("N",[0]!_xlnm.Print_Area,"AAAAAG9jPQw=")</f>
        <v>#VALUE!</v>
      </c>
      <c r="N33" t="e">
        <f>IF("N",[0]!_xlnm.Print_Area,"AAAAAG9jPQ0=")</f>
        <v>#VALUE!</v>
      </c>
      <c r="O33" t="e">
        <f>IF("N",[0]!_xlnm.Print_Area,"AAAAAG9jPQ4=")</f>
        <v>#VALUE!</v>
      </c>
      <c r="P33" t="e">
        <f>IF("N",[0]!_xlnm.Print_Area,"AAAAAG9jPQ8=")</f>
        <v>#VALUE!</v>
      </c>
      <c r="Q33" t="e">
        <f>IF("N",[0]!_xlnm.Print_Area,"AAAAAG9jPRA=")</f>
        <v>#VALUE!</v>
      </c>
      <c r="R33" t="e">
        <f>IF("N",[0]!_xlnm.Print_Area,"AAAAAG9jPRE=")</f>
        <v>#VALUE!</v>
      </c>
      <c r="S33" t="e">
        <f>IF("N",[0]!_xlnm.Print_Area,"AAAAAG9jPRI=")</f>
        <v>#VALUE!</v>
      </c>
      <c r="T33" t="e">
        <f>IF("N",[0]!_xlnm.Print_Area,"AAAAAG9jPRM=")</f>
        <v>#VALUE!</v>
      </c>
      <c r="U33" t="e">
        <f>IF("N",[0]!_xlnm.Print_Area,"AAAAAG9jPRQ=")</f>
        <v>#VALUE!</v>
      </c>
      <c r="V33" t="e">
        <f>IF("N",[0]!_xlnm.Print_Area,"AAAAAG9jPRU=")</f>
        <v>#VALUE!</v>
      </c>
      <c r="W33" t="e">
        <f>IF("N",[0]!_xlnm.Print_Area,"AAAAAG9jPRY=")</f>
        <v>#VALUE!</v>
      </c>
      <c r="X33" t="e">
        <f>IF("N",[0]!_xlnm.Print_Area,"AAAAAG9jPRc=")</f>
        <v>#VALUE!</v>
      </c>
    </row>
    <row r="34" spans="1:44">
      <c r="A34" t="e">
        <f>IF(#REF!,"AAAAAH+TvQA=",0)</f>
        <v>#REF!</v>
      </c>
      <c r="B34" t="e">
        <f>AND(#REF!,"AAAAAH+TvQE=")</f>
        <v>#REF!</v>
      </c>
      <c r="C34" t="e">
        <f>IF(#REF!,"AAAAAH+TvQI=",0)</f>
        <v>#REF!</v>
      </c>
      <c r="D34" t="e">
        <f>AND(#REF!,"AAAAAH+TvQM=")</f>
        <v>#REF!</v>
      </c>
      <c r="E34" t="e">
        <f>IF("N",modèle!_xlnm.Print_Area,"AAAAAH+TvQQ=")</f>
        <v>#VALUE!</v>
      </c>
      <c r="F34" t="e">
        <f>IF("N",[0]!_xlnm.Print_Area,"AAAAAH+TvQU=")</f>
        <v>#VALUE!</v>
      </c>
      <c r="G34" t="e">
        <f>IF("N",[0]!_xlnm.Print_Area,"AAAAAH+TvQY=")</f>
        <v>#VALUE!</v>
      </c>
      <c r="H34" t="e">
        <f>IF("N",[0]!_xlnm.Print_Area,"AAAAAH+TvQc=")</f>
        <v>#VALUE!</v>
      </c>
      <c r="I34" t="e">
        <f>IF("N",[0]!_xlnm.Print_Area,"AAAAAH+TvQg=")</f>
        <v>#VALUE!</v>
      </c>
      <c r="J34" t="e">
        <f>IF("N",[0]!_xlnm.Print_Area,"AAAAAH+TvQk=")</f>
        <v>#VALUE!</v>
      </c>
      <c r="K34" t="e">
        <f>IF("N",[0]!_xlnm.Print_Area,"AAAAAH+TvQo=")</f>
        <v>#VALUE!</v>
      </c>
      <c r="L34" t="e">
        <f>IF("N",[0]!_xlnm.Print_Area,"AAAAAH+TvQs=")</f>
        <v>#VALUE!</v>
      </c>
      <c r="M34" t="e">
        <f>IF("N",[0]!_xlnm.Print_Area,"AAAAAH+TvQw=")</f>
        <v>#VALUE!</v>
      </c>
      <c r="N34" t="e">
        <f>IF("N",[0]!_xlnm.Print_Area,"AAAAAH+TvQ0=")</f>
        <v>#VALUE!</v>
      </c>
      <c r="O34" t="e">
        <f>IF("N",[0]!_xlnm.Print_Area,"AAAAAH+TvQ4=")</f>
        <v>#VALUE!</v>
      </c>
      <c r="P34" t="e">
        <f>IF("N",[0]!_xlnm.Print_Area,"AAAAAH+TvQ8=")</f>
        <v>#VALUE!</v>
      </c>
      <c r="Q34" t="e">
        <f>IF("N",[0]!_xlnm.Print_Area,"AAAAAH+TvRA=")</f>
        <v>#VALUE!</v>
      </c>
      <c r="R34" t="e">
        <f>IF("N",[0]!_xlnm.Print_Area,"AAAAAH+TvRE=")</f>
        <v>#VALUE!</v>
      </c>
      <c r="S34" t="e">
        <f>IF("N",[0]!_xlnm.Print_Area,"AAAAAH+TvRI=")</f>
        <v>#VALUE!</v>
      </c>
      <c r="T34" t="e">
        <f>IF("N",[0]!_xlnm.Print_Area,"AAAAAH+TvRM=")</f>
        <v>#VALUE!</v>
      </c>
      <c r="U34" t="e">
        <f>IF("N",[0]!_xlnm.Print_Area,"AAAAAH+TvRQ=")</f>
        <v>#VALUE!</v>
      </c>
      <c r="V34" t="e">
        <f>IF("N",[0]!_xlnm.Print_Area,"AAAAAH+TvRU=")</f>
        <v>#VALUE!</v>
      </c>
      <c r="W34" t="e">
        <f>IF("N",[0]!_xlnm.Print_Area,"AAAAAH+TvRY=")</f>
        <v>#VALUE!</v>
      </c>
      <c r="X34" t="e">
        <f>IF("N",[0]!_xlnm.Print_Area,"AAAAAH+TvRc=")</f>
        <v>#VALUE!</v>
      </c>
      <c r="Y34" t="e">
        <f>IF("N",[0]!_xlnm.Print_Area,"AAAAAH+TvRg=")</f>
        <v>#VALUE!</v>
      </c>
      <c r="Z34" t="e">
        <f>IF("N",[0]!_xlnm.Print_Area,"AAAAAH+TvRk=")</f>
        <v>#VALUE!</v>
      </c>
      <c r="AA34" t="e">
        <f>IF("N",[0]!_xlnm.Print_Area,"AAAAAH+TvRo=")</f>
        <v>#VALUE!</v>
      </c>
      <c r="AB34" t="e">
        <f>IF("N",[0]!_xlnm.Print_Area,"AAAAAH+TvRs=")</f>
        <v>#VALUE!</v>
      </c>
    </row>
    <row r="35" spans="1:44">
      <c r="A35" t="e">
        <f>AND(#REF!,"AAAAAC/7/wA=")</f>
        <v>#REF!</v>
      </c>
      <c r="B35" t="e">
        <f>AND(#REF!,"AAAAAC/7/wE=")</f>
        <v>#REF!</v>
      </c>
      <c r="C35" t="e">
        <f>AND(#REF!,"AAAAAC/7/wI=")</f>
        <v>#REF!</v>
      </c>
      <c r="D35" t="e">
        <f>AND(#REF!,"AAAAAC/7/wM=")</f>
        <v>#REF!</v>
      </c>
      <c r="E35" t="e">
        <f>AND(#REF!,"AAAAAC/7/wQ=")</f>
        <v>#REF!</v>
      </c>
      <c r="F35" t="e">
        <f>AND(#REF!,"AAAAAC/7/wU=")</f>
        <v>#REF!</v>
      </c>
      <c r="G35" t="e">
        <f>AND(#REF!,"AAAAAC/7/wY=")</f>
        <v>#REF!</v>
      </c>
      <c r="H35" t="e">
        <f>AND(#REF!,"AAAAAC/7/wc=")</f>
        <v>#REF!</v>
      </c>
      <c r="I35" t="e">
        <f>AND(#REF!,"AAAAAC/7/wg=")</f>
        <v>#REF!</v>
      </c>
      <c r="J35" t="e">
        <f>AND(#REF!,"AAAAAC/7/wk=")</f>
        <v>#REF!</v>
      </c>
      <c r="K35" t="e">
        <f>AND(#REF!,"AAAAAC/7/wo=")</f>
        <v>#REF!</v>
      </c>
      <c r="L35" t="e">
        <f>AND(#REF!,"AAAAAC/7/ws=")</f>
        <v>#REF!</v>
      </c>
      <c r="M35" t="e">
        <f>AND(#REF!,"AAAAAC/7/ww=")</f>
        <v>#REF!</v>
      </c>
      <c r="N35" t="e">
        <f>AND(#REF!,"AAAAAC/7/w0=")</f>
        <v>#REF!</v>
      </c>
      <c r="O35" t="e">
        <f>AND(#REF!,"AAAAAC/7/w4=")</f>
        <v>#REF!</v>
      </c>
      <c r="P35" t="e">
        <f>AND(#REF!,"AAAAAC/7/w8=")</f>
        <v>#REF!</v>
      </c>
      <c r="Q35" t="e">
        <f>AND(#REF!,"AAAAAC/7/xA=")</f>
        <v>#REF!</v>
      </c>
      <c r="R35" t="e">
        <f>IF(#REF!,"AAAAAC/7/xE=",0)</f>
        <v>#REF!</v>
      </c>
      <c r="S35" t="e">
        <f>AND(#REF!,"AAAAAC/7/xI=")</f>
        <v>#REF!</v>
      </c>
      <c r="T35" t="e">
        <f>IF("N",modèle!_xlnm.Print_Area,"AAAAAC/7/xM=")</f>
        <v>#VALUE!</v>
      </c>
      <c r="U35" t="e">
        <f>IF("N",[0]!_xlnm.Print_Area,"AAAAAC/7/xQ=")</f>
        <v>#VALUE!</v>
      </c>
      <c r="V35" t="e">
        <f>IF("N",[0]!_xlnm.Print_Area,"AAAAAC/7/xU=")</f>
        <v>#VALUE!</v>
      </c>
      <c r="W35" t="e">
        <f>IF("N",[0]!_xlnm.Print_Area,"AAAAAC/7/xY=")</f>
        <v>#VALUE!</v>
      </c>
      <c r="X35" t="e">
        <f>IF("N",[0]!_xlnm.Print_Area,"AAAAAC/7/xc=")</f>
        <v>#VALUE!</v>
      </c>
      <c r="Y35" t="e">
        <f>IF("N",[0]!_xlnm.Print_Area,"AAAAAC/7/xg=")</f>
        <v>#VALUE!</v>
      </c>
      <c r="Z35" t="e">
        <f>IF("N",[0]!_xlnm.Print_Area,"AAAAAC/7/xk=")</f>
        <v>#VALUE!</v>
      </c>
      <c r="AA35" t="e">
        <f>IF("N",[0]!_xlnm.Print_Area,"AAAAAC/7/xo=")</f>
        <v>#VALUE!</v>
      </c>
      <c r="AB35" t="e">
        <f>IF("N",[0]!_xlnm.Print_Area,"AAAAAC/7/xs=")</f>
        <v>#VALUE!</v>
      </c>
      <c r="AC35" t="e">
        <f>IF("N",[0]!_xlnm.Print_Area,"AAAAAC/7/xw=")</f>
        <v>#VALUE!</v>
      </c>
      <c r="AD35" t="e">
        <f>IF("N",[0]!_xlnm.Print_Area,"AAAAAC/7/x0=")</f>
        <v>#VALUE!</v>
      </c>
      <c r="AE35" t="e">
        <f>IF("N",[0]!_xlnm.Print_Area,"AAAAAC/7/x4=")</f>
        <v>#VALUE!</v>
      </c>
      <c r="AF35" t="e">
        <f>IF("N",[0]!_xlnm.Print_Area,"AAAAAC/7/x8=")</f>
        <v>#VALUE!</v>
      </c>
      <c r="AG35" t="e">
        <f>IF("N",[0]!_xlnm.Print_Area,"AAAAAC/7/yA=")</f>
        <v>#VALUE!</v>
      </c>
      <c r="AH35" t="e">
        <f>IF("N",[0]!_xlnm.Print_Area,"AAAAAC/7/yE=")</f>
        <v>#VALUE!</v>
      </c>
      <c r="AI35" t="e">
        <f>IF("N",[0]!_xlnm.Print_Area,"AAAAAC/7/yI=")</f>
        <v>#VALUE!</v>
      </c>
      <c r="AJ35" t="e">
        <f>IF("N",[0]!_xlnm.Print_Area,"AAAAAC/7/yM=")</f>
        <v>#VALUE!</v>
      </c>
      <c r="AK35" t="e">
        <f>IF("N",[0]!_xlnm.Print_Area,"AAAAAC/7/yQ=")</f>
        <v>#VALUE!</v>
      </c>
      <c r="AL35" t="e">
        <f>IF("N",[0]!_xlnm.Print_Area,"AAAAAC/7/yU=")</f>
        <v>#VALUE!</v>
      </c>
      <c r="AM35" t="e">
        <f>IF("N",[0]!_xlnm.Print_Area,"AAAAAC/7/yY=")</f>
        <v>#VALUE!</v>
      </c>
      <c r="AN35" t="e">
        <f>IF("N",[0]!_xlnm.Print_Area,"AAAAAC/7/yc=")</f>
        <v>#VALUE!</v>
      </c>
      <c r="AO35" t="e">
        <f>IF("N",[0]!_xlnm.Print_Area,"AAAAAC/7/yg=")</f>
        <v>#VALUE!</v>
      </c>
      <c r="AP35" t="e">
        <f>IF("N",[0]!_xlnm.Print_Area,"AAAAAC/7/yk=")</f>
        <v>#VALUE!</v>
      </c>
      <c r="AQ35" t="e">
        <f>IF("N",[0]!_xlnm.Print_Area,"AAAAAC/7/yo=")</f>
        <v>#VALUE!</v>
      </c>
    </row>
    <row r="36" spans="1:44">
      <c r="A36" t="e">
        <f>IF("N",modèle!_xlnm.Print_Area,"AAAAADPnfwA=")</f>
        <v>#VALUE!</v>
      </c>
      <c r="B36" t="e">
        <f>IF("N",[0]!_xlnm.Print_Area,"AAAAADPnfwE=")</f>
        <v>#VALUE!</v>
      </c>
      <c r="C36" t="e">
        <f>IF("N",[0]!_xlnm.Print_Area,"AAAAADPnfwI=")</f>
        <v>#VALUE!</v>
      </c>
      <c r="D36" t="e">
        <f>IF("N",[0]!_xlnm.Print_Area,"AAAAADPnfwM=")</f>
        <v>#VALUE!</v>
      </c>
      <c r="E36" t="e">
        <f>IF("N",[0]!_xlnm.Print_Area,"AAAAADPnfwQ=")</f>
        <v>#VALUE!</v>
      </c>
      <c r="F36" t="e">
        <f>IF("N",[0]!_xlnm.Print_Area,"AAAAADPnfwU=")</f>
        <v>#VALUE!</v>
      </c>
      <c r="G36" t="e">
        <f>IF("N",[0]!_xlnm.Print_Area,"AAAAADPnfwY=")</f>
        <v>#VALUE!</v>
      </c>
      <c r="H36" t="e">
        <f>IF("N",[0]!_xlnm.Print_Area,"AAAAADPnfwc=")</f>
        <v>#VALUE!</v>
      </c>
      <c r="I36" t="e">
        <f>IF("N",[0]!_xlnm.Print_Area,"AAAAADPnfwg=")</f>
        <v>#VALUE!</v>
      </c>
      <c r="J36" t="e">
        <f>IF("N",[0]!_xlnm.Print_Area,"AAAAADPnfwk=")</f>
        <v>#VALUE!</v>
      </c>
      <c r="K36" t="e">
        <f>IF("N",[0]!_xlnm.Print_Area,"AAAAADPnfwo=")</f>
        <v>#VALUE!</v>
      </c>
      <c r="L36" t="e">
        <f>IF("N",[0]!_xlnm.Print_Area,"AAAAADPnfws=")</f>
        <v>#VALUE!</v>
      </c>
      <c r="M36" t="e">
        <f>IF("N",[0]!_xlnm.Print_Area,"AAAAADPnfww=")</f>
        <v>#VALUE!</v>
      </c>
      <c r="N36" t="e">
        <f>IF("N",[0]!_xlnm.Print_Area,"AAAAADPnfw0=")</f>
        <v>#VALUE!</v>
      </c>
      <c r="O36" t="e">
        <f>IF("N",[0]!_xlnm.Print_Area,"AAAAADPnfw4=")</f>
        <v>#VALUE!</v>
      </c>
      <c r="P36" t="e">
        <f>IF("N",[0]!_xlnm.Print_Area,"AAAAADPnfw8=")</f>
        <v>#VALUE!</v>
      </c>
      <c r="Q36" t="e">
        <f>IF("N",[0]!_xlnm.Print_Area,"AAAAADPnfxA=")</f>
        <v>#VALUE!</v>
      </c>
      <c r="R36" t="e">
        <f>IF("N",[0]!_xlnm.Print_Area,"AAAAADPnfxE=")</f>
        <v>#VALUE!</v>
      </c>
      <c r="S36" t="e">
        <f>IF("N",[0]!_xlnm.Print_Area,"AAAAADPnfxI=")</f>
        <v>#VALUE!</v>
      </c>
      <c r="T36" t="e">
        <f>IF("N",[0]!_xlnm.Print_Area,"AAAAADPnfxM=")</f>
        <v>#VALUE!</v>
      </c>
      <c r="U36" t="e">
        <f>IF("N",[0]!_xlnm.Print_Area,"AAAAADPnfxQ=")</f>
        <v>#VALUE!</v>
      </c>
      <c r="V36" t="e">
        <f>IF("N",[0]!_xlnm.Print_Area,"AAAAADPnfxU=")</f>
        <v>#VALUE!</v>
      </c>
      <c r="W36" t="e">
        <f>IF("N",[0]!_xlnm.Print_Area,"AAAAADPnfxY=")</f>
        <v>#VALUE!</v>
      </c>
      <c r="X36" t="e">
        <f>IF("N",[0]!_xlnm.Print_Area,"AAAAADPnfxc=")</f>
        <v>#VALUE!</v>
      </c>
    </row>
    <row r="37" spans="1:44">
      <c r="A37" t="e">
        <f>IF("N",modèle!_xlnm.Print_Area,"AAAAAHtXfgA=")</f>
        <v>#VALUE!</v>
      </c>
      <c r="B37" t="e">
        <f>IF("N",[0]!_xlnm.Print_Area,"AAAAAHtXfgE=")</f>
        <v>#VALUE!</v>
      </c>
      <c r="C37" t="e">
        <f>IF("N",[0]!_xlnm.Print_Area,"AAAAAHtXfgI=")</f>
        <v>#VALUE!</v>
      </c>
      <c r="D37" t="e">
        <f>IF("N",[0]!_xlnm.Print_Area,"AAAAAHtXfgM=")</f>
        <v>#VALUE!</v>
      </c>
      <c r="E37" t="e">
        <f>IF("N",[0]!_xlnm.Print_Area,"AAAAAHtXfgQ=")</f>
        <v>#VALUE!</v>
      </c>
      <c r="F37" t="e">
        <f>IF("N",[0]!_xlnm.Print_Area,"AAAAAHtXfgU=")</f>
        <v>#VALUE!</v>
      </c>
      <c r="G37" t="e">
        <f>IF("N",[0]!_xlnm.Print_Area,"AAAAAHtXfgY=")</f>
        <v>#VALUE!</v>
      </c>
      <c r="H37" t="e">
        <f>IF("N",[0]!_xlnm.Print_Area,"AAAAAHtXfgc=")</f>
        <v>#VALUE!</v>
      </c>
      <c r="I37" t="e">
        <f>IF("N",[0]!_xlnm.Print_Area,"AAAAAHtXfgg=")</f>
        <v>#VALUE!</v>
      </c>
      <c r="J37" t="e">
        <f>IF("N",[0]!_xlnm.Print_Area,"AAAAAHtXfgk=")</f>
        <v>#VALUE!</v>
      </c>
      <c r="K37" t="e">
        <f>IF("N",[0]!_xlnm.Print_Area,"AAAAAHtXfgo=")</f>
        <v>#VALUE!</v>
      </c>
      <c r="L37" t="e">
        <f>IF("N",[0]!_xlnm.Print_Area,"AAAAAHtXfgs=")</f>
        <v>#VALUE!</v>
      </c>
      <c r="M37" t="e">
        <f>IF("N",[0]!_xlnm.Print_Area,"AAAAAHtXfgw=")</f>
        <v>#VALUE!</v>
      </c>
      <c r="N37" t="e">
        <f>IF("N",[0]!_xlnm.Print_Area,"AAAAAHtXfg0=")</f>
        <v>#VALUE!</v>
      </c>
      <c r="O37" t="e">
        <f>IF("N",[0]!_xlnm.Print_Area,"AAAAAHtXfg4=")</f>
        <v>#VALUE!</v>
      </c>
      <c r="P37" t="e">
        <f>IF("N",[0]!_xlnm.Print_Area,"AAAAAHtXfg8=")</f>
        <v>#VALUE!</v>
      </c>
      <c r="Q37" t="e">
        <f>IF("N",[0]!_xlnm.Print_Area,"AAAAAHtXfhA=")</f>
        <v>#VALUE!</v>
      </c>
      <c r="R37" t="e">
        <f>IF("N",[0]!_xlnm.Print_Area,"AAAAAHtXfhE=")</f>
        <v>#VALUE!</v>
      </c>
      <c r="S37" t="e">
        <f>IF("N",[0]!_xlnm.Print_Area,"AAAAAHtXfhI=")</f>
        <v>#VALUE!</v>
      </c>
      <c r="T37" t="e">
        <f>IF("N",[0]!_xlnm.Print_Area,"AAAAAHtXfhM=")</f>
        <v>#VALUE!</v>
      </c>
      <c r="U37" t="e">
        <f>IF("N",[0]!_xlnm.Print_Area,"AAAAAHtXfhQ=")</f>
        <v>#VALUE!</v>
      </c>
      <c r="V37" t="e">
        <f>IF("N",[0]!_xlnm.Print_Area,"AAAAAHtXfhU=")</f>
        <v>#VALUE!</v>
      </c>
      <c r="W37" t="e">
        <f>IF("N",[0]!_xlnm.Print_Area,"AAAAAHtXfhY=")</f>
        <v>#VALUE!</v>
      </c>
      <c r="X37" t="e">
        <f>IF("N",[0]!_xlnm.Print_Area,"AAAAAHtXfhc=")</f>
        <v>#VALUE!</v>
      </c>
    </row>
    <row r="38" spans="1:44">
      <c r="A38" t="e">
        <f>AND(#REF!,"AAAAADtc3wA=")</f>
        <v>#REF!</v>
      </c>
      <c r="B38" t="e">
        <f>AND(#REF!,"AAAAADtc3wE=")</f>
        <v>#REF!</v>
      </c>
      <c r="C38" t="e">
        <f>AND(#REF!,"AAAAADtc3wI=")</f>
        <v>#REF!</v>
      </c>
      <c r="D38" t="e">
        <f>AND(#REF!,"AAAAADtc3wM=")</f>
        <v>#REF!</v>
      </c>
      <c r="E38" t="e">
        <f>AND(#REF!,"AAAAADtc3wQ=")</f>
        <v>#REF!</v>
      </c>
      <c r="F38" t="e">
        <f>AND(#REF!,"AAAAADtc3wU=")</f>
        <v>#REF!</v>
      </c>
      <c r="G38" t="e">
        <f>AND(#REF!,"AAAAADtc3wY=")</f>
        <v>#REF!</v>
      </c>
      <c r="H38" t="e">
        <f>AND(#REF!,"AAAAADtc3wc=")</f>
        <v>#REF!</v>
      </c>
      <c r="I38" t="e">
        <f>AND(#REF!,"AAAAADtc3wg=")</f>
        <v>#REF!</v>
      </c>
      <c r="J38" t="e">
        <f>AND(#REF!,"AAAAADtc3wk=")</f>
        <v>#REF!</v>
      </c>
      <c r="K38" t="e">
        <f>AND(#REF!,"AAAAADtc3wo=")</f>
        <v>#REF!</v>
      </c>
      <c r="L38" t="e">
        <f>AND(#REF!,"AAAAADtc3ws=")</f>
        <v>#REF!</v>
      </c>
      <c r="M38" t="e">
        <f>IF("N",modèle!_xlnm.Print_Area,"AAAAADtc3ww=")</f>
        <v>#VALUE!</v>
      </c>
      <c r="N38" t="e">
        <f>IF("N",[0]!_xlnm.Print_Area,"AAAAADtc3w0=")</f>
        <v>#VALUE!</v>
      </c>
      <c r="O38" t="e">
        <f>IF("N",[0]!_xlnm.Print_Area,"AAAAADtc3w4=")</f>
        <v>#VALUE!</v>
      </c>
      <c r="P38" t="e">
        <f>IF("N",[0]!_xlnm.Print_Area,"AAAAADtc3w8=")</f>
        <v>#VALUE!</v>
      </c>
      <c r="Q38" t="e">
        <f>IF("N",[0]!_xlnm.Print_Area,"AAAAADtc3xA=")</f>
        <v>#VALUE!</v>
      </c>
      <c r="R38" t="e">
        <f>IF("N",[0]!_xlnm.Print_Area,"AAAAADtc3xE=")</f>
        <v>#VALUE!</v>
      </c>
      <c r="S38" t="e">
        <f>IF("N",[0]!_xlnm.Print_Area,"AAAAADtc3xI=")</f>
        <v>#VALUE!</v>
      </c>
      <c r="T38" t="e">
        <f>IF("N",[0]!_xlnm.Print_Area,"AAAAADtc3xM=")</f>
        <v>#VALUE!</v>
      </c>
      <c r="U38" t="e">
        <f>IF("N",[0]!_xlnm.Print_Area,"AAAAADtc3xQ=")</f>
        <v>#VALUE!</v>
      </c>
      <c r="V38" t="e">
        <f>IF("N",[0]!_xlnm.Print_Area,"AAAAADtc3xU=")</f>
        <v>#VALUE!</v>
      </c>
      <c r="W38" t="e">
        <f>IF("N",[0]!_xlnm.Print_Area,"AAAAADtc3xY=")</f>
        <v>#VALUE!</v>
      </c>
      <c r="X38" t="e">
        <f>IF("N",[0]!_xlnm.Print_Area,"AAAAADtc3xc=")</f>
        <v>#VALUE!</v>
      </c>
      <c r="Y38" t="e">
        <f>IF("N",[0]!_xlnm.Print_Area,"AAAAADtc3xg=")</f>
        <v>#VALUE!</v>
      </c>
      <c r="Z38" t="e">
        <f>IF("N",[0]!_xlnm.Print_Area,"AAAAADtc3xk=")</f>
        <v>#VALUE!</v>
      </c>
      <c r="AA38" t="e">
        <f>IF("N",[0]!_xlnm.Print_Area,"AAAAADtc3xo=")</f>
        <v>#VALUE!</v>
      </c>
      <c r="AB38" t="e">
        <f>IF("N",[0]!_xlnm.Print_Area,"AAAAADtc3xs=")</f>
        <v>#VALUE!</v>
      </c>
      <c r="AC38" t="e">
        <f>IF("N",[0]!_xlnm.Print_Area,"AAAAADtc3xw=")</f>
        <v>#VALUE!</v>
      </c>
      <c r="AD38" t="e">
        <f>IF("N",[0]!_xlnm.Print_Area,"AAAAADtc3x0=")</f>
        <v>#VALUE!</v>
      </c>
      <c r="AE38" t="e">
        <f>IF("N",[0]!_xlnm.Print_Area,"AAAAADtc3x4=")</f>
        <v>#VALUE!</v>
      </c>
      <c r="AF38" t="e">
        <f>IF("N",[0]!_xlnm.Print_Area,"AAAAADtc3x8=")</f>
        <v>#VALUE!</v>
      </c>
      <c r="AG38" t="e">
        <f>IF("N",[0]!_xlnm.Print_Area,"AAAAADtc3yA=")</f>
        <v>#VALUE!</v>
      </c>
      <c r="AH38" t="e">
        <f>IF("N",[0]!_xlnm.Print_Area,"AAAAADtc3yE=")</f>
        <v>#VALUE!</v>
      </c>
      <c r="AI38" t="e">
        <f>IF("N",[0]!_xlnm.Print_Area,"AAAAADtc3yI=")</f>
        <v>#VALUE!</v>
      </c>
      <c r="AJ38" t="e">
        <f>IF("N",[0]!_xlnm.Print_Area,"AAAAADtc3yM=")</f>
        <v>#VALUE!</v>
      </c>
    </row>
    <row r="39" spans="1:44">
      <c r="A39" t="e">
        <f>IF("N",modèle!_xlnm.Print_Area,"AAAAAH+9SwA=")</f>
        <v>#VALUE!</v>
      </c>
      <c r="B39" t="e">
        <f>IF("N",[0]!_xlnm.Print_Area,"AAAAAH+9SwE=")</f>
        <v>#VALUE!</v>
      </c>
      <c r="C39" t="e">
        <f>IF("N",[0]!_xlnm.Print_Area,"AAAAAH+9SwI=")</f>
        <v>#VALUE!</v>
      </c>
      <c r="D39" t="e">
        <f>IF("N",[0]!_xlnm.Print_Area,"AAAAAH+9SwM=")</f>
        <v>#VALUE!</v>
      </c>
      <c r="E39" t="e">
        <f>IF("N",[0]!_xlnm.Print_Area,"AAAAAH+9SwQ=")</f>
        <v>#VALUE!</v>
      </c>
      <c r="F39" t="e">
        <f>IF("N",[0]!_xlnm.Print_Area,"AAAAAH+9SwU=")</f>
        <v>#VALUE!</v>
      </c>
      <c r="G39" t="e">
        <f>IF("N",[0]!_xlnm.Print_Area,"AAAAAH+9SwY=")</f>
        <v>#VALUE!</v>
      </c>
      <c r="H39" t="e">
        <f>IF("N",[0]!_xlnm.Print_Area,"AAAAAH+9Swc=")</f>
        <v>#VALUE!</v>
      </c>
      <c r="I39" t="e">
        <f>IF("N",[0]!_xlnm.Print_Area,"AAAAAH+9Swg=")</f>
        <v>#VALUE!</v>
      </c>
      <c r="J39" t="e">
        <f>IF("N",[0]!_xlnm.Print_Area,"AAAAAH+9Swk=")</f>
        <v>#VALUE!</v>
      </c>
      <c r="K39" t="e">
        <f>IF("N",[0]!_xlnm.Print_Area,"AAAAAH+9Swo=")</f>
        <v>#VALUE!</v>
      </c>
      <c r="L39" t="e">
        <f>IF("N",[0]!_xlnm.Print_Area,"AAAAAH+9Sws=")</f>
        <v>#VALUE!</v>
      </c>
      <c r="M39" t="e">
        <f>IF("N",[0]!_xlnm.Print_Area,"AAAAAH+9Sww=")</f>
        <v>#VALUE!</v>
      </c>
      <c r="N39" t="e">
        <f>IF("N",[0]!_xlnm.Print_Area,"AAAAAH+9Sw0=")</f>
        <v>#VALUE!</v>
      </c>
      <c r="O39" t="e">
        <f>IF("N",[0]!_xlnm.Print_Area,"AAAAAH+9Sw4=")</f>
        <v>#VALUE!</v>
      </c>
      <c r="P39" t="e">
        <f>IF("N",[0]!_xlnm.Print_Area,"AAAAAH+9Sw8=")</f>
        <v>#VALUE!</v>
      </c>
      <c r="Q39" t="e">
        <f>IF("N",[0]!_xlnm.Print_Area,"AAAAAH+9SxA=")</f>
        <v>#VALUE!</v>
      </c>
      <c r="R39" t="e">
        <f>IF("N",[0]!_xlnm.Print_Area,"AAAAAH+9SxE=")</f>
        <v>#VALUE!</v>
      </c>
      <c r="S39" t="e">
        <f>IF("N",[0]!_xlnm.Print_Area,"AAAAAH+9SxI=")</f>
        <v>#VALUE!</v>
      </c>
      <c r="T39" t="e">
        <f>IF("N",[0]!_xlnm.Print_Area,"AAAAAH+9SxM=")</f>
        <v>#VALUE!</v>
      </c>
      <c r="U39" t="e">
        <f>IF("N",[0]!_xlnm.Print_Area,"AAAAAH+9SxQ=")</f>
        <v>#VALUE!</v>
      </c>
      <c r="V39" t="e">
        <f>IF("N",[0]!_xlnm.Print_Area,"AAAAAH+9SxU=")</f>
        <v>#VALUE!</v>
      </c>
      <c r="W39" t="e">
        <f>IF("N",[0]!_xlnm.Print_Area,"AAAAAH+9SxY=")</f>
        <v>#VALUE!</v>
      </c>
      <c r="X39" t="e">
        <f>IF("N",[0]!_xlnm.Print_Area,"AAAAAH+9Sxc=")</f>
        <v>#VALUE!</v>
      </c>
    </row>
    <row r="40" spans="1:44">
      <c r="A40" t="e">
        <f>AND(#REF!,"AAAAAFbt4gA=")</f>
        <v>#REF!</v>
      </c>
      <c r="B40" t="e">
        <f>AND(#REF!,"AAAAAFbt4gE=")</f>
        <v>#REF!</v>
      </c>
      <c r="C40" t="e">
        <f>AND(#REF!,"AAAAAFbt4gI=")</f>
        <v>#REF!</v>
      </c>
      <c r="D40" t="e">
        <f>AND(#REF!,"AAAAAFbt4gM=")</f>
        <v>#REF!</v>
      </c>
      <c r="E40" t="e">
        <f>AND(#REF!,"AAAAAFbt4gQ=")</f>
        <v>#REF!</v>
      </c>
      <c r="F40" t="e">
        <f>AND(#REF!,"AAAAAFbt4gU=")</f>
        <v>#REF!</v>
      </c>
      <c r="G40" t="e">
        <f>IF("N",modèle!_xlnm.Print_Area,"AAAAAFbt4gY=")</f>
        <v>#VALUE!</v>
      </c>
      <c r="H40" t="e">
        <f>IF("N",[0]!_xlnm.Print_Area,"AAAAAFbt4gc=")</f>
        <v>#VALUE!</v>
      </c>
      <c r="I40" t="e">
        <f>IF("N",[0]!_xlnm.Print_Area,"AAAAAFbt4gg=")</f>
        <v>#VALUE!</v>
      </c>
      <c r="J40" t="e">
        <f>IF("N",[0]!_xlnm.Print_Area,"AAAAAFbt4gk=")</f>
        <v>#VALUE!</v>
      </c>
      <c r="K40" t="e">
        <f>IF("N",[0]!_xlnm.Print_Area,"AAAAAFbt4go=")</f>
        <v>#VALUE!</v>
      </c>
      <c r="L40" t="e">
        <f>IF("N",[0]!_xlnm.Print_Area,"AAAAAFbt4gs=")</f>
        <v>#VALUE!</v>
      </c>
      <c r="M40" t="e">
        <f>IF("N",[0]!_xlnm.Print_Area,"AAAAAFbt4gw=")</f>
        <v>#VALUE!</v>
      </c>
      <c r="N40" t="e">
        <f>IF("N",[0]!_xlnm.Print_Area,"AAAAAFbt4g0=")</f>
        <v>#VALUE!</v>
      </c>
      <c r="O40" t="e">
        <f>IF("N",[0]!_xlnm.Print_Area,"AAAAAFbt4g4=")</f>
        <v>#VALUE!</v>
      </c>
      <c r="P40" t="e">
        <f>IF("N",[0]!_xlnm.Print_Area,"AAAAAFbt4g8=")</f>
        <v>#VALUE!</v>
      </c>
      <c r="Q40" t="e">
        <f>IF("N",[0]!_xlnm.Print_Area,"AAAAAFbt4hA=")</f>
        <v>#VALUE!</v>
      </c>
      <c r="R40" t="e">
        <f>IF("N",[0]!_xlnm.Print_Area,"AAAAAFbt4hE=")</f>
        <v>#VALUE!</v>
      </c>
      <c r="S40" t="e">
        <f>IF("N",[0]!_xlnm.Print_Area,"AAAAAFbt4hI=")</f>
        <v>#VALUE!</v>
      </c>
      <c r="T40" t="e">
        <f>IF("N",[0]!_xlnm.Print_Area,"AAAAAFbt4hM=")</f>
        <v>#VALUE!</v>
      </c>
      <c r="U40" t="e">
        <f>IF("N",[0]!_xlnm.Print_Area,"AAAAAFbt4hQ=")</f>
        <v>#VALUE!</v>
      </c>
      <c r="V40" t="e">
        <f>IF("N",[0]!_xlnm.Print_Area,"AAAAAFbt4hU=")</f>
        <v>#VALUE!</v>
      </c>
      <c r="W40" t="e">
        <f>IF("N",[0]!_xlnm.Print_Area,"AAAAAFbt4hY=")</f>
        <v>#VALUE!</v>
      </c>
      <c r="X40" t="e">
        <f>IF("N",[0]!_xlnm.Print_Area,"AAAAAFbt4hc=")</f>
        <v>#VALUE!</v>
      </c>
      <c r="Y40" t="e">
        <f>IF("N",[0]!_xlnm.Print_Area,"AAAAAFbt4hg=")</f>
        <v>#VALUE!</v>
      </c>
      <c r="Z40" t="e">
        <f>IF("N",[0]!_xlnm.Print_Area,"AAAAAFbt4hk=")</f>
        <v>#VALUE!</v>
      </c>
      <c r="AA40" t="e">
        <f>IF("N",[0]!_xlnm.Print_Area,"AAAAAFbt4ho=")</f>
        <v>#VALUE!</v>
      </c>
      <c r="AB40" t="e">
        <f>IF("N",[0]!_xlnm.Print_Area,"AAAAAFbt4hs=")</f>
        <v>#VALUE!</v>
      </c>
      <c r="AC40" t="e">
        <f>IF("N",[0]!_xlnm.Print_Area,"AAAAAFbt4hw=")</f>
        <v>#VALUE!</v>
      </c>
      <c r="AD40" t="e">
        <f>IF("N",[0]!_xlnm.Print_Area,"AAAAAFbt4h0=")</f>
        <v>#VALUE!</v>
      </c>
    </row>
    <row r="41" spans="1:44">
      <c r="A41" t="e">
        <f>IF("N",modèle!_xlnm.Print_Area,"AAAAACyXBQA=")</f>
        <v>#VALUE!</v>
      </c>
      <c r="B41" t="e">
        <f>IF("N",[0]!_xlnm.Print_Area,"AAAAACyXBQE=")</f>
        <v>#VALUE!</v>
      </c>
      <c r="C41" t="e">
        <f>IF("N",[0]!_xlnm.Print_Area,"AAAAACyXBQI=")</f>
        <v>#VALUE!</v>
      </c>
      <c r="D41" t="e">
        <f>IF("N",[0]!_xlnm.Print_Area,"AAAAACyXBQM=")</f>
        <v>#VALUE!</v>
      </c>
      <c r="E41" t="e">
        <f>IF("N",[0]!_xlnm.Print_Area,"AAAAACyXBQQ=")</f>
        <v>#VALUE!</v>
      </c>
      <c r="F41" t="e">
        <f>IF("N",[0]!_xlnm.Print_Area,"AAAAACyXBQU=")</f>
        <v>#VALUE!</v>
      </c>
      <c r="G41" t="e">
        <f>IF("N",[0]!_xlnm.Print_Area,"AAAAACyXBQY=")</f>
        <v>#VALUE!</v>
      </c>
      <c r="H41" t="e">
        <f>IF("N",[0]!_xlnm.Print_Area,"AAAAACyXBQc=")</f>
        <v>#VALUE!</v>
      </c>
      <c r="I41" t="e">
        <f>IF("N",[0]!_xlnm.Print_Area,"AAAAACyXBQg=")</f>
        <v>#VALUE!</v>
      </c>
      <c r="J41" t="e">
        <f>IF("N",[0]!_xlnm.Print_Area,"AAAAACyXBQk=")</f>
        <v>#VALUE!</v>
      </c>
      <c r="K41" t="e">
        <f>IF("N",[0]!_xlnm.Print_Area,"AAAAACyXBQo=")</f>
        <v>#VALUE!</v>
      </c>
      <c r="L41" t="e">
        <f>IF("N",[0]!_xlnm.Print_Area,"AAAAACyXBQs=")</f>
        <v>#VALUE!</v>
      </c>
      <c r="M41" t="e">
        <f>IF("N",[0]!_xlnm.Print_Area,"AAAAACyXBQw=")</f>
        <v>#VALUE!</v>
      </c>
      <c r="N41" t="e">
        <f>IF("N",[0]!_xlnm.Print_Area,"AAAAACyXBQ0=")</f>
        <v>#VALUE!</v>
      </c>
      <c r="O41" t="e">
        <f>IF("N",[0]!_xlnm.Print_Area,"AAAAACyXBQ4=")</f>
        <v>#VALUE!</v>
      </c>
      <c r="P41" t="e">
        <f>IF("N",[0]!_xlnm.Print_Area,"AAAAACyXBQ8=")</f>
        <v>#VALUE!</v>
      </c>
      <c r="Q41" t="e">
        <f>IF("N",[0]!_xlnm.Print_Area,"AAAAACyXBRA=")</f>
        <v>#VALUE!</v>
      </c>
      <c r="R41" t="e">
        <f>IF("N",[0]!_xlnm.Print_Area,"AAAAACyXBRE=")</f>
        <v>#VALUE!</v>
      </c>
      <c r="S41" t="e">
        <f>IF("N",[0]!_xlnm.Print_Area,"AAAAACyXBRI=")</f>
        <v>#VALUE!</v>
      </c>
      <c r="T41" t="e">
        <f>IF("N",[0]!_xlnm.Print_Area,"AAAAACyXBRM=")</f>
        <v>#VALUE!</v>
      </c>
      <c r="U41" t="e">
        <f>IF("N",[0]!_xlnm.Print_Area,"AAAAACyXBRQ=")</f>
        <v>#VALUE!</v>
      </c>
      <c r="V41" t="e">
        <f>IF("N",[0]!_xlnm.Print_Area,"AAAAACyXBRU=")</f>
        <v>#VALUE!</v>
      </c>
      <c r="W41" t="e">
        <f>IF("N",[0]!_xlnm.Print_Area,"AAAAACyXBRY=")</f>
        <v>#VALUE!</v>
      </c>
      <c r="X41" t="e">
        <f>IF("N",[0]!_xlnm.Print_Area,"AAAAACyXBRc=")</f>
        <v>#VALUE!</v>
      </c>
    </row>
    <row r="42" spans="1:44">
      <c r="A42" t="e">
        <f>AND(#REF!,"AAAAAEfv3wA=")</f>
        <v>#REF!</v>
      </c>
      <c r="B42" t="e">
        <f>AND(#REF!,"AAAAAEfv3wE=")</f>
        <v>#REF!</v>
      </c>
      <c r="C42" t="e">
        <f>AND(#REF!,"AAAAAEfv3wI=")</f>
        <v>#REF!</v>
      </c>
      <c r="D42" t="e">
        <f>AND(#REF!,"AAAAAEfv3wM=")</f>
        <v>#REF!</v>
      </c>
      <c r="E42" t="e">
        <f>AND(#REF!,"AAAAAEfv3wQ=")</f>
        <v>#REF!</v>
      </c>
      <c r="F42" t="e">
        <f>AND(#REF!,"AAAAAEfv3wU=")</f>
        <v>#REF!</v>
      </c>
      <c r="G42" t="e">
        <f>AND(#REF!,"AAAAAEfv3wY=")</f>
        <v>#REF!</v>
      </c>
      <c r="H42" t="e">
        <f>AND(#REF!,"AAAAAEfv3wc=")</f>
        <v>#REF!</v>
      </c>
      <c r="I42" t="e">
        <f>AND(#REF!,"AAAAAEfv3wg=")</f>
        <v>#REF!</v>
      </c>
      <c r="J42" t="e">
        <f>AND(#REF!,"AAAAAEfv3wk=")</f>
        <v>#REF!</v>
      </c>
      <c r="K42" t="e">
        <f>AND(#REF!,"AAAAAEfv3wo=")</f>
        <v>#REF!</v>
      </c>
      <c r="L42" t="e">
        <f>AND(#REF!,"AAAAAEfv3ws=")</f>
        <v>#REF!</v>
      </c>
      <c r="M42" t="e">
        <f>AND(#REF!,"AAAAAEfv3ww=")</f>
        <v>#REF!</v>
      </c>
      <c r="N42" t="e">
        <f>AND(#REF!,"AAAAAEfv3w0=")</f>
        <v>#REF!</v>
      </c>
      <c r="O42" t="e">
        <f>AND(#REF!,"AAAAAEfv3w4=")</f>
        <v>#REF!</v>
      </c>
      <c r="P42" t="e">
        <f>AND(#REF!,"AAAAAEfv3w8=")</f>
        <v>#REF!</v>
      </c>
      <c r="Q42" t="e">
        <f>AND(#REF!,"AAAAAEfv3xA=")</f>
        <v>#REF!</v>
      </c>
      <c r="R42" t="e">
        <f>AND(#REF!,"AAAAAEfv3xE=")</f>
        <v>#REF!</v>
      </c>
      <c r="S42" t="e">
        <f>AND(#REF!,"AAAAAEfv3xI=")</f>
        <v>#REF!</v>
      </c>
      <c r="T42" t="e">
        <f>AND(#REF!,"AAAAAEfv3xM=")</f>
        <v>#REF!</v>
      </c>
      <c r="U42" t="e">
        <f>IF("N",modèle!_xlnm.Print_Area,"AAAAAEfv3xQ=")</f>
        <v>#VALUE!</v>
      </c>
      <c r="V42" t="e">
        <f>IF("N",[0]!_xlnm.Print_Area,"AAAAAEfv3xU=")</f>
        <v>#VALUE!</v>
      </c>
      <c r="W42" t="e">
        <f>IF("N",[0]!_xlnm.Print_Area,"AAAAAEfv3xY=")</f>
        <v>#VALUE!</v>
      </c>
      <c r="X42" t="e">
        <f>IF("N",[0]!_xlnm.Print_Area,"AAAAAEfv3xc=")</f>
        <v>#VALUE!</v>
      </c>
      <c r="Y42" t="e">
        <f>IF("N",[0]!_xlnm.Print_Area,"AAAAAEfv3xg=")</f>
        <v>#VALUE!</v>
      </c>
      <c r="Z42" t="e">
        <f>IF("N",[0]!_xlnm.Print_Area,"AAAAAEfv3xk=")</f>
        <v>#VALUE!</v>
      </c>
      <c r="AA42" t="e">
        <f>IF("N",[0]!_xlnm.Print_Area,"AAAAAEfv3xo=")</f>
        <v>#VALUE!</v>
      </c>
      <c r="AB42" t="e">
        <f>IF("N",[0]!_xlnm.Print_Area,"AAAAAEfv3xs=")</f>
        <v>#VALUE!</v>
      </c>
      <c r="AC42" t="e">
        <f>IF("N",[0]!_xlnm.Print_Area,"AAAAAEfv3xw=")</f>
        <v>#VALUE!</v>
      </c>
      <c r="AD42" t="e">
        <f>IF("N",[0]!_xlnm.Print_Area,"AAAAAEfv3x0=")</f>
        <v>#VALUE!</v>
      </c>
      <c r="AE42" t="e">
        <f>IF("N",[0]!_xlnm.Print_Area,"AAAAAEfv3x4=")</f>
        <v>#VALUE!</v>
      </c>
      <c r="AF42" t="e">
        <f>IF("N",[0]!_xlnm.Print_Area,"AAAAAEfv3x8=")</f>
        <v>#VALUE!</v>
      </c>
      <c r="AG42" t="e">
        <f>IF("N",[0]!_xlnm.Print_Area,"AAAAAEfv3yA=")</f>
        <v>#VALUE!</v>
      </c>
      <c r="AH42" t="e">
        <f>IF("N",[0]!_xlnm.Print_Area,"AAAAAEfv3yE=")</f>
        <v>#VALUE!</v>
      </c>
      <c r="AI42" t="e">
        <f>IF("N",[0]!_xlnm.Print_Area,"AAAAAEfv3yI=")</f>
        <v>#VALUE!</v>
      </c>
      <c r="AJ42" t="e">
        <f>IF("N",[0]!_xlnm.Print_Area,"AAAAAEfv3yM=")</f>
        <v>#VALUE!</v>
      </c>
      <c r="AK42" t="e">
        <f>IF("N",[0]!_xlnm.Print_Area,"AAAAAEfv3yQ=")</f>
        <v>#VALUE!</v>
      </c>
      <c r="AL42" t="e">
        <f>IF("N",[0]!_xlnm.Print_Area,"AAAAAEfv3yU=")</f>
        <v>#VALUE!</v>
      </c>
      <c r="AM42" t="e">
        <f>IF("N",[0]!_xlnm.Print_Area,"AAAAAEfv3yY=")</f>
        <v>#VALUE!</v>
      </c>
      <c r="AN42" t="e">
        <f>IF("N",[0]!_xlnm.Print_Area,"AAAAAEfv3yc=")</f>
        <v>#VALUE!</v>
      </c>
      <c r="AO42" t="e">
        <f>IF("N",[0]!_xlnm.Print_Area,"AAAAAEfv3yg=")</f>
        <v>#VALUE!</v>
      </c>
      <c r="AP42" t="e">
        <f>IF("N",[0]!_xlnm.Print_Area,"AAAAAEfv3yk=")</f>
        <v>#VALUE!</v>
      </c>
      <c r="AQ42" t="e">
        <f>IF("N",[0]!_xlnm.Print_Area,"AAAAAEfv3yo=")</f>
        <v>#VALUE!</v>
      </c>
      <c r="AR42" t="e">
        <f>IF("N",[0]!_xlnm.Print_Area,"AAAAAEfv3ys=")</f>
        <v>#VALUE!</v>
      </c>
    </row>
    <row r="43" spans="1:44">
      <c r="A43" t="e">
        <f>AND(#REF!,"AAAAAF/OVAA=")</f>
        <v>#REF!</v>
      </c>
      <c r="B43" t="e">
        <f>AND(#REF!,"AAAAAF/OVAE=")</f>
        <v>#REF!</v>
      </c>
      <c r="C43" t="e">
        <f>AND(#REF!,"AAAAAF/OVAI=")</f>
        <v>#REF!</v>
      </c>
      <c r="D43" t="e">
        <f>AND(#REF!,"AAAAAF/OVAM=")</f>
        <v>#REF!</v>
      </c>
      <c r="E43" t="e">
        <f>AND(#REF!,"AAAAAF/OVAQ=")</f>
        <v>#REF!</v>
      </c>
      <c r="F43" t="e">
        <f>AND(#REF!,"AAAAAF/OVAU=")</f>
        <v>#REF!</v>
      </c>
      <c r="G43" t="e">
        <f>AND(#REF!,"AAAAAF/OVAY=")</f>
        <v>#REF!</v>
      </c>
      <c r="H43" t="e">
        <f>AND(#REF!,"AAAAAF/OVAc=")</f>
        <v>#REF!</v>
      </c>
      <c r="I43" t="e">
        <f>AND(#REF!,"AAAAAF/OVAg=")</f>
        <v>#REF!</v>
      </c>
      <c r="J43" t="e">
        <f>AND(#REF!,"AAAAAF/OVAk=")</f>
        <v>#REF!</v>
      </c>
      <c r="K43" t="e">
        <f>AND(#REF!,"AAAAAF/OVAo=")</f>
        <v>#REF!</v>
      </c>
      <c r="L43" t="e">
        <f>AND(#REF!,"AAAAAF/OVAs=")</f>
        <v>#REF!</v>
      </c>
      <c r="M43" t="e">
        <f>AND(#REF!,"AAAAAF/OVAw=")</f>
        <v>#REF!</v>
      </c>
      <c r="N43" t="e">
        <f>AND(#REF!,"AAAAAF/OVA0=")</f>
        <v>#REF!</v>
      </c>
      <c r="O43" t="e">
        <f>AND(#REF!,"AAAAAF/OVA4=")</f>
        <v>#REF!</v>
      </c>
      <c r="P43" t="e">
        <f>AND(#REF!,"AAAAAF/OVA8=")</f>
        <v>#REF!</v>
      </c>
      <c r="Q43" t="e">
        <f>AND(#REF!,"AAAAAF/OVBA=")</f>
        <v>#REF!</v>
      </c>
      <c r="R43" t="e">
        <f>AND(#REF!,"AAAAAF/OVBE=")</f>
        <v>#REF!</v>
      </c>
      <c r="S43" t="e">
        <f>AND(#REF!,"AAAAAF/OVBI=")</f>
        <v>#REF!</v>
      </c>
      <c r="T43" t="e">
        <f>AND(#REF!,"AAAAAF/OVBM=")</f>
        <v>#REF!</v>
      </c>
      <c r="U43" t="e">
        <f>IF("N",modèle!_xlnm.Print_Area,"AAAAAF/OVBQ=")</f>
        <v>#VALUE!</v>
      </c>
      <c r="V43" t="e">
        <f>IF("N",[0]!_xlnm.Print_Area,"AAAAAF/OVBU=")</f>
        <v>#VALUE!</v>
      </c>
      <c r="W43" t="e">
        <f>IF("N",[0]!_xlnm.Print_Area,"AAAAAF/OVBY=")</f>
        <v>#VALUE!</v>
      </c>
      <c r="X43" t="e">
        <f>IF("N",[0]!_xlnm.Print_Area,"AAAAAF/OVBc=")</f>
        <v>#VALUE!</v>
      </c>
      <c r="Y43" t="e">
        <f>IF("N",[0]!_xlnm.Print_Area,"AAAAAF/OVBg=")</f>
        <v>#VALUE!</v>
      </c>
      <c r="Z43" t="e">
        <f>IF("N",[0]!_xlnm.Print_Area,"AAAAAF/OVBk=")</f>
        <v>#VALUE!</v>
      </c>
      <c r="AA43" t="e">
        <f>IF("N",[0]!_xlnm.Print_Area,"AAAAAF/OVBo=")</f>
        <v>#VALUE!</v>
      </c>
      <c r="AB43" t="e">
        <f>IF("N",[0]!_xlnm.Print_Area,"AAAAAF/OVBs=")</f>
        <v>#VALUE!</v>
      </c>
      <c r="AC43" t="e">
        <f>IF("N",[0]!_xlnm.Print_Area,"AAAAAF/OVBw=")</f>
        <v>#VALUE!</v>
      </c>
      <c r="AD43" t="e">
        <f>IF("N",[0]!_xlnm.Print_Area,"AAAAAF/OVB0=")</f>
        <v>#VALUE!</v>
      </c>
      <c r="AE43" t="e">
        <f>IF("N",[0]!_xlnm.Print_Area,"AAAAAF/OVB4=")</f>
        <v>#VALUE!</v>
      </c>
      <c r="AF43" t="e">
        <f>IF("N",[0]!_xlnm.Print_Area,"AAAAAF/OVB8=")</f>
        <v>#VALUE!</v>
      </c>
      <c r="AG43" t="e">
        <f>IF("N",[0]!_xlnm.Print_Area,"AAAAAF/OVCA=")</f>
        <v>#VALUE!</v>
      </c>
      <c r="AH43" t="e">
        <f>IF("N",[0]!_xlnm.Print_Area,"AAAAAF/OVCE=")</f>
        <v>#VALUE!</v>
      </c>
      <c r="AI43" t="e">
        <f>IF("N",[0]!_xlnm.Print_Area,"AAAAAF/OVCI=")</f>
        <v>#VALUE!</v>
      </c>
      <c r="AJ43" t="e">
        <f>IF("N",[0]!_xlnm.Print_Area,"AAAAAF/OVCM=")</f>
        <v>#VALUE!</v>
      </c>
      <c r="AK43" t="e">
        <f>IF("N",[0]!_xlnm.Print_Area,"AAAAAF/OVCQ=")</f>
        <v>#VALUE!</v>
      </c>
      <c r="AL43" t="e">
        <f>IF("N",[0]!_xlnm.Print_Area,"AAAAAF/OVCU=")</f>
        <v>#VALUE!</v>
      </c>
      <c r="AM43" t="e">
        <f>IF("N",[0]!_xlnm.Print_Area,"AAAAAF/OVCY=")</f>
        <v>#VALUE!</v>
      </c>
      <c r="AN43" t="e">
        <f>IF("N",[0]!_xlnm.Print_Area,"AAAAAF/OVCc=")</f>
        <v>#VALUE!</v>
      </c>
      <c r="AO43" t="e">
        <f>IF("N",[0]!_xlnm.Print_Area,"AAAAAF/OVCg=")</f>
        <v>#VALUE!</v>
      </c>
      <c r="AP43" t="e">
        <f>IF("N",[0]!_xlnm.Print_Area,"AAAAAF/OVCk=")</f>
        <v>#VALUE!</v>
      </c>
      <c r="AQ43" t="e">
        <f>IF("N",[0]!_xlnm.Print_Area,"AAAAAF/OVCo=")</f>
        <v>#VALUE!</v>
      </c>
      <c r="AR43" t="e">
        <f>IF("N",[0]!_xlnm.Print_Area,"AAAAAF/OVCs=")</f>
        <v>#VALUE!</v>
      </c>
    </row>
    <row r="44" spans="1:44">
      <c r="A44" t="e">
        <f>IF("N",modèle!_xlnm.Print_Area,"AAAAAHWTewA=")</f>
        <v>#VALUE!</v>
      </c>
      <c r="B44" t="e">
        <f>IF("N",[0]!_xlnm.Print_Area,"AAAAAHWTewE=")</f>
        <v>#VALUE!</v>
      </c>
      <c r="C44" t="e">
        <f>IF("N",[0]!_xlnm.Print_Area,"AAAAAHWTewI=")</f>
        <v>#VALUE!</v>
      </c>
      <c r="D44" t="e">
        <f>IF("N",[0]!_xlnm.Print_Area,"AAAAAHWTewM=")</f>
        <v>#VALUE!</v>
      </c>
      <c r="E44" t="e">
        <f>IF("N",[0]!_xlnm.Print_Area,"AAAAAHWTewQ=")</f>
        <v>#VALUE!</v>
      </c>
      <c r="F44" t="e">
        <f>IF("N",[0]!_xlnm.Print_Area,"AAAAAHWTewU=")</f>
        <v>#VALUE!</v>
      </c>
      <c r="G44" t="e">
        <f>IF("N",[0]!_xlnm.Print_Area,"AAAAAHWTewY=")</f>
        <v>#VALUE!</v>
      </c>
      <c r="H44" t="e">
        <f>IF("N",[0]!_xlnm.Print_Area,"AAAAAHWTewc=")</f>
        <v>#VALUE!</v>
      </c>
      <c r="I44" t="e">
        <f>IF("N",[0]!_xlnm.Print_Area,"AAAAAHWTewg=")</f>
        <v>#VALUE!</v>
      </c>
      <c r="J44" t="e">
        <f>IF("N",[0]!_xlnm.Print_Area,"AAAAAHWTewk=")</f>
        <v>#VALUE!</v>
      </c>
      <c r="K44" t="e">
        <f>IF("N",[0]!_xlnm.Print_Area,"AAAAAHWTewo=")</f>
        <v>#VALUE!</v>
      </c>
      <c r="L44" t="e">
        <f>IF("N",[0]!_xlnm.Print_Area,"AAAAAHWTews=")</f>
        <v>#VALUE!</v>
      </c>
      <c r="M44" t="e">
        <f>IF("N",[0]!_xlnm.Print_Area,"AAAAAHWTeww=")</f>
        <v>#VALUE!</v>
      </c>
      <c r="N44" t="e">
        <f>IF("N",[0]!_xlnm.Print_Area,"AAAAAHWTew0=")</f>
        <v>#VALUE!</v>
      </c>
      <c r="O44" t="e">
        <f>IF("N",[0]!_xlnm.Print_Area,"AAAAAHWTew4=")</f>
        <v>#VALUE!</v>
      </c>
      <c r="P44" t="e">
        <f>IF("N",[0]!_xlnm.Print_Area,"AAAAAHWTew8=")</f>
        <v>#VALUE!</v>
      </c>
      <c r="Q44" t="e">
        <f>IF("N",[0]!_xlnm.Print_Area,"AAAAAHWTexA=")</f>
        <v>#VALUE!</v>
      </c>
      <c r="R44" t="e">
        <f>IF("N",[0]!_xlnm.Print_Area,"AAAAAHWTexE=")</f>
        <v>#VALUE!</v>
      </c>
      <c r="S44" t="e">
        <f>IF("N",[0]!_xlnm.Print_Area,"AAAAAHWTexI=")</f>
        <v>#VALUE!</v>
      </c>
      <c r="T44" t="e">
        <f>IF("N",[0]!_xlnm.Print_Area,"AAAAAHWTexM=")</f>
        <v>#VALUE!</v>
      </c>
      <c r="U44" t="e">
        <f>IF("N",[0]!_xlnm.Print_Area,"AAAAAHWTexQ=")</f>
        <v>#VALUE!</v>
      </c>
      <c r="V44" t="e">
        <f>IF("N",[0]!_xlnm.Print_Area,"AAAAAHWTexU=")</f>
        <v>#VALUE!</v>
      </c>
      <c r="W44" t="e">
        <f>IF("N",[0]!_xlnm.Print_Area,"AAAAAHWTexY=")</f>
        <v>#VALUE!</v>
      </c>
      <c r="X44" t="e">
        <f>IF("N",[0]!_xlnm.Print_Area,"AAAAAHWTexc=")</f>
        <v>#VALUE!</v>
      </c>
    </row>
    <row r="45" spans="1:44">
      <c r="A45" t="e">
        <f>IF("N",modèle!_xlnm.Print_Area,"AAAAAH77qwA=")</f>
        <v>#VALUE!</v>
      </c>
      <c r="B45" t="e">
        <f>IF("N",[0]!_xlnm.Print_Area,"AAAAAH77qwE=")</f>
        <v>#VALUE!</v>
      </c>
      <c r="C45" t="e">
        <f>IF("N",[0]!_xlnm.Print_Area,"AAAAAH77qwI=")</f>
        <v>#VALUE!</v>
      </c>
      <c r="D45" t="e">
        <f>IF("N",[0]!_xlnm.Print_Area,"AAAAAH77qwM=")</f>
        <v>#VALUE!</v>
      </c>
      <c r="E45" t="e">
        <f>IF("N",[0]!_xlnm.Print_Area,"AAAAAH77qwQ=")</f>
        <v>#VALUE!</v>
      </c>
      <c r="F45" t="e">
        <f>IF("N",[0]!_xlnm.Print_Area,"AAAAAH77qwU=")</f>
        <v>#VALUE!</v>
      </c>
      <c r="G45" t="e">
        <f>IF("N",[0]!_xlnm.Print_Area,"AAAAAH77qwY=")</f>
        <v>#VALUE!</v>
      </c>
      <c r="H45" t="e">
        <f>IF("N",[0]!_xlnm.Print_Area,"AAAAAH77qwc=")</f>
        <v>#VALUE!</v>
      </c>
      <c r="I45" t="e">
        <f>IF("N",[0]!_xlnm.Print_Area,"AAAAAH77qwg=")</f>
        <v>#VALUE!</v>
      </c>
      <c r="J45" t="e">
        <f>IF("N",[0]!_xlnm.Print_Area,"AAAAAH77qwk=")</f>
        <v>#VALUE!</v>
      </c>
      <c r="K45" t="e">
        <f>IF("N",[0]!_xlnm.Print_Area,"AAAAAH77qwo=")</f>
        <v>#VALUE!</v>
      </c>
      <c r="L45" t="e">
        <f>IF("N",[0]!_xlnm.Print_Area,"AAAAAH77qws=")</f>
        <v>#VALUE!</v>
      </c>
      <c r="M45" t="e">
        <f>IF("N",[0]!_xlnm.Print_Area,"AAAAAH77qww=")</f>
        <v>#VALUE!</v>
      </c>
      <c r="N45" t="e">
        <f>IF("N",[0]!_xlnm.Print_Area,"AAAAAH77qw0=")</f>
        <v>#VALUE!</v>
      </c>
      <c r="O45" t="e">
        <f>IF("N",[0]!_xlnm.Print_Area,"AAAAAH77qw4=")</f>
        <v>#VALUE!</v>
      </c>
      <c r="P45" t="e">
        <f>IF("N",[0]!_xlnm.Print_Area,"AAAAAH77qw8=")</f>
        <v>#VALUE!</v>
      </c>
      <c r="Q45" t="e">
        <f>IF("N",[0]!_xlnm.Print_Area,"AAAAAH77qxA=")</f>
        <v>#VALUE!</v>
      </c>
      <c r="R45" t="e">
        <f>IF("N",[0]!_xlnm.Print_Area,"AAAAAH77qxE=")</f>
        <v>#VALUE!</v>
      </c>
      <c r="S45" t="e">
        <f>IF("N",[0]!_xlnm.Print_Area,"AAAAAH77qxI=")</f>
        <v>#VALUE!</v>
      </c>
      <c r="T45" t="e">
        <f>IF("N",[0]!_xlnm.Print_Area,"AAAAAH77qxM=")</f>
        <v>#VALUE!</v>
      </c>
      <c r="U45" t="e">
        <f>IF("N",[0]!_xlnm.Print_Area,"AAAAAH77qxQ=")</f>
        <v>#VALUE!</v>
      </c>
      <c r="V45" t="e">
        <f>IF("N",[0]!_xlnm.Print_Area,"AAAAAH77qxU=")</f>
        <v>#VALUE!</v>
      </c>
      <c r="W45" t="e">
        <f>IF("N",[0]!_xlnm.Print_Area,"AAAAAH77qxY=")</f>
        <v>#VALUE!</v>
      </c>
      <c r="X45" t="e">
        <f>IF("N",[0]!_xlnm.Print_Area,"AAAAAH77qxc=")</f>
        <v>#VALUE!</v>
      </c>
    </row>
    <row r="46" spans="1:44">
      <c r="A46" t="e">
        <f>AND(#REF!,"AAAAAF078wA=")</f>
        <v>#REF!</v>
      </c>
      <c r="B46" t="e">
        <f>AND(#REF!,"AAAAAF078wE=")</f>
        <v>#REF!</v>
      </c>
      <c r="C46" t="e">
        <f>AND(#REF!,"AAAAAF078wI=")</f>
        <v>#REF!</v>
      </c>
      <c r="D46" t="e">
        <f>AND(#REF!,"AAAAAF078wM=")</f>
        <v>#REF!</v>
      </c>
      <c r="E46" t="e">
        <f>AND(#REF!,"AAAAAF078wQ=")</f>
        <v>#REF!</v>
      </c>
      <c r="F46" t="e">
        <f>IF("N",modèle!_xlnm.Print_Area,"AAAAAF078wU=")</f>
        <v>#VALUE!</v>
      </c>
      <c r="G46" t="e">
        <f>IF("N",[0]!_xlnm.Print_Area,"AAAAAF078wY=")</f>
        <v>#VALUE!</v>
      </c>
      <c r="H46" t="e">
        <f>IF("N",[0]!_xlnm.Print_Area,"AAAAAF078wc=")</f>
        <v>#VALUE!</v>
      </c>
      <c r="I46" t="e">
        <f>IF("N",[0]!_xlnm.Print_Area,"AAAAAF078wg=")</f>
        <v>#VALUE!</v>
      </c>
      <c r="J46" t="e">
        <f>IF("N",[0]!_xlnm.Print_Area,"AAAAAF078wk=")</f>
        <v>#VALUE!</v>
      </c>
      <c r="K46" t="e">
        <f>IF("N",[0]!_xlnm.Print_Area,"AAAAAF078wo=")</f>
        <v>#VALUE!</v>
      </c>
      <c r="L46" t="e">
        <f>IF("N",[0]!_xlnm.Print_Area,"AAAAAF078ws=")</f>
        <v>#VALUE!</v>
      </c>
      <c r="M46" t="e">
        <f>IF("N",[0]!_xlnm.Print_Area,"AAAAAF078ww=")</f>
        <v>#VALUE!</v>
      </c>
      <c r="N46" t="e">
        <f>IF("N",[0]!_xlnm.Print_Area,"AAAAAF078w0=")</f>
        <v>#VALUE!</v>
      </c>
      <c r="O46" t="e">
        <f>IF("N",[0]!_xlnm.Print_Area,"AAAAAF078w4=")</f>
        <v>#VALUE!</v>
      </c>
      <c r="P46" t="e">
        <f>IF("N",[0]!_xlnm.Print_Area,"AAAAAF078w8=")</f>
        <v>#VALUE!</v>
      </c>
      <c r="Q46" t="e">
        <f>IF("N",[0]!_xlnm.Print_Area,"AAAAAF078xA=")</f>
        <v>#VALUE!</v>
      </c>
      <c r="R46" t="e">
        <f>IF("N",[0]!_xlnm.Print_Area,"AAAAAF078xE=")</f>
        <v>#VALUE!</v>
      </c>
      <c r="S46" t="e">
        <f>IF("N",[0]!_xlnm.Print_Area,"AAAAAF078xI=")</f>
        <v>#VALUE!</v>
      </c>
      <c r="T46" t="e">
        <f>IF("N",[0]!_xlnm.Print_Area,"AAAAAF078xM=")</f>
        <v>#VALUE!</v>
      </c>
      <c r="U46" t="e">
        <f>IF("N",[0]!_xlnm.Print_Area,"AAAAAF078xQ=")</f>
        <v>#VALUE!</v>
      </c>
      <c r="V46" t="e">
        <f>IF("N",[0]!_xlnm.Print_Area,"AAAAAF078xU=")</f>
        <v>#VALUE!</v>
      </c>
      <c r="W46" t="e">
        <f>IF("N",[0]!_xlnm.Print_Area,"AAAAAF078xY=")</f>
        <v>#VALUE!</v>
      </c>
      <c r="X46" t="e">
        <f>IF("N",[0]!_xlnm.Print_Area,"AAAAAF078xc=")</f>
        <v>#VALUE!</v>
      </c>
      <c r="Y46" t="e">
        <f>IF("N",[0]!_xlnm.Print_Area,"AAAAAF078xg=")</f>
        <v>#VALUE!</v>
      </c>
      <c r="Z46" t="e">
        <f>IF("N",[0]!_xlnm.Print_Area,"AAAAAF078xk=")</f>
        <v>#VALUE!</v>
      </c>
      <c r="AA46" t="e">
        <f>IF("N",[0]!_xlnm.Print_Area,"AAAAAF078xo=")</f>
        <v>#VALUE!</v>
      </c>
      <c r="AB46" t="e">
        <f>IF("N",[0]!_xlnm.Print_Area,"AAAAAF078xs=")</f>
        <v>#VALUE!</v>
      </c>
      <c r="AC46" t="e">
        <f>IF("N",[0]!_xlnm.Print_Area,"AAAAAF078xw=")</f>
        <v>#VALUE!</v>
      </c>
    </row>
    <row r="47" spans="1:44">
      <c r="A47" t="e">
        <f>IF("N",modèle!_xlnm.Print_Area,"AAAAADsvdgA=")</f>
        <v>#VALUE!</v>
      </c>
      <c r="B47" t="e">
        <f>IF("N",[0]!_xlnm.Print_Area,"AAAAADsvdgE=")</f>
        <v>#VALUE!</v>
      </c>
      <c r="C47" t="e">
        <f>IF("N",[0]!_xlnm.Print_Area,"AAAAADsvdgI=")</f>
        <v>#VALUE!</v>
      </c>
      <c r="D47" t="e">
        <f>IF("N",[0]!_xlnm.Print_Area,"AAAAADsvdgM=")</f>
        <v>#VALUE!</v>
      </c>
      <c r="E47" t="e">
        <f>IF("N",[0]!_xlnm.Print_Area,"AAAAADsvdgQ=")</f>
        <v>#VALUE!</v>
      </c>
      <c r="F47" t="e">
        <f>IF("N",[0]!_xlnm.Print_Area,"AAAAADsvdgU=")</f>
        <v>#VALUE!</v>
      </c>
      <c r="G47" t="e">
        <f>IF("N",[0]!_xlnm.Print_Area,"AAAAADsvdgY=")</f>
        <v>#VALUE!</v>
      </c>
      <c r="H47" t="e">
        <f>IF("N",[0]!_xlnm.Print_Area,"AAAAADsvdgc=")</f>
        <v>#VALUE!</v>
      </c>
      <c r="I47" t="e">
        <f>IF("N",[0]!_xlnm.Print_Area,"AAAAADsvdgg=")</f>
        <v>#VALUE!</v>
      </c>
      <c r="J47" t="e">
        <f>IF("N",[0]!_xlnm.Print_Area,"AAAAADsvdgk=")</f>
        <v>#VALUE!</v>
      </c>
      <c r="K47" t="e">
        <f>IF("N",[0]!_xlnm.Print_Area,"AAAAADsvdgo=")</f>
        <v>#VALUE!</v>
      </c>
      <c r="L47" t="e">
        <f>IF("N",[0]!_xlnm.Print_Area,"AAAAADsvdgs=")</f>
        <v>#VALUE!</v>
      </c>
      <c r="M47" t="e">
        <f>IF("N",[0]!_xlnm.Print_Area,"AAAAADsvdgw=")</f>
        <v>#VALUE!</v>
      </c>
      <c r="N47" t="e">
        <f>IF("N",[0]!_xlnm.Print_Area,"AAAAADsvdg0=")</f>
        <v>#VALUE!</v>
      </c>
      <c r="O47" t="e">
        <f>IF("N",[0]!_xlnm.Print_Area,"AAAAADsvdg4=")</f>
        <v>#VALUE!</v>
      </c>
      <c r="P47" t="e">
        <f>IF("N",[0]!_xlnm.Print_Area,"AAAAADsvdg8=")</f>
        <v>#VALUE!</v>
      </c>
      <c r="Q47" t="e">
        <f>IF("N",[0]!_xlnm.Print_Area,"AAAAADsvdhA=")</f>
        <v>#VALUE!</v>
      </c>
      <c r="R47" t="e">
        <f>IF("N",[0]!_xlnm.Print_Area,"AAAAADsvdhE=")</f>
        <v>#VALUE!</v>
      </c>
      <c r="S47" t="e">
        <f>IF("N",[0]!_xlnm.Print_Area,"AAAAADsvdhI=")</f>
        <v>#VALUE!</v>
      </c>
      <c r="T47" t="e">
        <f>IF("N",[0]!_xlnm.Print_Area,"AAAAADsvdhM=")</f>
        <v>#VALUE!</v>
      </c>
      <c r="U47" t="e">
        <f>IF("N",[0]!_xlnm.Print_Area,"AAAAADsvdhQ=")</f>
        <v>#VALUE!</v>
      </c>
      <c r="V47" t="e">
        <f>IF("N",[0]!_xlnm.Print_Area,"AAAAADsvdhU=")</f>
        <v>#VALUE!</v>
      </c>
      <c r="W47" t="e">
        <f>IF("N",[0]!_xlnm.Print_Area,"AAAAADsvdhY=")</f>
        <v>#VALUE!</v>
      </c>
      <c r="X47" t="e">
        <f>IF("N",[0]!_xlnm.Print_Area,"AAAAADsvdhc=")</f>
        <v>#VALUE!</v>
      </c>
    </row>
    <row r="48" spans="1:44">
      <c r="A48" t="e">
        <f>IF("N",modèle!_xlnm.Print_Area,"AAAAAF3nvwA=")</f>
        <v>#VALUE!</v>
      </c>
      <c r="B48" t="e">
        <f>IF("N",[0]!_xlnm.Print_Area,"AAAAAF3nvwE=")</f>
        <v>#VALUE!</v>
      </c>
      <c r="C48" t="e">
        <f>IF("N",[0]!_xlnm.Print_Area,"AAAAAF3nvwI=")</f>
        <v>#VALUE!</v>
      </c>
      <c r="D48" t="e">
        <f>IF("N",[0]!_xlnm.Print_Area,"AAAAAF3nvwM=")</f>
        <v>#VALUE!</v>
      </c>
      <c r="E48" t="e">
        <f>IF("N",[0]!_xlnm.Print_Area,"AAAAAF3nvwQ=")</f>
        <v>#VALUE!</v>
      </c>
      <c r="F48" t="e">
        <f>IF("N",[0]!_xlnm.Print_Area,"AAAAAF3nvwU=")</f>
        <v>#VALUE!</v>
      </c>
      <c r="G48" t="e">
        <f>IF("N",[0]!_xlnm.Print_Area,"AAAAAF3nvwY=")</f>
        <v>#VALUE!</v>
      </c>
      <c r="H48" t="e">
        <f>IF("N",[0]!_xlnm.Print_Area,"AAAAAF3nvwc=")</f>
        <v>#VALUE!</v>
      </c>
      <c r="I48" t="e">
        <f>IF("N",[0]!_xlnm.Print_Area,"AAAAAF3nvwg=")</f>
        <v>#VALUE!</v>
      </c>
      <c r="J48" t="e">
        <f>IF("N",[0]!_xlnm.Print_Area,"AAAAAF3nvwk=")</f>
        <v>#VALUE!</v>
      </c>
      <c r="K48" t="e">
        <f>IF("N",[0]!_xlnm.Print_Area,"AAAAAF3nvwo=")</f>
        <v>#VALUE!</v>
      </c>
      <c r="L48" t="e">
        <f>IF("N",[0]!_xlnm.Print_Area,"AAAAAF3nvws=")</f>
        <v>#VALUE!</v>
      </c>
      <c r="M48" t="e">
        <f>IF("N",[0]!_xlnm.Print_Area,"AAAAAF3nvww=")</f>
        <v>#VALUE!</v>
      </c>
      <c r="N48" t="e">
        <f>IF("N",[0]!_xlnm.Print_Area,"AAAAAF3nvw0=")</f>
        <v>#VALUE!</v>
      </c>
      <c r="O48" t="e">
        <f>IF("N",[0]!_xlnm.Print_Area,"AAAAAF3nvw4=")</f>
        <v>#VALUE!</v>
      </c>
      <c r="P48" t="e">
        <f>IF("N",[0]!_xlnm.Print_Area,"AAAAAF3nvw8=")</f>
        <v>#VALUE!</v>
      </c>
      <c r="Q48" t="e">
        <f>IF("N",[0]!_xlnm.Print_Area,"AAAAAF3nvxA=")</f>
        <v>#VALUE!</v>
      </c>
      <c r="R48" t="e">
        <f>IF("N",[0]!_xlnm.Print_Area,"AAAAAF3nvxE=")</f>
        <v>#VALUE!</v>
      </c>
      <c r="S48" t="e">
        <f>IF("N",[0]!_xlnm.Print_Area,"AAAAAF3nvxI=")</f>
        <v>#VALUE!</v>
      </c>
      <c r="T48" t="e">
        <f>IF("N",[0]!_xlnm.Print_Area,"AAAAAF3nvxM=")</f>
        <v>#VALUE!</v>
      </c>
      <c r="U48" t="e">
        <f>IF("N",[0]!_xlnm.Print_Area,"AAAAAF3nvxQ=")</f>
        <v>#VALUE!</v>
      </c>
      <c r="V48" t="e">
        <f>IF("N",[0]!_xlnm.Print_Area,"AAAAAF3nvxU=")</f>
        <v>#VALUE!</v>
      </c>
      <c r="W48" t="e">
        <f>IF("N",[0]!_xlnm.Print_Area,"AAAAAF3nvxY=")</f>
        <v>#VALUE!</v>
      </c>
      <c r="X48" t="e">
        <f>IF("N",[0]!_xlnm.Print_Area,"AAAAAF3nvxc=")</f>
        <v>#VALUE!</v>
      </c>
    </row>
    <row r="49" spans="1:194">
      <c r="A49" t="e">
        <f>AND(#REF!,"AAAAAHffrwA=")</f>
        <v>#REF!</v>
      </c>
      <c r="B49" t="e">
        <f>AND(#REF!,"AAAAAHffrwE=")</f>
        <v>#REF!</v>
      </c>
      <c r="C49" t="e">
        <f>AND(#REF!,"AAAAAHffrwI=")</f>
        <v>#REF!</v>
      </c>
      <c r="D49" t="e">
        <f>AND(#REF!,"AAAAAHffrwM=")</f>
        <v>#REF!</v>
      </c>
      <c r="E49" t="e">
        <f>AND(#REF!,"AAAAAHffrwQ=")</f>
        <v>#REF!</v>
      </c>
      <c r="F49" t="e">
        <f>IF("N",modèle!_xlnm.Print_Area,"AAAAAHffrwU=")</f>
        <v>#VALUE!</v>
      </c>
      <c r="G49" t="e">
        <f>IF("N",[0]!_xlnm.Print_Area,"AAAAAHffrwY=")</f>
        <v>#VALUE!</v>
      </c>
      <c r="H49" t="e">
        <f>IF("N",[0]!_xlnm.Print_Area,"AAAAAHffrwc=")</f>
        <v>#VALUE!</v>
      </c>
      <c r="I49" t="e">
        <f>IF("N",[0]!_xlnm.Print_Area,"AAAAAHffrwg=")</f>
        <v>#VALUE!</v>
      </c>
      <c r="J49" t="e">
        <f>IF("N",[0]!_xlnm.Print_Area,"AAAAAHffrwk=")</f>
        <v>#VALUE!</v>
      </c>
      <c r="K49" t="e">
        <f>IF("N",[0]!_xlnm.Print_Area,"AAAAAHffrwo=")</f>
        <v>#VALUE!</v>
      </c>
      <c r="L49" t="e">
        <f>IF("N",[0]!_xlnm.Print_Area,"AAAAAHffrws=")</f>
        <v>#VALUE!</v>
      </c>
      <c r="M49" t="e">
        <f>IF("N",[0]!_xlnm.Print_Area,"AAAAAHffrww=")</f>
        <v>#VALUE!</v>
      </c>
      <c r="N49" t="e">
        <f>IF("N",[0]!_xlnm.Print_Area,"AAAAAHffrw0=")</f>
        <v>#VALUE!</v>
      </c>
      <c r="O49" t="e">
        <f>IF("N",[0]!_xlnm.Print_Area,"AAAAAHffrw4=")</f>
        <v>#VALUE!</v>
      </c>
      <c r="P49" t="e">
        <f>IF("N",[0]!_xlnm.Print_Area,"AAAAAHffrw8=")</f>
        <v>#VALUE!</v>
      </c>
      <c r="Q49" t="e">
        <f>IF("N",[0]!_xlnm.Print_Area,"AAAAAHffrxA=")</f>
        <v>#VALUE!</v>
      </c>
      <c r="R49" t="e">
        <f>IF("N",[0]!_xlnm.Print_Area,"AAAAAHffrxE=")</f>
        <v>#VALUE!</v>
      </c>
      <c r="S49" t="e">
        <f>IF("N",[0]!_xlnm.Print_Area,"AAAAAHffrxI=")</f>
        <v>#VALUE!</v>
      </c>
      <c r="T49" t="e">
        <f>IF("N",[0]!_xlnm.Print_Area,"AAAAAHffrxM=")</f>
        <v>#VALUE!</v>
      </c>
      <c r="U49" t="e">
        <f>IF("N",[0]!_xlnm.Print_Area,"AAAAAHffrxQ=")</f>
        <v>#VALUE!</v>
      </c>
      <c r="V49" t="e">
        <f>IF("N",[0]!_xlnm.Print_Area,"AAAAAHffrxU=")</f>
        <v>#VALUE!</v>
      </c>
      <c r="W49" t="e">
        <f>IF("N",[0]!_xlnm.Print_Area,"AAAAAHffrxY=")</f>
        <v>#VALUE!</v>
      </c>
      <c r="X49" t="e">
        <f>IF("N",[0]!_xlnm.Print_Area,"AAAAAHffrxc=")</f>
        <v>#VALUE!</v>
      </c>
      <c r="Y49" t="e">
        <f>IF("N",[0]!_xlnm.Print_Area,"AAAAAHffrxg=")</f>
        <v>#VALUE!</v>
      </c>
      <c r="Z49" t="e">
        <f>IF("N",[0]!_xlnm.Print_Area,"AAAAAHffrxk=")</f>
        <v>#VALUE!</v>
      </c>
      <c r="AA49" t="e">
        <f>IF("N",[0]!_xlnm.Print_Area,"AAAAAHffrxo=")</f>
        <v>#VALUE!</v>
      </c>
      <c r="AB49" t="e">
        <f>IF("N",[0]!_xlnm.Print_Area,"AAAAAHffrxs=")</f>
        <v>#VALUE!</v>
      </c>
      <c r="AC49" t="e">
        <f>IF("N",[0]!_xlnm.Print_Area,"AAAAAHffrxw=")</f>
        <v>#VALUE!</v>
      </c>
    </row>
    <row r="50" spans="1:194">
      <c r="A50" t="e">
        <f>IF("N",modèle!_xlnm.Print_Area,"AAAAAG/7rQA=")</f>
        <v>#VALUE!</v>
      </c>
      <c r="B50" t="e">
        <f>IF("N",[0]!_xlnm.Print_Area,"AAAAAG/7rQE=")</f>
        <v>#VALUE!</v>
      </c>
      <c r="C50" t="e">
        <f>IF("N",[0]!_xlnm.Print_Area,"AAAAAG/7rQI=")</f>
        <v>#VALUE!</v>
      </c>
      <c r="D50" t="e">
        <f>IF("N",[0]!_xlnm.Print_Area,"AAAAAG/7rQM=")</f>
        <v>#VALUE!</v>
      </c>
      <c r="E50" t="e">
        <f>IF("N",[0]!_xlnm.Print_Area,"AAAAAG/7rQQ=")</f>
        <v>#VALUE!</v>
      </c>
      <c r="F50" t="e">
        <f>IF("N",[0]!_xlnm.Print_Area,"AAAAAG/7rQU=")</f>
        <v>#VALUE!</v>
      </c>
      <c r="G50" t="e">
        <f>IF("N",[0]!_xlnm.Print_Area,"AAAAAG/7rQY=")</f>
        <v>#VALUE!</v>
      </c>
      <c r="H50" t="e">
        <f>IF("N",[0]!_xlnm.Print_Area,"AAAAAG/7rQc=")</f>
        <v>#VALUE!</v>
      </c>
      <c r="I50" t="e">
        <f>IF("N",[0]!_xlnm.Print_Area,"AAAAAG/7rQg=")</f>
        <v>#VALUE!</v>
      </c>
      <c r="J50" t="e">
        <f>IF("N",[0]!_xlnm.Print_Area,"AAAAAG/7rQk=")</f>
        <v>#VALUE!</v>
      </c>
      <c r="K50" t="e">
        <f>IF("N",[0]!_xlnm.Print_Area,"AAAAAG/7rQo=")</f>
        <v>#VALUE!</v>
      </c>
      <c r="L50" t="e">
        <f>IF("N",[0]!_xlnm.Print_Area,"AAAAAG/7rQs=")</f>
        <v>#VALUE!</v>
      </c>
      <c r="M50" t="e">
        <f>IF("N",[0]!_xlnm.Print_Area,"AAAAAG/7rQw=")</f>
        <v>#VALUE!</v>
      </c>
      <c r="N50" t="e">
        <f>IF("N",[0]!_xlnm.Print_Area,"AAAAAG/7rQ0=")</f>
        <v>#VALUE!</v>
      </c>
      <c r="O50" t="e">
        <f>IF("N",[0]!_xlnm.Print_Area,"AAAAAG/7rQ4=")</f>
        <v>#VALUE!</v>
      </c>
      <c r="P50" t="e">
        <f>IF("N",[0]!_xlnm.Print_Area,"AAAAAG/7rQ8=")</f>
        <v>#VALUE!</v>
      </c>
      <c r="Q50" t="e">
        <f>IF("N",[0]!_xlnm.Print_Area,"AAAAAG/7rRA=")</f>
        <v>#VALUE!</v>
      </c>
      <c r="R50" t="e">
        <f>IF("N",[0]!_xlnm.Print_Area,"AAAAAG/7rRE=")</f>
        <v>#VALUE!</v>
      </c>
      <c r="S50" t="e">
        <f>IF("N",[0]!_xlnm.Print_Area,"AAAAAG/7rRI=")</f>
        <v>#VALUE!</v>
      </c>
      <c r="T50" t="e">
        <f>IF("N",[0]!_xlnm.Print_Area,"AAAAAG/7rRM=")</f>
        <v>#VALUE!</v>
      </c>
      <c r="U50" t="e">
        <f>IF("N",[0]!_xlnm.Print_Area,"AAAAAG/7rRQ=")</f>
        <v>#VALUE!</v>
      </c>
      <c r="V50" t="e">
        <f>IF("N",[0]!_xlnm.Print_Area,"AAAAAG/7rRU=")</f>
        <v>#VALUE!</v>
      </c>
      <c r="W50" t="e">
        <f>IF("N",[0]!_xlnm.Print_Area,"AAAAAG/7rRY=")</f>
        <v>#VALUE!</v>
      </c>
      <c r="X50" t="e">
        <f>IF("N",[0]!_xlnm.Print_Area,"AAAAAG/7rRc=")</f>
        <v>#VALUE!</v>
      </c>
    </row>
    <row r="51" spans="1:194">
      <c r="A51" t="e">
        <f>IF("N",modèle!_xlnm.Print_Area,"AAAAAH/v/wA=")</f>
        <v>#VALUE!</v>
      </c>
      <c r="B51" t="e">
        <f>IF("N",[0]!_xlnm.Print_Area,"AAAAAH/v/wE=")</f>
        <v>#VALUE!</v>
      </c>
      <c r="C51" t="e">
        <f>IF("N",[0]!_xlnm.Print_Area,"AAAAAH/v/wI=")</f>
        <v>#VALUE!</v>
      </c>
      <c r="D51" t="e">
        <f>IF("N",[0]!_xlnm.Print_Area,"AAAAAH/v/wM=")</f>
        <v>#VALUE!</v>
      </c>
      <c r="E51" t="e">
        <f>IF("N",[0]!_xlnm.Print_Area,"AAAAAH/v/wQ=")</f>
        <v>#VALUE!</v>
      </c>
      <c r="F51" t="e">
        <f>IF("N",[0]!_xlnm.Print_Area,"AAAAAH/v/wU=")</f>
        <v>#VALUE!</v>
      </c>
      <c r="G51" t="e">
        <f>IF("N",[0]!_xlnm.Print_Area,"AAAAAH/v/wY=")</f>
        <v>#VALUE!</v>
      </c>
      <c r="H51" t="e">
        <f>IF("N",[0]!_xlnm.Print_Area,"AAAAAH/v/wc=")</f>
        <v>#VALUE!</v>
      </c>
      <c r="I51" t="e">
        <f>IF("N",[0]!_xlnm.Print_Area,"AAAAAH/v/wg=")</f>
        <v>#VALUE!</v>
      </c>
      <c r="J51" t="e">
        <f>IF("N",[0]!_xlnm.Print_Area,"AAAAAH/v/wk=")</f>
        <v>#VALUE!</v>
      </c>
      <c r="K51" t="e">
        <f>IF("N",[0]!_xlnm.Print_Area,"AAAAAH/v/wo=")</f>
        <v>#VALUE!</v>
      </c>
      <c r="L51" t="e">
        <f>IF("N",[0]!_xlnm.Print_Area,"AAAAAH/v/ws=")</f>
        <v>#VALUE!</v>
      </c>
      <c r="M51" t="e">
        <f>IF("N",[0]!_xlnm.Print_Area,"AAAAAH/v/ww=")</f>
        <v>#VALUE!</v>
      </c>
      <c r="N51" t="e">
        <f>IF("N",[0]!_xlnm.Print_Area,"AAAAAH/v/w0=")</f>
        <v>#VALUE!</v>
      </c>
      <c r="O51" t="e">
        <f>IF("N",[0]!_xlnm.Print_Area,"AAAAAH/v/w4=")</f>
        <v>#VALUE!</v>
      </c>
      <c r="P51" t="e">
        <f>IF("N",[0]!_xlnm.Print_Area,"AAAAAH/v/w8=")</f>
        <v>#VALUE!</v>
      </c>
      <c r="Q51" t="e">
        <f>IF("N",[0]!_xlnm.Print_Area,"AAAAAH/v/xA=")</f>
        <v>#VALUE!</v>
      </c>
      <c r="R51" t="e">
        <f>IF("N",[0]!_xlnm.Print_Area,"AAAAAH/v/xE=")</f>
        <v>#VALUE!</v>
      </c>
      <c r="S51" t="e">
        <f>IF("N",[0]!_xlnm.Print_Area,"AAAAAH/v/xI=")</f>
        <v>#VALUE!</v>
      </c>
      <c r="T51" t="e">
        <f>IF("N",[0]!_xlnm.Print_Area,"AAAAAH/v/xM=")</f>
        <v>#VALUE!</v>
      </c>
      <c r="U51" t="e">
        <f>IF("N",[0]!_xlnm.Print_Area,"AAAAAH/v/xQ=")</f>
        <v>#VALUE!</v>
      </c>
      <c r="V51" t="e">
        <f>IF("N",[0]!_xlnm.Print_Area,"AAAAAH/v/xU=")</f>
        <v>#VALUE!</v>
      </c>
      <c r="W51" t="e">
        <f>IF("N",[0]!_xlnm.Print_Area,"AAAAAH/v/xY=")</f>
        <v>#VALUE!</v>
      </c>
      <c r="X51" t="e">
        <f>IF("N",[0]!_xlnm.Print_Area,"AAAAAH/v/xc=")</f>
        <v>#VALUE!</v>
      </c>
    </row>
    <row r="52" spans="1:194">
      <c r="A52" t="e">
        <f>IF("N",modèle!_xlnm.Print_Area,"AAAAAGXbGwA=")</f>
        <v>#VALUE!</v>
      </c>
      <c r="B52" t="e">
        <f>IF("N",[0]!_xlnm.Print_Area,"AAAAAGXbGwE=")</f>
        <v>#VALUE!</v>
      </c>
      <c r="C52" t="e">
        <f>IF("N",[0]!_xlnm.Print_Area,"AAAAAGXbGwI=")</f>
        <v>#VALUE!</v>
      </c>
      <c r="D52" t="e">
        <f>IF("N",[0]!_xlnm.Print_Area,"AAAAAGXbGwM=")</f>
        <v>#VALUE!</v>
      </c>
      <c r="E52" t="e">
        <f>IF("N",[0]!_xlnm.Print_Area,"AAAAAGXbGwQ=")</f>
        <v>#VALUE!</v>
      </c>
      <c r="F52" t="e">
        <f>IF("N",[0]!_xlnm.Print_Area,"AAAAAGXbGwU=")</f>
        <v>#VALUE!</v>
      </c>
      <c r="G52" t="e">
        <f>IF("N",[0]!_xlnm.Print_Area,"AAAAAGXbGwY=")</f>
        <v>#VALUE!</v>
      </c>
      <c r="H52" t="e">
        <f>IF("N",[0]!_xlnm.Print_Area,"AAAAAGXbGwc=")</f>
        <v>#VALUE!</v>
      </c>
      <c r="I52" t="e">
        <f>IF("N",[0]!_xlnm.Print_Area,"AAAAAGXbGwg=")</f>
        <v>#VALUE!</v>
      </c>
      <c r="J52" t="e">
        <f>IF("N",[0]!_xlnm.Print_Area,"AAAAAGXbGwk=")</f>
        <v>#VALUE!</v>
      </c>
      <c r="K52" t="e">
        <f>IF("N",[0]!_xlnm.Print_Area,"AAAAAGXbGwo=")</f>
        <v>#VALUE!</v>
      </c>
      <c r="L52" t="e">
        <f>IF("N",[0]!_xlnm.Print_Area,"AAAAAGXbGws=")</f>
        <v>#VALUE!</v>
      </c>
      <c r="M52" t="e">
        <f>IF("N",[0]!_xlnm.Print_Area,"AAAAAGXbGww=")</f>
        <v>#VALUE!</v>
      </c>
      <c r="N52" t="e">
        <f>IF("N",[0]!_xlnm.Print_Area,"AAAAAGXbGw0=")</f>
        <v>#VALUE!</v>
      </c>
      <c r="O52" t="e">
        <f>IF("N",[0]!_xlnm.Print_Area,"AAAAAGXbGw4=")</f>
        <v>#VALUE!</v>
      </c>
      <c r="P52" t="e">
        <f>IF("N",[0]!_xlnm.Print_Area,"AAAAAGXbGw8=")</f>
        <v>#VALUE!</v>
      </c>
      <c r="Q52" t="e">
        <f>IF("N",[0]!_xlnm.Print_Area,"AAAAAGXbGxA=")</f>
        <v>#VALUE!</v>
      </c>
      <c r="R52" t="e">
        <f>IF("N",[0]!_xlnm.Print_Area,"AAAAAGXbGxE=")</f>
        <v>#VALUE!</v>
      </c>
      <c r="S52" t="e">
        <f>IF("N",[0]!_xlnm.Print_Area,"AAAAAGXbGxI=")</f>
        <v>#VALUE!</v>
      </c>
      <c r="T52" t="e">
        <f>IF("N",[0]!_xlnm.Print_Area,"AAAAAGXbGxM=")</f>
        <v>#VALUE!</v>
      </c>
      <c r="U52" t="e">
        <f>IF("N",[0]!_xlnm.Print_Area,"AAAAAGXbGxQ=")</f>
        <v>#VALUE!</v>
      </c>
      <c r="V52" t="e">
        <f>IF("N",[0]!_xlnm.Print_Area,"AAAAAGXbGxU=")</f>
        <v>#VALUE!</v>
      </c>
      <c r="W52" t="e">
        <f>IF("N",[0]!_xlnm.Print_Area,"AAAAAGXbGxY=")</f>
        <v>#VALUE!</v>
      </c>
      <c r="X52" t="e">
        <f>IF("N",[0]!_xlnm.Print_Area,"AAAAAGXbGxc=")</f>
        <v>#VALUE!</v>
      </c>
    </row>
    <row r="53" spans="1:194">
      <c r="A53" t="e">
        <f>IF("N",modèle!_xlnm.Print_Area,"AAAAAHfdXwA=")</f>
        <v>#VALUE!</v>
      </c>
      <c r="B53" t="e">
        <f>IF("N",[0]!_xlnm.Print_Area,"AAAAAHfdXwE=")</f>
        <v>#VALUE!</v>
      </c>
      <c r="C53" t="e">
        <f>IF("N",[0]!_xlnm.Print_Area,"AAAAAHfdXwI=")</f>
        <v>#VALUE!</v>
      </c>
      <c r="D53" t="e">
        <f>IF("N",[0]!_xlnm.Print_Area,"AAAAAHfdXwM=")</f>
        <v>#VALUE!</v>
      </c>
      <c r="E53" t="e">
        <f>IF("N",[0]!_xlnm.Print_Area,"AAAAAHfdXwQ=")</f>
        <v>#VALUE!</v>
      </c>
      <c r="F53" t="e">
        <f>IF("N",[0]!_xlnm.Print_Area,"AAAAAHfdXwU=")</f>
        <v>#VALUE!</v>
      </c>
      <c r="G53" t="e">
        <f>IF("N",[0]!_xlnm.Print_Area,"AAAAAHfdXwY=")</f>
        <v>#VALUE!</v>
      </c>
      <c r="H53" t="e">
        <f>IF("N",[0]!_xlnm.Print_Area,"AAAAAHfdXwc=")</f>
        <v>#VALUE!</v>
      </c>
      <c r="I53" t="e">
        <f>IF("N",[0]!_xlnm.Print_Area,"AAAAAHfdXwg=")</f>
        <v>#VALUE!</v>
      </c>
      <c r="J53" t="e">
        <f>IF("N",[0]!_xlnm.Print_Area,"AAAAAHfdXwk=")</f>
        <v>#VALUE!</v>
      </c>
      <c r="K53" t="e">
        <f>IF("N",[0]!_xlnm.Print_Area,"AAAAAHfdXwo=")</f>
        <v>#VALUE!</v>
      </c>
      <c r="L53" t="e">
        <f>IF("N",[0]!_xlnm.Print_Area,"AAAAAHfdXws=")</f>
        <v>#VALUE!</v>
      </c>
      <c r="M53" t="e">
        <f>IF("N",[0]!_xlnm.Print_Area,"AAAAAHfdXww=")</f>
        <v>#VALUE!</v>
      </c>
      <c r="N53" t="e">
        <f>IF("N",[0]!_xlnm.Print_Area,"AAAAAHfdXw0=")</f>
        <v>#VALUE!</v>
      </c>
      <c r="O53" t="e">
        <f>IF("N",[0]!_xlnm.Print_Area,"AAAAAHfdXw4=")</f>
        <v>#VALUE!</v>
      </c>
      <c r="P53" t="e">
        <f>IF("N",[0]!_xlnm.Print_Area,"AAAAAHfdXw8=")</f>
        <v>#VALUE!</v>
      </c>
      <c r="Q53" t="e">
        <f>IF("N",[0]!_xlnm.Print_Area,"AAAAAHfdXxA=")</f>
        <v>#VALUE!</v>
      </c>
      <c r="R53" t="e">
        <f>IF("N",[0]!_xlnm.Print_Area,"AAAAAHfdXxE=")</f>
        <v>#VALUE!</v>
      </c>
      <c r="S53" t="e">
        <f>IF("N",[0]!_xlnm.Print_Area,"AAAAAHfdXxI=")</f>
        <v>#VALUE!</v>
      </c>
      <c r="T53" t="e">
        <f>IF("N",[0]!_xlnm.Print_Area,"AAAAAHfdXxM=")</f>
        <v>#VALUE!</v>
      </c>
      <c r="U53" t="e">
        <f>IF("N",[0]!_xlnm.Print_Area,"AAAAAHfdXxQ=")</f>
        <v>#VALUE!</v>
      </c>
      <c r="V53" t="e">
        <f>IF("N",[0]!_xlnm.Print_Area,"AAAAAHfdXxU=")</f>
        <v>#VALUE!</v>
      </c>
      <c r="W53" t="e">
        <f>IF("N",[0]!_xlnm.Print_Area,"AAAAAHfdXxY=")</f>
        <v>#VALUE!</v>
      </c>
      <c r="X53" t="e">
        <f>IF("N",[0]!_xlnm.Print_Area,"AAAAAHfdXxc=")</f>
        <v>#VALUE!</v>
      </c>
    </row>
    <row r="54" spans="1:194">
      <c r="A54" t="e">
        <f>IF("N",modèle!_xlnm.Print_Area,"AAAAAE/e/gA=")</f>
        <v>#VALUE!</v>
      </c>
      <c r="B54" t="e">
        <f>IF("N",[0]!_xlnm.Print_Area,"AAAAAE/e/gE=")</f>
        <v>#VALUE!</v>
      </c>
      <c r="C54" t="e">
        <f>IF("N",[0]!_xlnm.Print_Area,"AAAAAE/e/gI=")</f>
        <v>#VALUE!</v>
      </c>
      <c r="D54" t="e">
        <f>IF("N",[0]!_xlnm.Print_Area,"AAAAAE/e/gM=")</f>
        <v>#VALUE!</v>
      </c>
      <c r="E54" t="e">
        <f>IF("N",[0]!_xlnm.Print_Area,"AAAAAE/e/gQ=")</f>
        <v>#VALUE!</v>
      </c>
      <c r="F54" t="e">
        <f>IF("N",[0]!_xlnm.Print_Area,"AAAAAE/e/gU=")</f>
        <v>#VALUE!</v>
      </c>
      <c r="G54" t="e">
        <f>IF("N",[0]!_xlnm.Print_Area,"AAAAAE/e/gY=")</f>
        <v>#VALUE!</v>
      </c>
      <c r="H54" t="e">
        <f>IF("N",[0]!_xlnm.Print_Area,"AAAAAE/e/gc=")</f>
        <v>#VALUE!</v>
      </c>
      <c r="I54" t="e">
        <f>IF("N",[0]!_xlnm.Print_Area,"AAAAAE/e/gg=")</f>
        <v>#VALUE!</v>
      </c>
      <c r="J54" t="e">
        <f>IF("N",[0]!_xlnm.Print_Area,"AAAAAE/e/gk=")</f>
        <v>#VALUE!</v>
      </c>
      <c r="K54" t="e">
        <f>IF("N",[0]!_xlnm.Print_Area,"AAAAAE/e/go=")</f>
        <v>#VALUE!</v>
      </c>
      <c r="L54" t="e">
        <f>IF("N",[0]!_xlnm.Print_Area,"AAAAAE/e/gs=")</f>
        <v>#VALUE!</v>
      </c>
      <c r="M54" t="e">
        <f>IF("N",[0]!_xlnm.Print_Area,"AAAAAE/e/gw=")</f>
        <v>#VALUE!</v>
      </c>
      <c r="N54" t="e">
        <f>IF("N",[0]!_xlnm.Print_Area,"AAAAAE/e/g0=")</f>
        <v>#VALUE!</v>
      </c>
      <c r="O54" t="e">
        <f>IF("N",[0]!_xlnm.Print_Area,"AAAAAE/e/g4=")</f>
        <v>#VALUE!</v>
      </c>
      <c r="P54" t="e">
        <f>IF("N",[0]!_xlnm.Print_Area,"AAAAAE/e/g8=")</f>
        <v>#VALUE!</v>
      </c>
      <c r="Q54" t="e">
        <f>IF("N",[0]!_xlnm.Print_Area,"AAAAAE/e/hA=")</f>
        <v>#VALUE!</v>
      </c>
      <c r="R54" t="e">
        <f>IF("N",[0]!_xlnm.Print_Area,"AAAAAE/e/hE=")</f>
        <v>#VALUE!</v>
      </c>
      <c r="S54" t="e">
        <f>IF("N",[0]!_xlnm.Print_Area,"AAAAAE/e/hI=")</f>
        <v>#VALUE!</v>
      </c>
      <c r="T54" t="e">
        <f>IF("N",[0]!_xlnm.Print_Area,"AAAAAE/e/hM=")</f>
        <v>#VALUE!</v>
      </c>
      <c r="U54" t="e">
        <f>IF("N",[0]!_xlnm.Print_Area,"AAAAAE/e/hQ=")</f>
        <v>#VALUE!</v>
      </c>
      <c r="V54" t="e">
        <f>IF("N",[0]!_xlnm.Print_Area,"AAAAAE/e/hU=")</f>
        <v>#VALUE!</v>
      </c>
      <c r="W54" t="e">
        <f>IF("N",[0]!_xlnm.Print_Area,"AAAAAE/e/hY=")</f>
        <v>#VALUE!</v>
      </c>
      <c r="X54" t="e">
        <f>IF("N",[0]!_xlnm.Print_Area,"AAAAAE/e/hc=")</f>
        <v>#VALUE!</v>
      </c>
    </row>
    <row r="55" spans="1:194">
      <c r="A55" t="e">
        <f>AND(#REF!,"AAAAAH5dfgA=")</f>
        <v>#REF!</v>
      </c>
      <c r="B55" t="e">
        <f>AND(#REF!,"AAAAAH5dfgE=")</f>
        <v>#REF!</v>
      </c>
      <c r="C55" t="e">
        <f>AND(#REF!,"AAAAAH5dfgI=")</f>
        <v>#REF!</v>
      </c>
      <c r="D55" t="e">
        <f>AND(#REF!,"AAAAAH5dfgM=")</f>
        <v>#REF!</v>
      </c>
      <c r="E55" t="e">
        <f>AND(#REF!,"AAAAAH5dfgQ=")</f>
        <v>#REF!</v>
      </c>
      <c r="F55" t="e">
        <f>AND(#REF!,"AAAAAH5dfgU=")</f>
        <v>#REF!</v>
      </c>
      <c r="G55" t="e">
        <f>AND(#REF!,"AAAAAH5dfgY=")</f>
        <v>#REF!</v>
      </c>
      <c r="H55" t="e">
        <f>AND(#REF!,"AAAAAH5dfgc=")</f>
        <v>#REF!</v>
      </c>
      <c r="I55" t="e">
        <f>AND(#REF!,"AAAAAH5dfgg=")</f>
        <v>#REF!</v>
      </c>
      <c r="J55" t="e">
        <f>AND(#REF!,"AAAAAH5dfgk=")</f>
        <v>#REF!</v>
      </c>
      <c r="K55" t="e">
        <f>AND(#REF!,"AAAAAH5dfgo=")</f>
        <v>#REF!</v>
      </c>
      <c r="L55" t="e">
        <f>AND(#REF!,"AAAAAH5dfgs=")</f>
        <v>#REF!</v>
      </c>
      <c r="M55" t="e">
        <f>AND(#REF!,"AAAAAH5dfgw=")</f>
        <v>#REF!</v>
      </c>
      <c r="N55" t="e">
        <f>AND(#REF!,"AAAAAH5dfg0=")</f>
        <v>#REF!</v>
      </c>
      <c r="O55" t="e">
        <f>AND(#REF!,"AAAAAH5dfg4=")</f>
        <v>#REF!</v>
      </c>
      <c r="P55" t="e">
        <f>AND(#REF!,"AAAAAH5dfg8=")</f>
        <v>#REF!</v>
      </c>
      <c r="Q55" t="e">
        <f>AND(#REF!,"AAAAAH5dfhA=")</f>
        <v>#REF!</v>
      </c>
      <c r="R55" t="e">
        <f>AND(#REF!,"AAAAAH5dfhE=")</f>
        <v>#REF!</v>
      </c>
      <c r="S55" t="e">
        <f>AND(#REF!,"AAAAAH5dfhI=")</f>
        <v>#REF!</v>
      </c>
      <c r="T55" t="e">
        <f>AND(#REF!,"AAAAAH5dfhM=")</f>
        <v>#REF!</v>
      </c>
      <c r="U55" t="e">
        <f>IF(#REF!,"AAAAAH5dfhQ=",0)</f>
        <v>#REF!</v>
      </c>
      <c r="V55" t="e">
        <f>AND(#REF!,"AAAAAH5dfhU=")</f>
        <v>#REF!</v>
      </c>
      <c r="W55" t="e">
        <f>AND(#REF!,"AAAAAH5dfhY=")</f>
        <v>#REF!</v>
      </c>
      <c r="X55" t="e">
        <f>AND(#REF!,"AAAAAH5dfhc=")</f>
        <v>#REF!</v>
      </c>
      <c r="Y55" t="e">
        <f>AND(#REF!,"AAAAAH5dfhg=")</f>
        <v>#REF!</v>
      </c>
      <c r="Z55" t="e">
        <f>AND(#REF!,"AAAAAH5dfhk=")</f>
        <v>#REF!</v>
      </c>
      <c r="AA55" t="e">
        <f>IF(#REF!,"AAAAAH5dfho=",0)</f>
        <v>#REF!</v>
      </c>
      <c r="AB55" t="e">
        <f>AND(#REF!,"AAAAAH5dfhs=")</f>
        <v>#REF!</v>
      </c>
      <c r="AC55" t="e">
        <f>AND(#REF!,"AAAAAH5dfhw=")</f>
        <v>#REF!</v>
      </c>
      <c r="AD55" t="e">
        <f>AND(#REF!,"AAAAAH5dfh0=")</f>
        <v>#REF!</v>
      </c>
      <c r="AE55" t="e">
        <f>AND(#REF!,"AAAAAH5dfh4=")</f>
        <v>#REF!</v>
      </c>
      <c r="AF55" t="e">
        <f>AND(#REF!,"AAAAAH5dfh8=")</f>
        <v>#REF!</v>
      </c>
      <c r="AG55" t="e">
        <f>IF(#REF!,"AAAAAH5dfiA=",0)</f>
        <v>#REF!</v>
      </c>
      <c r="AH55" t="e">
        <f>AND(#REF!,"AAAAAH5dfiE=")</f>
        <v>#REF!</v>
      </c>
      <c r="AI55" t="e">
        <f>AND(#REF!,"AAAAAH5dfiI=")</f>
        <v>#REF!</v>
      </c>
      <c r="AJ55" t="e">
        <f>AND(#REF!,"AAAAAH5dfiM=")</f>
        <v>#REF!</v>
      </c>
      <c r="AK55" t="e">
        <f>AND(#REF!,"AAAAAH5dfiQ=")</f>
        <v>#REF!</v>
      </c>
      <c r="AL55" t="e">
        <f>AND(#REF!,"AAAAAH5dfiU=")</f>
        <v>#REF!</v>
      </c>
      <c r="AM55" t="e">
        <f>IF(#REF!,"AAAAAH5dfiY=",0)</f>
        <v>#REF!</v>
      </c>
      <c r="AN55" t="e">
        <f>AND(#REF!,"AAAAAH5dfic=")</f>
        <v>#REF!</v>
      </c>
      <c r="AO55" t="e">
        <f>AND(#REF!,"AAAAAH5dfig=")</f>
        <v>#REF!</v>
      </c>
      <c r="AP55" t="e">
        <f>AND(#REF!,"AAAAAH5dfik=")</f>
        <v>#REF!</v>
      </c>
      <c r="AQ55" t="e">
        <f>AND(#REF!,"AAAAAH5dfio=")</f>
        <v>#REF!</v>
      </c>
      <c r="AR55" t="e">
        <f>AND(#REF!,"AAAAAH5dfis=")</f>
        <v>#REF!</v>
      </c>
      <c r="AS55" t="e">
        <f>IF(#REF!,"AAAAAH5dfiw=",0)</f>
        <v>#REF!</v>
      </c>
      <c r="AT55" t="e">
        <f>AND(#REF!,"AAAAAH5dfi0=")</f>
        <v>#REF!</v>
      </c>
      <c r="AU55" t="e">
        <f>AND(#REF!,"AAAAAH5dfi4=")</f>
        <v>#REF!</v>
      </c>
      <c r="AV55" t="e">
        <f>AND(#REF!,"AAAAAH5dfi8=")</f>
        <v>#REF!</v>
      </c>
      <c r="AW55" t="e">
        <f>AND(#REF!,"AAAAAH5dfjA=")</f>
        <v>#REF!</v>
      </c>
      <c r="AX55" t="e">
        <f>AND(#REF!,"AAAAAH5dfjE=")</f>
        <v>#REF!</v>
      </c>
      <c r="AY55" t="e">
        <f>IF(#REF!,"AAAAAH5dfjI=",0)</f>
        <v>#REF!</v>
      </c>
      <c r="AZ55" t="e">
        <f>AND(#REF!,"AAAAAH5dfjM=")</f>
        <v>#REF!</v>
      </c>
      <c r="BA55" t="e">
        <f>AND(#REF!,"AAAAAH5dfjQ=")</f>
        <v>#REF!</v>
      </c>
      <c r="BB55" t="e">
        <f>AND(#REF!,"AAAAAH5dfjU=")</f>
        <v>#REF!</v>
      </c>
      <c r="BC55" t="e">
        <f>AND(#REF!,"AAAAAH5dfjY=")</f>
        <v>#REF!</v>
      </c>
      <c r="BD55" t="e">
        <f>AND(#REF!,"AAAAAH5dfjc=")</f>
        <v>#REF!</v>
      </c>
      <c r="BE55" t="e">
        <f>IF(#REF!,"AAAAAH5dfjg=",0)</f>
        <v>#REF!</v>
      </c>
      <c r="BF55" t="e">
        <f>AND(#REF!,"AAAAAH5dfjk=")</f>
        <v>#REF!</v>
      </c>
      <c r="BG55" t="e">
        <f>AND(#REF!,"AAAAAH5dfjo=")</f>
        <v>#REF!</v>
      </c>
      <c r="BH55" t="e">
        <f>AND(#REF!,"AAAAAH5dfjs=")</f>
        <v>#REF!</v>
      </c>
      <c r="BI55" t="e">
        <f>AND(#REF!,"AAAAAH5dfjw=")</f>
        <v>#REF!</v>
      </c>
      <c r="BJ55" t="e">
        <f>AND(#REF!,"AAAAAH5dfj0=")</f>
        <v>#REF!</v>
      </c>
      <c r="BK55" t="e">
        <f>IF(#REF!,"AAAAAH5dfj4=",0)</f>
        <v>#REF!</v>
      </c>
      <c r="BL55" t="e">
        <f>AND(#REF!,"AAAAAH5dfj8=")</f>
        <v>#REF!</v>
      </c>
      <c r="BM55" t="e">
        <f>AND(#REF!,"AAAAAH5dfkA=")</f>
        <v>#REF!</v>
      </c>
      <c r="BN55" t="e">
        <f>AND(#REF!,"AAAAAH5dfkE=")</f>
        <v>#REF!</v>
      </c>
      <c r="BO55" t="e">
        <f>AND(#REF!,"AAAAAH5dfkI=")</f>
        <v>#REF!</v>
      </c>
      <c r="BP55" t="e">
        <f>AND(#REF!,"AAAAAH5dfkM=")</f>
        <v>#REF!</v>
      </c>
      <c r="BQ55" t="e">
        <f>IF(#REF!,"AAAAAH5dfkQ=",0)</f>
        <v>#REF!</v>
      </c>
      <c r="BR55" t="e">
        <f>AND(#REF!,"AAAAAH5dfkU=")</f>
        <v>#REF!</v>
      </c>
      <c r="BS55" t="e">
        <f>AND(#REF!,"AAAAAH5dfkY=")</f>
        <v>#REF!</v>
      </c>
      <c r="BT55" t="e">
        <f>AND(#REF!,"AAAAAH5dfkc=")</f>
        <v>#REF!</v>
      </c>
      <c r="BU55" t="e">
        <f>AND(#REF!,"AAAAAH5dfkg=")</f>
        <v>#REF!</v>
      </c>
      <c r="BV55" t="e">
        <f>AND(#REF!,"AAAAAH5dfkk=")</f>
        <v>#REF!</v>
      </c>
      <c r="BW55" t="e">
        <f>IF(#REF!,"AAAAAH5dfko=",0)</f>
        <v>#REF!</v>
      </c>
      <c r="BX55" t="e">
        <f>AND(#REF!,"AAAAAH5dfks=")</f>
        <v>#REF!</v>
      </c>
      <c r="BY55" t="e">
        <f>AND(#REF!,"AAAAAH5dfkw=")</f>
        <v>#REF!</v>
      </c>
      <c r="BZ55" t="e">
        <f>AND(#REF!,"AAAAAH5dfk0=")</f>
        <v>#REF!</v>
      </c>
      <c r="CA55" t="e">
        <f>AND(#REF!,"AAAAAH5dfk4=")</f>
        <v>#REF!</v>
      </c>
      <c r="CB55" t="e">
        <f>AND(#REF!,"AAAAAH5dfk8=")</f>
        <v>#REF!</v>
      </c>
      <c r="CC55" t="e">
        <f>IF(#REF!,"AAAAAH5dflA=",0)</f>
        <v>#REF!</v>
      </c>
      <c r="CD55" t="e">
        <f>AND(#REF!,"AAAAAH5dflE=")</f>
        <v>#REF!</v>
      </c>
      <c r="CE55" t="e">
        <f>AND(#REF!,"AAAAAH5dflI=")</f>
        <v>#REF!</v>
      </c>
      <c r="CF55" t="e">
        <f>AND(#REF!,"AAAAAH5dflM=")</f>
        <v>#REF!</v>
      </c>
      <c r="CG55" t="e">
        <f>AND(#REF!,"AAAAAH5dflQ=")</f>
        <v>#REF!</v>
      </c>
      <c r="CH55" t="e">
        <f>AND(#REF!,"AAAAAH5dflU=")</f>
        <v>#REF!</v>
      </c>
      <c r="CI55" t="e">
        <f>IF(#REF!,"AAAAAH5dflY=",0)</f>
        <v>#REF!</v>
      </c>
      <c r="CJ55" t="e">
        <f>AND(#REF!,"AAAAAH5dflc=")</f>
        <v>#REF!</v>
      </c>
      <c r="CK55" t="e">
        <f>AND(#REF!,"AAAAAH5dflg=")</f>
        <v>#REF!</v>
      </c>
      <c r="CL55" t="e">
        <f>AND(#REF!,"AAAAAH5dflk=")</f>
        <v>#REF!</v>
      </c>
      <c r="CM55" t="e">
        <f>AND(#REF!,"AAAAAH5dflo=")</f>
        <v>#REF!</v>
      </c>
      <c r="CN55" t="e">
        <f>AND(#REF!,"AAAAAH5dfls=")</f>
        <v>#REF!</v>
      </c>
      <c r="CO55" t="e">
        <f>IF(#REF!,"AAAAAH5dflw=",0)</f>
        <v>#REF!</v>
      </c>
      <c r="CP55" t="e">
        <f>AND(#REF!,"AAAAAH5dfl0=")</f>
        <v>#REF!</v>
      </c>
      <c r="CQ55" t="e">
        <f>AND(#REF!,"AAAAAH5dfl4=")</f>
        <v>#REF!</v>
      </c>
      <c r="CR55" t="e">
        <f>AND(#REF!,"AAAAAH5dfl8=")</f>
        <v>#REF!</v>
      </c>
      <c r="CS55" t="e">
        <f>AND(#REF!,"AAAAAH5dfmA=")</f>
        <v>#REF!</v>
      </c>
      <c r="CT55" t="e">
        <f>AND(#REF!,"AAAAAH5dfmE=")</f>
        <v>#REF!</v>
      </c>
      <c r="CU55" t="e">
        <f>IF(#REF!,"AAAAAH5dfmI=",0)</f>
        <v>#REF!</v>
      </c>
      <c r="CV55" t="e">
        <f>AND(#REF!,"AAAAAH5dfmM=")</f>
        <v>#REF!</v>
      </c>
      <c r="CW55" t="e">
        <f>AND(#REF!,"AAAAAH5dfmQ=")</f>
        <v>#REF!</v>
      </c>
      <c r="CX55" t="e">
        <f>AND(#REF!,"AAAAAH5dfmU=")</f>
        <v>#REF!</v>
      </c>
      <c r="CY55" t="e">
        <f>AND(#REF!,"AAAAAH5dfmY=")</f>
        <v>#REF!</v>
      </c>
      <c r="CZ55" t="e">
        <f>AND(#REF!,"AAAAAH5dfmc=")</f>
        <v>#REF!</v>
      </c>
      <c r="DA55" t="e">
        <f>IF(#REF!,"AAAAAH5dfmg=",0)</f>
        <v>#REF!</v>
      </c>
      <c r="DB55" t="e">
        <f>AND(#REF!,"AAAAAH5dfmk=")</f>
        <v>#REF!</v>
      </c>
      <c r="DC55" t="e">
        <f>AND(#REF!,"AAAAAH5dfmo=")</f>
        <v>#REF!</v>
      </c>
      <c r="DD55" t="e">
        <f>AND(#REF!,"AAAAAH5dfms=")</f>
        <v>#REF!</v>
      </c>
      <c r="DE55" t="e">
        <f>AND(#REF!,"AAAAAH5dfmw=")</f>
        <v>#REF!</v>
      </c>
      <c r="DF55" t="e">
        <f>AND(#REF!,"AAAAAH5dfm0=")</f>
        <v>#REF!</v>
      </c>
      <c r="DG55" t="e">
        <f>IF(#REF!,"AAAAAH5dfm4=",0)</f>
        <v>#REF!</v>
      </c>
      <c r="DH55" t="e">
        <f>AND(#REF!,"AAAAAH5dfm8=")</f>
        <v>#REF!</v>
      </c>
      <c r="DI55" t="e">
        <f>AND(#REF!,"AAAAAH5dfnA=")</f>
        <v>#REF!</v>
      </c>
      <c r="DJ55" t="e">
        <f>AND(#REF!,"AAAAAH5dfnE=")</f>
        <v>#REF!</v>
      </c>
      <c r="DK55" t="e">
        <f>AND(#REF!,"AAAAAH5dfnI=")</f>
        <v>#REF!</v>
      </c>
      <c r="DL55" t="e">
        <f>AND(#REF!,"AAAAAH5dfnM=")</f>
        <v>#REF!</v>
      </c>
      <c r="DM55" t="e">
        <f>IF(#REF!,"AAAAAH5dfnQ=",0)</f>
        <v>#REF!</v>
      </c>
      <c r="DN55" t="e">
        <f>AND(#REF!,"AAAAAH5dfnU=")</f>
        <v>#REF!</v>
      </c>
      <c r="DO55" t="e">
        <f>AND(#REF!,"AAAAAH5dfnY=")</f>
        <v>#REF!</v>
      </c>
      <c r="DP55" t="e">
        <f>AND(#REF!,"AAAAAH5dfnc=")</f>
        <v>#REF!</v>
      </c>
      <c r="DQ55" t="e">
        <f>AND(#REF!,"AAAAAH5dfng=")</f>
        <v>#REF!</v>
      </c>
      <c r="DR55" t="e">
        <f>AND(#REF!,"AAAAAH5dfnk=")</f>
        <v>#REF!</v>
      </c>
      <c r="DS55" t="e">
        <f>IF(#REF!,"AAAAAH5dfno=",0)</f>
        <v>#REF!</v>
      </c>
      <c r="DT55" t="e">
        <f>AND(#REF!,"AAAAAH5dfns=")</f>
        <v>#REF!</v>
      </c>
      <c r="DU55" t="e">
        <f>AND(#REF!,"AAAAAH5dfnw=")</f>
        <v>#REF!</v>
      </c>
      <c r="DV55" t="e">
        <f>AND(#REF!,"AAAAAH5dfn0=")</f>
        <v>#REF!</v>
      </c>
      <c r="DW55" t="e">
        <f>AND(#REF!,"AAAAAH5dfn4=")</f>
        <v>#REF!</v>
      </c>
      <c r="DX55" t="e">
        <f>AND(#REF!,"AAAAAH5dfn8=")</f>
        <v>#REF!</v>
      </c>
      <c r="DY55" t="e">
        <f>IF(#REF!,"AAAAAH5dfoA=",0)</f>
        <v>#REF!</v>
      </c>
      <c r="DZ55" t="e">
        <f>AND(#REF!,"AAAAAH5dfoE=")</f>
        <v>#REF!</v>
      </c>
      <c r="EA55" t="e">
        <f>AND(#REF!,"AAAAAH5dfoI=")</f>
        <v>#REF!</v>
      </c>
      <c r="EB55" t="e">
        <f>AND(#REF!,"AAAAAH5dfoM=")</f>
        <v>#REF!</v>
      </c>
      <c r="EC55" t="e">
        <f>AND(#REF!,"AAAAAH5dfoQ=")</f>
        <v>#REF!</v>
      </c>
      <c r="ED55" t="e">
        <f>AND(#REF!,"AAAAAH5dfoU=")</f>
        <v>#REF!</v>
      </c>
      <c r="EE55" t="e">
        <f>IF(#REF!,"AAAAAH5dfoY=",0)</f>
        <v>#REF!</v>
      </c>
      <c r="EF55" t="e">
        <f>AND(#REF!,"AAAAAH5dfoc=")</f>
        <v>#REF!</v>
      </c>
      <c r="EG55" t="e">
        <f>AND(#REF!,"AAAAAH5dfog=")</f>
        <v>#REF!</v>
      </c>
      <c r="EH55" t="e">
        <f>AND(#REF!,"AAAAAH5dfok=")</f>
        <v>#REF!</v>
      </c>
      <c r="EI55" t="e">
        <f>AND(#REF!,"AAAAAH5dfoo=")</f>
        <v>#REF!</v>
      </c>
      <c r="EJ55" t="e">
        <f>AND(#REF!,"AAAAAH5dfos=")</f>
        <v>#REF!</v>
      </c>
      <c r="EK55" t="e">
        <f>IF(#REF!,"AAAAAH5dfow=",0)</f>
        <v>#REF!</v>
      </c>
      <c r="EL55" t="e">
        <f>AND(#REF!,"AAAAAH5dfo0=")</f>
        <v>#REF!</v>
      </c>
      <c r="EM55" t="e">
        <f>AND(#REF!,"AAAAAH5dfo4=")</f>
        <v>#REF!</v>
      </c>
      <c r="EN55" t="e">
        <f>AND(#REF!,"AAAAAH5dfo8=")</f>
        <v>#REF!</v>
      </c>
      <c r="EO55" t="e">
        <f>AND(#REF!,"AAAAAH5dfpA=")</f>
        <v>#REF!</v>
      </c>
      <c r="EP55" t="e">
        <f>AND(#REF!,"AAAAAH5dfpE=")</f>
        <v>#REF!</v>
      </c>
      <c r="EQ55" t="e">
        <f>IF(#REF!,"AAAAAH5dfpI=",0)</f>
        <v>#REF!</v>
      </c>
      <c r="ER55" t="e">
        <f>AND(#REF!,"AAAAAH5dfpM=")</f>
        <v>#REF!</v>
      </c>
      <c r="ES55" t="e">
        <f>AND(#REF!,"AAAAAH5dfpQ=")</f>
        <v>#REF!</v>
      </c>
      <c r="ET55" t="e">
        <f>AND(#REF!,"AAAAAH5dfpU=")</f>
        <v>#REF!</v>
      </c>
      <c r="EU55" t="e">
        <f>AND(#REF!,"AAAAAH5dfpY=")</f>
        <v>#REF!</v>
      </c>
      <c r="EV55" t="e">
        <f>AND(#REF!,"AAAAAH5dfpc=")</f>
        <v>#REF!</v>
      </c>
      <c r="EW55" t="e">
        <f>IF(#REF!,"AAAAAH5dfpg=",0)</f>
        <v>#REF!</v>
      </c>
      <c r="EX55" t="e">
        <f>AND(#REF!,"AAAAAH5dfpk=")</f>
        <v>#REF!</v>
      </c>
      <c r="EY55" t="e">
        <f>AND(#REF!,"AAAAAH5dfpo=")</f>
        <v>#REF!</v>
      </c>
      <c r="EZ55" t="e">
        <f>AND(#REF!,"AAAAAH5dfps=")</f>
        <v>#REF!</v>
      </c>
      <c r="FA55" t="e">
        <f>AND(#REF!,"AAAAAH5dfpw=")</f>
        <v>#REF!</v>
      </c>
      <c r="FB55" t="e">
        <f>AND(#REF!,"AAAAAH5dfp0=")</f>
        <v>#REF!</v>
      </c>
      <c r="FC55" t="e">
        <f>IF(#REF!,"AAAAAH5dfp4=",0)</f>
        <v>#REF!</v>
      </c>
      <c r="FD55" t="e">
        <f>AND(#REF!,"AAAAAH5dfp8=")</f>
        <v>#REF!</v>
      </c>
      <c r="FE55" t="e">
        <f>AND(#REF!,"AAAAAH5dfqA=")</f>
        <v>#REF!</v>
      </c>
      <c r="FF55" t="e">
        <f>AND(#REF!,"AAAAAH5dfqE=")</f>
        <v>#REF!</v>
      </c>
      <c r="FG55" t="e">
        <f>AND(#REF!,"AAAAAH5dfqI=")</f>
        <v>#REF!</v>
      </c>
      <c r="FH55" t="e">
        <f>AND(#REF!,"AAAAAH5dfqM=")</f>
        <v>#REF!</v>
      </c>
      <c r="FI55" t="e">
        <f>IF(#REF!,"AAAAAH5dfqQ=",0)</f>
        <v>#REF!</v>
      </c>
      <c r="FJ55" t="e">
        <f>IF(#REF!,"AAAAAH5dfqU=",0)</f>
        <v>#REF!</v>
      </c>
      <c r="FK55" t="e">
        <f>IF(#REF!,"AAAAAH5dfqY=",0)</f>
        <v>#REF!</v>
      </c>
      <c r="FL55" t="e">
        <f>IF(#REF!,"AAAAAH5dfqc=",0)</f>
        <v>#REF!</v>
      </c>
      <c r="FM55" t="e">
        <f>IF(#REF!,"AAAAAH5dfqg=",0)</f>
        <v>#REF!</v>
      </c>
      <c r="FN55" t="e">
        <f>IF("N",modèle!_xlnm.Print_Area,"AAAAAH5dfqk=")</f>
        <v>#VALUE!</v>
      </c>
      <c r="FO55" t="e">
        <f>IF("N",[0]!_xlnm.Print_Area,"AAAAAH5dfqo=")</f>
        <v>#VALUE!</v>
      </c>
      <c r="FP55" t="e">
        <f>IF("N",[0]!_xlnm.Print_Area,"AAAAAH5dfqs=")</f>
        <v>#VALUE!</v>
      </c>
      <c r="FQ55" t="e">
        <f>IF("N",[0]!_xlnm.Print_Area,"AAAAAH5dfqw=")</f>
        <v>#VALUE!</v>
      </c>
      <c r="FR55" t="e">
        <f>IF("N",[0]!_xlnm.Print_Area,"AAAAAH5dfq0=")</f>
        <v>#VALUE!</v>
      </c>
      <c r="FS55" t="e">
        <f>IF("N",[0]!_xlnm.Print_Area,"AAAAAH5dfq4=")</f>
        <v>#VALUE!</v>
      </c>
      <c r="FT55" t="e">
        <f>IF("N",[0]!_xlnm.Print_Area,"AAAAAH5dfq8=")</f>
        <v>#VALUE!</v>
      </c>
      <c r="FU55" t="e">
        <f>IF("N",[0]!_xlnm.Print_Area,"AAAAAH5dfrA=")</f>
        <v>#VALUE!</v>
      </c>
      <c r="FV55" t="e">
        <f>IF("N",[0]!_xlnm.Print_Area,"AAAAAH5dfrE=")</f>
        <v>#VALUE!</v>
      </c>
      <c r="FW55" t="e">
        <f>IF("N",[0]!_xlnm.Print_Area,"AAAAAH5dfrI=")</f>
        <v>#VALUE!</v>
      </c>
      <c r="FX55" t="e">
        <f>IF("N",[0]!_xlnm.Print_Area,"AAAAAH5dfrM=")</f>
        <v>#VALUE!</v>
      </c>
      <c r="FY55" t="e">
        <f>IF("N",[0]!_xlnm.Print_Area,"AAAAAH5dfrQ=")</f>
        <v>#VALUE!</v>
      </c>
      <c r="FZ55" t="e">
        <f>IF("N",[0]!_xlnm.Print_Area,"AAAAAH5dfrU=")</f>
        <v>#VALUE!</v>
      </c>
      <c r="GA55" t="e">
        <f>IF("N",[0]!_xlnm.Print_Area,"AAAAAH5dfrY=")</f>
        <v>#VALUE!</v>
      </c>
      <c r="GB55" t="e">
        <f>IF("N",[0]!_xlnm.Print_Area,"AAAAAH5dfrc=")</f>
        <v>#VALUE!</v>
      </c>
      <c r="GC55" t="e">
        <f>IF("N",[0]!_xlnm.Print_Area,"AAAAAH5dfrg=")</f>
        <v>#VALUE!</v>
      </c>
      <c r="GD55" t="e">
        <f>IF("N",[0]!_xlnm.Print_Area,"AAAAAH5dfrk=")</f>
        <v>#VALUE!</v>
      </c>
      <c r="GE55" t="e">
        <f>IF("N",[0]!_xlnm.Print_Area,"AAAAAH5dfro=")</f>
        <v>#VALUE!</v>
      </c>
      <c r="GF55" t="e">
        <f>IF("N",[0]!_xlnm.Print_Area,"AAAAAH5dfrs=")</f>
        <v>#VALUE!</v>
      </c>
      <c r="GG55" t="e">
        <f>IF("N",[0]!_xlnm.Print_Area,"AAAAAH5dfrw=")</f>
        <v>#VALUE!</v>
      </c>
      <c r="GH55" t="e">
        <f>IF("N",[0]!_xlnm.Print_Area,"AAAAAH5dfr0=")</f>
        <v>#VALUE!</v>
      </c>
      <c r="GI55" t="e">
        <f>IF("N",[0]!_xlnm.Print_Area,"AAAAAH5dfr4=")</f>
        <v>#VALUE!</v>
      </c>
      <c r="GJ55" t="e">
        <f>IF("N",[0]!_xlnm.Print_Area,"AAAAAH5dfr8=")</f>
        <v>#VALUE!</v>
      </c>
      <c r="GK55" t="e">
        <f>IF("N",[0]!_xlnm.Print_Area,"AAAAAH5dfsA=")</f>
        <v>#VALUE!</v>
      </c>
      <c r="GL55" t="e">
        <f>IF("N",[0]!_xlnm.Print_Area,"AAAAAH5dfsE=")</f>
        <v>#VALUE!</v>
      </c>
    </row>
    <row r="56" spans="1:194">
      <c r="A56" t="e">
        <f>AND(Récap!F4,"AAAAAHcjnwA=")</f>
        <v>#VALUE!</v>
      </c>
      <c r="B56" t="e">
        <f>AND(Récap!G4,"AAAAAHcjnwE=")</f>
        <v>#VALUE!</v>
      </c>
      <c r="C56" t="e">
        <f>AND(Récap!H4,"AAAAAHcjnwI=")</f>
        <v>#VALUE!</v>
      </c>
      <c r="D56" t="e">
        <f>AND(Récap!I4,"AAAAAHcjnwM=")</f>
        <v>#VALUE!</v>
      </c>
      <c r="E56" t="e">
        <f>AND(Récap!F5,"AAAAAHcjnwQ=")</f>
        <v>#VALUE!</v>
      </c>
      <c r="F56" t="e">
        <f>AND(Récap!G5,"AAAAAHcjnwU=")</f>
        <v>#VALUE!</v>
      </c>
      <c r="G56" t="e">
        <f>AND(Récap!H5,"AAAAAHcjnwY=")</f>
        <v>#VALUE!</v>
      </c>
      <c r="H56" t="e">
        <f>AND(Récap!I5,"AAAAAHcjnwc=")</f>
        <v>#VALUE!</v>
      </c>
      <c r="I56" t="e">
        <f>AND(Récap!F6,"AAAAAHcjnwg=")</f>
        <v>#VALUE!</v>
      </c>
      <c r="J56" t="e">
        <f>AND(Récap!G6,"AAAAAHcjnwk=")</f>
        <v>#VALUE!</v>
      </c>
      <c r="K56" t="e">
        <f>AND(Récap!H6,"AAAAAHcjnwo=")</f>
        <v>#VALUE!</v>
      </c>
      <c r="L56" t="e">
        <f>AND(Récap!I6,"AAAAAHcjnws=")</f>
        <v>#VALUE!</v>
      </c>
      <c r="M56" t="e">
        <f>AND(Récap!F7,"AAAAAHcjnww=")</f>
        <v>#VALUE!</v>
      </c>
      <c r="N56" t="e">
        <f>AND(Récap!G7,"AAAAAHcjnw0=")</f>
        <v>#VALUE!</v>
      </c>
      <c r="O56" t="e">
        <f>AND(Récap!H7,"AAAAAHcjnw4=")</f>
        <v>#VALUE!</v>
      </c>
      <c r="P56" t="e">
        <f>AND(Récap!I7,"AAAAAHcjnw8=")</f>
        <v>#VALUE!</v>
      </c>
      <c r="Q56" t="e">
        <f>AND(Récap!F8,"AAAAAHcjnxA=")</f>
        <v>#VALUE!</v>
      </c>
      <c r="R56" t="e">
        <f>AND(Récap!G8,"AAAAAHcjnxE=")</f>
        <v>#VALUE!</v>
      </c>
      <c r="S56" t="e">
        <f>AND(Récap!H8,"AAAAAHcjnxI=")</f>
        <v>#VALUE!</v>
      </c>
      <c r="T56" t="e">
        <f>AND(Récap!I8,"AAAAAHcjnxM=")</f>
        <v>#VALUE!</v>
      </c>
      <c r="U56" t="e">
        <f>AND(Récap!F9,"AAAAAHcjnxQ=")</f>
        <v>#VALUE!</v>
      </c>
      <c r="V56" t="e">
        <f>AND(Récap!G9,"AAAAAHcjnxU=")</f>
        <v>#VALUE!</v>
      </c>
      <c r="W56" t="e">
        <f>AND(Récap!H9,"AAAAAHcjnxY=")</f>
        <v>#VALUE!</v>
      </c>
      <c r="X56" t="e">
        <f>AND(Récap!I9,"AAAAAHcjnxc=")</f>
        <v>#VALUE!</v>
      </c>
      <c r="Y56" t="e">
        <f>AND(Récap!F10,"AAAAAHcjnxg=")</f>
        <v>#VALUE!</v>
      </c>
      <c r="Z56" t="e">
        <f>AND(Récap!G10,"AAAAAHcjnxk=")</f>
        <v>#VALUE!</v>
      </c>
      <c r="AA56" t="e">
        <f>AND(Récap!H10,"AAAAAHcjnxo=")</f>
        <v>#VALUE!</v>
      </c>
      <c r="AB56" t="e">
        <f>AND(Récap!I10,"AAAAAHcjnxs=")</f>
        <v>#VALUE!</v>
      </c>
      <c r="AC56" t="e">
        <f>AND(Récap!F11,"AAAAAHcjnxw=")</f>
        <v>#VALUE!</v>
      </c>
      <c r="AD56" t="e">
        <f>AND(Récap!G11,"AAAAAHcjnx0=")</f>
        <v>#VALUE!</v>
      </c>
      <c r="AE56" t="e">
        <f>AND(Récap!H11,"AAAAAHcjnx4=")</f>
        <v>#VALUE!</v>
      </c>
      <c r="AF56" t="e">
        <f>AND(Récap!I11,"AAAAAHcjnx8=")</f>
        <v>#VALUE!</v>
      </c>
      <c r="AG56" t="e">
        <f>AND(Récap!F12,"AAAAAHcjnyA=")</f>
        <v>#VALUE!</v>
      </c>
      <c r="AH56" t="e">
        <f>AND(Récap!G12,"AAAAAHcjnyE=")</f>
        <v>#VALUE!</v>
      </c>
      <c r="AI56" t="e">
        <f>AND(Récap!H12,"AAAAAHcjnyI=")</f>
        <v>#VALUE!</v>
      </c>
      <c r="AJ56" t="e">
        <f>AND(Récap!I12,"AAAAAHcjnyM=")</f>
        <v>#VALUE!</v>
      </c>
      <c r="AK56" t="e">
        <f>AND(Récap!F13,"AAAAAHcjnyQ=")</f>
        <v>#VALUE!</v>
      </c>
      <c r="AL56" t="e">
        <f>AND(Récap!G13,"AAAAAHcjnyU=")</f>
        <v>#VALUE!</v>
      </c>
      <c r="AM56" t="e">
        <f>AND(Récap!H13,"AAAAAHcjnyY=")</f>
        <v>#VALUE!</v>
      </c>
      <c r="AN56" t="e">
        <f>AND(Récap!I13,"AAAAAHcjnyc=")</f>
        <v>#VALUE!</v>
      </c>
      <c r="AO56" t="e">
        <f>AND(Récap!F14,"AAAAAHcjnyg=")</f>
        <v>#VALUE!</v>
      </c>
      <c r="AP56" t="e">
        <f>AND(Récap!G14,"AAAAAHcjnyk=")</f>
        <v>#VALUE!</v>
      </c>
      <c r="AQ56" t="e">
        <f>AND(Récap!H14,"AAAAAHcjnyo=")</f>
        <v>#VALUE!</v>
      </c>
      <c r="AR56" t="e">
        <f>AND(Récap!I14,"AAAAAHcjnys=")</f>
        <v>#VALUE!</v>
      </c>
      <c r="AS56" t="e">
        <f>AND(Récap!F15,"AAAAAHcjnyw=")</f>
        <v>#VALUE!</v>
      </c>
      <c r="AT56" t="e">
        <f>AND(Récap!G15,"AAAAAHcjny0=")</f>
        <v>#VALUE!</v>
      </c>
      <c r="AU56" t="e">
        <f>AND(Récap!H15,"AAAAAHcjny4=")</f>
        <v>#VALUE!</v>
      </c>
      <c r="AV56" t="e">
        <f>AND(Récap!I15,"AAAAAHcjny8=")</f>
        <v>#VALUE!</v>
      </c>
      <c r="AW56" t="e">
        <f>AND(Récap!F16,"AAAAAHcjnzA=")</f>
        <v>#VALUE!</v>
      </c>
      <c r="AX56" t="e">
        <f>AND(Récap!G16,"AAAAAHcjnzE=")</f>
        <v>#VALUE!</v>
      </c>
      <c r="AY56" t="e">
        <f>AND(Récap!H16,"AAAAAHcjnzI=")</f>
        <v>#VALUE!</v>
      </c>
      <c r="AZ56" t="e">
        <f>AND(Récap!I16,"AAAAAHcjnzM=")</f>
        <v>#VALUE!</v>
      </c>
      <c r="BA56" t="e">
        <f>AND(Récap!F17,"AAAAAHcjnzQ=")</f>
        <v>#VALUE!</v>
      </c>
      <c r="BB56" t="e">
        <f>AND(Récap!G17,"AAAAAHcjnzU=")</f>
        <v>#VALUE!</v>
      </c>
      <c r="BC56" t="e">
        <f>AND(Récap!H17,"AAAAAHcjnzY=")</f>
        <v>#VALUE!</v>
      </c>
      <c r="BD56" t="e">
        <f>AND(Récap!I17,"AAAAAHcjnzc=")</f>
        <v>#VALUE!</v>
      </c>
      <c r="BE56" t="e">
        <f>AND(Récap!F18,"AAAAAHcjnzg=")</f>
        <v>#VALUE!</v>
      </c>
      <c r="BF56" t="e">
        <f>AND(Récap!G18,"AAAAAHcjnzk=")</f>
        <v>#VALUE!</v>
      </c>
      <c r="BG56" t="e">
        <f>AND(Récap!H18,"AAAAAHcjnzo=")</f>
        <v>#VALUE!</v>
      </c>
      <c r="BH56" t="e">
        <f>AND(Récap!I18,"AAAAAHcjnzs=")</f>
        <v>#VALUE!</v>
      </c>
      <c r="BI56" t="e">
        <f>AND(Récap!F19,"AAAAAHcjnzw=")</f>
        <v>#VALUE!</v>
      </c>
      <c r="BJ56" t="e">
        <f>AND(Récap!G19,"AAAAAHcjnz0=")</f>
        <v>#VALUE!</v>
      </c>
      <c r="BK56" t="e">
        <f>AND(Récap!H19,"AAAAAHcjnz4=")</f>
        <v>#VALUE!</v>
      </c>
      <c r="BL56" t="e">
        <f>AND(Récap!I19,"AAAAAHcjnz8=")</f>
        <v>#VALUE!</v>
      </c>
      <c r="BM56" t="e">
        <f>AND(Récap!F20,"AAAAAHcjn0A=")</f>
        <v>#VALUE!</v>
      </c>
      <c r="BN56" t="e">
        <f>AND(Récap!G20,"AAAAAHcjn0E=")</f>
        <v>#VALUE!</v>
      </c>
      <c r="BO56" t="e">
        <f>AND(Récap!H20,"AAAAAHcjn0I=")</f>
        <v>#VALUE!</v>
      </c>
      <c r="BP56" t="e">
        <f>AND(Récap!I20,"AAAAAHcjn0M=")</f>
        <v>#VALUE!</v>
      </c>
      <c r="BQ56" t="e">
        <f>AND(Récap!F21,"AAAAAHcjn0Q=")</f>
        <v>#VALUE!</v>
      </c>
      <c r="BR56" t="e">
        <f>AND(Récap!G21,"AAAAAHcjn0U=")</f>
        <v>#VALUE!</v>
      </c>
      <c r="BS56" t="e">
        <f>AND(Récap!H21,"AAAAAHcjn0Y=")</f>
        <v>#VALUE!</v>
      </c>
      <c r="BT56" t="e">
        <f>AND(Récap!I21,"AAAAAHcjn0c=")</f>
        <v>#VALUE!</v>
      </c>
      <c r="BU56" t="e">
        <f>AND(Récap!F22,"AAAAAHcjn0g=")</f>
        <v>#VALUE!</v>
      </c>
      <c r="BV56" t="e">
        <f>AND(Récap!G22,"AAAAAHcjn0k=")</f>
        <v>#VALUE!</v>
      </c>
      <c r="BW56" t="e">
        <f>AND(Récap!H22,"AAAAAHcjn0o=")</f>
        <v>#VALUE!</v>
      </c>
      <c r="BX56" t="e">
        <f>AND(Récap!I22,"AAAAAHcjn0s=")</f>
        <v>#VALUE!</v>
      </c>
      <c r="BY56" t="e">
        <f>AND(Récap!F23,"AAAAAHcjn0w=")</f>
        <v>#VALUE!</v>
      </c>
      <c r="BZ56" t="e">
        <f>AND(Récap!G23,"AAAAAHcjn00=")</f>
        <v>#VALUE!</v>
      </c>
      <c r="CA56" t="e">
        <f>AND(Récap!H23,"AAAAAHcjn04=")</f>
        <v>#VALUE!</v>
      </c>
      <c r="CB56" t="e">
        <f>AND(Récap!I23,"AAAAAHcjn08=")</f>
        <v>#VALUE!</v>
      </c>
      <c r="CC56" t="e">
        <f>AND(Récap!F24,"AAAAAHcjn1A=")</f>
        <v>#VALUE!</v>
      </c>
      <c r="CD56" t="e">
        <f>AND(Récap!G24,"AAAAAHcjn1E=")</f>
        <v>#VALUE!</v>
      </c>
      <c r="CE56" t="e">
        <f>AND(Récap!H24,"AAAAAHcjn1I=")</f>
        <v>#VALUE!</v>
      </c>
      <c r="CF56" t="e">
        <f>AND(Récap!I24,"AAAAAHcjn1M=")</f>
        <v>#VALUE!</v>
      </c>
      <c r="CG56" t="e">
        <f>AND(Récap!F25,"AAAAAHcjn1Q=")</f>
        <v>#VALUE!</v>
      </c>
      <c r="CH56" t="e">
        <f>AND(Récap!G25,"AAAAAHcjn1U=")</f>
        <v>#VALUE!</v>
      </c>
      <c r="CI56" t="e">
        <f>AND(Récap!H25,"AAAAAHcjn1Y=")</f>
        <v>#VALUE!</v>
      </c>
      <c r="CJ56" t="e">
        <f>AND(Récap!I25,"AAAAAHcjn1c=")</f>
        <v>#VALUE!</v>
      </c>
      <c r="CK56" t="e">
        <f>AND(Récap!F26,"AAAAAHcjn1g=")</f>
        <v>#VALUE!</v>
      </c>
      <c r="CL56" t="e">
        <f>AND(Récap!G26,"AAAAAHcjn1k=")</f>
        <v>#VALUE!</v>
      </c>
      <c r="CM56" t="e">
        <f>AND(Récap!H26,"AAAAAHcjn1o=")</f>
        <v>#VALUE!</v>
      </c>
      <c r="CN56" t="e">
        <f>AND(Récap!I26,"AAAAAHcjn1s=")</f>
        <v>#VALUE!</v>
      </c>
      <c r="CO56" t="e">
        <f>AND(Récap!F27,"AAAAAHcjn1w=")</f>
        <v>#VALUE!</v>
      </c>
      <c r="CP56" t="e">
        <f>AND(Récap!G27,"AAAAAHcjn10=")</f>
        <v>#VALUE!</v>
      </c>
      <c r="CQ56" t="e">
        <f>AND(Récap!H27,"AAAAAHcjn14=")</f>
        <v>#VALUE!</v>
      </c>
      <c r="CR56" t="e">
        <f>AND(Récap!I27,"AAAAAHcjn18=")</f>
        <v>#VALUE!</v>
      </c>
      <c r="CS56" t="e">
        <f>AND(Récap!F28,"AAAAAHcjn2A=")</f>
        <v>#VALUE!</v>
      </c>
      <c r="CT56" t="e">
        <f>AND(Récap!G28,"AAAAAHcjn2E=")</f>
        <v>#VALUE!</v>
      </c>
      <c r="CU56" t="e">
        <f>AND(Récap!H28,"AAAAAHcjn2I=")</f>
        <v>#VALUE!</v>
      </c>
      <c r="CV56" t="e">
        <f>AND(Récap!I28,"AAAAAHcjn2M=")</f>
        <v>#VALUE!</v>
      </c>
      <c r="CW56">
        <f>IF(Récap!29:29,"AAAAAHcjn2Q=",0)</f>
        <v>0</v>
      </c>
      <c r="CX56" t="e">
        <f>AND(Récap!A29,"AAAAAHcjn2U=")</f>
        <v>#VALUE!</v>
      </c>
      <c r="CY56" t="e">
        <f>AND(Récap!B29,"AAAAAHcjn2Y=")</f>
        <v>#VALUE!</v>
      </c>
      <c r="CZ56" t="e">
        <f>AND(Récap!C29,"AAAAAHcjn2c=")</f>
        <v>#VALUE!</v>
      </c>
      <c r="DA56" t="e">
        <f>AND(Récap!D29,"AAAAAHcjn2g=")</f>
        <v>#VALUE!</v>
      </c>
      <c r="DB56" t="e">
        <f>AND(Récap!E29,"AAAAAHcjn2k=")</f>
        <v>#VALUE!</v>
      </c>
      <c r="DC56" t="e">
        <f>AND(Récap!F29,"AAAAAHcjn2o=")</f>
        <v>#VALUE!</v>
      </c>
      <c r="DD56" t="e">
        <f>AND(Récap!G29,"AAAAAHcjn2s=")</f>
        <v>#VALUE!</v>
      </c>
      <c r="DE56" t="e">
        <f>AND(Récap!H29,"AAAAAHcjn2w=")</f>
        <v>#VALUE!</v>
      </c>
      <c r="DF56" t="e">
        <f>AND(Récap!I29,"AAAAAHcjn20=")</f>
        <v>#VALUE!</v>
      </c>
      <c r="DG56">
        <f>IF(Récap!30:30,"AAAAAHcjn24=",0)</f>
        <v>0</v>
      </c>
      <c r="DH56" t="e">
        <f>AND(Récap!A30,"AAAAAHcjn28=")</f>
        <v>#VALUE!</v>
      </c>
      <c r="DI56">
        <f>IF(Récap!31:31,"AAAAAHcjn3A=",0)</f>
        <v>0</v>
      </c>
      <c r="DJ56" t="e">
        <f>AND(Récap!A31,"AAAAAHcjn3E=")</f>
        <v>#VALUE!</v>
      </c>
      <c r="DK56">
        <f>IF(Récap!32:32,"AAAAAHcjn3I=",0)</f>
        <v>0</v>
      </c>
      <c r="DL56" t="e">
        <f>AND(Récap!A32,"AAAAAHcjn3M=")</f>
        <v>#VALUE!</v>
      </c>
      <c r="DM56" t="e">
        <f>IF("N",modèle!_xlnm.Print_Area,"AAAAAHcjn3Q=")</f>
        <v>#VALUE!</v>
      </c>
      <c r="DN56" t="e">
        <f>IF("N",[0]!_xlnm.Print_Area,"AAAAAHcjn3U=")</f>
        <v>#VALUE!</v>
      </c>
      <c r="DO56" t="e">
        <f>IF("N",[0]!_xlnm.Print_Area,"AAAAAHcjn3Y=")</f>
        <v>#VALUE!</v>
      </c>
      <c r="DP56" t="e">
        <f>IF("N",[0]!_xlnm.Print_Area,"AAAAAHcjn3c=")</f>
        <v>#VALUE!</v>
      </c>
      <c r="DQ56" t="e">
        <f>IF("N",[0]!_xlnm.Print_Area,"AAAAAHcjn3g=")</f>
        <v>#VALUE!</v>
      </c>
      <c r="DR56" t="e">
        <f>IF("N",[0]!_xlnm.Print_Area,"AAAAAHcjn3k=")</f>
        <v>#VALUE!</v>
      </c>
      <c r="DS56" t="e">
        <f>IF("N",[0]!_xlnm.Print_Area,"AAAAAHcjn3o=")</f>
        <v>#VALUE!</v>
      </c>
      <c r="DT56" t="e">
        <f>IF("N",[0]!_xlnm.Print_Area,"AAAAAHcjn3s=")</f>
        <v>#VALUE!</v>
      </c>
      <c r="DU56" t="e">
        <f>IF("N",[0]!_xlnm.Print_Area,"AAAAAHcjn3w=")</f>
        <v>#VALUE!</v>
      </c>
      <c r="DV56" t="e">
        <f>IF("N",[0]!_xlnm.Print_Area,"AAAAAHcjn30=")</f>
        <v>#VALUE!</v>
      </c>
      <c r="DW56" t="e">
        <f>IF("N",[0]!_xlnm.Print_Area,"AAAAAHcjn34=")</f>
        <v>#VALUE!</v>
      </c>
      <c r="DX56" t="e">
        <f>IF("N",[0]!_xlnm.Print_Area,"AAAAAHcjn38=")</f>
        <v>#VALUE!</v>
      </c>
      <c r="DY56" t="e">
        <f>IF("N",[0]!_xlnm.Print_Area,"AAAAAHcjn4A=")</f>
        <v>#VALUE!</v>
      </c>
      <c r="DZ56" t="e">
        <f>IF("N",[0]!_xlnm.Print_Area,"AAAAAHcjn4E=")</f>
        <v>#VALUE!</v>
      </c>
      <c r="EA56" t="e">
        <f>IF("N",[0]!_xlnm.Print_Area,"AAAAAHcjn4I=")</f>
        <v>#VALUE!</v>
      </c>
      <c r="EB56" t="e">
        <f>IF("N",[0]!_xlnm.Print_Area,"AAAAAHcjn4M=")</f>
        <v>#VALUE!</v>
      </c>
      <c r="EC56" t="e">
        <f>IF("N",[0]!_xlnm.Print_Area,"AAAAAHcjn4Q=")</f>
        <v>#VALUE!</v>
      </c>
      <c r="ED56" t="e">
        <f>IF("N",[0]!_xlnm.Print_Area,"AAAAAHcjn4U=")</f>
        <v>#VALUE!</v>
      </c>
      <c r="EE56" t="e">
        <f>IF("N",[0]!_xlnm.Print_Area,"AAAAAHcjn4Y=")</f>
        <v>#VALUE!</v>
      </c>
      <c r="EF56" t="e">
        <f>IF("N",[0]!_xlnm.Print_Area,"AAAAAHcjn4c=")</f>
        <v>#VALUE!</v>
      </c>
      <c r="EG56" t="e">
        <f>IF("N",[0]!_xlnm.Print_Area,"AAAAAHcjn4g=")</f>
        <v>#VALUE!</v>
      </c>
      <c r="EH56" t="e">
        <f>IF("N",[0]!_xlnm.Print_Area,"AAAAAHcjn4k=")</f>
        <v>#VALUE!</v>
      </c>
      <c r="EI56" t="e">
        <f>IF("N",[0]!_xlnm.Print_Area,"AAAAAHcjn4o=")</f>
        <v>#VALUE!</v>
      </c>
      <c r="EJ56" t="e">
        <f>IF("N",[0]!_xlnm.Print_Area,"AAAAAHcjn4s=")</f>
        <v>#VALUE!</v>
      </c>
      <c r="EK56" t="e">
        <f>IF("N",[0]!_xlnm.Print_Area,"AAAAAHcjn4w=")</f>
        <v>#VALUE!</v>
      </c>
    </row>
    <row r="57" spans="1:194">
      <c r="A57" t="e">
        <f>IF(#REF!,"AAAAAFr6/AA=",0)</f>
        <v>#REF!</v>
      </c>
      <c r="B57" t="e">
        <f>AND(#REF!,"AAAAAFr6/AE=")</f>
        <v>#REF!</v>
      </c>
      <c r="C57" t="e">
        <f>AND(#REF!,"AAAAAFr6/AI=")</f>
        <v>#REF!</v>
      </c>
      <c r="D57" t="e">
        <f>AND(#REF!,"AAAAAFr6/AM=")</f>
        <v>#REF!</v>
      </c>
      <c r="E57" t="e">
        <f>AND(#REF!,"AAAAAFr6/AQ=")</f>
        <v>#REF!</v>
      </c>
      <c r="F57" t="e">
        <f>AND(#REF!,"AAAAAFr6/AU=")</f>
        <v>#REF!</v>
      </c>
      <c r="G57" t="e">
        <f>IF(#REF!,"AAAAAFr6/AY=",0)</f>
        <v>#REF!</v>
      </c>
      <c r="H57" t="e">
        <f>AND(#REF!,"AAAAAFr6/Ac=")</f>
        <v>#REF!</v>
      </c>
      <c r="I57" t="e">
        <f>AND(#REF!,"AAAAAFr6/Ag=")</f>
        <v>#REF!</v>
      </c>
      <c r="J57" t="e">
        <f>AND(#REF!,"AAAAAFr6/Ak=")</f>
        <v>#REF!</v>
      </c>
      <c r="K57" t="e">
        <f>AND(#REF!,"AAAAAFr6/Ao=")</f>
        <v>#REF!</v>
      </c>
      <c r="L57" t="e">
        <f>AND(#REF!,"AAAAAFr6/As=")</f>
        <v>#REF!</v>
      </c>
      <c r="M57" t="e">
        <f>IF(#REF!,"AAAAAFr6/Aw=",0)</f>
        <v>#REF!</v>
      </c>
      <c r="N57" t="e">
        <f>AND(#REF!,"AAAAAFr6/A0=")</f>
        <v>#REF!</v>
      </c>
      <c r="O57" t="e">
        <f>AND(#REF!,"AAAAAFr6/A4=")</f>
        <v>#REF!</v>
      </c>
      <c r="P57" t="e">
        <f>AND(#REF!,"AAAAAFr6/A8=")</f>
        <v>#REF!</v>
      </c>
      <c r="Q57" t="e">
        <f>AND(#REF!,"AAAAAFr6/BA=")</f>
        <v>#REF!</v>
      </c>
      <c r="R57" t="e">
        <f>AND(#REF!,"AAAAAFr6/BE=")</f>
        <v>#REF!</v>
      </c>
      <c r="S57" t="e">
        <f>IF(#REF!,"AAAAAFr6/BI=",0)</f>
        <v>#REF!</v>
      </c>
      <c r="T57" t="e">
        <f>AND(#REF!,"AAAAAFr6/BM=")</f>
        <v>#REF!</v>
      </c>
      <c r="U57" t="e">
        <f>AND(#REF!,"AAAAAFr6/BQ=")</f>
        <v>#REF!</v>
      </c>
      <c r="V57" t="e">
        <f>AND(#REF!,"AAAAAFr6/BU=")</f>
        <v>#REF!</v>
      </c>
      <c r="W57" t="e">
        <f>AND(#REF!,"AAAAAFr6/BY=")</f>
        <v>#REF!</v>
      </c>
      <c r="X57" t="e">
        <f>AND(#REF!,"AAAAAFr6/Bc=")</f>
        <v>#REF!</v>
      </c>
      <c r="Y57" t="e">
        <f>IF(#REF!,"AAAAAFr6/Bg=",0)</f>
        <v>#REF!</v>
      </c>
      <c r="Z57" t="e">
        <f>AND(#REF!,"AAAAAFr6/Bk=")</f>
        <v>#REF!</v>
      </c>
      <c r="AA57" t="e">
        <f>AND(#REF!,"AAAAAFr6/Bo=")</f>
        <v>#REF!</v>
      </c>
      <c r="AB57" t="e">
        <f>AND(#REF!,"AAAAAFr6/Bs=")</f>
        <v>#REF!</v>
      </c>
      <c r="AC57" t="e">
        <f>AND(#REF!,"AAAAAFr6/Bw=")</f>
        <v>#REF!</v>
      </c>
      <c r="AD57" t="e">
        <f>AND(#REF!,"AAAAAFr6/B0=")</f>
        <v>#REF!</v>
      </c>
      <c r="AE57" t="e">
        <f>IF(#REF!,"AAAAAFr6/B4=",0)</f>
        <v>#REF!</v>
      </c>
      <c r="AF57" t="e">
        <f>AND(#REF!,"AAAAAFr6/B8=")</f>
        <v>#REF!</v>
      </c>
      <c r="AG57" t="e">
        <f>AND(#REF!,"AAAAAFr6/CA=")</f>
        <v>#REF!</v>
      </c>
      <c r="AH57" t="e">
        <f>AND(#REF!,"AAAAAFr6/CE=")</f>
        <v>#REF!</v>
      </c>
      <c r="AI57" t="e">
        <f>AND(#REF!,"AAAAAFr6/CI=")</f>
        <v>#REF!</v>
      </c>
      <c r="AJ57" t="e">
        <f>AND(#REF!,"AAAAAFr6/CM=")</f>
        <v>#REF!</v>
      </c>
      <c r="AK57" t="e">
        <f>IF(#REF!,"AAAAAFr6/CQ=",0)</f>
        <v>#REF!</v>
      </c>
      <c r="AL57" t="e">
        <f>AND(#REF!,"AAAAAFr6/CU=")</f>
        <v>#REF!</v>
      </c>
      <c r="AM57" t="e">
        <f>AND(#REF!,"AAAAAFr6/CY=")</f>
        <v>#REF!</v>
      </c>
      <c r="AN57" t="e">
        <f>AND(#REF!,"AAAAAFr6/Cc=")</f>
        <v>#REF!</v>
      </c>
      <c r="AO57" t="e">
        <f>AND(#REF!,"AAAAAFr6/Cg=")</f>
        <v>#REF!</v>
      </c>
      <c r="AP57" t="e">
        <f>AND(#REF!,"AAAAAFr6/Ck=")</f>
        <v>#REF!</v>
      </c>
      <c r="AQ57" t="e">
        <f>IF(#REF!,"AAAAAFr6/Co=",0)</f>
        <v>#REF!</v>
      </c>
      <c r="AR57" t="e">
        <f>AND(#REF!,"AAAAAFr6/Cs=")</f>
        <v>#REF!</v>
      </c>
      <c r="AS57" t="e">
        <f>AND(#REF!,"AAAAAFr6/Cw=")</f>
        <v>#REF!</v>
      </c>
      <c r="AT57" t="e">
        <f>AND(#REF!,"AAAAAFr6/C0=")</f>
        <v>#REF!</v>
      </c>
      <c r="AU57" t="e">
        <f>AND(#REF!,"AAAAAFr6/C4=")</f>
        <v>#REF!</v>
      </c>
      <c r="AV57" t="e">
        <f>AND(#REF!,"AAAAAFr6/C8=")</f>
        <v>#REF!</v>
      </c>
      <c r="AW57" t="e">
        <f>IF(#REF!,"AAAAAFr6/DA=",0)</f>
        <v>#REF!</v>
      </c>
      <c r="AX57" t="e">
        <f>AND(#REF!,"AAAAAFr6/DE=")</f>
        <v>#REF!</v>
      </c>
      <c r="AY57" t="e">
        <f>AND(#REF!,"AAAAAFr6/DI=")</f>
        <v>#REF!</v>
      </c>
      <c r="AZ57" t="e">
        <f>AND(#REF!,"AAAAAFr6/DM=")</f>
        <v>#REF!</v>
      </c>
      <c r="BA57" t="e">
        <f>AND(#REF!,"AAAAAFr6/DQ=")</f>
        <v>#REF!</v>
      </c>
      <c r="BB57" t="e">
        <f>AND(#REF!,"AAAAAFr6/DU=")</f>
        <v>#REF!</v>
      </c>
      <c r="BC57" t="e">
        <f>IF(#REF!,"AAAAAFr6/DY=",0)</f>
        <v>#REF!</v>
      </c>
      <c r="BD57" t="e">
        <f>AND(#REF!,"AAAAAFr6/Dc=")</f>
        <v>#REF!</v>
      </c>
      <c r="BE57" t="e">
        <f>AND(#REF!,"AAAAAFr6/Dg=")</f>
        <v>#REF!</v>
      </c>
      <c r="BF57" t="e">
        <f>AND(#REF!,"AAAAAFr6/Dk=")</f>
        <v>#REF!</v>
      </c>
      <c r="BG57" t="e">
        <f>AND(#REF!,"AAAAAFr6/Do=")</f>
        <v>#REF!</v>
      </c>
      <c r="BH57" t="e">
        <f>AND(#REF!,"AAAAAFr6/Ds=")</f>
        <v>#REF!</v>
      </c>
      <c r="BI57" t="e">
        <f>IF(#REF!,"AAAAAFr6/Dw=",0)</f>
        <v>#REF!</v>
      </c>
      <c r="BJ57" t="e">
        <f>AND(#REF!,"AAAAAFr6/D0=")</f>
        <v>#REF!</v>
      </c>
      <c r="BK57" t="e">
        <f>AND(#REF!,"AAAAAFr6/D4=")</f>
        <v>#REF!</v>
      </c>
      <c r="BL57" t="e">
        <f>AND(#REF!,"AAAAAFr6/D8=")</f>
        <v>#REF!</v>
      </c>
      <c r="BM57" t="e">
        <f>AND(#REF!,"AAAAAFr6/EA=")</f>
        <v>#REF!</v>
      </c>
      <c r="BN57" t="e">
        <f>AND(#REF!,"AAAAAFr6/EE=")</f>
        <v>#REF!</v>
      </c>
      <c r="BO57" t="e">
        <f>IF(#REF!,"AAAAAFr6/EI=",0)</f>
        <v>#REF!</v>
      </c>
      <c r="BP57" t="e">
        <f>AND(#REF!,"AAAAAFr6/EM=")</f>
        <v>#REF!</v>
      </c>
      <c r="BQ57" t="e">
        <f>AND(#REF!,"AAAAAFr6/EQ=")</f>
        <v>#REF!</v>
      </c>
      <c r="BR57" t="e">
        <f>AND(#REF!,"AAAAAFr6/EU=")</f>
        <v>#REF!</v>
      </c>
      <c r="BS57" t="e">
        <f>AND(#REF!,"AAAAAFr6/EY=")</f>
        <v>#REF!</v>
      </c>
      <c r="BT57" t="e">
        <f>AND(#REF!,"AAAAAFr6/Ec=")</f>
        <v>#REF!</v>
      </c>
      <c r="BU57" t="e">
        <f>IF(#REF!,"AAAAAFr6/Eg=",0)</f>
        <v>#REF!</v>
      </c>
      <c r="BV57" t="e">
        <f>AND(#REF!,"AAAAAFr6/Ek=")</f>
        <v>#REF!</v>
      </c>
      <c r="BW57" t="e">
        <f>AND(#REF!,"AAAAAFr6/Eo=")</f>
        <v>#REF!</v>
      </c>
      <c r="BX57" t="e">
        <f>AND(#REF!,"AAAAAFr6/Es=")</f>
        <v>#REF!</v>
      </c>
      <c r="BY57" t="e">
        <f>AND(#REF!,"AAAAAFr6/Ew=")</f>
        <v>#REF!</v>
      </c>
      <c r="BZ57" t="e">
        <f>AND(#REF!,"AAAAAFr6/E0=")</f>
        <v>#REF!</v>
      </c>
      <c r="CA57" t="e">
        <f>IF(#REF!,"AAAAAFr6/E4=",0)</f>
        <v>#REF!</v>
      </c>
      <c r="CB57" t="e">
        <f>AND(#REF!,"AAAAAFr6/E8=")</f>
        <v>#REF!</v>
      </c>
      <c r="CC57" t="e">
        <f>AND(#REF!,"AAAAAFr6/FA=")</f>
        <v>#REF!</v>
      </c>
      <c r="CD57" t="e">
        <f>AND(#REF!,"AAAAAFr6/FE=")</f>
        <v>#REF!</v>
      </c>
      <c r="CE57" t="e">
        <f>AND(#REF!,"AAAAAFr6/FI=")</f>
        <v>#REF!</v>
      </c>
      <c r="CF57" t="e">
        <f>AND(#REF!,"AAAAAFr6/FM=")</f>
        <v>#REF!</v>
      </c>
      <c r="CG57" t="e">
        <f>IF(#REF!,"AAAAAFr6/FQ=",0)</f>
        <v>#REF!</v>
      </c>
      <c r="CH57" t="e">
        <f>AND(#REF!,"AAAAAFr6/FU=")</f>
        <v>#REF!</v>
      </c>
      <c r="CI57" t="e">
        <f>AND(#REF!,"AAAAAFr6/FY=")</f>
        <v>#REF!</v>
      </c>
      <c r="CJ57" t="e">
        <f>AND(#REF!,"AAAAAFr6/Fc=")</f>
        <v>#REF!</v>
      </c>
      <c r="CK57" t="e">
        <f>AND(#REF!,"AAAAAFr6/Fg=")</f>
        <v>#REF!</v>
      </c>
      <c r="CL57" t="e">
        <f>AND(#REF!,"AAAAAFr6/Fk=")</f>
        <v>#REF!</v>
      </c>
      <c r="CM57" t="e">
        <f>IF(#REF!,"AAAAAFr6/Fo=",0)</f>
        <v>#REF!</v>
      </c>
      <c r="CN57" t="e">
        <f>AND(#REF!,"AAAAAFr6/Fs=")</f>
        <v>#REF!</v>
      </c>
      <c r="CO57" t="e">
        <f>AND(#REF!,"AAAAAFr6/Fw=")</f>
        <v>#REF!</v>
      </c>
      <c r="CP57" t="e">
        <f>AND(#REF!,"AAAAAFr6/F0=")</f>
        <v>#REF!</v>
      </c>
      <c r="CQ57" t="e">
        <f>AND(#REF!,"AAAAAFr6/F4=")</f>
        <v>#REF!</v>
      </c>
      <c r="CR57" t="e">
        <f>AND(#REF!,"AAAAAFr6/F8=")</f>
        <v>#REF!</v>
      </c>
      <c r="CS57" t="e">
        <f>IF(#REF!,"AAAAAFr6/GA=",0)</f>
        <v>#REF!</v>
      </c>
      <c r="CT57" t="e">
        <f>AND(#REF!,"AAAAAFr6/GE=")</f>
        <v>#REF!</v>
      </c>
      <c r="CU57" t="e">
        <f>AND(#REF!,"AAAAAFr6/GI=")</f>
        <v>#REF!</v>
      </c>
      <c r="CV57" t="e">
        <f>AND(#REF!,"AAAAAFr6/GM=")</f>
        <v>#REF!</v>
      </c>
      <c r="CW57" t="e">
        <f>AND(#REF!,"AAAAAFr6/GQ=")</f>
        <v>#REF!</v>
      </c>
      <c r="CX57" t="e">
        <f>AND(#REF!,"AAAAAFr6/GU=")</f>
        <v>#REF!</v>
      </c>
      <c r="CY57" t="e">
        <f>IF(#REF!,"AAAAAFr6/GY=",0)</f>
        <v>#REF!</v>
      </c>
      <c r="CZ57" t="e">
        <f>AND(#REF!,"AAAAAFr6/Gc=")</f>
        <v>#REF!</v>
      </c>
      <c r="DA57" t="e">
        <f>AND(#REF!,"AAAAAFr6/Gg=")</f>
        <v>#REF!</v>
      </c>
      <c r="DB57" t="e">
        <f>AND(#REF!,"AAAAAFr6/Gk=")</f>
        <v>#REF!</v>
      </c>
      <c r="DC57" t="e">
        <f>AND(#REF!,"AAAAAFr6/Go=")</f>
        <v>#REF!</v>
      </c>
      <c r="DD57" t="e">
        <f>AND(#REF!,"AAAAAFr6/Gs=")</f>
        <v>#REF!</v>
      </c>
      <c r="DE57" t="e">
        <f>IF(#REF!,"AAAAAFr6/Gw=",0)</f>
        <v>#REF!</v>
      </c>
      <c r="DF57" t="e">
        <f>AND(#REF!,"AAAAAFr6/G0=")</f>
        <v>#REF!</v>
      </c>
      <c r="DG57" t="e">
        <f>AND(#REF!,"AAAAAFr6/G4=")</f>
        <v>#REF!</v>
      </c>
      <c r="DH57" t="e">
        <f>AND(#REF!,"AAAAAFr6/G8=")</f>
        <v>#REF!</v>
      </c>
      <c r="DI57" t="e">
        <f>AND(#REF!,"AAAAAFr6/HA=")</f>
        <v>#REF!</v>
      </c>
      <c r="DJ57" t="e">
        <f>AND(#REF!,"AAAAAFr6/HE=")</f>
        <v>#REF!</v>
      </c>
      <c r="DK57" t="e">
        <f>IF(#REF!,"AAAAAFr6/HI=",0)</f>
        <v>#REF!</v>
      </c>
      <c r="DL57" t="e">
        <f>AND(#REF!,"AAAAAFr6/HM=")</f>
        <v>#REF!</v>
      </c>
      <c r="DM57" t="e">
        <f>AND(#REF!,"AAAAAFr6/HQ=")</f>
        <v>#REF!</v>
      </c>
      <c r="DN57" t="e">
        <f>AND(#REF!,"AAAAAFr6/HU=")</f>
        <v>#REF!</v>
      </c>
      <c r="DO57" t="e">
        <f>AND(#REF!,"AAAAAFr6/HY=")</f>
        <v>#REF!</v>
      </c>
      <c r="DP57" t="e">
        <f>AND(#REF!,"AAAAAFr6/Hc=")</f>
        <v>#REF!</v>
      </c>
      <c r="DQ57" t="e">
        <f>IF(#REF!,"AAAAAFr6/Hg=",0)</f>
        <v>#REF!</v>
      </c>
      <c r="DR57" t="e">
        <f>IF(#REF!,"AAAAAFr6/Hk=",0)</f>
        <v>#REF!</v>
      </c>
      <c r="DS57" t="e">
        <f>IF(#REF!,"AAAAAFr6/Ho=",0)</f>
        <v>#REF!</v>
      </c>
      <c r="DT57" t="e">
        <f>IF(#REF!,"AAAAAFr6/Hs=",0)</f>
        <v>#REF!</v>
      </c>
      <c r="DU57" t="e">
        <f>IF(#REF!,"AAAAAFr6/Hw=",0)</f>
        <v>#REF!</v>
      </c>
      <c r="DV57" t="e">
        <f>IF(#REF!,"AAAAAFr6/H0=",0)</f>
        <v>#REF!</v>
      </c>
      <c r="DW57" t="e">
        <f>IF(#REF!,"AAAAAFr6/H4=",0)</f>
        <v>#REF!</v>
      </c>
      <c r="DX57" t="e">
        <f>IF(#REF!,"AAAAAFr6/H8=",0)</f>
        <v>#REF!</v>
      </c>
      <c r="DY57" t="e">
        <f>IF(#REF!,"AAAAAFr6/IA=",0)</f>
        <v>#REF!</v>
      </c>
      <c r="DZ57" t="e">
        <f>IF("N",modèle!_xlnm.Print_Area,"AAAAAFr6/IE=")</f>
        <v>#VALUE!</v>
      </c>
      <c r="EA57" t="e">
        <f>IF("N",[0]!_xlnm.Print_Area,"AAAAAFr6/II=")</f>
        <v>#VALUE!</v>
      </c>
      <c r="EB57" t="e">
        <f>IF("N",[0]!_xlnm.Print_Area,"AAAAAFr6/IM=")</f>
        <v>#VALUE!</v>
      </c>
      <c r="EC57" t="e">
        <f>IF("N",[0]!_xlnm.Print_Area,"AAAAAFr6/IQ=")</f>
        <v>#VALUE!</v>
      </c>
      <c r="ED57" t="e">
        <f>IF("N",[0]!_xlnm.Print_Area,"AAAAAFr6/IU=")</f>
        <v>#VALUE!</v>
      </c>
      <c r="EE57" t="e">
        <f>IF("N",[0]!_xlnm.Print_Area,"AAAAAFr6/IY=")</f>
        <v>#VALUE!</v>
      </c>
      <c r="EF57" t="e">
        <f>IF("N",[0]!_xlnm.Print_Area,"AAAAAFr6/Ic=")</f>
        <v>#VALUE!</v>
      </c>
      <c r="EG57" t="e">
        <f>IF("N",[0]!_xlnm.Print_Area,"AAAAAFr6/Ig=")</f>
        <v>#VALUE!</v>
      </c>
      <c r="EH57" t="e">
        <f>IF("N",[0]!_xlnm.Print_Area,"AAAAAFr6/Ik=")</f>
        <v>#VALUE!</v>
      </c>
      <c r="EI57" t="e">
        <f>IF("N",[0]!_xlnm.Print_Area,"AAAAAFr6/Io=")</f>
        <v>#VALUE!</v>
      </c>
      <c r="EJ57" t="e">
        <f>IF("N",[0]!_xlnm.Print_Area,"AAAAAFr6/Is=")</f>
        <v>#VALUE!</v>
      </c>
      <c r="EK57" t="e">
        <f>IF("N",[0]!_xlnm.Print_Area,"AAAAAFr6/Iw=")</f>
        <v>#VALUE!</v>
      </c>
      <c r="EL57" t="e">
        <f>IF("N",[0]!_xlnm.Print_Area,"AAAAAFr6/I0=")</f>
        <v>#VALUE!</v>
      </c>
      <c r="EM57" t="e">
        <f>IF("N",[0]!_xlnm.Print_Area,"AAAAAFr6/I4=")</f>
        <v>#VALUE!</v>
      </c>
      <c r="EN57" t="e">
        <f>IF("N",[0]!_xlnm.Print_Area,"AAAAAFr6/I8=")</f>
        <v>#VALUE!</v>
      </c>
      <c r="EO57" t="e">
        <f>IF("N",[0]!_xlnm.Print_Area,"AAAAAFr6/JA=")</f>
        <v>#VALUE!</v>
      </c>
      <c r="EP57" t="e">
        <f>IF("N",[0]!_xlnm.Print_Area,"AAAAAFr6/JE=")</f>
        <v>#VALUE!</v>
      </c>
      <c r="EQ57" t="e">
        <f>IF("N",[0]!_xlnm.Print_Area,"AAAAAFr6/JI=")</f>
        <v>#VALUE!</v>
      </c>
      <c r="ER57" t="e">
        <f>IF("N",[0]!_xlnm.Print_Area,"AAAAAFr6/JM=")</f>
        <v>#VALUE!</v>
      </c>
      <c r="ES57" t="e">
        <f>IF("N",[0]!_xlnm.Print_Area,"AAAAAFr6/JQ=")</f>
        <v>#VALUE!</v>
      </c>
      <c r="ET57" t="e">
        <f>IF("N",[0]!_xlnm.Print_Area,"AAAAAFr6/JU=")</f>
        <v>#VALUE!</v>
      </c>
      <c r="EU57" t="e">
        <f>IF("N",[0]!_xlnm.Print_Area,"AAAAAFr6/JY=")</f>
        <v>#VALUE!</v>
      </c>
      <c r="EV57" t="e">
        <f>IF("N",[0]!_xlnm.Print_Area,"AAAAAFr6/Jc=")</f>
        <v>#VALUE!</v>
      </c>
      <c r="EW57" t="e">
        <f>IF("N",[0]!_xlnm.Print_Area,"AAAAAFr6/Jg=")</f>
        <v>#VALUE!</v>
      </c>
      <c r="EX57" t="e">
        <f>IF("N",[0]!_xlnm.Print_Area,"AAAAAFr6/Jk=")</f>
        <v>#VALUE!</v>
      </c>
      <c r="EY57" t="e">
        <f>IF("N",[0]!_xlnm.Print_Area,"AAAAAFr6/Jo=")</f>
        <v>#VALUE!</v>
      </c>
    </row>
    <row r="58" spans="1:194">
      <c r="A58" t="e">
        <f>IF(#REF!,"AAAAAB6//wA=",0)</f>
        <v>#REF!</v>
      </c>
      <c r="B58" t="e">
        <f>AND(#REF!,"AAAAAB6//wE=")</f>
        <v>#REF!</v>
      </c>
      <c r="C58" t="e">
        <f>AND(#REF!,"AAAAAB6//wI=")</f>
        <v>#REF!</v>
      </c>
      <c r="D58" t="e">
        <f>AND(#REF!,"AAAAAB6//wM=")</f>
        <v>#REF!</v>
      </c>
      <c r="E58" t="e">
        <f>AND(#REF!,"AAAAAB6//wQ=")</f>
        <v>#REF!</v>
      </c>
      <c r="F58" t="e">
        <f>AND(#REF!,"AAAAAB6//wU=")</f>
        <v>#REF!</v>
      </c>
      <c r="G58" t="e">
        <f>IF(#REF!,"AAAAAB6//wY=",0)</f>
        <v>#REF!</v>
      </c>
      <c r="H58" t="e">
        <f>AND(#REF!,"AAAAAB6//wc=")</f>
        <v>#REF!</v>
      </c>
      <c r="I58" t="e">
        <f>AND(#REF!,"AAAAAB6//wg=")</f>
        <v>#REF!</v>
      </c>
      <c r="J58" t="e">
        <f>AND(#REF!,"AAAAAB6//wk=")</f>
        <v>#REF!</v>
      </c>
      <c r="K58" t="e">
        <f>AND(#REF!,"AAAAAB6//wo=")</f>
        <v>#REF!</v>
      </c>
      <c r="L58" t="e">
        <f>AND(#REF!,"AAAAAB6//ws=")</f>
        <v>#REF!</v>
      </c>
      <c r="M58" t="e">
        <f>IF(#REF!,"AAAAAB6//ww=",0)</f>
        <v>#REF!</v>
      </c>
      <c r="N58" t="e">
        <f>AND(#REF!,"AAAAAB6//w0=")</f>
        <v>#REF!</v>
      </c>
      <c r="O58" t="e">
        <f>AND(#REF!,"AAAAAB6//w4=")</f>
        <v>#REF!</v>
      </c>
      <c r="P58" t="e">
        <f>AND(#REF!,"AAAAAB6//w8=")</f>
        <v>#REF!</v>
      </c>
      <c r="Q58" t="e">
        <f>AND(#REF!,"AAAAAB6//xA=")</f>
        <v>#REF!</v>
      </c>
      <c r="R58" t="e">
        <f>AND(#REF!,"AAAAAB6//xE=")</f>
        <v>#REF!</v>
      </c>
      <c r="S58" t="e">
        <f>IF(#REF!,"AAAAAB6//xI=",0)</f>
        <v>#REF!</v>
      </c>
      <c r="T58" t="e">
        <f>AND(#REF!,"AAAAAB6//xM=")</f>
        <v>#REF!</v>
      </c>
      <c r="U58" t="e">
        <f>AND(#REF!,"AAAAAB6//xQ=")</f>
        <v>#REF!</v>
      </c>
      <c r="V58" t="e">
        <f>AND(#REF!,"AAAAAB6//xU=")</f>
        <v>#REF!</v>
      </c>
      <c r="W58" t="e">
        <f>AND(#REF!,"AAAAAB6//xY=")</f>
        <v>#REF!</v>
      </c>
      <c r="X58" t="e">
        <f>AND(#REF!,"AAAAAB6//xc=")</f>
        <v>#REF!</v>
      </c>
      <c r="Y58" t="e">
        <f>IF(#REF!,"AAAAAB6//xg=",0)</f>
        <v>#REF!</v>
      </c>
      <c r="Z58" t="e">
        <f>AND(#REF!,"AAAAAB6//xk=")</f>
        <v>#REF!</v>
      </c>
      <c r="AA58" t="e">
        <f>AND(#REF!,"AAAAAB6//xo=")</f>
        <v>#REF!</v>
      </c>
      <c r="AB58" t="e">
        <f>AND(#REF!,"AAAAAB6//xs=")</f>
        <v>#REF!</v>
      </c>
      <c r="AC58" t="e">
        <f>AND(#REF!,"AAAAAB6//xw=")</f>
        <v>#REF!</v>
      </c>
      <c r="AD58" t="e">
        <f>AND(#REF!,"AAAAAB6//x0=")</f>
        <v>#REF!</v>
      </c>
      <c r="AE58" t="e">
        <f>IF(#REF!,"AAAAAB6//x4=",0)</f>
        <v>#REF!</v>
      </c>
      <c r="AF58" t="e">
        <f>AND(#REF!,"AAAAAB6//x8=")</f>
        <v>#REF!</v>
      </c>
      <c r="AG58" t="e">
        <f>AND(#REF!,"AAAAAB6//yA=")</f>
        <v>#REF!</v>
      </c>
      <c r="AH58" t="e">
        <f>AND(#REF!,"AAAAAB6//yE=")</f>
        <v>#REF!</v>
      </c>
      <c r="AI58" t="e">
        <f>AND(#REF!,"AAAAAB6//yI=")</f>
        <v>#REF!</v>
      </c>
      <c r="AJ58" t="e">
        <f>AND(#REF!,"AAAAAB6//yM=")</f>
        <v>#REF!</v>
      </c>
      <c r="AK58" t="e">
        <f>IF(#REF!,"AAAAAB6//yQ=",0)</f>
        <v>#REF!</v>
      </c>
      <c r="AL58" t="e">
        <f>AND(#REF!,"AAAAAB6//yU=")</f>
        <v>#REF!</v>
      </c>
      <c r="AM58" t="e">
        <f>AND(#REF!,"AAAAAB6//yY=")</f>
        <v>#REF!</v>
      </c>
      <c r="AN58" t="e">
        <f>AND(#REF!,"AAAAAB6//yc=")</f>
        <v>#REF!</v>
      </c>
      <c r="AO58" t="e">
        <f>AND(#REF!,"AAAAAB6//yg=")</f>
        <v>#REF!</v>
      </c>
      <c r="AP58" t="e">
        <f>AND(#REF!,"AAAAAB6//yk=")</f>
        <v>#REF!</v>
      </c>
      <c r="AQ58" t="e">
        <f>IF(#REF!,"AAAAAB6//yo=",0)</f>
        <v>#REF!</v>
      </c>
      <c r="AR58" t="e">
        <f>AND(#REF!,"AAAAAB6//ys=")</f>
        <v>#REF!</v>
      </c>
      <c r="AS58" t="e">
        <f>AND(#REF!,"AAAAAB6//yw=")</f>
        <v>#REF!</v>
      </c>
      <c r="AT58" t="e">
        <f>AND(#REF!,"AAAAAB6//y0=")</f>
        <v>#REF!</v>
      </c>
      <c r="AU58" t="e">
        <f>AND(#REF!,"AAAAAB6//y4=")</f>
        <v>#REF!</v>
      </c>
      <c r="AV58" t="e">
        <f>AND(#REF!,"AAAAAB6//y8=")</f>
        <v>#REF!</v>
      </c>
      <c r="AW58" t="e">
        <f>IF(#REF!,"AAAAAB6//zA=",0)</f>
        <v>#REF!</v>
      </c>
      <c r="AX58" t="e">
        <f>AND(#REF!,"AAAAAB6//zE=")</f>
        <v>#REF!</v>
      </c>
      <c r="AY58" t="e">
        <f>AND(#REF!,"AAAAAB6//zI=")</f>
        <v>#REF!</v>
      </c>
      <c r="AZ58" t="e">
        <f>AND(#REF!,"AAAAAB6//zM=")</f>
        <v>#REF!</v>
      </c>
      <c r="BA58" t="e">
        <f>AND(#REF!,"AAAAAB6//zQ=")</f>
        <v>#REF!</v>
      </c>
      <c r="BB58" t="e">
        <f>AND(#REF!,"AAAAAB6//zU=")</f>
        <v>#REF!</v>
      </c>
      <c r="BC58" t="e">
        <f>IF(#REF!,"AAAAAB6//zY=",0)</f>
        <v>#REF!</v>
      </c>
      <c r="BD58" t="e">
        <f>AND(#REF!,"AAAAAB6//zc=")</f>
        <v>#REF!</v>
      </c>
      <c r="BE58" t="e">
        <f>AND(#REF!,"AAAAAB6//zg=")</f>
        <v>#REF!</v>
      </c>
      <c r="BF58" t="e">
        <f>AND(#REF!,"AAAAAB6//zk=")</f>
        <v>#REF!</v>
      </c>
      <c r="BG58" t="e">
        <f>AND(#REF!,"AAAAAB6//zo=")</f>
        <v>#REF!</v>
      </c>
      <c r="BH58" t="e">
        <f>AND(#REF!,"AAAAAB6//zs=")</f>
        <v>#REF!</v>
      </c>
      <c r="BI58" t="e">
        <f>IF(#REF!,"AAAAAB6//zw=",0)</f>
        <v>#REF!</v>
      </c>
      <c r="BJ58" t="e">
        <f>AND(#REF!,"AAAAAB6//z0=")</f>
        <v>#REF!</v>
      </c>
      <c r="BK58" t="e">
        <f>AND(#REF!,"AAAAAB6//z4=")</f>
        <v>#REF!</v>
      </c>
      <c r="BL58" t="e">
        <f>AND(#REF!,"AAAAAB6//z8=")</f>
        <v>#REF!</v>
      </c>
      <c r="BM58" t="e">
        <f>AND(#REF!,"AAAAAB6//0A=")</f>
        <v>#REF!</v>
      </c>
      <c r="BN58" t="e">
        <f>AND(#REF!,"AAAAAB6//0E=")</f>
        <v>#REF!</v>
      </c>
      <c r="BO58" t="e">
        <f>IF(#REF!,"AAAAAB6//0I=",0)</f>
        <v>#REF!</v>
      </c>
      <c r="BP58" t="e">
        <f>AND(#REF!,"AAAAAB6//0M=")</f>
        <v>#REF!</v>
      </c>
      <c r="BQ58" t="e">
        <f>AND(#REF!,"AAAAAB6//0Q=")</f>
        <v>#REF!</v>
      </c>
      <c r="BR58" t="e">
        <f>AND(#REF!,"AAAAAB6//0U=")</f>
        <v>#REF!</v>
      </c>
      <c r="BS58" t="e">
        <f>AND(#REF!,"AAAAAB6//0Y=")</f>
        <v>#REF!</v>
      </c>
      <c r="BT58" t="e">
        <f>AND(#REF!,"AAAAAB6//0c=")</f>
        <v>#REF!</v>
      </c>
      <c r="BU58" t="e">
        <f>IF(#REF!,"AAAAAB6//0g=",0)</f>
        <v>#REF!</v>
      </c>
      <c r="BV58" t="e">
        <f>AND(#REF!,"AAAAAB6//0k=")</f>
        <v>#REF!</v>
      </c>
      <c r="BW58" t="e">
        <f>AND(#REF!,"AAAAAB6//0o=")</f>
        <v>#REF!</v>
      </c>
      <c r="BX58" t="e">
        <f>AND(#REF!,"AAAAAB6//0s=")</f>
        <v>#REF!</v>
      </c>
      <c r="BY58" t="e">
        <f>AND(#REF!,"AAAAAB6//0w=")</f>
        <v>#REF!</v>
      </c>
      <c r="BZ58" t="e">
        <f>AND(#REF!,"AAAAAB6//00=")</f>
        <v>#REF!</v>
      </c>
      <c r="CA58" t="e">
        <f>IF(#REF!,"AAAAAB6//04=",0)</f>
        <v>#REF!</v>
      </c>
      <c r="CB58" t="e">
        <f>AND(#REF!,"AAAAAB6//08=")</f>
        <v>#REF!</v>
      </c>
      <c r="CC58" t="e">
        <f>AND(#REF!,"AAAAAB6//1A=")</f>
        <v>#REF!</v>
      </c>
      <c r="CD58" t="e">
        <f>AND(#REF!,"AAAAAB6//1E=")</f>
        <v>#REF!</v>
      </c>
      <c r="CE58" t="e">
        <f>AND(#REF!,"AAAAAB6//1I=")</f>
        <v>#REF!</v>
      </c>
      <c r="CF58" t="e">
        <f>AND(#REF!,"AAAAAB6//1M=")</f>
        <v>#REF!</v>
      </c>
      <c r="CG58" t="e">
        <f>IF(#REF!,"AAAAAB6//1Q=",0)</f>
        <v>#REF!</v>
      </c>
      <c r="CH58" t="e">
        <f>AND(#REF!,"AAAAAB6//1U=")</f>
        <v>#REF!</v>
      </c>
      <c r="CI58" t="e">
        <f>AND(#REF!,"AAAAAB6//1Y=")</f>
        <v>#REF!</v>
      </c>
      <c r="CJ58" t="e">
        <f>AND(#REF!,"AAAAAB6//1c=")</f>
        <v>#REF!</v>
      </c>
      <c r="CK58" t="e">
        <f>AND(#REF!,"AAAAAB6//1g=")</f>
        <v>#REF!</v>
      </c>
      <c r="CL58" t="e">
        <f>AND(#REF!,"AAAAAB6//1k=")</f>
        <v>#REF!</v>
      </c>
      <c r="CM58" t="e">
        <f>IF(#REF!,"AAAAAB6//1o=",0)</f>
        <v>#REF!</v>
      </c>
      <c r="CN58" t="e">
        <f>AND(#REF!,"AAAAAB6//1s=")</f>
        <v>#REF!</v>
      </c>
      <c r="CO58" t="e">
        <f>AND(#REF!,"AAAAAB6//1w=")</f>
        <v>#REF!</v>
      </c>
      <c r="CP58" t="e">
        <f>AND(#REF!,"AAAAAB6//10=")</f>
        <v>#REF!</v>
      </c>
      <c r="CQ58" t="e">
        <f>AND(#REF!,"AAAAAB6//14=")</f>
        <v>#REF!</v>
      </c>
      <c r="CR58" t="e">
        <f>AND(#REF!,"AAAAAB6//18=")</f>
        <v>#REF!</v>
      </c>
      <c r="CS58" t="e">
        <f>IF(#REF!,"AAAAAB6//2A=",0)</f>
        <v>#REF!</v>
      </c>
      <c r="CT58" t="e">
        <f>AND(#REF!,"AAAAAB6//2E=")</f>
        <v>#REF!</v>
      </c>
      <c r="CU58" t="e">
        <f>AND(#REF!,"AAAAAB6//2I=")</f>
        <v>#REF!</v>
      </c>
      <c r="CV58" t="e">
        <f>AND(#REF!,"AAAAAB6//2M=")</f>
        <v>#REF!</v>
      </c>
      <c r="CW58" t="e">
        <f>AND(#REF!,"AAAAAB6//2Q=")</f>
        <v>#REF!</v>
      </c>
      <c r="CX58" t="e">
        <f>AND(#REF!,"AAAAAB6//2U=")</f>
        <v>#REF!</v>
      </c>
      <c r="CY58" t="e">
        <f>IF(#REF!,"AAAAAB6//2Y=",0)</f>
        <v>#REF!</v>
      </c>
      <c r="CZ58" t="e">
        <f>AND(#REF!,"AAAAAB6//2c=")</f>
        <v>#REF!</v>
      </c>
      <c r="DA58" t="e">
        <f>AND(#REF!,"AAAAAB6//2g=")</f>
        <v>#REF!</v>
      </c>
      <c r="DB58" t="e">
        <f>AND(#REF!,"AAAAAB6//2k=")</f>
        <v>#REF!</v>
      </c>
      <c r="DC58" t="e">
        <f>AND(#REF!,"AAAAAB6//2o=")</f>
        <v>#REF!</v>
      </c>
      <c r="DD58" t="e">
        <f>AND(#REF!,"AAAAAB6//2s=")</f>
        <v>#REF!</v>
      </c>
      <c r="DE58" t="e">
        <f>IF(#REF!,"AAAAAB6//2w=",0)</f>
        <v>#REF!</v>
      </c>
      <c r="DF58" t="e">
        <f>AND(#REF!,"AAAAAB6//20=")</f>
        <v>#REF!</v>
      </c>
      <c r="DG58" t="e">
        <f>AND(#REF!,"AAAAAB6//24=")</f>
        <v>#REF!</v>
      </c>
      <c r="DH58" t="e">
        <f>AND(#REF!,"AAAAAB6//28=")</f>
        <v>#REF!</v>
      </c>
      <c r="DI58" t="e">
        <f>AND(#REF!,"AAAAAB6//3A=")</f>
        <v>#REF!</v>
      </c>
      <c r="DJ58" t="e">
        <f>AND(#REF!,"AAAAAB6//3E=")</f>
        <v>#REF!</v>
      </c>
      <c r="DK58" t="e">
        <f>IF(#REF!,"AAAAAB6//3I=",0)</f>
        <v>#REF!</v>
      </c>
      <c r="DL58" t="e">
        <f>AND(#REF!,"AAAAAB6//3M=")</f>
        <v>#REF!</v>
      </c>
      <c r="DM58" t="e">
        <f>AND(#REF!,"AAAAAB6//3Q=")</f>
        <v>#REF!</v>
      </c>
      <c r="DN58" t="e">
        <f>AND(#REF!,"AAAAAB6//3U=")</f>
        <v>#REF!</v>
      </c>
      <c r="DO58" t="e">
        <f>AND(#REF!,"AAAAAB6//3Y=")</f>
        <v>#REF!</v>
      </c>
      <c r="DP58" t="e">
        <f>AND(#REF!,"AAAAAB6//3c=")</f>
        <v>#REF!</v>
      </c>
      <c r="DQ58" t="e">
        <f>IF(#REF!,"AAAAAB6//3g=",0)</f>
        <v>#REF!</v>
      </c>
      <c r="DR58" t="e">
        <f>AND(#REF!,"AAAAAB6//3k=")</f>
        <v>#REF!</v>
      </c>
      <c r="DS58" t="e">
        <f>AND(#REF!,"AAAAAB6//3o=")</f>
        <v>#REF!</v>
      </c>
      <c r="DT58" t="e">
        <f>AND(#REF!,"AAAAAB6//3s=")</f>
        <v>#REF!</v>
      </c>
      <c r="DU58" t="e">
        <f>AND(#REF!,"AAAAAB6//3w=")</f>
        <v>#REF!</v>
      </c>
      <c r="DV58" t="e">
        <f>AND(#REF!,"AAAAAB6//30=")</f>
        <v>#REF!</v>
      </c>
      <c r="DW58" t="e">
        <f>IF(#REF!,"AAAAAB6//34=",0)</f>
        <v>#REF!</v>
      </c>
      <c r="DX58" t="e">
        <f>AND(#REF!,"AAAAAB6//38=")</f>
        <v>#REF!</v>
      </c>
      <c r="DY58" t="e">
        <f>AND(#REF!,"AAAAAB6//4A=")</f>
        <v>#REF!</v>
      </c>
      <c r="DZ58" t="e">
        <f>AND(#REF!,"AAAAAB6//4E=")</f>
        <v>#REF!</v>
      </c>
      <c r="EA58" t="e">
        <f>AND(#REF!,"AAAAAB6//4I=")</f>
        <v>#REF!</v>
      </c>
      <c r="EB58" t="e">
        <f>AND(#REF!,"AAAAAB6//4M=")</f>
        <v>#REF!</v>
      </c>
      <c r="EC58" t="e">
        <f>IF(#REF!,"AAAAAB6//4Q=",0)</f>
        <v>#REF!</v>
      </c>
      <c r="ED58" t="e">
        <f>AND(#REF!,"AAAAAB6//4U=")</f>
        <v>#REF!</v>
      </c>
      <c r="EE58" t="e">
        <f>AND(#REF!,"AAAAAB6//4Y=")</f>
        <v>#REF!</v>
      </c>
      <c r="EF58" t="e">
        <f>AND(#REF!,"AAAAAB6//4c=")</f>
        <v>#REF!</v>
      </c>
      <c r="EG58" t="e">
        <f>AND(#REF!,"AAAAAB6//4g=")</f>
        <v>#REF!</v>
      </c>
      <c r="EH58" t="e">
        <f>AND(#REF!,"AAAAAB6//4k=")</f>
        <v>#REF!</v>
      </c>
      <c r="EI58" t="e">
        <f>IF(#REF!,"AAAAAB6//4o=",0)</f>
        <v>#REF!</v>
      </c>
      <c r="EJ58" t="e">
        <f>AND(#REF!,"AAAAAB6//4s=")</f>
        <v>#REF!</v>
      </c>
      <c r="EK58" t="e">
        <f>AND(#REF!,"AAAAAB6//4w=")</f>
        <v>#REF!</v>
      </c>
      <c r="EL58" t="e">
        <f>AND(#REF!,"AAAAAB6//40=")</f>
        <v>#REF!</v>
      </c>
      <c r="EM58" t="e">
        <f>AND(#REF!,"AAAAAB6//44=")</f>
        <v>#REF!</v>
      </c>
      <c r="EN58" t="e">
        <f>AND(#REF!,"AAAAAB6//48=")</f>
        <v>#REF!</v>
      </c>
      <c r="EO58" t="e">
        <f>IF(#REF!,"AAAAAB6//5A=",0)</f>
        <v>#REF!</v>
      </c>
      <c r="EP58" t="e">
        <f>IF(#REF!,"AAAAAB6//5E=",0)</f>
        <v>#REF!</v>
      </c>
      <c r="EQ58" t="e">
        <f>IF(#REF!,"AAAAAB6//5I=",0)</f>
        <v>#REF!</v>
      </c>
      <c r="ER58" t="e">
        <f>IF(#REF!,"AAAAAB6//5M=",0)</f>
        <v>#REF!</v>
      </c>
      <c r="ES58" t="e">
        <f>IF(#REF!,"AAAAAB6//5Q=",0)</f>
        <v>#REF!</v>
      </c>
      <c r="ET58" t="e">
        <f>AND(Récap!B30,"AAAAAB6//5U=")</f>
        <v>#VALUE!</v>
      </c>
      <c r="EU58" t="e">
        <f>AND(Récap!C30,"AAAAAB6//5Y=")</f>
        <v>#VALUE!</v>
      </c>
      <c r="EV58" t="e">
        <f>AND(Récap!D30,"AAAAAB6//5c=")</f>
        <v>#VALUE!</v>
      </c>
      <c r="EW58" t="e">
        <f>AND(Récap!E30,"AAAAAB6//5g=")</f>
        <v>#VALUE!</v>
      </c>
      <c r="EX58" t="e">
        <f>AND(Récap!F30,"AAAAAB6//5k=")</f>
        <v>#VALUE!</v>
      </c>
      <c r="EY58" t="e">
        <f>AND(Récap!G30,"AAAAAB6//5o=")</f>
        <v>#VALUE!</v>
      </c>
      <c r="EZ58" t="e">
        <f>AND(Récap!H30,"AAAAAB6//5s=")</f>
        <v>#VALUE!</v>
      </c>
      <c r="FA58" t="e">
        <f>AND(Récap!I30,"AAAAAB6//5w=")</f>
        <v>#VALUE!</v>
      </c>
      <c r="FB58" t="e">
        <f>AND(Récap!B31,"AAAAAB6//50=")</f>
        <v>#VALUE!</v>
      </c>
      <c r="FC58" t="e">
        <f>AND(Récap!C31,"AAAAAB6//54=")</f>
        <v>#VALUE!</v>
      </c>
      <c r="FD58" t="e">
        <f>AND(Récap!D31,"AAAAAB6//58=")</f>
        <v>#VALUE!</v>
      </c>
      <c r="FE58" t="e">
        <f>AND(Récap!E31,"AAAAAB6//6A=")</f>
        <v>#VALUE!</v>
      </c>
      <c r="FF58" t="e">
        <f>AND(Récap!F31,"AAAAAB6//6E=")</f>
        <v>#VALUE!</v>
      </c>
      <c r="FG58" t="e">
        <f>AND(Récap!G31,"AAAAAB6//6I=")</f>
        <v>#VALUE!</v>
      </c>
      <c r="FH58" t="e">
        <f>AND(Récap!H31,"AAAAAB6//6M=")</f>
        <v>#VALUE!</v>
      </c>
      <c r="FI58" t="e">
        <f>AND(Récap!I31,"AAAAAB6//6Q=")</f>
        <v>#VALUE!</v>
      </c>
      <c r="FJ58" t="e">
        <f>IF("N",modèle!_xlnm.Print_Area,"AAAAAB6//6U=")</f>
        <v>#VALUE!</v>
      </c>
      <c r="FK58" t="e">
        <f>IF("N",[0]!_xlnm.Print_Area,"AAAAAB6//6Y=")</f>
        <v>#VALUE!</v>
      </c>
      <c r="FL58" t="e">
        <f>IF("N",[0]!_xlnm.Print_Area,"AAAAAB6//6c=")</f>
        <v>#VALUE!</v>
      </c>
      <c r="FM58" t="e">
        <f>IF("N",[0]!_xlnm.Print_Area,"AAAAAB6//6g=")</f>
        <v>#VALUE!</v>
      </c>
      <c r="FN58" t="e">
        <f>IF("N",[0]!_xlnm.Print_Area,"AAAAAB6//6k=")</f>
        <v>#VALUE!</v>
      </c>
      <c r="FO58" t="e">
        <f>IF("N",[0]!_xlnm.Print_Area,"AAAAAB6//6o=")</f>
        <v>#VALUE!</v>
      </c>
      <c r="FP58" t="e">
        <f>IF("N",[0]!_xlnm.Print_Area,"AAAAAB6//6s=")</f>
        <v>#VALUE!</v>
      </c>
      <c r="FQ58" t="e">
        <f>IF("N",[0]!_xlnm.Print_Area,"AAAAAB6//6w=")</f>
        <v>#VALUE!</v>
      </c>
      <c r="FR58" t="e">
        <f>IF("N",[0]!_xlnm.Print_Area,"AAAAAB6//60=")</f>
        <v>#VALUE!</v>
      </c>
      <c r="FS58" t="e">
        <f>IF("N",[0]!_xlnm.Print_Area,"AAAAAB6//64=")</f>
        <v>#VALUE!</v>
      </c>
      <c r="FT58" t="e">
        <f>IF("N",[0]!_xlnm.Print_Area,"AAAAAB6//68=")</f>
        <v>#VALUE!</v>
      </c>
      <c r="FU58" t="e">
        <f>IF("N",[0]!_xlnm.Print_Area,"AAAAAB6//7A=")</f>
        <v>#VALUE!</v>
      </c>
      <c r="FV58" t="e">
        <f>IF("N",[0]!_xlnm.Print_Area,"AAAAAB6//7E=")</f>
        <v>#VALUE!</v>
      </c>
      <c r="FW58" t="e">
        <f>IF("N",[0]!_xlnm.Print_Area,"AAAAAB6//7I=")</f>
        <v>#VALUE!</v>
      </c>
      <c r="FX58" t="e">
        <f>IF("N",[0]!_xlnm.Print_Area,"AAAAAB6//7M=")</f>
        <v>#VALUE!</v>
      </c>
      <c r="FY58" t="e">
        <f>IF("N",[0]!_xlnm.Print_Area,"AAAAAB6//7Q=")</f>
        <v>#VALUE!</v>
      </c>
      <c r="FZ58" t="e">
        <f>IF("N",[0]!_xlnm.Print_Area,"AAAAAB6//7U=")</f>
        <v>#VALUE!</v>
      </c>
      <c r="GA58" t="e">
        <f>IF("N",[0]!_xlnm.Print_Area,"AAAAAB6//7Y=")</f>
        <v>#VALUE!</v>
      </c>
      <c r="GB58" t="e">
        <f>IF("N",[0]!_xlnm.Print_Area,"AAAAAB6//7c=")</f>
        <v>#VALUE!</v>
      </c>
      <c r="GC58" t="e">
        <f>IF("N",[0]!_xlnm.Print_Area,"AAAAAB6//7g=")</f>
        <v>#VALUE!</v>
      </c>
      <c r="GD58" t="e">
        <f>IF("N",[0]!_xlnm.Print_Area,"AAAAAB6//7k=")</f>
        <v>#VALUE!</v>
      </c>
      <c r="GE58" t="e">
        <f>IF("N",[0]!_xlnm.Print_Area,"AAAAAB6//7o=")</f>
        <v>#VALUE!</v>
      </c>
      <c r="GF58" t="e">
        <f>IF("N",[0]!_xlnm.Print_Area,"AAAAAB6//7s=")</f>
        <v>#VALUE!</v>
      </c>
      <c r="GG58" t="e">
        <f>IF("N",[0]!_xlnm.Print_Area,"AAAAAB6//7w=")</f>
        <v>#VALUE!</v>
      </c>
      <c r="GH58" t="e">
        <f>IF("N",[0]!_xlnm.Print_Area,"AAAAAB6//70=")</f>
        <v>#VALUE!</v>
      </c>
      <c r="GI58" t="e">
        <f>IF("N",[0]!_xlnm.Print_Area,"AAAAAB6//74=")</f>
        <v>#VALUE!</v>
      </c>
      <c r="GJ58" t="e">
        <f>IF("N",[0]!_xlnm.Print_Area,"AAAAAB6//78=")</f>
        <v>#VALUE!</v>
      </c>
    </row>
  </sheetData>
  <pageMargins left="0.7" right="0.7" top="0.75" bottom="0.75" header="0.3" footer="0.3"/>
  <customProperties>
    <customPr name="DVSECTION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Récap</vt:lpstr>
      <vt:lpstr>34</vt:lpstr>
      <vt:lpstr>35</vt:lpstr>
      <vt:lpstr>modèle</vt:lpstr>
      <vt:lpstr>'34'!Zone_d_impression</vt:lpstr>
      <vt:lpstr>'35'!Zone_d_impression</vt:lpstr>
      <vt:lpstr>modèle!Zone_d_impression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cyrille.bonnot</dc:creator>
  <cp:lastModifiedBy>cyrille.bonnot</cp:lastModifiedBy>
  <cp:lastPrinted>2013-05-17T07:12:43Z</cp:lastPrinted>
  <dcterms:created xsi:type="dcterms:W3CDTF">2010-06-21T07:10:07Z</dcterms:created>
  <dcterms:modified xsi:type="dcterms:W3CDTF">2013-07-05T11:44:04Z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false</vt:lpwstr>
  </property>
  <property fmtid="{D5CDD505-2E9C-101B-9397-08002B2CF9AE}" pid="3" name="Google.Documents.DocumentId">
    <vt:lpwstr>12_pG6IvnaN4FkSlwlPZ9ekkNxZvODRTlRDRupRCPbj8</vt:lpwstr>
  </property>
  <property fmtid="{D5CDD505-2E9C-101B-9397-08002B2CF9AE}" pid="4" name="Google.Documents.RevisionId">
    <vt:lpwstr>03406254218451399429</vt:lpwstr>
  </property>
  <property fmtid="{D5CDD505-2E9C-101B-9397-08002B2CF9AE}" pid="5" name="Google.Documents.PreviousRevisionId">
    <vt:lpwstr>11651087483775509202</vt:lpwstr>
  </property>
  <property fmtid="{D5CDD505-2E9C-101B-9397-08002B2CF9AE}" pid="6" name="Google.Documents.PluginVersion">
    <vt:lpwstr>2.0.2662.553</vt:lpwstr>
  </property>
  <property fmtid="{D5CDD505-2E9C-101B-9397-08002B2CF9AE}" pid="7" name="Google.Documents.MergeIncapabilityFlags">
    <vt:i4>0</vt:i4>
  </property>
</Properties>
</file>