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1840" windowHeight="6435" activeTab="2"/>
  </bookViews>
  <sheets>
    <sheet name="50HZ" sheetId="1" r:id="rId1"/>
    <sheet name="val" sheetId="2" state="hidden" r:id="rId2"/>
    <sheet name="60HZ" sheetId="3" r:id="rId3"/>
  </sheets>
  <definedNames>
    <definedName name="liste_bis">OFFSET('50HZ'!XEY1048576,0,0,COUNTA('50HZ'!XEY:XEY),1)</definedName>
    <definedName name="liste_bis60">OFFSET('60HZ'!XEY1048576,0,0,COUNTA('60HZ'!XEY:XEY),1)</definedName>
  </definedNames>
  <calcPr calcId="145621"/>
</workbook>
</file>

<file path=xl/calcChain.xml><?xml version="1.0" encoding="utf-8"?>
<calcChain xmlns="http://schemas.openxmlformats.org/spreadsheetml/2006/main">
  <c r="M24" i="3" l="1"/>
  <c r="L24" i="3"/>
  <c r="K24" i="3"/>
  <c r="M23" i="3"/>
  <c r="L23" i="3"/>
  <c r="K23" i="3"/>
  <c r="M22" i="3"/>
  <c r="L22" i="3"/>
  <c r="K22" i="3"/>
  <c r="M21" i="3"/>
  <c r="L21" i="3"/>
  <c r="K21" i="3"/>
  <c r="M20" i="3"/>
  <c r="L20" i="3"/>
  <c r="K20" i="3"/>
  <c r="M19" i="3"/>
  <c r="L19" i="3"/>
  <c r="K19" i="3"/>
  <c r="M18" i="3"/>
  <c r="L18" i="3"/>
  <c r="K18" i="3"/>
  <c r="M17" i="3"/>
  <c r="L17" i="3"/>
  <c r="K17" i="3"/>
  <c r="M16" i="3"/>
  <c r="L16" i="3"/>
  <c r="K16" i="3"/>
  <c r="M15" i="3"/>
  <c r="L15" i="3"/>
  <c r="K15" i="3"/>
  <c r="CA1" i="3"/>
  <c r="M24" i="1"/>
  <c r="L24" i="1"/>
  <c r="K24" i="1"/>
  <c r="M23" i="1"/>
  <c r="L23" i="1"/>
  <c r="K23" i="1"/>
  <c r="M22" i="1"/>
  <c r="L22" i="1"/>
  <c r="K22" i="1"/>
  <c r="M21" i="1"/>
  <c r="L21" i="1"/>
  <c r="K21" i="1"/>
  <c r="M20" i="1"/>
  <c r="L20" i="1"/>
  <c r="K20" i="1"/>
  <c r="M19" i="1"/>
  <c r="L19" i="1"/>
  <c r="K19" i="1"/>
  <c r="M18" i="1"/>
  <c r="L18" i="1"/>
  <c r="K18" i="1"/>
  <c r="M17" i="1"/>
  <c r="L17" i="1"/>
  <c r="K17" i="1"/>
  <c r="M16" i="1"/>
  <c r="L16" i="1"/>
  <c r="K16" i="1"/>
  <c r="M15" i="1"/>
  <c r="L15" i="1"/>
  <c r="K15" i="1"/>
  <c r="J23" i="1" l="1"/>
  <c r="J22" i="1"/>
  <c r="J21" i="1"/>
  <c r="J20" i="1"/>
  <c r="J19" i="1"/>
  <c r="J18" i="1"/>
  <c r="J17" i="1"/>
  <c r="J16" i="1"/>
  <c r="J15" i="1"/>
  <c r="CA1" i="1" l="1"/>
  <c r="J23" i="3" l="1"/>
  <c r="J22" i="3"/>
  <c r="J21" i="3"/>
  <c r="J20" i="3"/>
  <c r="J19" i="3"/>
  <c r="J18" i="3"/>
  <c r="J17" i="3"/>
  <c r="J16" i="3"/>
  <c r="J15" i="3"/>
  <c r="H357" i="1" l="1"/>
  <c r="G357" i="1"/>
  <c r="F357" i="1"/>
  <c r="H356" i="1"/>
  <c r="G356" i="1"/>
  <c r="F356" i="1"/>
  <c r="H355" i="1"/>
  <c r="G355" i="1"/>
  <c r="F355" i="1"/>
  <c r="H354" i="1"/>
  <c r="G354" i="1"/>
  <c r="F354" i="1"/>
  <c r="H353" i="1"/>
  <c r="G353" i="1"/>
  <c r="F353" i="1"/>
  <c r="H352" i="1"/>
  <c r="G352" i="1"/>
  <c r="F352" i="1"/>
  <c r="H351" i="1"/>
  <c r="G351" i="1"/>
  <c r="F351" i="1"/>
  <c r="H350" i="1"/>
  <c r="G350" i="1"/>
  <c r="F350" i="1"/>
  <c r="H349" i="1"/>
  <c r="G349" i="1"/>
  <c r="F349" i="1"/>
  <c r="H348" i="1"/>
  <c r="G348" i="1"/>
  <c r="F348" i="1"/>
  <c r="H347" i="1"/>
  <c r="G347" i="1"/>
  <c r="F347" i="1"/>
  <c r="H346" i="1"/>
  <c r="G346" i="1"/>
  <c r="F346" i="1"/>
  <c r="H345" i="1"/>
  <c r="G345" i="1"/>
  <c r="F345" i="1"/>
  <c r="H344" i="1"/>
  <c r="G344" i="1"/>
  <c r="F344" i="1"/>
  <c r="H343" i="1"/>
  <c r="G343" i="1"/>
  <c r="F343" i="1"/>
  <c r="H342" i="1"/>
  <c r="G342" i="1"/>
  <c r="F342" i="1"/>
  <c r="H341" i="1"/>
  <c r="G341" i="1"/>
  <c r="F341" i="1"/>
  <c r="H340" i="1"/>
  <c r="G340" i="1"/>
  <c r="F340" i="1"/>
  <c r="H339" i="1"/>
  <c r="G339" i="1"/>
  <c r="F339" i="1"/>
  <c r="H338" i="1"/>
  <c r="G338" i="1"/>
  <c r="F338" i="1"/>
  <c r="H337" i="1"/>
  <c r="G337" i="1"/>
  <c r="F337" i="1"/>
  <c r="H336" i="1"/>
  <c r="G336" i="1"/>
  <c r="F336" i="1"/>
  <c r="H335" i="1"/>
  <c r="G335" i="1"/>
  <c r="F335" i="1"/>
  <c r="H334" i="1"/>
  <c r="G334" i="1"/>
  <c r="F334" i="1"/>
  <c r="H333" i="1"/>
  <c r="G333" i="1"/>
  <c r="F333" i="1"/>
  <c r="H332" i="1"/>
  <c r="G332" i="1"/>
  <c r="F332" i="1"/>
  <c r="H331" i="1"/>
  <c r="G331" i="1"/>
  <c r="F331" i="1"/>
  <c r="H330" i="1"/>
  <c r="G330" i="1"/>
  <c r="F330" i="1"/>
  <c r="H329" i="1"/>
  <c r="G329" i="1"/>
  <c r="F329" i="1"/>
  <c r="H328" i="1"/>
  <c r="G328" i="1"/>
  <c r="F328" i="1"/>
  <c r="H327" i="1"/>
  <c r="G327" i="1"/>
  <c r="F327" i="1"/>
  <c r="H326" i="1"/>
  <c r="G326" i="1"/>
  <c r="F326" i="1"/>
  <c r="H325" i="1"/>
  <c r="G325" i="1"/>
  <c r="F325" i="1"/>
  <c r="H324" i="1"/>
  <c r="G324" i="1"/>
  <c r="F324" i="1"/>
  <c r="H323" i="1"/>
  <c r="G323" i="1"/>
  <c r="F323" i="1"/>
  <c r="H322" i="1"/>
  <c r="G322" i="1"/>
  <c r="F322" i="1"/>
  <c r="H321" i="1"/>
  <c r="G321" i="1"/>
  <c r="F321" i="1"/>
  <c r="H320" i="1"/>
  <c r="G320" i="1"/>
  <c r="F320" i="1"/>
  <c r="H319" i="1"/>
  <c r="G319" i="1"/>
  <c r="F319" i="1"/>
  <c r="H318" i="1"/>
  <c r="G318" i="1"/>
  <c r="F318" i="1"/>
  <c r="H317" i="1"/>
  <c r="G317" i="1"/>
  <c r="F317" i="1"/>
  <c r="H316" i="1"/>
  <c r="G316" i="1"/>
  <c r="F316" i="1"/>
  <c r="H315" i="1"/>
  <c r="G315" i="1"/>
  <c r="F315" i="1"/>
  <c r="H314" i="1"/>
  <c r="G314" i="1"/>
  <c r="F314" i="1"/>
  <c r="H313" i="1"/>
  <c r="G313" i="1"/>
  <c r="F313" i="1"/>
  <c r="H312" i="1"/>
  <c r="G312" i="1"/>
  <c r="F312" i="1"/>
  <c r="H311" i="1"/>
  <c r="G311" i="1"/>
  <c r="F311" i="1"/>
  <c r="H310" i="1"/>
  <c r="G310" i="1"/>
  <c r="F310" i="1"/>
  <c r="H309" i="1"/>
  <c r="G309" i="1"/>
  <c r="F309" i="1"/>
  <c r="H308" i="1"/>
  <c r="G308" i="1"/>
  <c r="F308" i="1"/>
  <c r="H307" i="1"/>
  <c r="G307" i="1"/>
  <c r="F307" i="1"/>
  <c r="H306" i="1"/>
  <c r="G306" i="1"/>
  <c r="F306" i="1"/>
  <c r="H305" i="1"/>
  <c r="G305" i="1"/>
  <c r="F305" i="1"/>
  <c r="H304" i="1"/>
  <c r="G304" i="1"/>
  <c r="F304" i="1"/>
  <c r="H303" i="1"/>
  <c r="G303" i="1"/>
  <c r="F303" i="1"/>
  <c r="H302" i="1"/>
  <c r="G302" i="1"/>
  <c r="F302" i="1"/>
  <c r="H301" i="1"/>
  <c r="G301" i="1"/>
  <c r="F301" i="1"/>
  <c r="H300" i="1"/>
  <c r="G300" i="1"/>
  <c r="F300" i="1"/>
  <c r="H299" i="1"/>
  <c r="G299" i="1"/>
  <c r="F299" i="1"/>
  <c r="H298" i="1"/>
  <c r="G298" i="1"/>
  <c r="F298" i="1"/>
  <c r="H297" i="1"/>
  <c r="G297" i="1"/>
  <c r="F297" i="1"/>
  <c r="H296" i="1"/>
  <c r="G296" i="1"/>
  <c r="F296" i="1"/>
  <c r="H295" i="1"/>
  <c r="G295" i="1"/>
  <c r="F295" i="1"/>
  <c r="H294" i="1"/>
  <c r="G294" i="1"/>
  <c r="F294" i="1"/>
  <c r="H293" i="1"/>
  <c r="G293" i="1"/>
  <c r="F293" i="1"/>
  <c r="H292" i="1"/>
  <c r="G292" i="1"/>
  <c r="F292" i="1"/>
  <c r="H291" i="1"/>
  <c r="G291" i="1"/>
  <c r="F291" i="1"/>
  <c r="H290" i="1"/>
  <c r="G290" i="1"/>
  <c r="F290" i="1"/>
  <c r="H289" i="1"/>
  <c r="G289" i="1"/>
  <c r="F289" i="1"/>
  <c r="H288" i="1"/>
  <c r="G288" i="1"/>
  <c r="F288" i="1"/>
  <c r="H287" i="1"/>
  <c r="G287" i="1"/>
  <c r="F287" i="1"/>
  <c r="H286" i="1"/>
  <c r="G286" i="1"/>
  <c r="F286" i="1"/>
  <c r="H285" i="1"/>
  <c r="G285" i="1"/>
  <c r="F285" i="1"/>
  <c r="H284" i="1"/>
  <c r="G284" i="1"/>
  <c r="F284" i="1"/>
  <c r="H283" i="1"/>
  <c r="G283" i="1"/>
  <c r="F283" i="1"/>
  <c r="H282" i="1"/>
  <c r="G282" i="1"/>
  <c r="F282" i="1"/>
  <c r="H281" i="1"/>
  <c r="G281" i="1"/>
  <c r="F281" i="1"/>
  <c r="H280" i="1"/>
  <c r="G280" i="1"/>
  <c r="F280" i="1"/>
  <c r="H279" i="1"/>
  <c r="G279" i="1"/>
  <c r="F279" i="1"/>
  <c r="H278" i="1"/>
  <c r="G278" i="1"/>
  <c r="F278" i="1"/>
  <c r="H277" i="1"/>
  <c r="G277" i="1"/>
  <c r="F277" i="1"/>
  <c r="H276" i="1"/>
  <c r="G276" i="1"/>
  <c r="F276" i="1"/>
  <c r="H275" i="1"/>
  <c r="G275" i="1"/>
  <c r="F275" i="1"/>
  <c r="H274" i="1"/>
  <c r="G274" i="1"/>
  <c r="F274" i="1"/>
  <c r="H273" i="1"/>
  <c r="G273" i="1"/>
  <c r="F273" i="1"/>
  <c r="H272" i="1"/>
  <c r="G272" i="1"/>
  <c r="F272" i="1"/>
  <c r="H271" i="1"/>
  <c r="G271" i="1"/>
  <c r="F271" i="1"/>
  <c r="H270" i="1"/>
  <c r="G270" i="1"/>
  <c r="F270" i="1"/>
  <c r="H269" i="1"/>
  <c r="G269" i="1"/>
  <c r="F269" i="1"/>
  <c r="H268" i="1"/>
  <c r="G268" i="1"/>
  <c r="F268" i="1"/>
  <c r="H267" i="1"/>
  <c r="G267" i="1"/>
  <c r="F267" i="1"/>
  <c r="H266" i="1"/>
  <c r="G266" i="1"/>
  <c r="F266" i="1"/>
  <c r="H265" i="1"/>
  <c r="G265" i="1"/>
  <c r="F265" i="1"/>
  <c r="H264" i="1"/>
  <c r="G264" i="1"/>
  <c r="F264" i="1"/>
  <c r="H263" i="1"/>
  <c r="G263" i="1"/>
  <c r="F263" i="1"/>
  <c r="H262" i="1"/>
  <c r="G262" i="1"/>
  <c r="F262" i="1"/>
  <c r="H261" i="1"/>
  <c r="G261" i="1"/>
  <c r="F261" i="1"/>
  <c r="H260" i="1"/>
  <c r="G260" i="1"/>
  <c r="F260" i="1"/>
  <c r="H259" i="1"/>
  <c r="G259" i="1"/>
  <c r="F259" i="1"/>
  <c r="H258" i="1"/>
  <c r="G258" i="1"/>
  <c r="F258" i="1"/>
  <c r="H257" i="1"/>
  <c r="G257" i="1"/>
  <c r="F257" i="1"/>
  <c r="H256" i="1"/>
  <c r="G256" i="1"/>
  <c r="F256" i="1"/>
  <c r="H255" i="1"/>
  <c r="G255" i="1"/>
  <c r="F255" i="1"/>
  <c r="H254" i="1"/>
  <c r="G254" i="1"/>
  <c r="F254" i="1"/>
  <c r="H253" i="1"/>
  <c r="G253" i="1"/>
  <c r="F253" i="1"/>
  <c r="H252" i="1"/>
  <c r="G252" i="1"/>
  <c r="F252" i="1"/>
  <c r="H251" i="1"/>
  <c r="G251" i="1"/>
  <c r="F251" i="1"/>
  <c r="H250" i="1"/>
  <c r="G250" i="1"/>
  <c r="F250" i="1"/>
  <c r="H249" i="1"/>
  <c r="G249" i="1"/>
  <c r="F249" i="1"/>
  <c r="H248" i="1"/>
  <c r="G248" i="1"/>
  <c r="F248" i="1"/>
  <c r="H247" i="1"/>
  <c r="G247" i="1"/>
  <c r="F247" i="1"/>
  <c r="H246" i="1"/>
  <c r="G246" i="1"/>
  <c r="F246" i="1"/>
  <c r="H245" i="1"/>
  <c r="G245" i="1"/>
  <c r="F245" i="1"/>
  <c r="H244" i="1"/>
  <c r="G244" i="1"/>
  <c r="F244" i="1"/>
  <c r="H243" i="1"/>
  <c r="G243" i="1"/>
  <c r="F243" i="1"/>
  <c r="H242" i="1"/>
  <c r="G242" i="1"/>
  <c r="F242" i="1"/>
  <c r="H241" i="1"/>
  <c r="G241" i="1"/>
  <c r="F241" i="1"/>
  <c r="H240" i="1"/>
  <c r="G240" i="1"/>
  <c r="F240" i="1"/>
  <c r="H239" i="1"/>
  <c r="G239" i="1"/>
  <c r="F239" i="1"/>
  <c r="H238" i="1"/>
  <c r="G238" i="1"/>
  <c r="F238" i="1"/>
  <c r="H237" i="1"/>
  <c r="G237" i="1"/>
  <c r="F237" i="1"/>
  <c r="H236" i="1"/>
  <c r="G236" i="1"/>
  <c r="F236" i="1"/>
  <c r="H235" i="1"/>
  <c r="G235" i="1"/>
  <c r="F235" i="1"/>
  <c r="H234" i="1"/>
  <c r="G234" i="1"/>
  <c r="F234" i="1"/>
  <c r="H233" i="1"/>
  <c r="G233" i="1"/>
  <c r="F233" i="1"/>
  <c r="H232" i="1"/>
  <c r="G232" i="1"/>
  <c r="F232" i="1"/>
  <c r="H231" i="1"/>
  <c r="G231" i="1"/>
  <c r="F231" i="1"/>
  <c r="H230" i="1"/>
  <c r="G230" i="1"/>
  <c r="F230" i="1"/>
  <c r="H229" i="1"/>
  <c r="G229" i="1"/>
  <c r="F229" i="1"/>
  <c r="H228" i="1"/>
  <c r="G228" i="1"/>
  <c r="F228" i="1"/>
  <c r="H227" i="1"/>
  <c r="G227" i="1"/>
  <c r="F227" i="1"/>
  <c r="H226" i="1"/>
  <c r="G226" i="1"/>
  <c r="F226" i="1"/>
  <c r="H225" i="1"/>
  <c r="G225" i="1"/>
  <c r="F225" i="1"/>
  <c r="H224" i="1"/>
  <c r="G224" i="1"/>
  <c r="F224" i="1"/>
  <c r="H223" i="1"/>
  <c r="G223" i="1"/>
  <c r="F223" i="1"/>
  <c r="H222" i="1"/>
  <c r="G222" i="1"/>
  <c r="F222" i="1"/>
  <c r="H221" i="1"/>
  <c r="G221" i="1"/>
  <c r="F221" i="1"/>
  <c r="H220" i="1"/>
  <c r="G220" i="1"/>
  <c r="F220" i="1"/>
  <c r="H219" i="1"/>
  <c r="G219" i="1"/>
  <c r="F219" i="1"/>
  <c r="H218" i="1"/>
  <c r="G218" i="1"/>
  <c r="F218" i="1"/>
  <c r="H217" i="1"/>
  <c r="G217" i="1"/>
  <c r="F217" i="1"/>
  <c r="H216" i="1"/>
  <c r="G216" i="1"/>
  <c r="F216" i="1"/>
  <c r="H215" i="1"/>
  <c r="G215" i="1"/>
  <c r="F215" i="1"/>
  <c r="H214" i="1"/>
  <c r="G214" i="1"/>
  <c r="F214" i="1"/>
  <c r="H213" i="1"/>
  <c r="G213" i="1"/>
  <c r="F213" i="1"/>
  <c r="H212" i="1"/>
  <c r="G212" i="1"/>
  <c r="F212" i="1"/>
  <c r="H211" i="1"/>
  <c r="G211" i="1"/>
  <c r="F211" i="1"/>
  <c r="H210" i="1"/>
  <c r="G210" i="1"/>
  <c r="F210" i="1"/>
  <c r="H209" i="1"/>
  <c r="G209" i="1"/>
  <c r="F209" i="1"/>
  <c r="H208" i="1"/>
  <c r="G208" i="1"/>
  <c r="F208" i="1"/>
  <c r="H207" i="1"/>
  <c r="G207" i="1"/>
  <c r="F207" i="1"/>
  <c r="H206" i="1"/>
  <c r="G206" i="1"/>
  <c r="F206" i="1"/>
  <c r="H205" i="1"/>
  <c r="G205" i="1"/>
  <c r="F205" i="1"/>
  <c r="H204" i="1"/>
  <c r="G204" i="1"/>
  <c r="F204" i="1"/>
  <c r="H203" i="1"/>
  <c r="G203" i="1"/>
  <c r="F203" i="1"/>
  <c r="H202" i="1"/>
  <c r="G202" i="1"/>
  <c r="F202" i="1"/>
  <c r="H201" i="1"/>
  <c r="G201" i="1"/>
  <c r="F201" i="1"/>
  <c r="H200" i="1"/>
  <c r="G200" i="1"/>
  <c r="F200" i="1"/>
  <c r="H199" i="1"/>
  <c r="G199" i="1"/>
  <c r="F199" i="1"/>
  <c r="H198" i="1"/>
  <c r="G198" i="1"/>
  <c r="F198" i="1"/>
  <c r="H197" i="1"/>
  <c r="G197" i="1"/>
  <c r="F197" i="1"/>
  <c r="H196" i="1"/>
  <c r="G196" i="1"/>
  <c r="F196" i="1"/>
  <c r="H195" i="1"/>
  <c r="G195" i="1"/>
  <c r="F195" i="1"/>
  <c r="H194" i="1"/>
  <c r="G194" i="1"/>
  <c r="F194" i="1"/>
  <c r="H193" i="1"/>
  <c r="G193" i="1"/>
  <c r="F193" i="1"/>
  <c r="H192" i="1" l="1"/>
  <c r="G192" i="1"/>
  <c r="F192" i="1"/>
  <c r="H191" i="1"/>
  <c r="G191" i="1"/>
  <c r="F191" i="1"/>
  <c r="H190" i="1"/>
  <c r="G190" i="1"/>
  <c r="F190" i="1"/>
  <c r="H189" i="1"/>
  <c r="G189" i="1"/>
  <c r="F189" i="1"/>
  <c r="H188" i="1"/>
  <c r="G188" i="1"/>
  <c r="F188" i="1"/>
  <c r="H187" i="1"/>
  <c r="G187" i="1"/>
  <c r="F187" i="1"/>
  <c r="H186" i="1"/>
  <c r="G186" i="1"/>
  <c r="F186" i="1"/>
  <c r="H185" i="1"/>
  <c r="G185" i="1"/>
  <c r="F185" i="1"/>
  <c r="H184" i="1"/>
  <c r="G184" i="1"/>
  <c r="F184" i="1"/>
  <c r="H183" i="1"/>
  <c r="G183" i="1"/>
  <c r="F183" i="1"/>
  <c r="H182" i="1"/>
  <c r="G182" i="1"/>
  <c r="F182" i="1"/>
  <c r="H181" i="1"/>
  <c r="G181" i="1"/>
  <c r="F181" i="1"/>
  <c r="H180" i="1"/>
  <c r="G180" i="1"/>
  <c r="F180" i="1"/>
  <c r="H179" i="1"/>
  <c r="G179" i="1"/>
  <c r="F179" i="1"/>
  <c r="H178" i="1"/>
  <c r="G178" i="1"/>
  <c r="F178" i="1"/>
  <c r="H177" i="1"/>
  <c r="G177" i="1"/>
  <c r="F177" i="1"/>
  <c r="H176" i="1"/>
  <c r="G176" i="1"/>
  <c r="F176" i="1"/>
  <c r="H175" i="1"/>
  <c r="G175" i="1"/>
  <c r="F175" i="1"/>
  <c r="H174" i="1"/>
  <c r="G174" i="1"/>
  <c r="F174" i="1"/>
  <c r="H173" i="1"/>
  <c r="G173" i="1"/>
  <c r="F173" i="1"/>
  <c r="H172" i="1"/>
  <c r="G172" i="1"/>
  <c r="F172" i="1"/>
  <c r="H171" i="1"/>
  <c r="G171" i="1"/>
  <c r="F171" i="1"/>
  <c r="H170" i="1"/>
  <c r="G170" i="1"/>
  <c r="F170" i="1"/>
  <c r="H169" i="1"/>
  <c r="G169" i="1"/>
  <c r="F169" i="1"/>
  <c r="H168" i="1"/>
  <c r="G168" i="1"/>
  <c r="F168" i="1"/>
  <c r="H167" i="1"/>
  <c r="G167" i="1"/>
  <c r="F167" i="1"/>
  <c r="H166" i="1"/>
  <c r="G166" i="1"/>
  <c r="F166" i="1"/>
  <c r="H165" i="1"/>
  <c r="G165" i="1"/>
  <c r="F165" i="1"/>
  <c r="H164" i="1"/>
  <c r="G164" i="1"/>
  <c r="F164" i="1"/>
  <c r="H163" i="1"/>
  <c r="G163" i="1"/>
  <c r="F163" i="1"/>
  <c r="H162" i="1"/>
  <c r="G162" i="1"/>
  <c r="F162" i="1"/>
  <c r="H161" i="1"/>
  <c r="G161" i="1"/>
  <c r="F161" i="1"/>
  <c r="H160" i="1"/>
  <c r="G160" i="1"/>
  <c r="F160" i="1"/>
  <c r="H159" i="1"/>
  <c r="G159" i="1"/>
  <c r="F159" i="1"/>
  <c r="H158" i="1"/>
  <c r="G158" i="1"/>
  <c r="F158" i="1"/>
  <c r="H157" i="1"/>
  <c r="G157" i="1"/>
  <c r="F157" i="1"/>
  <c r="H156" i="1"/>
  <c r="G156" i="1"/>
  <c r="F156" i="1"/>
  <c r="H155" i="1"/>
  <c r="G155" i="1"/>
  <c r="F155" i="1"/>
  <c r="H154" i="1"/>
  <c r="G154" i="1"/>
  <c r="F154" i="1"/>
  <c r="H153" i="1"/>
  <c r="G153" i="1"/>
  <c r="F153" i="1"/>
  <c r="H152" i="1"/>
  <c r="G152" i="1"/>
  <c r="F152" i="1"/>
  <c r="H151" i="1"/>
  <c r="G151" i="1"/>
  <c r="F151" i="1"/>
  <c r="H150" i="1"/>
  <c r="G150" i="1"/>
  <c r="F150" i="1"/>
  <c r="H149" i="1"/>
  <c r="G149" i="1"/>
  <c r="F149" i="1"/>
  <c r="H148" i="1"/>
  <c r="G148" i="1"/>
  <c r="F148" i="1"/>
  <c r="H147" i="1"/>
  <c r="G147" i="1"/>
  <c r="F147" i="1"/>
  <c r="H146" i="1"/>
  <c r="G146" i="1"/>
  <c r="F146" i="1"/>
  <c r="H145" i="1"/>
  <c r="G145" i="1"/>
  <c r="F145" i="1"/>
  <c r="H144" i="1"/>
  <c r="G144" i="1"/>
  <c r="F144" i="1"/>
  <c r="H143" i="1"/>
  <c r="G143" i="1"/>
  <c r="F143" i="1"/>
  <c r="H142" i="1"/>
  <c r="G142" i="1"/>
  <c r="F142" i="1"/>
  <c r="H141" i="1"/>
  <c r="G141" i="1"/>
  <c r="F141" i="1"/>
  <c r="H140" i="1"/>
  <c r="G140" i="1"/>
  <c r="F140" i="1"/>
  <c r="H139" i="1"/>
  <c r="G139" i="1"/>
  <c r="F139" i="1"/>
  <c r="H138" i="1"/>
  <c r="G138" i="1"/>
  <c r="F138" i="1"/>
  <c r="H137" i="1"/>
  <c r="G137" i="1"/>
  <c r="F137" i="1"/>
  <c r="H136" i="1"/>
  <c r="G136" i="1"/>
  <c r="F136" i="1"/>
  <c r="H135" i="1"/>
  <c r="G135" i="1"/>
  <c r="F135" i="1"/>
  <c r="H134" i="1"/>
  <c r="G134" i="1"/>
  <c r="F134" i="1"/>
  <c r="H133" i="1"/>
  <c r="G133" i="1"/>
  <c r="F133" i="1"/>
  <c r="H132" i="1"/>
  <c r="G132" i="1"/>
  <c r="F132" i="1"/>
  <c r="H131" i="1"/>
  <c r="G131" i="1"/>
  <c r="F131" i="1"/>
  <c r="H130" i="1"/>
  <c r="G130" i="1"/>
  <c r="F130" i="1"/>
  <c r="H129" i="1"/>
  <c r="G129" i="1"/>
  <c r="F129" i="1"/>
  <c r="H128" i="1"/>
  <c r="G128" i="1"/>
  <c r="F128" i="1"/>
  <c r="H127" i="1"/>
  <c r="G127" i="1"/>
  <c r="F127" i="1"/>
  <c r="H126" i="1"/>
  <c r="G126" i="1"/>
  <c r="F126" i="1"/>
  <c r="H125" i="1"/>
  <c r="G125" i="1"/>
  <c r="F125" i="1"/>
  <c r="H124" i="1"/>
  <c r="G124" i="1"/>
  <c r="F124" i="1"/>
  <c r="H123" i="1"/>
  <c r="G123" i="1"/>
  <c r="F123" i="1"/>
  <c r="H122" i="1"/>
  <c r="G122" i="1"/>
  <c r="F122" i="1"/>
  <c r="H121" i="1"/>
  <c r="G121" i="1"/>
  <c r="F121" i="1"/>
  <c r="H120" i="1"/>
  <c r="G120" i="1"/>
  <c r="F120" i="1"/>
  <c r="H119" i="1"/>
  <c r="G119" i="1"/>
  <c r="F119" i="1"/>
  <c r="H118" i="1"/>
  <c r="G118" i="1"/>
  <c r="F118" i="1"/>
  <c r="H117" i="1"/>
  <c r="G117" i="1"/>
  <c r="F117" i="1"/>
  <c r="H116" i="1"/>
  <c r="G116" i="1"/>
  <c r="F116" i="1"/>
  <c r="H115" i="1"/>
  <c r="G115" i="1"/>
  <c r="F115" i="1"/>
  <c r="H114" i="1"/>
  <c r="G114" i="1"/>
  <c r="F114" i="1"/>
  <c r="H113" i="1"/>
  <c r="G113" i="1"/>
  <c r="F113" i="1"/>
  <c r="H112" i="1"/>
  <c r="G112" i="1"/>
  <c r="F112" i="1"/>
  <c r="H111" i="1"/>
  <c r="G111" i="1"/>
  <c r="F111" i="1"/>
  <c r="H110" i="1"/>
  <c r="G110" i="1"/>
  <c r="F110" i="1"/>
  <c r="H109" i="1"/>
  <c r="G109" i="1"/>
  <c r="F109" i="1"/>
  <c r="H108" i="1"/>
  <c r="G108" i="1"/>
  <c r="F108" i="1"/>
  <c r="H107" i="1"/>
  <c r="G107" i="1"/>
  <c r="F107" i="1"/>
  <c r="H106" i="1"/>
  <c r="G106" i="1"/>
  <c r="F106" i="1"/>
  <c r="H105" i="1"/>
  <c r="G105" i="1"/>
  <c r="F105" i="1"/>
  <c r="H104" i="1"/>
  <c r="G104" i="1"/>
  <c r="F104" i="1"/>
  <c r="H103" i="1"/>
  <c r="G103" i="1"/>
  <c r="F103" i="1"/>
  <c r="H102" i="1"/>
  <c r="G102" i="1"/>
  <c r="F102" i="1"/>
  <c r="H101" i="1"/>
  <c r="G101" i="1"/>
  <c r="F101" i="1"/>
  <c r="H100" i="1"/>
  <c r="G100" i="1"/>
  <c r="F100" i="1"/>
  <c r="H99" i="1"/>
  <c r="G99" i="1"/>
  <c r="F99" i="1"/>
  <c r="H98" i="1"/>
  <c r="G98" i="1"/>
  <c r="F98" i="1"/>
  <c r="H97" i="1"/>
  <c r="G97" i="1"/>
  <c r="F97" i="1"/>
  <c r="H96" i="1"/>
  <c r="G96" i="1"/>
  <c r="F96" i="1"/>
  <c r="H95" i="1"/>
  <c r="G95" i="1"/>
  <c r="F95" i="1"/>
  <c r="H94" i="1"/>
  <c r="G94" i="1"/>
  <c r="F94" i="1"/>
  <c r="H93" i="1"/>
  <c r="G93" i="1"/>
  <c r="F93" i="1"/>
  <c r="H92" i="1"/>
  <c r="G92" i="1"/>
  <c r="F92" i="1"/>
  <c r="H91" i="1"/>
  <c r="G91" i="1"/>
  <c r="F91" i="1"/>
  <c r="H90" i="1"/>
  <c r="G90" i="1"/>
  <c r="F90" i="1"/>
  <c r="H89" i="1"/>
  <c r="G89" i="1"/>
  <c r="F89" i="1"/>
  <c r="H88" i="1"/>
  <c r="G88" i="1"/>
  <c r="F88" i="1"/>
  <c r="H87" i="1"/>
  <c r="G87" i="1"/>
  <c r="F87" i="1"/>
  <c r="H86" i="1"/>
  <c r="G86" i="1"/>
  <c r="F86" i="1"/>
  <c r="H85" i="1"/>
  <c r="G85" i="1"/>
  <c r="F85" i="1"/>
  <c r="H84" i="1"/>
  <c r="G84" i="1"/>
  <c r="F84" i="1"/>
  <c r="H83" i="1"/>
  <c r="G83" i="1"/>
  <c r="F83" i="1"/>
  <c r="H82" i="1"/>
  <c r="G82" i="1"/>
  <c r="F82" i="1"/>
  <c r="H81" i="1"/>
  <c r="G81" i="1"/>
  <c r="F81" i="1"/>
  <c r="H80" i="1"/>
  <c r="G80" i="1"/>
  <c r="F80" i="1"/>
  <c r="H79" i="1"/>
  <c r="G79" i="1"/>
  <c r="F79" i="1"/>
  <c r="H78" i="1"/>
  <c r="G78" i="1"/>
  <c r="F78" i="1"/>
  <c r="H77" i="1"/>
  <c r="G77" i="1"/>
  <c r="F77" i="1"/>
  <c r="H76" i="1"/>
  <c r="G76" i="1"/>
  <c r="F76" i="1"/>
  <c r="H75" i="1"/>
  <c r="G75" i="1"/>
  <c r="F75" i="1"/>
  <c r="H74" i="1"/>
  <c r="G74" i="1"/>
  <c r="F74" i="1"/>
  <c r="H73" i="1"/>
  <c r="G73" i="1"/>
  <c r="F73" i="1"/>
  <c r="H72" i="1"/>
  <c r="G72" i="1"/>
  <c r="F72" i="1"/>
  <c r="H71" i="1"/>
  <c r="G71" i="1"/>
  <c r="F71" i="1"/>
  <c r="H70" i="1"/>
  <c r="G70" i="1"/>
  <c r="F70" i="1"/>
  <c r="H69" i="1"/>
  <c r="G69" i="1"/>
  <c r="F69" i="1"/>
  <c r="H68" i="1"/>
  <c r="G68" i="1"/>
  <c r="F68" i="1"/>
  <c r="H67" i="1"/>
  <c r="G67" i="1"/>
  <c r="F67" i="1"/>
  <c r="H66" i="1"/>
  <c r="G66" i="1"/>
  <c r="F66" i="1"/>
  <c r="H65" i="1"/>
  <c r="G65" i="1"/>
  <c r="F65" i="1"/>
  <c r="H64" i="1"/>
  <c r="G64" i="1"/>
  <c r="F64" i="1"/>
  <c r="H63" i="1"/>
  <c r="G63" i="1"/>
  <c r="F63" i="1"/>
  <c r="H62" i="1"/>
  <c r="G62" i="1"/>
  <c r="F62" i="1"/>
  <c r="H61" i="1" l="1"/>
  <c r="G61" i="1"/>
  <c r="F61" i="1"/>
  <c r="H60" i="1"/>
  <c r="G60" i="1"/>
  <c r="F60" i="1"/>
  <c r="H59" i="1"/>
  <c r="G59" i="1"/>
  <c r="F59" i="1"/>
  <c r="H58" i="1"/>
  <c r="G58" i="1"/>
  <c r="F58" i="1"/>
  <c r="H57" i="1"/>
  <c r="G57" i="1"/>
  <c r="F57" i="1"/>
  <c r="H56" i="1"/>
  <c r="G56" i="1"/>
  <c r="F56" i="1"/>
  <c r="H55" i="1"/>
  <c r="G55" i="1"/>
  <c r="F55" i="1"/>
  <c r="H54" i="1"/>
  <c r="G54" i="1"/>
  <c r="F54" i="1"/>
  <c r="H53" i="1"/>
  <c r="G53" i="1"/>
  <c r="F53" i="1"/>
  <c r="H52" i="1"/>
  <c r="G52" i="1"/>
  <c r="F52" i="1"/>
  <c r="H51" i="1"/>
  <c r="G51" i="1"/>
  <c r="F51" i="1"/>
  <c r="H50" i="1"/>
  <c r="G50" i="1"/>
  <c r="F50" i="1"/>
  <c r="H49" i="1"/>
  <c r="G49" i="1"/>
  <c r="F49" i="1"/>
  <c r="H48" i="1" l="1"/>
  <c r="G48" i="1"/>
  <c r="F48" i="1"/>
  <c r="H47" i="1"/>
  <c r="G47" i="1"/>
  <c r="F47" i="1"/>
  <c r="H46" i="1"/>
  <c r="G46" i="1"/>
  <c r="F46" i="1"/>
  <c r="H45" i="1"/>
  <c r="G45" i="1"/>
  <c r="F45" i="1"/>
  <c r="H44" i="1"/>
  <c r="G44" i="1"/>
  <c r="F44" i="1"/>
  <c r="H43" i="1"/>
  <c r="G43" i="1"/>
  <c r="F43" i="1"/>
  <c r="H42" i="1"/>
  <c r="G42" i="1"/>
  <c r="F42" i="1"/>
  <c r="H41" i="1"/>
  <c r="G41" i="1"/>
  <c r="F41" i="1"/>
  <c r="H40" i="1"/>
  <c r="G40" i="1"/>
  <c r="F40" i="1"/>
  <c r="H39" i="1"/>
  <c r="G39" i="1"/>
  <c r="F39" i="1"/>
  <c r="H38" i="1"/>
  <c r="G38" i="1"/>
  <c r="F38" i="1"/>
  <c r="H37" i="1"/>
  <c r="G37" i="1"/>
  <c r="F37" i="1"/>
  <c r="H36" i="1"/>
  <c r="G36" i="1"/>
  <c r="F36" i="1"/>
  <c r="H35" i="1"/>
  <c r="G35" i="1"/>
  <c r="F35" i="1"/>
  <c r="H34" i="1"/>
  <c r="G34" i="1"/>
  <c r="F34" i="1"/>
  <c r="H33" i="1"/>
  <c r="G33" i="1"/>
  <c r="F33" i="1"/>
  <c r="H32" i="1"/>
  <c r="G32" i="1"/>
  <c r="F32" i="1"/>
  <c r="H31" i="1"/>
  <c r="G31" i="1"/>
  <c r="F31" i="1"/>
  <c r="H30" i="1"/>
  <c r="G30" i="1"/>
  <c r="F30" i="1"/>
  <c r="H29" i="1"/>
  <c r="G29" i="1"/>
  <c r="F29" i="1"/>
  <c r="H28" i="1" l="1"/>
  <c r="G28" i="1"/>
  <c r="F28" i="1"/>
  <c r="H27" i="1"/>
  <c r="G27" i="1"/>
  <c r="F27" i="1"/>
  <c r="H26" i="1"/>
  <c r="G26" i="1"/>
  <c r="F26" i="1"/>
  <c r="H25" i="1"/>
  <c r="G25" i="1"/>
  <c r="F25" i="1"/>
  <c r="H24" i="1"/>
  <c r="G24" i="1"/>
  <c r="F24" i="1"/>
  <c r="H23" i="1"/>
  <c r="G23" i="1"/>
  <c r="F23" i="1"/>
  <c r="H22" i="1"/>
  <c r="G22" i="1"/>
  <c r="F22" i="1"/>
  <c r="H21" i="1"/>
  <c r="G21" i="1"/>
  <c r="F21" i="1"/>
  <c r="H20" i="1"/>
  <c r="G20" i="1"/>
  <c r="F20" i="1"/>
  <c r="H19" i="1"/>
  <c r="G19" i="1"/>
  <c r="F19" i="1"/>
  <c r="H18" i="1"/>
  <c r="G18" i="1"/>
  <c r="F18" i="1"/>
  <c r="H17" i="1"/>
  <c r="G17" i="1"/>
  <c r="F17" i="1"/>
  <c r="H16" i="1"/>
  <c r="G16" i="1"/>
  <c r="F16" i="1"/>
  <c r="H15" i="1"/>
  <c r="G15" i="1"/>
  <c r="F15" i="1"/>
  <c r="H14" i="1"/>
  <c r="G14" i="1"/>
  <c r="F14" i="1"/>
  <c r="H13" i="1"/>
  <c r="G13" i="1"/>
  <c r="F13" i="1"/>
  <c r="H12" i="1"/>
  <c r="G12" i="1"/>
  <c r="F12" i="1"/>
  <c r="H11" i="1"/>
  <c r="G11" i="1"/>
  <c r="F11" i="1"/>
  <c r="H10" i="1"/>
  <c r="G10" i="1"/>
  <c r="F10" i="1"/>
  <c r="H277" i="3" l="1"/>
  <c r="G277" i="3"/>
  <c r="F277" i="3"/>
  <c r="H276" i="3"/>
  <c r="G276" i="3"/>
  <c r="F276" i="3"/>
  <c r="H275" i="3"/>
  <c r="G275" i="3"/>
  <c r="F275" i="3"/>
  <c r="H274" i="3"/>
  <c r="G274" i="3"/>
  <c r="F274" i="3"/>
  <c r="H273" i="3"/>
  <c r="G273" i="3"/>
  <c r="F273" i="3"/>
  <c r="H272" i="3"/>
  <c r="G272" i="3"/>
  <c r="F272" i="3"/>
  <c r="H271" i="3"/>
  <c r="G271" i="3"/>
  <c r="F271" i="3"/>
  <c r="H270" i="3"/>
  <c r="G270" i="3"/>
  <c r="F270" i="3"/>
  <c r="H269" i="3"/>
  <c r="G269" i="3"/>
  <c r="F269" i="3"/>
  <c r="H268" i="3"/>
  <c r="G268" i="3"/>
  <c r="F268" i="3"/>
  <c r="H267" i="3"/>
  <c r="G267" i="3"/>
  <c r="F267" i="3"/>
  <c r="H266" i="3"/>
  <c r="G266" i="3"/>
  <c r="F266" i="3"/>
  <c r="H265" i="3"/>
  <c r="G265" i="3"/>
  <c r="F265" i="3"/>
  <c r="H264" i="3"/>
  <c r="G264" i="3"/>
  <c r="F264" i="3"/>
  <c r="H263" i="3"/>
  <c r="G263" i="3"/>
  <c r="F263" i="3"/>
  <c r="H262" i="3"/>
  <c r="G262" i="3"/>
  <c r="F262" i="3"/>
  <c r="H261" i="3"/>
  <c r="G261" i="3"/>
  <c r="F261" i="3"/>
  <c r="H260" i="3"/>
  <c r="G260" i="3"/>
  <c r="F260" i="3"/>
  <c r="H259" i="3"/>
  <c r="G259" i="3"/>
  <c r="F259" i="3"/>
  <c r="H258" i="3"/>
  <c r="G258" i="3"/>
  <c r="F258" i="3"/>
  <c r="H257" i="3"/>
  <c r="G257" i="3"/>
  <c r="F257" i="3"/>
  <c r="H256" i="3"/>
  <c r="G256" i="3"/>
  <c r="F256" i="3"/>
  <c r="H255" i="3"/>
  <c r="G255" i="3"/>
  <c r="F255" i="3"/>
  <c r="H254" i="3"/>
  <c r="G254" i="3"/>
  <c r="F254" i="3"/>
  <c r="H253" i="3"/>
  <c r="G253" i="3"/>
  <c r="F253" i="3"/>
  <c r="H252" i="3"/>
  <c r="G252" i="3"/>
  <c r="F252" i="3"/>
  <c r="H251" i="3"/>
  <c r="G251" i="3"/>
  <c r="F251" i="3"/>
  <c r="H250" i="3"/>
  <c r="G250" i="3"/>
  <c r="F250" i="3"/>
  <c r="H249" i="3"/>
  <c r="G249" i="3"/>
  <c r="F249" i="3"/>
  <c r="H248" i="3"/>
  <c r="G248" i="3"/>
  <c r="F248" i="3"/>
  <c r="H247" i="3"/>
  <c r="G247" i="3"/>
  <c r="F247" i="3"/>
  <c r="H246" i="3"/>
  <c r="G246" i="3"/>
  <c r="F246" i="3"/>
  <c r="H245" i="3"/>
  <c r="G245" i="3"/>
  <c r="F245" i="3"/>
  <c r="H244" i="3"/>
  <c r="G244" i="3"/>
  <c r="F244" i="3"/>
  <c r="H243" i="3"/>
  <c r="G243" i="3"/>
  <c r="F243" i="3"/>
  <c r="H242" i="3"/>
  <c r="G242" i="3"/>
  <c r="F242" i="3"/>
  <c r="H241" i="3"/>
  <c r="G241" i="3"/>
  <c r="F241" i="3"/>
  <c r="H240" i="3"/>
  <c r="G240" i="3"/>
  <c r="F240" i="3"/>
  <c r="H239" i="3"/>
  <c r="G239" i="3"/>
  <c r="F239" i="3"/>
  <c r="H238" i="3"/>
  <c r="G238" i="3"/>
  <c r="F238" i="3"/>
  <c r="H237" i="3"/>
  <c r="G237" i="3"/>
  <c r="F237" i="3"/>
  <c r="H236" i="3"/>
  <c r="G236" i="3"/>
  <c r="F236" i="3"/>
  <c r="H235" i="3"/>
  <c r="G235" i="3"/>
  <c r="F235" i="3"/>
  <c r="H234" i="3"/>
  <c r="G234" i="3"/>
  <c r="F234" i="3"/>
  <c r="H233" i="3"/>
  <c r="G233" i="3"/>
  <c r="F233" i="3"/>
  <c r="H232" i="3"/>
  <c r="G232" i="3"/>
  <c r="F232" i="3"/>
  <c r="H231" i="3"/>
  <c r="G231" i="3"/>
  <c r="F231" i="3"/>
  <c r="H230" i="3"/>
  <c r="G230" i="3"/>
  <c r="F230" i="3"/>
  <c r="H229" i="3"/>
  <c r="G229" i="3"/>
  <c r="F229" i="3"/>
  <c r="H228" i="3"/>
  <c r="G228" i="3"/>
  <c r="F228" i="3"/>
  <c r="H227" i="3"/>
  <c r="G227" i="3"/>
  <c r="F227" i="3"/>
  <c r="H226" i="3"/>
  <c r="G226" i="3"/>
  <c r="F226" i="3"/>
  <c r="H225" i="3"/>
  <c r="G225" i="3"/>
  <c r="F225" i="3"/>
  <c r="H224" i="3"/>
  <c r="G224" i="3"/>
  <c r="F224" i="3"/>
  <c r="H223" i="3"/>
  <c r="G223" i="3"/>
  <c r="F223" i="3"/>
  <c r="H222" i="3"/>
  <c r="G222" i="3"/>
  <c r="F222" i="3"/>
  <c r="H221" i="3"/>
  <c r="G221" i="3"/>
  <c r="F221" i="3"/>
  <c r="H220" i="3"/>
  <c r="G220" i="3"/>
  <c r="F220" i="3"/>
  <c r="H219" i="3"/>
  <c r="G219" i="3"/>
  <c r="F219" i="3"/>
  <c r="H218" i="3"/>
  <c r="G218" i="3"/>
  <c r="F218" i="3"/>
  <c r="H217" i="3"/>
  <c r="G217" i="3"/>
  <c r="F217" i="3"/>
  <c r="H216" i="3"/>
  <c r="G216" i="3"/>
  <c r="F216" i="3"/>
  <c r="H215" i="3"/>
  <c r="G215" i="3"/>
  <c r="F215" i="3"/>
  <c r="H214" i="3"/>
  <c r="G214" i="3"/>
  <c r="F214" i="3"/>
  <c r="H213" i="3"/>
  <c r="G213" i="3"/>
  <c r="F213" i="3"/>
  <c r="H212" i="3"/>
  <c r="G212" i="3"/>
  <c r="F212" i="3"/>
  <c r="H211" i="3"/>
  <c r="G211" i="3"/>
  <c r="F211" i="3"/>
  <c r="H210" i="3"/>
  <c r="G210" i="3"/>
  <c r="F210" i="3"/>
  <c r="H209" i="3"/>
  <c r="G209" i="3"/>
  <c r="F209" i="3"/>
  <c r="H208" i="3"/>
  <c r="G208" i="3"/>
  <c r="F208" i="3"/>
  <c r="H207" i="3"/>
  <c r="G207" i="3"/>
  <c r="F207" i="3"/>
  <c r="H206" i="3"/>
  <c r="G206" i="3"/>
  <c r="F206" i="3"/>
  <c r="H205" i="3"/>
  <c r="G205" i="3"/>
  <c r="F205" i="3"/>
  <c r="H204" i="3"/>
  <c r="G204" i="3"/>
  <c r="F204" i="3"/>
  <c r="H203" i="3"/>
  <c r="G203" i="3"/>
  <c r="F203" i="3"/>
  <c r="H202" i="3"/>
  <c r="G202" i="3"/>
  <c r="F202" i="3"/>
  <c r="H201" i="3"/>
  <c r="G201" i="3"/>
  <c r="F201" i="3"/>
  <c r="H200" i="3"/>
  <c r="G200" i="3"/>
  <c r="F200" i="3"/>
  <c r="H199" i="3"/>
  <c r="G199" i="3"/>
  <c r="F199" i="3"/>
  <c r="H198" i="3"/>
  <c r="G198" i="3"/>
  <c r="F198" i="3"/>
  <c r="H197" i="3"/>
  <c r="G197" i="3"/>
  <c r="F197" i="3"/>
  <c r="H196" i="3"/>
  <c r="G196" i="3"/>
  <c r="F196" i="3"/>
  <c r="H195" i="3"/>
  <c r="G195" i="3"/>
  <c r="F195" i="3"/>
  <c r="H194" i="3"/>
  <c r="G194" i="3"/>
  <c r="F194" i="3"/>
  <c r="H193" i="3"/>
  <c r="G193" i="3"/>
  <c r="F193" i="3"/>
  <c r="H192" i="3"/>
  <c r="G192" i="3"/>
  <c r="F192" i="3"/>
  <c r="H191" i="3"/>
  <c r="G191" i="3"/>
  <c r="F191" i="3"/>
  <c r="H190" i="3"/>
  <c r="G190" i="3"/>
  <c r="F190" i="3"/>
  <c r="H189" i="3"/>
  <c r="G189" i="3"/>
  <c r="F189" i="3"/>
  <c r="H188" i="3"/>
  <c r="G188" i="3"/>
  <c r="F188" i="3"/>
  <c r="H187" i="3"/>
  <c r="G187" i="3"/>
  <c r="F187" i="3"/>
  <c r="H186" i="3"/>
  <c r="G186" i="3"/>
  <c r="F186" i="3"/>
  <c r="H185" i="3"/>
  <c r="G185" i="3"/>
  <c r="F185" i="3"/>
  <c r="H184" i="3"/>
  <c r="G184" i="3"/>
  <c r="F184" i="3"/>
  <c r="H183" i="3"/>
  <c r="G183" i="3"/>
  <c r="F183" i="3"/>
  <c r="H182" i="3"/>
  <c r="G182" i="3"/>
  <c r="F182" i="3"/>
  <c r="H181" i="3"/>
  <c r="G181" i="3"/>
  <c r="F181" i="3"/>
  <c r="H180" i="3"/>
  <c r="G180" i="3"/>
  <c r="F180" i="3"/>
  <c r="H179" i="3"/>
  <c r="G179" i="3"/>
  <c r="F179" i="3"/>
  <c r="H178" i="3"/>
  <c r="G178" i="3"/>
  <c r="F178" i="3"/>
  <c r="H177" i="3"/>
  <c r="G177" i="3"/>
  <c r="F177" i="3"/>
  <c r="H176" i="3"/>
  <c r="G176" i="3"/>
  <c r="F176" i="3"/>
  <c r="H175" i="3"/>
  <c r="G175" i="3"/>
  <c r="F175" i="3"/>
  <c r="H174" i="3"/>
  <c r="G174" i="3"/>
  <c r="F174" i="3"/>
  <c r="H173" i="3"/>
  <c r="G173" i="3"/>
  <c r="F173" i="3"/>
  <c r="H172" i="3"/>
  <c r="G172" i="3"/>
  <c r="F172" i="3"/>
  <c r="H171" i="3"/>
  <c r="G171" i="3"/>
  <c r="F171" i="3"/>
  <c r="H170" i="3"/>
  <c r="G170" i="3"/>
  <c r="F170" i="3"/>
  <c r="H169" i="3"/>
  <c r="G169" i="3"/>
  <c r="F169" i="3"/>
  <c r="H168" i="3"/>
  <c r="G168" i="3"/>
  <c r="F168" i="3"/>
  <c r="H167" i="3"/>
  <c r="G167" i="3"/>
  <c r="F167" i="3"/>
  <c r="H166" i="3"/>
  <c r="G166" i="3"/>
  <c r="F166" i="3"/>
  <c r="H165" i="3"/>
  <c r="G165" i="3"/>
  <c r="F165" i="3"/>
  <c r="H164" i="3"/>
  <c r="G164" i="3"/>
  <c r="F164" i="3"/>
  <c r="H163" i="3"/>
  <c r="G163" i="3"/>
  <c r="F163" i="3"/>
  <c r="H162" i="3"/>
  <c r="G162" i="3"/>
  <c r="F162" i="3"/>
  <c r="H161" i="3"/>
  <c r="G161" i="3"/>
  <c r="F161" i="3"/>
  <c r="H160" i="3"/>
  <c r="G160" i="3"/>
  <c r="F160" i="3"/>
  <c r="H159" i="3"/>
  <c r="G159" i="3"/>
  <c r="F159" i="3"/>
  <c r="H158" i="3"/>
  <c r="G158" i="3"/>
  <c r="F158" i="3"/>
  <c r="H157" i="3"/>
  <c r="G157" i="3"/>
  <c r="F157" i="3"/>
  <c r="H156" i="3"/>
  <c r="G156" i="3"/>
  <c r="F156" i="3"/>
  <c r="H155" i="3"/>
  <c r="G155" i="3"/>
  <c r="F155" i="3"/>
  <c r="H154" i="3"/>
  <c r="G154" i="3"/>
  <c r="F154" i="3"/>
  <c r="H153" i="3"/>
  <c r="G153" i="3"/>
  <c r="F153" i="3"/>
  <c r="H152" i="3"/>
  <c r="G152" i="3"/>
  <c r="F152" i="3"/>
  <c r="H151" i="3"/>
  <c r="G151" i="3"/>
  <c r="F151" i="3"/>
  <c r="H150" i="3"/>
  <c r="G150" i="3"/>
  <c r="F150" i="3"/>
  <c r="H149" i="3"/>
  <c r="G149" i="3"/>
  <c r="F149" i="3"/>
  <c r="H148" i="3"/>
  <c r="G148" i="3"/>
  <c r="F148" i="3"/>
  <c r="H147" i="3"/>
  <c r="G147" i="3"/>
  <c r="F147" i="3"/>
  <c r="H146" i="3"/>
  <c r="G146" i="3"/>
  <c r="F146" i="3"/>
  <c r="H145" i="3" l="1"/>
  <c r="G145" i="3"/>
  <c r="F145" i="3"/>
  <c r="H144" i="3"/>
  <c r="G144" i="3"/>
  <c r="F144" i="3"/>
  <c r="H143" i="3"/>
  <c r="G143" i="3"/>
  <c r="F143" i="3"/>
  <c r="H142" i="3"/>
  <c r="G142" i="3"/>
  <c r="F142" i="3"/>
  <c r="H141" i="3"/>
  <c r="G141" i="3"/>
  <c r="F141" i="3"/>
  <c r="H140" i="3"/>
  <c r="G140" i="3"/>
  <c r="F140" i="3"/>
  <c r="H139" i="3"/>
  <c r="G139" i="3"/>
  <c r="F139" i="3"/>
  <c r="H138" i="3"/>
  <c r="G138" i="3"/>
  <c r="F138" i="3"/>
  <c r="H137" i="3"/>
  <c r="G137" i="3"/>
  <c r="F137" i="3"/>
  <c r="H136" i="3"/>
  <c r="G136" i="3"/>
  <c r="F136" i="3"/>
  <c r="H135" i="3"/>
  <c r="G135" i="3"/>
  <c r="F135" i="3"/>
  <c r="H134" i="3"/>
  <c r="G134" i="3"/>
  <c r="F134" i="3"/>
  <c r="H133" i="3"/>
  <c r="G133" i="3"/>
  <c r="F133" i="3"/>
  <c r="H132" i="3"/>
  <c r="G132" i="3"/>
  <c r="F132" i="3"/>
  <c r="H131" i="3"/>
  <c r="G131" i="3"/>
  <c r="F131" i="3"/>
  <c r="H130" i="3"/>
  <c r="G130" i="3"/>
  <c r="F130" i="3"/>
  <c r="H129" i="3"/>
  <c r="G129" i="3"/>
  <c r="F129" i="3"/>
  <c r="H128" i="3"/>
  <c r="G128" i="3"/>
  <c r="F128" i="3"/>
  <c r="H127" i="3"/>
  <c r="G127" i="3"/>
  <c r="F127" i="3"/>
  <c r="H126" i="3"/>
  <c r="G126" i="3"/>
  <c r="F126" i="3"/>
  <c r="H125" i="3"/>
  <c r="G125" i="3"/>
  <c r="F125" i="3"/>
  <c r="H124" i="3"/>
  <c r="G124" i="3"/>
  <c r="F124" i="3"/>
  <c r="H123" i="3"/>
  <c r="G123" i="3"/>
  <c r="F123" i="3"/>
  <c r="H122" i="3"/>
  <c r="G122" i="3"/>
  <c r="F122" i="3"/>
  <c r="H121" i="3"/>
  <c r="G121" i="3"/>
  <c r="F121" i="3"/>
  <c r="H120" i="3"/>
  <c r="G120" i="3"/>
  <c r="F120" i="3"/>
  <c r="H119" i="3"/>
  <c r="G119" i="3"/>
  <c r="F119" i="3"/>
  <c r="H118" i="3"/>
  <c r="G118" i="3"/>
  <c r="F118" i="3"/>
  <c r="H117" i="3"/>
  <c r="G117" i="3"/>
  <c r="F117" i="3"/>
  <c r="H116" i="3"/>
  <c r="G116" i="3"/>
  <c r="F116" i="3"/>
  <c r="H115" i="3"/>
  <c r="G115" i="3"/>
  <c r="F115" i="3"/>
  <c r="H114" i="3"/>
  <c r="G114" i="3"/>
  <c r="F114" i="3"/>
  <c r="H113" i="3"/>
  <c r="G113" i="3"/>
  <c r="F113" i="3"/>
  <c r="H112" i="3"/>
  <c r="G112" i="3"/>
  <c r="F112" i="3"/>
  <c r="H111" i="3"/>
  <c r="G111" i="3"/>
  <c r="F111" i="3"/>
  <c r="H110" i="3"/>
  <c r="G110" i="3"/>
  <c r="F110" i="3"/>
  <c r="H109" i="3"/>
  <c r="G109" i="3"/>
  <c r="F109" i="3"/>
  <c r="H108" i="3"/>
  <c r="G108" i="3"/>
  <c r="F108" i="3"/>
  <c r="H107" i="3"/>
  <c r="G107" i="3"/>
  <c r="F107" i="3"/>
  <c r="H106" i="3"/>
  <c r="G106" i="3"/>
  <c r="F106" i="3"/>
  <c r="H105" i="3"/>
  <c r="G105" i="3"/>
  <c r="F105" i="3"/>
  <c r="H104" i="3"/>
  <c r="G104" i="3"/>
  <c r="F104" i="3"/>
  <c r="H103" i="3"/>
  <c r="G103" i="3"/>
  <c r="F103" i="3"/>
  <c r="H102" i="3"/>
  <c r="G102" i="3"/>
  <c r="F102" i="3"/>
  <c r="H101" i="3"/>
  <c r="G101" i="3"/>
  <c r="F101" i="3"/>
  <c r="H100" i="3"/>
  <c r="G100" i="3"/>
  <c r="F100" i="3"/>
  <c r="H99" i="3"/>
  <c r="G99" i="3"/>
  <c r="F99" i="3"/>
  <c r="H98" i="3"/>
  <c r="G98" i="3"/>
  <c r="F98" i="3"/>
  <c r="H97" i="3"/>
  <c r="G97" i="3"/>
  <c r="F97" i="3"/>
  <c r="H96" i="3"/>
  <c r="G96" i="3"/>
  <c r="F96" i="3"/>
  <c r="H95" i="3"/>
  <c r="G95" i="3"/>
  <c r="F95" i="3"/>
  <c r="H94" i="3"/>
  <c r="G94" i="3"/>
  <c r="F94" i="3"/>
  <c r="H93" i="3"/>
  <c r="G93" i="3"/>
  <c r="F93" i="3"/>
  <c r="H92" i="3"/>
  <c r="G92" i="3"/>
  <c r="F92" i="3"/>
  <c r="H91" i="3"/>
  <c r="G91" i="3"/>
  <c r="F91" i="3"/>
  <c r="H90" i="3"/>
  <c r="G90" i="3"/>
  <c r="F90" i="3"/>
  <c r="H89" i="3"/>
  <c r="G89" i="3"/>
  <c r="F89" i="3"/>
  <c r="H88" i="3"/>
  <c r="G88" i="3"/>
  <c r="F88" i="3"/>
  <c r="H87" i="3"/>
  <c r="G87" i="3"/>
  <c r="F87" i="3"/>
  <c r="H86" i="3"/>
  <c r="G86" i="3"/>
  <c r="F86" i="3"/>
  <c r="H85" i="3"/>
  <c r="G85" i="3"/>
  <c r="F85" i="3"/>
  <c r="H84" i="3"/>
  <c r="G84" i="3"/>
  <c r="F84" i="3"/>
  <c r="H83" i="3"/>
  <c r="G83" i="3"/>
  <c r="F83" i="3"/>
  <c r="H82" i="3"/>
  <c r="G82" i="3"/>
  <c r="F82" i="3"/>
  <c r="H81" i="3"/>
  <c r="G81" i="3"/>
  <c r="F81" i="3"/>
  <c r="H80" i="3"/>
  <c r="G80" i="3"/>
  <c r="F80" i="3"/>
  <c r="H79" i="3"/>
  <c r="G79" i="3"/>
  <c r="F79" i="3"/>
  <c r="H78" i="3"/>
  <c r="G78" i="3"/>
  <c r="F78" i="3"/>
  <c r="H77" i="3"/>
  <c r="G77" i="3"/>
  <c r="F77" i="3"/>
  <c r="H76" i="3"/>
  <c r="G76" i="3"/>
  <c r="F76" i="3"/>
  <c r="H75" i="3"/>
  <c r="G75" i="3"/>
  <c r="F75" i="3"/>
  <c r="H74" i="3"/>
  <c r="G74" i="3"/>
  <c r="F74" i="3"/>
  <c r="H73" i="3"/>
  <c r="G73" i="3"/>
  <c r="F73" i="3"/>
  <c r="H72" i="3"/>
  <c r="G72" i="3"/>
  <c r="F72" i="3"/>
  <c r="H71" i="3"/>
  <c r="G71" i="3"/>
  <c r="F71" i="3"/>
  <c r="H70" i="3"/>
  <c r="G70" i="3"/>
  <c r="F70" i="3"/>
  <c r="H69" i="3"/>
  <c r="G69" i="3"/>
  <c r="F69" i="3"/>
  <c r="H68" i="3"/>
  <c r="G68" i="3"/>
  <c r="F68" i="3"/>
  <c r="H67" i="3"/>
  <c r="G67" i="3"/>
  <c r="F67" i="3"/>
  <c r="H66" i="3"/>
  <c r="G66" i="3"/>
  <c r="F66" i="3"/>
  <c r="H65" i="3"/>
  <c r="G65" i="3"/>
  <c r="F65" i="3"/>
  <c r="H64" i="3"/>
  <c r="G64" i="3"/>
  <c r="F64" i="3"/>
  <c r="H63" i="3"/>
  <c r="G63" i="3"/>
  <c r="F63" i="3"/>
  <c r="H62" i="3"/>
  <c r="G62" i="3"/>
  <c r="F62" i="3"/>
  <c r="H61" i="3"/>
  <c r="G61" i="3"/>
  <c r="F61" i="3"/>
  <c r="H60" i="3"/>
  <c r="G60" i="3"/>
  <c r="F60" i="3"/>
  <c r="H59" i="3"/>
  <c r="G59" i="3"/>
  <c r="F59" i="3"/>
  <c r="H58" i="3"/>
  <c r="G58" i="3"/>
  <c r="F58" i="3"/>
  <c r="H57" i="3"/>
  <c r="G57" i="3"/>
  <c r="F57" i="3"/>
  <c r="H56" i="3"/>
  <c r="G56" i="3"/>
  <c r="F56" i="3"/>
  <c r="H55" i="3"/>
  <c r="G55" i="3"/>
  <c r="F55" i="3"/>
  <c r="H54" i="3"/>
  <c r="G54" i="3"/>
  <c r="F54" i="3"/>
  <c r="H53" i="3"/>
  <c r="G53" i="3"/>
  <c r="F53" i="3"/>
  <c r="H52" i="3"/>
  <c r="G52" i="3"/>
  <c r="F52" i="3"/>
  <c r="H51" i="3" l="1"/>
  <c r="G51" i="3"/>
  <c r="F51" i="3"/>
  <c r="H50" i="3"/>
  <c r="G50" i="3"/>
  <c r="F50" i="3"/>
  <c r="H49" i="3"/>
  <c r="G49" i="3"/>
  <c r="F49" i="3"/>
  <c r="H48" i="3"/>
  <c r="G48" i="3"/>
  <c r="F48" i="3"/>
  <c r="H47" i="3"/>
  <c r="G47" i="3"/>
  <c r="F47" i="3"/>
  <c r="H46" i="3"/>
  <c r="G46" i="3"/>
  <c r="F46" i="3"/>
  <c r="H45" i="3"/>
  <c r="G45" i="3"/>
  <c r="F45" i="3"/>
  <c r="H44" i="3"/>
  <c r="G44" i="3"/>
  <c r="F44" i="3"/>
  <c r="H43" i="3"/>
  <c r="G43" i="3"/>
  <c r="F43" i="3"/>
  <c r="H42" i="3"/>
  <c r="G42" i="3"/>
  <c r="F42" i="3"/>
  <c r="H41" i="3" l="1"/>
  <c r="G41" i="3"/>
  <c r="F41" i="3"/>
  <c r="H40" i="3"/>
  <c r="G40" i="3"/>
  <c r="F40" i="3"/>
  <c r="H39" i="3"/>
  <c r="G39" i="3"/>
  <c r="F39" i="3"/>
  <c r="H38" i="3"/>
  <c r="G38" i="3"/>
  <c r="F38" i="3"/>
  <c r="H37" i="3"/>
  <c r="G37" i="3"/>
  <c r="F37" i="3"/>
  <c r="H36" i="3"/>
  <c r="G36" i="3"/>
  <c r="F36" i="3"/>
  <c r="H35" i="3"/>
  <c r="G35" i="3"/>
  <c r="F35" i="3"/>
  <c r="H34" i="3"/>
  <c r="G34" i="3"/>
  <c r="F34" i="3"/>
  <c r="H33" i="3"/>
  <c r="G33" i="3"/>
  <c r="F33" i="3"/>
  <c r="H32" i="3"/>
  <c r="G32" i="3"/>
  <c r="F32" i="3"/>
  <c r="H31" i="3"/>
  <c r="G31" i="3"/>
  <c r="F31" i="3"/>
  <c r="H30" i="3"/>
  <c r="G30" i="3"/>
  <c r="F30" i="3"/>
  <c r="H29" i="3"/>
  <c r="G29" i="3"/>
  <c r="F29" i="3"/>
  <c r="H28" i="3"/>
  <c r="G28" i="3"/>
  <c r="F28" i="3"/>
  <c r="H27" i="3"/>
  <c r="G27" i="3"/>
  <c r="F27" i="3"/>
  <c r="H26" i="3"/>
  <c r="G26" i="3"/>
  <c r="F26" i="3"/>
  <c r="H25" i="3"/>
  <c r="G25" i="3"/>
  <c r="F25" i="3"/>
  <c r="H24" i="3" l="1"/>
  <c r="G24" i="3"/>
  <c r="F24" i="3"/>
  <c r="H23" i="3"/>
  <c r="G23" i="3"/>
  <c r="F23" i="3"/>
  <c r="H22" i="3"/>
  <c r="G22" i="3"/>
  <c r="F22" i="3"/>
  <c r="H21" i="3"/>
  <c r="G21" i="3"/>
  <c r="F21" i="3"/>
  <c r="H20" i="3"/>
  <c r="G20" i="3"/>
  <c r="F20" i="3"/>
  <c r="H19" i="3"/>
  <c r="G19" i="3"/>
  <c r="F19" i="3"/>
  <c r="H18" i="3"/>
  <c r="G18" i="3"/>
  <c r="F18" i="3"/>
  <c r="H17" i="3"/>
  <c r="G17" i="3"/>
  <c r="F17" i="3"/>
  <c r="H16" i="3"/>
  <c r="G16" i="3"/>
  <c r="F16" i="3"/>
  <c r="H15" i="3"/>
  <c r="G15" i="3"/>
  <c r="F15" i="3"/>
  <c r="H14" i="3"/>
  <c r="G14" i="3"/>
  <c r="F14" i="3"/>
  <c r="H13" i="3"/>
  <c r="G13" i="3"/>
  <c r="F13" i="3"/>
  <c r="H12" i="3"/>
  <c r="G12" i="3"/>
  <c r="F12" i="3"/>
  <c r="H11" i="3"/>
  <c r="G11" i="3"/>
  <c r="F11" i="3"/>
  <c r="H10" i="3"/>
  <c r="G10" i="3"/>
  <c r="F10" i="3"/>
</calcChain>
</file>

<file path=xl/sharedStrings.xml><?xml version="1.0" encoding="utf-8"?>
<sst xmlns="http://schemas.openxmlformats.org/spreadsheetml/2006/main" count="1265" uniqueCount="411">
  <si>
    <t>Désignation</t>
  </si>
  <si>
    <r>
      <t xml:space="preserve">Q
</t>
    </r>
    <r>
      <rPr>
        <b/>
        <sz val="6"/>
        <color theme="0"/>
        <rFont val="Verdana"/>
        <family val="2"/>
      </rPr>
      <t>(m</t>
    </r>
    <r>
      <rPr>
        <b/>
        <vertAlign val="superscript"/>
        <sz val="6"/>
        <color theme="0"/>
        <rFont val="Verdana"/>
        <family val="2"/>
      </rPr>
      <t>3</t>
    </r>
    <r>
      <rPr>
        <b/>
        <sz val="6"/>
        <color theme="0"/>
        <rFont val="Verdana"/>
        <family val="2"/>
      </rPr>
      <t>/h)</t>
    </r>
  </si>
  <si>
    <r>
      <t xml:space="preserve">Hmt
</t>
    </r>
    <r>
      <rPr>
        <b/>
        <sz val="6"/>
        <color theme="0"/>
        <rFont val="Verdana"/>
        <family val="2"/>
      </rPr>
      <t>(mCE)</t>
    </r>
  </si>
  <si>
    <r>
      <t>P</t>
    </r>
    <r>
      <rPr>
        <b/>
        <vertAlign val="subscript"/>
        <sz val="8"/>
        <color theme="0"/>
        <rFont val="Verdana"/>
        <family val="2"/>
      </rPr>
      <t>2</t>
    </r>
    <r>
      <rPr>
        <b/>
        <sz val="8"/>
        <color theme="0"/>
        <rFont val="Verdana"/>
        <family val="2"/>
      </rPr>
      <t xml:space="preserve">
(KW)</t>
    </r>
  </si>
  <si>
    <r>
      <t>N</t>
    </r>
    <r>
      <rPr>
        <b/>
        <sz val="8"/>
        <color theme="0"/>
        <rFont val="Verdana"/>
        <family val="2"/>
      </rPr>
      <t xml:space="preserve">
</t>
    </r>
    <r>
      <rPr>
        <b/>
        <sz val="6"/>
        <color theme="0"/>
        <rFont val="Verdana"/>
        <family val="2"/>
      </rPr>
      <t>(min</t>
    </r>
    <r>
      <rPr>
        <b/>
        <vertAlign val="superscript"/>
        <sz val="6"/>
        <color theme="0"/>
        <rFont val="Verdana"/>
        <family val="2"/>
      </rPr>
      <t>-1</t>
    </r>
    <r>
      <rPr>
        <b/>
        <sz val="6"/>
        <color theme="0"/>
        <rFont val="Verdana"/>
        <family val="2"/>
      </rPr>
      <t>)</t>
    </r>
  </si>
  <si>
    <t>Base Finale VF</t>
  </si>
  <si>
    <t>Tri/Mono Puissance</t>
  </si>
  <si>
    <t>Tension</t>
  </si>
  <si>
    <t>Base Hydraulique VF</t>
  </si>
  <si>
    <t>T-0,55</t>
  </si>
  <si>
    <t>MHI 202</t>
  </si>
  <si>
    <t>MHI 203</t>
  </si>
  <si>
    <t>MHI 204</t>
  </si>
  <si>
    <t>T-1,5</t>
  </si>
  <si>
    <t>T-0,75</t>
  </si>
  <si>
    <t>MHI 205</t>
  </si>
  <si>
    <t>T-1,1</t>
  </si>
  <si>
    <t>MHI 206</t>
  </si>
  <si>
    <t>MHI 402</t>
  </si>
  <si>
    <t>MHI 403</t>
  </si>
  <si>
    <t>MHI 404</t>
  </si>
  <si>
    <t xml:space="preserve">T-1,1 </t>
  </si>
  <si>
    <t>MHI 405</t>
  </si>
  <si>
    <t>MHI 406</t>
  </si>
  <si>
    <t>MHI 801</t>
  </si>
  <si>
    <t>MHI 802</t>
  </si>
  <si>
    <t>MHI 803</t>
  </si>
  <si>
    <t>MHI 804</t>
  </si>
  <si>
    <t>T-1,85</t>
  </si>
  <si>
    <t>MHI 805</t>
  </si>
  <si>
    <t>T-2,5</t>
  </si>
  <si>
    <t>MHI 806</t>
  </si>
  <si>
    <t>MHI 1602</t>
  </si>
  <si>
    <t>MHI 1603</t>
  </si>
  <si>
    <t>MHI 1604</t>
  </si>
  <si>
    <t xml:space="preserve">MHI 206 </t>
  </si>
  <si>
    <t>T-2,2</t>
  </si>
  <si>
    <t>MHIL 102</t>
  </si>
  <si>
    <t>MHIL 103</t>
  </si>
  <si>
    <t>MHIL 104</t>
  </si>
  <si>
    <t>MHIL 105</t>
  </si>
  <si>
    <t>MHIL 106</t>
  </si>
  <si>
    <t>MHIL 107</t>
  </si>
  <si>
    <t>MHIL 302</t>
  </si>
  <si>
    <t>MHIL 303</t>
  </si>
  <si>
    <t>MHIL 304</t>
  </si>
  <si>
    <t>MHIL 305</t>
  </si>
  <si>
    <t>MHIL 306</t>
  </si>
  <si>
    <t>MHIL 502</t>
  </si>
  <si>
    <t>MHIL 503</t>
  </si>
  <si>
    <t>MHIL 504</t>
  </si>
  <si>
    <t>MHIL 505</t>
  </si>
  <si>
    <t>MHIL 506</t>
  </si>
  <si>
    <t>MHIL 902</t>
  </si>
  <si>
    <t>MHIL 903</t>
  </si>
  <si>
    <t>MHIL 904</t>
  </si>
  <si>
    <t>MHIL 905</t>
  </si>
  <si>
    <t>MP 202</t>
  </si>
  <si>
    <t>MP 203</t>
  </si>
  <si>
    <t>MP 204</t>
  </si>
  <si>
    <t>MP 205</t>
  </si>
  <si>
    <t>MP 206</t>
  </si>
  <si>
    <t>MP 402</t>
  </si>
  <si>
    <t>MP 403</t>
  </si>
  <si>
    <t>MP 404</t>
  </si>
  <si>
    <t>MP 405</t>
  </si>
  <si>
    <t>MC 204</t>
  </si>
  <si>
    <t>MC 205</t>
  </si>
  <si>
    <t>MC 404</t>
  </si>
  <si>
    <t>MC 405</t>
  </si>
  <si>
    <t>T-0,37</t>
  </si>
  <si>
    <t>M-0,55</t>
  </si>
  <si>
    <t>M-1,1</t>
  </si>
  <si>
    <t>T-3,0</t>
  </si>
  <si>
    <t>T-3,7</t>
  </si>
  <si>
    <t>T-4,0</t>
  </si>
  <si>
    <t>T-5,5</t>
  </si>
  <si>
    <t>T-7,5</t>
  </si>
  <si>
    <t>T-9,0</t>
  </si>
  <si>
    <t>T-11,0</t>
  </si>
  <si>
    <t>T-15,0</t>
  </si>
  <si>
    <t>T-18,5</t>
  </si>
  <si>
    <t>T-22,0</t>
  </si>
  <si>
    <t>T-30,0</t>
  </si>
  <si>
    <t>T-37,0</t>
  </si>
  <si>
    <t>T-45,0</t>
  </si>
  <si>
    <t>MVI 102</t>
  </si>
  <si>
    <t>MVI 103</t>
  </si>
  <si>
    <t>MVI 104</t>
  </si>
  <si>
    <t>MVI 105</t>
  </si>
  <si>
    <t>MVI 106</t>
  </si>
  <si>
    <t>MVI 107</t>
  </si>
  <si>
    <t>MVI 108</t>
  </si>
  <si>
    <t>MVI 109</t>
  </si>
  <si>
    <t>MVI 110</t>
  </si>
  <si>
    <t>MVI 112</t>
  </si>
  <si>
    <t>MVI 114</t>
  </si>
  <si>
    <t>MVI 116</t>
  </si>
  <si>
    <t>MVI 118</t>
  </si>
  <si>
    <t>MVI 121</t>
  </si>
  <si>
    <t xml:space="preserve">MVI 123 </t>
  </si>
  <si>
    <t xml:space="preserve">MVI 124 </t>
  </si>
  <si>
    <t>MVI 202</t>
  </si>
  <si>
    <t>MVI 204</t>
  </si>
  <si>
    <t>MVI 205</t>
  </si>
  <si>
    <t>MVI 206</t>
  </si>
  <si>
    <t>MVI 207</t>
  </si>
  <si>
    <t>MVI 208</t>
  </si>
  <si>
    <t>MVI 210</t>
  </si>
  <si>
    <t>MVI 212</t>
  </si>
  <si>
    <t>MVI 214</t>
  </si>
  <si>
    <t>MVI 217</t>
  </si>
  <si>
    <t>MVI 220</t>
  </si>
  <si>
    <t>MVI 402</t>
  </si>
  <si>
    <t>MVI 403</t>
  </si>
  <si>
    <t>MVI 404</t>
  </si>
  <si>
    <t>MVI 405</t>
  </si>
  <si>
    <t>MVI 406</t>
  </si>
  <si>
    <t>MVI 407</t>
  </si>
  <si>
    <t>MVI 408</t>
  </si>
  <si>
    <t>MVI 410</t>
  </si>
  <si>
    <t>MVI 412</t>
  </si>
  <si>
    <t>MVI 414</t>
  </si>
  <si>
    <t>MVI 417</t>
  </si>
  <si>
    <t>MVI 419</t>
  </si>
  <si>
    <t>MVI 802</t>
  </si>
  <si>
    <t>MVI 803</t>
  </si>
  <si>
    <t>MVI 804</t>
  </si>
  <si>
    <t>MVI 805</t>
  </si>
  <si>
    <t>MVI 806</t>
  </si>
  <si>
    <t>MVI 807</t>
  </si>
  <si>
    <t>MVI 808</t>
  </si>
  <si>
    <t>MVI 810</t>
  </si>
  <si>
    <t>MVI 811</t>
  </si>
  <si>
    <t>MVI 812</t>
  </si>
  <si>
    <t>MVI 814</t>
  </si>
  <si>
    <t>MVI 817</t>
  </si>
  <si>
    <t>MVI 819</t>
  </si>
  <si>
    <t>MVI 1602</t>
  </si>
  <si>
    <t>MVI 1603</t>
  </si>
  <si>
    <t>MVI 1604</t>
  </si>
  <si>
    <t>MVI 1605</t>
  </si>
  <si>
    <t>MVI 1606</t>
  </si>
  <si>
    <t>MVI 1607</t>
  </si>
  <si>
    <t>MVI 1608</t>
  </si>
  <si>
    <t>MVI 1609</t>
  </si>
  <si>
    <t>MVI 1610</t>
  </si>
  <si>
    <t>MVI 1611</t>
  </si>
  <si>
    <t>MVI 1802</t>
  </si>
  <si>
    <t>MVI 1803</t>
  </si>
  <si>
    <t>MVI 1804</t>
  </si>
  <si>
    <t>MVI 1805</t>
  </si>
  <si>
    <t>MVI 1806</t>
  </si>
  <si>
    <t>MVI 1807</t>
  </si>
  <si>
    <t>MVI 1808</t>
  </si>
  <si>
    <t>MVI 1809</t>
  </si>
  <si>
    <t>MVI 1810</t>
  </si>
  <si>
    <t>MVI 1811</t>
  </si>
  <si>
    <t>MVI 1812</t>
  </si>
  <si>
    <t>MVI 1813</t>
  </si>
  <si>
    <t>MVI 1814</t>
  </si>
  <si>
    <t>MVI 3602</t>
  </si>
  <si>
    <t>MVI 3603</t>
  </si>
  <si>
    <t>MVI 3604</t>
  </si>
  <si>
    <t>MVI 3605</t>
  </si>
  <si>
    <t>MVI 3606</t>
  </si>
  <si>
    <t>MVI 3607</t>
  </si>
  <si>
    <t>MVI 3608</t>
  </si>
  <si>
    <t>MVI 3609</t>
  </si>
  <si>
    <t>MVI 3610</t>
  </si>
  <si>
    <t>MVI 3611</t>
  </si>
  <si>
    <t>MVI 3612</t>
  </si>
  <si>
    <t>MVI 3613</t>
  </si>
  <si>
    <t>MVI 6002</t>
  </si>
  <si>
    <t>MVI 6003</t>
  </si>
  <si>
    <t>MVI 6004</t>
  </si>
  <si>
    <t>MVI 6005</t>
  </si>
  <si>
    <t>MVI 6006</t>
  </si>
  <si>
    <t>MVI 6007</t>
  </si>
  <si>
    <t>MVI 6008</t>
  </si>
  <si>
    <t>MVI 6009</t>
  </si>
  <si>
    <t>MVI 6010</t>
  </si>
  <si>
    <t>MVI 6011</t>
  </si>
  <si>
    <t>MVI 6012</t>
  </si>
  <si>
    <t>MVI 8001/1</t>
  </si>
  <si>
    <t>MVI 8001</t>
  </si>
  <si>
    <t>MVI 8002/2</t>
  </si>
  <si>
    <t>MVI 8002/1</t>
  </si>
  <si>
    <t>MVI 8002</t>
  </si>
  <si>
    <t>MVI 8003/2</t>
  </si>
  <si>
    <t>MVI 8003/1</t>
  </si>
  <si>
    <t>MVI 8003</t>
  </si>
  <si>
    <t>MVI 8004/2</t>
  </si>
  <si>
    <t>MVI 8004/1</t>
  </si>
  <si>
    <t>MVI 8004</t>
  </si>
  <si>
    <t>MVI 8005/2</t>
  </si>
  <si>
    <t>MVI 8005/1</t>
  </si>
  <si>
    <t>MVI 8005</t>
  </si>
  <si>
    <t>MVI 8006/2</t>
  </si>
  <si>
    <t xml:space="preserve">MVI 8006/1 </t>
  </si>
  <si>
    <t xml:space="preserve">MVI 8006 </t>
  </si>
  <si>
    <t xml:space="preserve">MVI 8007/2 </t>
  </si>
  <si>
    <t xml:space="preserve">MVI 8007/1 </t>
  </si>
  <si>
    <t>MVI 10001/1</t>
  </si>
  <si>
    <t>MVI 10001</t>
  </si>
  <si>
    <t>MVI 10002/2</t>
  </si>
  <si>
    <t>MVI 10002/1</t>
  </si>
  <si>
    <t>MVI 10002</t>
  </si>
  <si>
    <t>MVI 10003/2</t>
  </si>
  <si>
    <t>MVI 10003/1</t>
  </si>
  <si>
    <t>MVI 10003</t>
  </si>
  <si>
    <t>MVI 10004/2</t>
  </si>
  <si>
    <t>MVI 10004/1</t>
  </si>
  <si>
    <t>MVI 10004</t>
  </si>
  <si>
    <t>MVI 10005/2</t>
  </si>
  <si>
    <t>MVI 10005/1</t>
  </si>
  <si>
    <t>MVI 10005</t>
  </si>
  <si>
    <t>Helix-V 202</t>
  </si>
  <si>
    <t>Helix-V 203</t>
  </si>
  <si>
    <t>Helix-V 204</t>
  </si>
  <si>
    <t>Helix-V 205</t>
  </si>
  <si>
    <t>Helix-V 206</t>
  </si>
  <si>
    <t>Helix-V 207</t>
  </si>
  <si>
    <t>Helix-V 208</t>
  </si>
  <si>
    <t>Helix-V 209</t>
  </si>
  <si>
    <t>Helix-V 210</t>
  </si>
  <si>
    <t>Helix-V 211</t>
  </si>
  <si>
    <t>Helix-V 212</t>
  </si>
  <si>
    <t>Helix-V 213</t>
  </si>
  <si>
    <t>Helix-V 214</t>
  </si>
  <si>
    <t>Helix-V 216</t>
  </si>
  <si>
    <t>Helix-V 218</t>
  </si>
  <si>
    <t>Helix-V 220</t>
  </si>
  <si>
    <t>Helix-V 222</t>
  </si>
  <si>
    <t>Helix-V 224</t>
  </si>
  <si>
    <t>Helix-V 226</t>
  </si>
  <si>
    <t>Helix-V 229</t>
  </si>
  <si>
    <t>Helix-V 231</t>
  </si>
  <si>
    <t>Helix-V 233</t>
  </si>
  <si>
    <t>Helix-V 236</t>
  </si>
  <si>
    <t>Helix-V 239</t>
  </si>
  <si>
    <t>Helix-V 402</t>
  </si>
  <si>
    <t>Helix-V 403</t>
  </si>
  <si>
    <t>Helix-V 404</t>
  </si>
  <si>
    <t>Helix-V 405</t>
  </si>
  <si>
    <t>Helix-V 406</t>
  </si>
  <si>
    <t>Helix-V 407</t>
  </si>
  <si>
    <t>Helix-V 408</t>
  </si>
  <si>
    <t>Helix-V 409</t>
  </si>
  <si>
    <t>Helix-V 410</t>
  </si>
  <si>
    <t>Helix-V 411</t>
  </si>
  <si>
    <t>Helix-V 412</t>
  </si>
  <si>
    <t>Helix-V 413</t>
  </si>
  <si>
    <t>Helix-V 414</t>
  </si>
  <si>
    <t>Helix-V 416</t>
  </si>
  <si>
    <t>Helix-V 418</t>
  </si>
  <si>
    <t>Helix-V 420</t>
  </si>
  <si>
    <t>Helix-V 422</t>
  </si>
  <si>
    <t>Helix-V 424</t>
  </si>
  <si>
    <t>Helix-V 426</t>
  </si>
  <si>
    <t>Helix-V 429</t>
  </si>
  <si>
    <t>Helix-V 431</t>
  </si>
  <si>
    <t>Helix-V 601</t>
  </si>
  <si>
    <t>Helix-V 602</t>
  </si>
  <si>
    <t>Helix-V 603</t>
  </si>
  <si>
    <t>Helix-V 604</t>
  </si>
  <si>
    <t>Helix-V 605</t>
  </si>
  <si>
    <t>Helix-V 606</t>
  </si>
  <si>
    <t>Helix-V 607</t>
  </si>
  <si>
    <t>Helix-V 608</t>
  </si>
  <si>
    <t>Helix-V 609</t>
  </si>
  <si>
    <t>Helix-V 610</t>
  </si>
  <si>
    <t>Helix-V 611</t>
  </si>
  <si>
    <t>Helix-V 612</t>
  </si>
  <si>
    <t>Helix-V 613</t>
  </si>
  <si>
    <t>Helix-V 614</t>
  </si>
  <si>
    <t>Helix-V 615</t>
  </si>
  <si>
    <t>Helix-V 616</t>
  </si>
  <si>
    <t>Helix-V 618</t>
  </si>
  <si>
    <t>Helix-V 620</t>
  </si>
  <si>
    <t>Helix-V 621</t>
  </si>
  <si>
    <t>Helix-V 623</t>
  </si>
  <si>
    <t>Helix-V 625</t>
  </si>
  <si>
    <t>Helix-V 627</t>
  </si>
  <si>
    <t>Helix-V 628</t>
  </si>
  <si>
    <t>Helix-V 630</t>
  </si>
  <si>
    <t>Helix-V 633</t>
  </si>
  <si>
    <t>Helix-V 1001</t>
  </si>
  <si>
    <t>Helix-V 1002</t>
  </si>
  <si>
    <t>Helix-V 1003</t>
  </si>
  <si>
    <t>Helix-V 1004</t>
  </si>
  <si>
    <t>Helix-V 1005</t>
  </si>
  <si>
    <t>Helix-V 1006</t>
  </si>
  <si>
    <t>Helix-V 1007</t>
  </si>
  <si>
    <t>Helix-V 1008</t>
  </si>
  <si>
    <t>Helix-V 1009</t>
  </si>
  <si>
    <t>Helix-V 1010</t>
  </si>
  <si>
    <t>Helix-V 1011</t>
  </si>
  <si>
    <t>Helix-V 1012</t>
  </si>
  <si>
    <t>Helix-V 1013</t>
  </si>
  <si>
    <t>Helix-V 1015</t>
  </si>
  <si>
    <t>Helix-V 1017</t>
  </si>
  <si>
    <t>Helix-V 1019</t>
  </si>
  <si>
    <t>Helix-V 1021</t>
  </si>
  <si>
    <t>Helix-V 1023</t>
  </si>
  <si>
    <t>Helix-V 1601</t>
  </si>
  <si>
    <t>Helix-V 1602</t>
  </si>
  <si>
    <t>Helix-V 1603</t>
  </si>
  <si>
    <t>Helix-V 1604</t>
  </si>
  <si>
    <t>Helix-V 1605</t>
  </si>
  <si>
    <t>Helix-V 1606</t>
  </si>
  <si>
    <t>Helix-V 1607</t>
  </si>
  <si>
    <t>Helix-V 1608</t>
  </si>
  <si>
    <t>Helix-V 1609</t>
  </si>
  <si>
    <t>Helix-V 1610</t>
  </si>
  <si>
    <t>Helix-V 1611</t>
  </si>
  <si>
    <t>Helix-V 1612</t>
  </si>
  <si>
    <t>Helix-V 1613</t>
  </si>
  <si>
    <t>Helix-V 1616</t>
  </si>
  <si>
    <t>Helix-V 1618</t>
  </si>
  <si>
    <t>Helix-V 1619</t>
  </si>
  <si>
    <t>Helix-V 1621</t>
  </si>
  <si>
    <t>Helix-V 2201</t>
  </si>
  <si>
    <t>Helix-V 2202</t>
  </si>
  <si>
    <t>Helix-V 2203</t>
  </si>
  <si>
    <t>Helix-V 2204</t>
  </si>
  <si>
    <t>Helix-V 2205</t>
  </si>
  <si>
    <t>Helix-V 2206</t>
  </si>
  <si>
    <t>Helix-V 2207</t>
  </si>
  <si>
    <t>Helix-V 2208</t>
  </si>
  <si>
    <t>Helix-V 2209</t>
  </si>
  <si>
    <t>Helix-V 2210</t>
  </si>
  <si>
    <t>Helix-V 2211</t>
  </si>
  <si>
    <t>Helix-V 2212</t>
  </si>
  <si>
    <t>Helix-V 2213</t>
  </si>
  <si>
    <t>Helix-V 2214</t>
  </si>
  <si>
    <t>Helix-V 2215</t>
  </si>
  <si>
    <t>Helix-V 2216</t>
  </si>
  <si>
    <t>Helix-V 3601/1</t>
  </si>
  <si>
    <t>Helix-V 3601</t>
  </si>
  <si>
    <t>Helix-V 3602/2</t>
  </si>
  <si>
    <t>Helix-V 3602/1</t>
  </si>
  <si>
    <t>Helix-V 3602</t>
  </si>
  <si>
    <t>Helix-V 3603/2</t>
  </si>
  <si>
    <t>Helix-V 3603/1</t>
  </si>
  <si>
    <t>Helix-V 3603</t>
  </si>
  <si>
    <t>Helix-V 3604/2</t>
  </si>
  <si>
    <t>Helix-V 3604</t>
  </si>
  <si>
    <t>Helix-V 3605/2</t>
  </si>
  <si>
    <t>Helix-V 3605</t>
  </si>
  <si>
    <t>Helix-V 3606/2</t>
  </si>
  <si>
    <t>Helix-V 3606</t>
  </si>
  <si>
    <t>Helix-V 3607/2</t>
  </si>
  <si>
    <t>Helix-V 3607</t>
  </si>
  <si>
    <t>Helix-V 3608/2</t>
  </si>
  <si>
    <t>Helix-V 3608</t>
  </si>
  <si>
    <t>Helix-V 3609/2</t>
  </si>
  <si>
    <t>Helix-V 3609</t>
  </si>
  <si>
    <t>Helix-V 3610/2</t>
  </si>
  <si>
    <t>Helix-V 3610</t>
  </si>
  <si>
    <t>Helix-V 3611/2</t>
  </si>
  <si>
    <t>Helix-V 3611</t>
  </si>
  <si>
    <t>Helix-V 5201/1</t>
  </si>
  <si>
    <t>Helix-V 5201</t>
  </si>
  <si>
    <t>Helix-V 5202/2</t>
  </si>
  <si>
    <t>Helix-V 5202</t>
  </si>
  <si>
    <t>Helix-V 5203/2</t>
  </si>
  <si>
    <t>Helix-V 5203</t>
  </si>
  <si>
    <t>Helix-V 5204/2</t>
  </si>
  <si>
    <t>Helix-V 5204</t>
  </si>
  <si>
    <t>Helix-V 5205/2</t>
  </si>
  <si>
    <t>Helix-V 5205</t>
  </si>
  <si>
    <t>Helix-V 5206/2</t>
  </si>
  <si>
    <t>Helix-V 5206</t>
  </si>
  <si>
    <t>Helix-V 5207/2</t>
  </si>
  <si>
    <t>Helix-V 5207</t>
  </si>
  <si>
    <t>Helix-V 5208/2</t>
  </si>
  <si>
    <t>Helix-V 5208</t>
  </si>
  <si>
    <t>Helix-V 5209/2</t>
  </si>
  <si>
    <t>Helix-V 5209</t>
  </si>
  <si>
    <t>Helix-V 5210/2</t>
  </si>
  <si>
    <t>Helix-V 5210</t>
  </si>
  <si>
    <t>MC 203</t>
  </si>
  <si>
    <t>MC 403</t>
  </si>
  <si>
    <t>MVI 203</t>
  </si>
  <si>
    <t>MVI 211</t>
  </si>
  <si>
    <t>MVI 411</t>
  </si>
  <si>
    <t>Helix-V 617</t>
  </si>
  <si>
    <t>Helix-V 619</t>
  </si>
  <si>
    <t>Helix-V 1014</t>
  </si>
  <si>
    <t>Helix-V 1016</t>
  </si>
  <si>
    <t>Helix-V 1614</t>
  </si>
  <si>
    <t>Helix-V 1615</t>
  </si>
  <si>
    <t>Helix-V 2202/2</t>
  </si>
  <si>
    <t>Helix-V 2203/2</t>
  </si>
  <si>
    <t>Helix-V 2204/3</t>
  </si>
  <si>
    <t>Helix-V 2205/3</t>
  </si>
  <si>
    <t>Helix-V 2206/3</t>
  </si>
  <si>
    <t>Helix-V 2207/1</t>
  </si>
  <si>
    <t>Helix-V 3604/1</t>
  </si>
  <si>
    <t>Helix-V 3605/1</t>
  </si>
  <si>
    <t>Helix-V 3606/1</t>
  </si>
  <si>
    <t>Helix-V 3607/1</t>
  </si>
  <si>
    <t>Helix-V 5202/1</t>
  </si>
  <si>
    <t>Helix-V 5203/1</t>
  </si>
  <si>
    <t>Helix-V 5204/1</t>
  </si>
  <si>
    <t>Q</t>
  </si>
  <si>
    <t>Hmt</t>
  </si>
  <si>
    <t>N</t>
  </si>
  <si>
    <t>P2</t>
  </si>
  <si>
    <t>Ne pas effacer, résultat utilisé dans une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</si>
</sst>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3" x14ac:knownFonts="1">
    <font>
      <sz val="10"/>
      <color theme="1"/>
      <name val="Verdana"/>
      <family val="2"/>
    </font>
    <font>
      <b/>
      <sz val="10"/>
      <color theme="0"/>
      <name val="Verdana"/>
      <family val="2"/>
    </font>
    <font>
      <sz val="10"/>
      <name val="Arial"/>
      <family val="2"/>
    </font>
    <font>
      <b/>
      <sz val="8"/>
      <color theme="0"/>
      <name val="Verdana"/>
      <family val="2"/>
    </font>
    <font>
      <b/>
      <sz val="6"/>
      <color theme="0"/>
      <name val="Verdana"/>
      <family val="2"/>
    </font>
    <font>
      <b/>
      <vertAlign val="superscript"/>
      <sz val="6"/>
      <color theme="0"/>
      <name val="Verdana"/>
      <family val="2"/>
    </font>
    <font>
      <b/>
      <vertAlign val="subscript"/>
      <sz val="8"/>
      <color theme="0"/>
      <name val="Verdana"/>
      <family val="2"/>
    </font>
    <font>
      <sz val="8"/>
      <name val="Verdana"/>
      <family val="2"/>
    </font>
    <font>
      <b/>
      <sz val="13"/>
      <color theme="1"/>
      <name val="Verdana"/>
      <family val="2"/>
    </font>
    <font>
      <sz val="10"/>
      <name val="Verdana"/>
      <family val="2"/>
    </font>
    <font>
      <b/>
      <sz val="10"/>
      <color theme="1" tint="0.249977111117893"/>
      <name val="Verdana"/>
      <family val="2"/>
    </font>
    <font>
      <sz val="10"/>
      <color rgb="FF000000"/>
      <name val="Verdana"/>
      <family val="2"/>
    </font>
    <font>
      <b/>
      <sz val="10"/>
      <color rgb="FFFF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FFB4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rgb="FF009C8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32">
    <xf numFmtId="0" fontId="0" fillId="0" borderId="0" xfId="0"/>
    <xf numFmtId="164" fontId="7" fillId="3" borderId="1" xfId="1" applyNumberFormat="1" applyFont="1" applyFill="1" applyBorder="1" applyAlignment="1">
      <alignment horizontal="center" vertical="center"/>
    </xf>
    <xf numFmtId="2" fontId="1" fillId="4" borderId="1" xfId="1" applyNumberFormat="1" applyFont="1" applyFill="1" applyBorder="1" applyAlignment="1">
      <alignment horizontal="center"/>
    </xf>
    <xf numFmtId="165" fontId="7" fillId="3" borderId="1" xfId="1" applyNumberFormat="1" applyFont="1" applyFill="1" applyBorder="1" applyAlignment="1">
      <alignment horizontal="center" vertical="center"/>
    </xf>
    <xf numFmtId="1" fontId="7" fillId="3" borderId="1" xfId="1" applyNumberFormat="1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2" fontId="3" fillId="2" borderId="2" xfId="1" applyNumberFormat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1" fontId="3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8" fillId="0" borderId="0" xfId="0" applyFont="1"/>
    <xf numFmtId="0" fontId="9" fillId="0" borderId="5" xfId="2" applyFont="1" applyBorder="1"/>
    <xf numFmtId="0" fontId="10" fillId="0" borderId="5" xfId="2" applyFont="1" applyBorder="1" applyAlignment="1">
      <alignment horizontal="center" vertical="center"/>
    </xf>
    <xf numFmtId="0" fontId="9" fillId="0" borderId="5" xfId="1" applyFont="1" applyFill="1" applyBorder="1"/>
    <xf numFmtId="2" fontId="9" fillId="0" borderId="5" xfId="1" applyNumberFormat="1" applyFont="1" applyFill="1" applyBorder="1"/>
    <xf numFmtId="0" fontId="9" fillId="0" borderId="0" xfId="2" applyFont="1" applyBorder="1"/>
    <xf numFmtId="0" fontId="10" fillId="0" borderId="0" xfId="2" applyFont="1" applyBorder="1" applyAlignment="1">
      <alignment horizontal="center" vertical="center"/>
    </xf>
    <xf numFmtId="0" fontId="9" fillId="0" borderId="0" xfId="1" applyFont="1" applyFill="1" applyBorder="1"/>
    <xf numFmtId="2" fontId="9" fillId="0" borderId="0" xfId="1" applyNumberFormat="1" applyFont="1" applyFill="1" applyBorder="1"/>
    <xf numFmtId="164" fontId="7" fillId="3" borderId="2" xfId="1" applyNumberFormat="1" applyFont="1" applyFill="1" applyBorder="1" applyAlignment="1">
      <alignment vertical="center"/>
    </xf>
    <xf numFmtId="164" fontId="7" fillId="3" borderId="3" xfId="1" applyNumberFormat="1" applyFont="1" applyFill="1" applyBorder="1" applyAlignment="1">
      <alignment vertical="center"/>
    </xf>
    <xf numFmtId="2" fontId="7" fillId="3" borderId="1" xfId="1" applyNumberFormat="1" applyFont="1" applyFill="1" applyBorder="1" applyAlignment="1">
      <alignment horizontal="center" vertical="center"/>
    </xf>
    <xf numFmtId="2" fontId="7" fillId="3" borderId="2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0" borderId="1" xfId="2" applyFont="1" applyBorder="1"/>
    <xf numFmtId="2" fontId="9" fillId="0" borderId="1" xfId="2" applyNumberFormat="1" applyFont="1" applyBorder="1"/>
    <xf numFmtId="0" fontId="9" fillId="0" borderId="1" xfId="2" applyFont="1" applyBorder="1" applyAlignment="1">
      <alignment horizontal="left"/>
    </xf>
    <xf numFmtId="0" fontId="2" fillId="0" borderId="1" xfId="2" applyBorder="1"/>
    <xf numFmtId="0" fontId="0" fillId="0" borderId="1" xfId="0" applyBorder="1"/>
    <xf numFmtId="0" fontId="12" fillId="5" borderId="1" xfId="0" applyFont="1" applyFill="1" applyBorder="1"/>
    <xf numFmtId="0" fontId="0" fillId="0" borderId="6" xfId="0" applyBorder="1"/>
    <xf numFmtId="0" fontId="0" fillId="5" borderId="0" xfId="0" applyFill="1"/>
  </cellXfs>
  <cellStyles count="4">
    <cellStyle name="Normal" xfId="0" builtinId="0"/>
    <cellStyle name="Normal 10" xfId="2"/>
    <cellStyle name="Normal 2 2 2" xfId="1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(Q.H)</c:v>
          </c:tx>
          <c:xVal>
            <c:numRef>
              <c:f>'50HZ'!$J$15:$J$24</c:f>
              <c:numCache>
                <c:formatCode>General</c:formatCode>
                <c:ptCount val="10"/>
                <c:pt idx="0">
                  <c:v>1.7347331473134968</c:v>
                </c:pt>
                <c:pt idx="1">
                  <c:v>3.4694662946269936</c:v>
                </c:pt>
                <c:pt idx="2">
                  <c:v>5.2041994419404904</c:v>
                </c:pt>
                <c:pt idx="3">
                  <c:v>6.9389325892539873</c:v>
                </c:pt>
                <c:pt idx="4">
                  <c:v>8.6736657365674841</c:v>
                </c:pt>
                <c:pt idx="5">
                  <c:v>10.408398883880981</c:v>
                </c:pt>
                <c:pt idx="6">
                  <c:v>12.143132031194478</c:v>
                </c:pt>
                <c:pt idx="7">
                  <c:v>13.877865178507975</c:v>
                </c:pt>
                <c:pt idx="8">
                  <c:v>15.612598325821471</c:v>
                </c:pt>
                <c:pt idx="9">
                  <c:v>17.347331473134968</c:v>
                </c:pt>
              </c:numCache>
            </c:numRef>
          </c:xVal>
          <c:yVal>
            <c:numRef>
              <c:f>'50HZ'!$K$15:$K$24</c:f>
              <c:numCache>
                <c:formatCode>0.000</c:formatCode>
                <c:ptCount val="10"/>
                <c:pt idx="0">
                  <c:v>161.46474498168169</c:v>
                </c:pt>
                <c:pt idx="1">
                  <c:v>156.78172524223478</c:v>
                </c:pt>
                <c:pt idx="2">
                  <c:v>150.90951727112409</c:v>
                </c:pt>
                <c:pt idx="3">
                  <c:v>142.03314633824547</c:v>
                </c:pt>
                <c:pt idx="4">
                  <c:v>129.19791950647573</c:v>
                </c:pt>
                <c:pt idx="5">
                  <c:v>112.13138931348172</c:v>
                </c:pt>
                <c:pt idx="6">
                  <c:v>90.946131080542045</c:v>
                </c:pt>
                <c:pt idx="7">
                  <c:v>65.72333384838312</c:v>
                </c:pt>
                <c:pt idx="8">
                  <c:v>35.977204940026695</c:v>
                </c:pt>
                <c:pt idx="9">
                  <c:v>1.8815065251942542E-4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2031360"/>
        <c:axId val="231920384"/>
      </c:scatterChart>
      <c:valAx>
        <c:axId val="2320313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31920384"/>
        <c:crosses val="autoZero"/>
        <c:crossBetween val="midCat"/>
      </c:valAx>
      <c:valAx>
        <c:axId val="231920384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23203136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P2</c:v>
          </c:tx>
          <c:xVal>
            <c:numRef>
              <c:f>'50HZ'!$J$15:$J$24</c:f>
              <c:numCache>
                <c:formatCode>General</c:formatCode>
                <c:ptCount val="10"/>
                <c:pt idx="0">
                  <c:v>1.7347331473134968</c:v>
                </c:pt>
                <c:pt idx="1">
                  <c:v>3.4694662946269936</c:v>
                </c:pt>
                <c:pt idx="2">
                  <c:v>5.2041994419404904</c:v>
                </c:pt>
                <c:pt idx="3">
                  <c:v>6.9389325892539873</c:v>
                </c:pt>
                <c:pt idx="4">
                  <c:v>8.6736657365674841</c:v>
                </c:pt>
                <c:pt idx="5">
                  <c:v>10.408398883880981</c:v>
                </c:pt>
                <c:pt idx="6">
                  <c:v>12.143132031194478</c:v>
                </c:pt>
                <c:pt idx="7">
                  <c:v>13.877865178507975</c:v>
                </c:pt>
                <c:pt idx="8">
                  <c:v>15.612598325821471</c:v>
                </c:pt>
                <c:pt idx="9">
                  <c:v>17.347331473134968</c:v>
                </c:pt>
              </c:numCache>
            </c:numRef>
          </c:xVal>
          <c:yVal>
            <c:numRef>
              <c:f>'50HZ'!$L$15:$L$24</c:f>
              <c:numCache>
                <c:formatCode>0.000</c:formatCode>
                <c:ptCount val="10"/>
                <c:pt idx="0">
                  <c:v>2.556768138821417</c:v>
                </c:pt>
                <c:pt idx="1">
                  <c:v>3.4291115327838493</c:v>
                </c:pt>
                <c:pt idx="2">
                  <c:v>4.141199064708216</c:v>
                </c:pt>
                <c:pt idx="3">
                  <c:v>4.6678589438959222</c:v>
                </c:pt>
                <c:pt idx="4">
                  <c:v>5.0393938487332992</c:v>
                </c:pt>
                <c:pt idx="5">
                  <c:v>5.2814284467740356</c:v>
                </c:pt>
                <c:pt idx="6">
                  <c:v>5.3897717335275006</c:v>
                </c:pt>
                <c:pt idx="7">
                  <c:v>5.3402941899530418</c:v>
                </c:pt>
                <c:pt idx="8">
                  <c:v>5.1338197586600236</c:v>
                </c:pt>
                <c:pt idx="9">
                  <c:v>4.8760326388141335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3959680"/>
        <c:axId val="413958144"/>
      </c:scatterChart>
      <c:valAx>
        <c:axId val="4139596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13958144"/>
        <c:crosses val="autoZero"/>
        <c:crossBetween val="midCat"/>
      </c:valAx>
      <c:valAx>
        <c:axId val="413958144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41395968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N</c:v>
          </c:tx>
          <c:xVal>
            <c:numRef>
              <c:f>'50HZ'!$J$15:$J$24</c:f>
              <c:numCache>
                <c:formatCode>General</c:formatCode>
                <c:ptCount val="10"/>
                <c:pt idx="0">
                  <c:v>1.7347331473134968</c:v>
                </c:pt>
                <c:pt idx="1">
                  <c:v>3.4694662946269936</c:v>
                </c:pt>
                <c:pt idx="2">
                  <c:v>5.2041994419404904</c:v>
                </c:pt>
                <c:pt idx="3">
                  <c:v>6.9389325892539873</c:v>
                </c:pt>
                <c:pt idx="4">
                  <c:v>8.6736657365674841</c:v>
                </c:pt>
                <c:pt idx="5">
                  <c:v>10.408398883880981</c:v>
                </c:pt>
                <c:pt idx="6">
                  <c:v>12.143132031194478</c:v>
                </c:pt>
                <c:pt idx="7">
                  <c:v>13.877865178507975</c:v>
                </c:pt>
                <c:pt idx="8">
                  <c:v>15.612598325821471</c:v>
                </c:pt>
                <c:pt idx="9">
                  <c:v>17.347331473134968</c:v>
                </c:pt>
              </c:numCache>
            </c:numRef>
          </c:xVal>
          <c:yVal>
            <c:numRef>
              <c:f>'50HZ'!$M$15:$M$24</c:f>
              <c:numCache>
                <c:formatCode>0</c:formatCode>
                <c:ptCount val="10"/>
                <c:pt idx="0">
                  <c:v>2834.5902465160093</c:v>
                </c:pt>
                <c:pt idx="1">
                  <c:v>2945.5592291207113</c:v>
                </c:pt>
                <c:pt idx="2">
                  <c:v>2923.3110832502834</c:v>
                </c:pt>
                <c:pt idx="3">
                  <c:v>2867.870692429904</c:v>
                </c:pt>
                <c:pt idx="4">
                  <c:v>2881.3671431529956</c:v>
                </c:pt>
                <c:pt idx="5">
                  <c:v>2905.7881031344768</c:v>
                </c:pt>
                <c:pt idx="6">
                  <c:v>2846.5190040158295</c:v>
                </c:pt>
                <c:pt idx="7">
                  <c:v>2981.6670285225136</c:v>
                </c:pt>
                <c:pt idx="8">
                  <c:v>4657.1699020726674</c:v>
                </c:pt>
                <c:pt idx="9">
                  <c:v>11267.689488838987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3477888"/>
        <c:axId val="433476352"/>
      </c:scatterChart>
      <c:valAx>
        <c:axId val="4334778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33476352"/>
        <c:crosses val="autoZero"/>
        <c:crossBetween val="midCat"/>
      </c:valAx>
      <c:valAx>
        <c:axId val="43347635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43347788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(Q,H)</c:v>
          </c:tx>
          <c:xVal>
            <c:numRef>
              <c:f>'60HZ'!$J$15:$J$24</c:f>
              <c:numCache>
                <c:formatCode>General</c:formatCode>
                <c:ptCount val="10"/>
                <c:pt idx="0">
                  <c:v>0.71099206622120947</c:v>
                </c:pt>
                <c:pt idx="1">
                  <c:v>1.4219841324424189</c:v>
                </c:pt>
                <c:pt idx="2">
                  <c:v>2.1329761986636284</c:v>
                </c:pt>
                <c:pt idx="3">
                  <c:v>2.8439682648848379</c:v>
                </c:pt>
                <c:pt idx="4">
                  <c:v>3.5549603311060474</c:v>
                </c:pt>
                <c:pt idx="5">
                  <c:v>4.2659523973272568</c:v>
                </c:pt>
                <c:pt idx="6">
                  <c:v>4.9769444635484659</c:v>
                </c:pt>
                <c:pt idx="7">
                  <c:v>5.6879365297696758</c:v>
                </c:pt>
                <c:pt idx="8">
                  <c:v>6.3989285959908857</c:v>
                </c:pt>
                <c:pt idx="9">
                  <c:v>7.1099206622120947</c:v>
                </c:pt>
              </c:numCache>
            </c:numRef>
          </c:xVal>
          <c:yVal>
            <c:numRef>
              <c:f>'60HZ'!$K$15:$K$24</c:f>
              <c:numCache>
                <c:formatCode>0.000</c:formatCode>
                <c:ptCount val="10"/>
                <c:pt idx="0">
                  <c:v>94.105257477302672</c:v>
                </c:pt>
                <c:pt idx="1">
                  <c:v>89.443437683390457</c:v>
                </c:pt>
                <c:pt idx="2">
                  <c:v>83.255569621806316</c:v>
                </c:pt>
                <c:pt idx="3">
                  <c:v>75.800421881365565</c:v>
                </c:pt>
                <c:pt idx="4">
                  <c:v>67.426428237221074</c:v>
                </c:pt>
                <c:pt idx="5">
                  <c:v>58.332438430456619</c:v>
                </c:pt>
                <c:pt idx="6">
                  <c:v>48.327277094482142</c:v>
                </c:pt>
                <c:pt idx="7">
                  <c:v>36.588110828231223</c:v>
                </c:pt>
                <c:pt idx="8">
                  <c:v>21.417623416160538</c:v>
                </c:pt>
                <c:pt idx="9">
                  <c:v>-8.04948342647549E-7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3315456"/>
        <c:axId val="241946624"/>
      </c:scatterChart>
      <c:valAx>
        <c:axId val="2633154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41946624"/>
        <c:crosses val="autoZero"/>
        <c:crossBetween val="midCat"/>
      </c:valAx>
      <c:valAx>
        <c:axId val="241946624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26331545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P2</c:v>
          </c:tx>
          <c:xVal>
            <c:numRef>
              <c:f>'60HZ'!$J$15:$J$24</c:f>
              <c:numCache>
                <c:formatCode>General</c:formatCode>
                <c:ptCount val="10"/>
                <c:pt idx="0">
                  <c:v>0.71099206622120947</c:v>
                </c:pt>
                <c:pt idx="1">
                  <c:v>1.4219841324424189</c:v>
                </c:pt>
                <c:pt idx="2">
                  <c:v>2.1329761986636284</c:v>
                </c:pt>
                <c:pt idx="3">
                  <c:v>2.8439682648848379</c:v>
                </c:pt>
                <c:pt idx="4">
                  <c:v>3.5549603311060474</c:v>
                </c:pt>
                <c:pt idx="5">
                  <c:v>4.2659523973272568</c:v>
                </c:pt>
                <c:pt idx="6">
                  <c:v>4.9769444635484659</c:v>
                </c:pt>
                <c:pt idx="7">
                  <c:v>5.6879365297696758</c:v>
                </c:pt>
                <c:pt idx="8">
                  <c:v>6.3989285959908857</c:v>
                </c:pt>
                <c:pt idx="9">
                  <c:v>7.1099206622120947</c:v>
                </c:pt>
              </c:numCache>
            </c:numRef>
          </c:xVal>
          <c:yVal>
            <c:numRef>
              <c:f>'60HZ'!$L$15:$L$24</c:f>
              <c:numCache>
                <c:formatCode>0.000</c:formatCode>
                <c:ptCount val="10"/>
                <c:pt idx="0">
                  <c:v>0.81624219640768048</c:v>
                </c:pt>
                <c:pt idx="1">
                  <c:v>0.99832218004245754</c:v>
                </c:pt>
                <c:pt idx="2">
                  <c:v>1.1655733490993221</c:v>
                </c:pt>
                <c:pt idx="3">
                  <c:v>1.3042178890979206</c:v>
                </c:pt>
                <c:pt idx="4">
                  <c:v>1.4052607946338413</c:v>
                </c:pt>
                <c:pt idx="5">
                  <c:v>1.4643981999627693</c:v>
                </c:pt>
                <c:pt idx="6">
                  <c:v>1.4819459371744848</c:v>
                </c:pt>
                <c:pt idx="7">
                  <c:v>1.4627883219567066</c:v>
                </c:pt>
                <c:pt idx="8">
                  <c:v>1.4163471669487764</c:v>
                </c:pt>
                <c:pt idx="9">
                  <c:v>1.3565710226851904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0680320"/>
        <c:axId val="430678784"/>
      </c:scatterChart>
      <c:valAx>
        <c:axId val="4306803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30678784"/>
        <c:crosses val="autoZero"/>
        <c:crossBetween val="midCat"/>
      </c:valAx>
      <c:valAx>
        <c:axId val="430678784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43068032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N</c:v>
          </c:tx>
          <c:xVal>
            <c:numRef>
              <c:f>'60HZ'!$J$15:$J$24</c:f>
              <c:numCache>
                <c:formatCode>General</c:formatCode>
                <c:ptCount val="10"/>
                <c:pt idx="0">
                  <c:v>0.71099206622120947</c:v>
                </c:pt>
                <c:pt idx="1">
                  <c:v>1.4219841324424189</c:v>
                </c:pt>
                <c:pt idx="2">
                  <c:v>2.1329761986636284</c:v>
                </c:pt>
                <c:pt idx="3">
                  <c:v>2.8439682648848379</c:v>
                </c:pt>
                <c:pt idx="4">
                  <c:v>3.5549603311060474</c:v>
                </c:pt>
                <c:pt idx="5">
                  <c:v>4.2659523973272568</c:v>
                </c:pt>
                <c:pt idx="6">
                  <c:v>4.9769444635484659</c:v>
                </c:pt>
                <c:pt idx="7">
                  <c:v>5.6879365297696758</c:v>
                </c:pt>
                <c:pt idx="8">
                  <c:v>6.3989285959908857</c:v>
                </c:pt>
                <c:pt idx="9">
                  <c:v>7.1099206622120947</c:v>
                </c:pt>
              </c:numCache>
            </c:numRef>
          </c:xVal>
          <c:yVal>
            <c:numRef>
              <c:f>'60HZ'!$M$15:$M$24</c:f>
              <c:numCache>
                <c:formatCode>0</c:formatCode>
                <c:ptCount val="10"/>
                <c:pt idx="0">
                  <c:v>3480.5129687221665</c:v>
                </c:pt>
                <c:pt idx="1">
                  <c:v>3446.0732926092887</c:v>
                </c:pt>
                <c:pt idx="2">
                  <c:v>3412.1420639399389</c:v>
                </c:pt>
                <c:pt idx="3">
                  <c:v>3383.9144687382973</c:v>
                </c:pt>
                <c:pt idx="4">
                  <c:v>3363.677303620464</c:v>
                </c:pt>
                <c:pt idx="5">
                  <c:v>3351.8668195082041</c:v>
                </c:pt>
                <c:pt idx="6">
                  <c:v>3347.8349004544166</c:v>
                </c:pt>
                <c:pt idx="7">
                  <c:v>3350.323577580325</c:v>
                </c:pt>
                <c:pt idx="8">
                  <c:v>3357.6478781243945</c:v>
                </c:pt>
                <c:pt idx="9">
                  <c:v>3367.5870096029662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2757120"/>
        <c:axId val="440886400"/>
      </c:scatterChart>
      <c:valAx>
        <c:axId val="4427571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40886400"/>
        <c:crosses val="autoZero"/>
        <c:crossBetween val="midCat"/>
      </c:valAx>
      <c:valAx>
        <c:axId val="44088640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44275712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771525</xdr:colOff>
          <xdr:row>3</xdr:row>
          <xdr:rowOff>9525</xdr:rowOff>
        </xdr:from>
        <xdr:to>
          <xdr:col>6</xdr:col>
          <xdr:colOff>400050</xdr:colOff>
          <xdr:row>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importer les données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857250</xdr:colOff>
          <xdr:row>3</xdr:row>
          <xdr:rowOff>85725</xdr:rowOff>
        </xdr:from>
        <xdr:to>
          <xdr:col>4</xdr:col>
          <xdr:colOff>552450</xdr:colOff>
          <xdr:row>5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Valeurs Cibles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352425</xdr:colOff>
      <xdr:row>9</xdr:row>
      <xdr:rowOff>0</xdr:rowOff>
    </xdr:from>
    <xdr:to>
      <xdr:col>18</xdr:col>
      <xdr:colOff>733425</xdr:colOff>
      <xdr:row>25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361950</xdr:colOff>
      <xdr:row>26</xdr:row>
      <xdr:rowOff>9525</xdr:rowOff>
    </xdr:from>
    <xdr:to>
      <xdr:col>18</xdr:col>
      <xdr:colOff>742950</xdr:colOff>
      <xdr:row>43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485775</xdr:colOff>
      <xdr:row>26</xdr:row>
      <xdr:rowOff>19050</xdr:rowOff>
    </xdr:from>
    <xdr:to>
      <xdr:col>13</xdr:col>
      <xdr:colOff>314325</xdr:colOff>
      <xdr:row>43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</xdr:colOff>
      <xdr:row>1</xdr:row>
      <xdr:rowOff>38101</xdr:rowOff>
    </xdr:from>
    <xdr:to>
      <xdr:col>9</xdr:col>
      <xdr:colOff>834483</xdr:colOff>
      <xdr:row>3</xdr:row>
      <xdr:rowOff>1</xdr:rowOff>
    </xdr:to>
    <xdr:pic>
      <xdr:nvPicPr>
        <xdr:cNvPr id="2" name="Picture 41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391275" y="200026"/>
          <a:ext cx="796383" cy="2857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4</xdr:row>
          <xdr:rowOff>0</xdr:rowOff>
        </xdr:from>
        <xdr:to>
          <xdr:col>7</xdr:col>
          <xdr:colOff>447675</xdr:colOff>
          <xdr:row>6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Importer les données 60HZ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4</xdr:row>
          <xdr:rowOff>104775</xdr:rowOff>
        </xdr:from>
        <xdr:to>
          <xdr:col>4</xdr:col>
          <xdr:colOff>609600</xdr:colOff>
          <xdr:row>5</xdr:row>
          <xdr:rowOff>95250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Valeurs Cibles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104775</xdr:colOff>
      <xdr:row>8</xdr:row>
      <xdr:rowOff>0</xdr:rowOff>
    </xdr:from>
    <xdr:to>
      <xdr:col>18</xdr:col>
      <xdr:colOff>485775</xdr:colOff>
      <xdr:row>24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95250</xdr:colOff>
      <xdr:row>24</xdr:row>
      <xdr:rowOff>85725</xdr:rowOff>
    </xdr:from>
    <xdr:to>
      <xdr:col>18</xdr:col>
      <xdr:colOff>476250</xdr:colOff>
      <xdr:row>41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400050</xdr:colOff>
      <xdr:row>24</xdr:row>
      <xdr:rowOff>123825</xdr:rowOff>
    </xdr:from>
    <xdr:to>
      <xdr:col>12</xdr:col>
      <xdr:colOff>828675</xdr:colOff>
      <xdr:row>41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B357"/>
  <sheetViews>
    <sheetView showGridLines="0" topLeftCell="BN1" workbookViewId="0">
      <selection activeCell="CA1" sqref="CA1"/>
    </sheetView>
  </sheetViews>
  <sheetFormatPr baseColWidth="10" defaultRowHeight="12.75" x14ac:dyDescent="0.2"/>
  <cols>
    <col min="4" max="4" width="17.375" bestFit="1" customWidth="1"/>
  </cols>
  <sheetData>
    <row r="1" spans="1:80" x14ac:dyDescent="0.2">
      <c r="CA1" s="31">
        <f>MATCH(J11,D:D, 0)</f>
        <v>111</v>
      </c>
      <c r="CB1" t="s">
        <v>410</v>
      </c>
    </row>
    <row r="3" spans="1:80" x14ac:dyDescent="0.2">
      <c r="A3" s="11"/>
      <c r="B3" s="12"/>
      <c r="C3" s="12"/>
      <c r="D3" s="13"/>
      <c r="E3" s="13"/>
      <c r="F3" s="13"/>
      <c r="G3" s="13"/>
      <c r="H3" s="14"/>
      <c r="I3" s="11"/>
    </row>
    <row r="4" spans="1:80" x14ac:dyDescent="0.2">
      <c r="A4" s="15"/>
      <c r="B4" s="16"/>
      <c r="C4" s="16"/>
      <c r="D4" s="17"/>
      <c r="E4" s="17"/>
      <c r="F4" s="17"/>
      <c r="G4" s="17"/>
      <c r="H4" s="18"/>
      <c r="I4" s="15"/>
    </row>
    <row r="5" spans="1:80" ht="15.75" x14ac:dyDescent="0.2">
      <c r="B5" s="10"/>
      <c r="C5" s="10"/>
    </row>
    <row r="6" spans="1:80" ht="15.75" x14ac:dyDescent="0.2">
      <c r="B6" s="10" t="s">
        <v>8</v>
      </c>
      <c r="C6" s="10"/>
    </row>
    <row r="9" spans="1:80" ht="22.5" x14ac:dyDescent="0.2">
      <c r="C9" s="6" t="s">
        <v>6</v>
      </c>
      <c r="D9" s="6" t="s">
        <v>0</v>
      </c>
      <c r="E9" s="6" t="s">
        <v>1</v>
      </c>
      <c r="F9" s="7" t="s">
        <v>2</v>
      </c>
      <c r="G9" s="8" t="s">
        <v>3</v>
      </c>
      <c r="H9" s="9" t="s">
        <v>4</v>
      </c>
    </row>
    <row r="10" spans="1:80" ht="13.5" thickBot="1" x14ac:dyDescent="0.25">
      <c r="B10" s="23"/>
      <c r="C10" s="24" t="s">
        <v>9</v>
      </c>
      <c r="D10" s="1" t="s">
        <v>10</v>
      </c>
      <c r="E10" s="2">
        <v>9.8819801359680053</v>
      </c>
      <c r="F10" s="3">
        <f>0.00097719941974732*E10 ^ 6 + -0.019388432610038*E10 ^ 5 + 0.136344342417099*E10 ^ 4 + -0.416207956116011*E10 ^ 3 + 0.0658188001067646*E10 ^ 2 + -1.147721862214*E10 ^ 1 + 23.4400033232337</f>
        <v>6.4513445362734956E-5</v>
      </c>
      <c r="G10" s="3">
        <f>0.0000158034501216078*E10 ^ 6 + -0.000372774193779425*E10 ^ 5 + 0.00334501033863343*E10 ^ 4 + -0.0142548049104926*E10 ^ 3 + 0.0192022859298199*E10 ^ 2 + 0.0599662992979302*E10 ^ 1 + 0.126011262298398</f>
        <v>0.32434943840314845</v>
      </c>
      <c r="H10" s="4">
        <f>-0.0595292465504172*E10 ^ 6 + 1.13869545602623*E10 ^ 5 + -8.35743745600226*E10 ^ 4 + 29.2941011741609*E10 ^ 3 + -45.1924004753332*E10 ^ 2 + -5.01108331573316*E10 ^ 1 + 2919.02311398428</f>
        <v>-1102.3278625904913</v>
      </c>
    </row>
    <row r="11" spans="1:80" ht="13.5" thickBot="1" x14ac:dyDescent="0.25">
      <c r="B11" s="23"/>
      <c r="C11" s="24" t="s">
        <v>9</v>
      </c>
      <c r="D11" s="1" t="s">
        <v>11</v>
      </c>
      <c r="E11" s="2">
        <v>8.1118192843072503</v>
      </c>
      <c r="F11" s="3">
        <f>0.00259536360224253*E11 ^ 6 + -0.0475398651330903*E11 ^ 5 + 0.323006020745565*E11 ^ 4 + -0.980197218326925*E11 ^ 3 + 0.567204400585632*E11 ^ 2 + -2.05712157974511*E11 ^ 1 + 34.2902366232737</f>
        <v>5.2351498096925297E-4</v>
      </c>
      <c r="G11" s="3">
        <f>7.82080626462848E-06*E11 ^ 6 + -0.000210442886580449*E11 ^ 5 + 0.0022166051729898*E11 ^ 4 + -0.0109855078109315*E11 ^ 3 + 0.011433800367831*E11 ^ 2 + 0.0905059997746844*E11 ^ 1 + 0.185003618201489</f>
        <v>0.24221876025511355</v>
      </c>
      <c r="H11" s="4">
        <f>-0.0277783882534438*E11 ^ 6 + 0.511292089275383*E11 ^ 5 + -3.50629503543722*E11 ^ 4 + 11.5387030334367*E11 ^ 3 + -14.4693836540433*E11 ^ 2 + -31.0114354799569*E11 ^ 1 + 2922.99602429609</f>
        <v>2740.3371007752735</v>
      </c>
      <c r="J11" s="30" t="s">
        <v>135</v>
      </c>
    </row>
    <row r="12" spans="1:80" x14ac:dyDescent="0.2">
      <c r="C12" s="24" t="s">
        <v>9</v>
      </c>
      <c r="D12" s="1" t="s">
        <v>12</v>
      </c>
      <c r="E12" s="2">
        <v>6.058571434326085</v>
      </c>
      <c r="F12" s="3">
        <f>-0.00369638825250401*E12 ^ 6 + 0.0684554963579884*E12 ^ 5 + -0.493054483425504*E12 ^ 4 + 1.72245607873048*E12 ^ 3 + -3.60832537242416*E12 ^ 2 + -1.18196734277034*E12 ^ 1 + 44.8795802720068</f>
        <v>-3.9585757455995463E-5</v>
      </c>
      <c r="G12" s="3">
        <f>0.0000625621488631335*E12 ^ 6 + -0.00144843235522267*E12 ^ 5 + 0.0125637381132519*E12 ^ 4 + -0.0510858726264731*E12 ^ 3 + 0.0822320140813897*E12 ^ 2 + 0.0594494480280492*E12 ^ 1 + 0.264998917524387</f>
        <v>0.48101406530224206</v>
      </c>
      <c r="H12" s="4">
        <f>-0.0970799725079969*E12 ^ 6 + 1.92878737598434*E12 ^ 5 + -14.4660239201625*E12 ^ 4 + 51.9930285510717*E12 ^ 3 + -84.1838842777518*E12 ^ 2 + -5.97375603830222*E12 ^ 1 + 2875.00530368933</f>
        <v>2764.0505022937755</v>
      </c>
    </row>
    <row r="13" spans="1:80" x14ac:dyDescent="0.2">
      <c r="C13" s="24" t="s">
        <v>14</v>
      </c>
      <c r="D13" s="1" t="s">
        <v>15</v>
      </c>
      <c r="E13" s="2">
        <v>5.9877143217721311</v>
      </c>
      <c r="F13" s="3">
        <f>0.000840266311682041*E13 ^ 6 + -0.0331140247153391*E13 ^ 5 + 0.321325626795652*E13 ^ 4 + -1.22383696930933*E13 ^ 3 + 0.972929414245746*E13 ^ 2 + -4.25155412268977*E13 ^ 1 + 56.410212777285</f>
        <v>-2.0809678484567939E-4</v>
      </c>
      <c r="G13" s="3">
        <f>0.00017158008986486*E13 ^ 6 + -0.00319569524184336*E13 ^ 5 + 0.0225663469844093*E13 ^ 4 + -0.074452027150964*E13 ^ 3 + 0.0935179462638022*E13 ^ 2 + 0.111916922112816*E13 ^ 1 + 0.3299965113123</f>
        <v>0.68816565913607031</v>
      </c>
      <c r="H13" s="4">
        <f>0.0604138773500385*E13 ^ 6 + -0.998090122152196*E13 ^ 5 + 5.8072281563893*E13 ^ 4 + -12.6752938645264*E13 ^ 3 + 9.07403378984953*E13 ^ 2 + -49.7995326208327*E13 ^ 1 + 2900.00424027551</f>
        <v>2772.9850923834579</v>
      </c>
    </row>
    <row r="14" spans="1:80" x14ac:dyDescent="0.2">
      <c r="C14" s="24" t="s">
        <v>16</v>
      </c>
      <c r="D14" s="1" t="s">
        <v>17</v>
      </c>
      <c r="E14" s="2">
        <v>10.513624552311885</v>
      </c>
      <c r="F14" s="3">
        <f>0.00256047621203195*E14 ^ 6 + -0.0575776889804281*E14 ^ 5 + 0.480501462557578*E14 ^ 4 + -1.8849677970801*E14 ^ 3 + 2.20237285587428*E14 ^ 2 + -5.22744760599114*E14 ^ 1 + 69.4606107423816</f>
        <v>2.4573898116386772E-6</v>
      </c>
      <c r="G14" s="3">
        <f>0.0000710631156520818*E14 ^ 6 + -0.00143704514314682*E14 ^ 5 + 0.0112658412102152*E14 ^ 4 + -0.0430553954369252*E14 ^ 3 + 0.05735690311855*E14 ^ 2 + 0.167666448465961*E14 ^ 1 + 0.429017282126132</f>
        <v>7.5194381904883834</v>
      </c>
      <c r="H14" s="4">
        <f>-0.0132633990755567*E14 ^ 6 + 0.269943654600647*E14 ^ 5 + -2.16304788891796*E14 ^ 4 + 8.69542629461427*E14 ^ 3 + -14.2428861767409*E14 ^ 2 + -20.5432696816113*E14 ^ 1 + 2934.99970620972</f>
        <v>1584.6875965618699</v>
      </c>
      <c r="J14" s="28" t="s">
        <v>406</v>
      </c>
      <c r="K14" s="28" t="s">
        <v>407</v>
      </c>
      <c r="L14" s="28" t="s">
        <v>409</v>
      </c>
      <c r="M14" s="28" t="s">
        <v>408</v>
      </c>
    </row>
    <row r="15" spans="1:80" x14ac:dyDescent="0.2">
      <c r="C15" s="24" t="s">
        <v>9</v>
      </c>
      <c r="D15" s="1" t="s">
        <v>18</v>
      </c>
      <c r="E15" s="2">
        <v>11.288375034740444</v>
      </c>
      <c r="F15" s="3">
        <f>0.000212640276236247*E15 ^ 6 + -0.00486074874071449*E15 ^ 5 + 0.0374324302531744*E15 ^ 4 + -0.117533774309246*E15 ^ 3 + -0.0423049045911748*E15 ^ 2 + -0.462987833771693*E15 ^ 1 + 22.8485649356193</f>
        <v>2.1842128529669935E-4</v>
      </c>
      <c r="G15" s="3">
        <f>8.06511283758661E-06*E15 ^ 6 + -0.000222230641167896*E15 ^ 5 + 0.00234161828737259*E15 ^ 4 + -0.0119642298831372*E15 ^ 3 + 0.0253207992802551*E15 ^ 2 + 0.0414595952697015*E15 ^ 1 + 0.137860698679787</f>
        <v>0.59852928563571151</v>
      </c>
      <c r="H15" s="4">
        <f>0.000124398816130656*E15 ^ 6 + -0.00287426363870363*E15 ^ 5 + 0.00789489598463486*E15 ^ 4 + 0.517660980805566*E15 ^ 3 + -3.35973688908099*E15 ^ 2 + -16.4762549381813*E15 ^ 1 + 2939.89901740878</f>
        <v>2929.161941081893</v>
      </c>
      <c r="J15" s="28">
        <f>0.1*J24</f>
        <v>1.7347331473134968</v>
      </c>
      <c r="K15" s="3">
        <f>-6.07432528322432E-06*J15 ^ 6 + 0.000126842263246957*J15 ^ 5 + 0.00321677198410151*J15 ^ 4 + -0.127460535794284*J15 ^ 3 + 0.84403203600861*J15 ^ 2 + -4.68859112874699*J15 ^ 1 + 167.692682957754</f>
        <v>161.46474498168169</v>
      </c>
      <c r="L15" s="3">
        <f>1.78452782161893E-06*J15 ^ 6 + -0.0000969179557560304*J15 ^ 5 + 0.00202531839356322*J15 ^ 4 + -0.0202404720284858*J15 ^ 3 + 0.0723450508293121*J15 ^ 2 + 0.419587661824403*J15 ^ 1 + 1.69998244122793</f>
        <v>2.556768138821417</v>
      </c>
      <c r="M15" s="4">
        <f>0.0145650028584721*J15 ^ 6 + -0.616659611287949*J15 ^ 5 + 9.91951660861782*J15 ^ 4 + -74.8742910144915*J15 ^ 3 + 260.940904047223*J15 ^ 2 + -334.83174969346*J15 ^ 1 + 2940.51388107805</f>
        <v>2834.5902465160093</v>
      </c>
    </row>
    <row r="16" spans="1:80" x14ac:dyDescent="0.2">
      <c r="C16" s="24" t="s">
        <v>9</v>
      </c>
      <c r="D16" s="1" t="s">
        <v>19</v>
      </c>
      <c r="E16" s="2">
        <v>9.2447745111687087</v>
      </c>
      <c r="F16" s="3">
        <f>-0.0000819727891156177*E16 ^ 6 + 0.00319735740449949*E16 ^ 5 + -0.0453266614337962*E16 ^ 4 + 0.285111210218312*E16 ^ 3 + -1.07560406736111*E16 ^ 2 + -0.0555769183199038*E16 ^ 1 + 33.5196763236764</f>
        <v>-1.8726825743442532E-6</v>
      </c>
      <c r="G16" s="3">
        <f>-1.12244897959135E-06*E16 ^ 6 + 0.0000139429618000911*E16 ^ 5 + 0.0001436944008374*E16 ^ 4 + -0.0030108189429625*E16 ^ 3 + 0.00773136839351279*E16 ^ 2 + 0.074685572998429*E16 ^ 1 + 0.208920879120879</f>
        <v>0.47167281986978871</v>
      </c>
      <c r="H16" s="4">
        <f>0.000138888888888839*E16 ^ 6 + -0.00868589743589581*E16 ^ 5 + 0.0810363247863047*E16 ^ 4 + 0.765632284382401*E16 ^ 3 + -7.57383255633285*E16 ^ 2 + -20.3661538461536*E16 ^ 1 + 2910.01678321678</f>
        <v>2771.4576816348595</v>
      </c>
      <c r="J16" s="28">
        <f>0.2*J24</f>
        <v>3.4694662946269936</v>
      </c>
      <c r="K16" s="3">
        <f>-6.07432528322432E-06*J16 ^ 6 + 0.000126842263246957*J16 ^ 5 + 0.00321677198410151*J16 ^ 4 + -0.127460535794284*J16 ^ 3 + 0.84403203600861*J16 ^ 2 + -4.68859112874699*J16 ^ 1 + 167.692682957754</f>
        <v>156.78172524223478</v>
      </c>
      <c r="L16" s="3">
        <f>1.78452782161893E-06*J16 ^ 6 + -0.0000969179557560304*J16 ^ 5 + 0.00202531839356322*J16 ^ 4 + -0.0202404720284858*J16 ^ 3 + 0.0723450508293121*J16 ^ 2 + 0.419587661824403*J16 ^ 1 + 1.69998244122793</f>
        <v>3.4291115327838493</v>
      </c>
      <c r="M16" s="4">
        <f>0.0145650028584721*J16 ^ 6 + -0.616659611287949*J16 ^ 5 + 9.91951660861782*J16 ^ 4 + -74.8742910144915*J16 ^ 3 + 260.940904047223*J16 ^ 2 + -334.83174969346*J16 ^ 1 + 2940.51388107805</f>
        <v>2945.5592291207113</v>
      </c>
    </row>
    <row r="17" spans="2:13" x14ac:dyDescent="0.2">
      <c r="C17" s="24" t="s">
        <v>14</v>
      </c>
      <c r="D17" s="1" t="s">
        <v>20</v>
      </c>
      <c r="E17" s="2">
        <v>11.293734622592837</v>
      </c>
      <c r="F17" s="3">
        <f>0.000255021235785872*E17 ^ 6 + -0.00506596635999004*E17 ^ 5 + 0.0294186953956157*E17 ^ 4 + -0.0325292402831288*E17 ^ 3 + -0.527691600103823*E17 ^ 2 + -0.675560614108787*E17 ^ 1 + 44.8018312365809</f>
        <v>9.8829058579497087E-5</v>
      </c>
      <c r="G17" s="3">
        <f>3.24462255103837E-06*E17 ^ 6 + -0.000106169891555326*E17 ^ 5 + 0.00142565459441342*E17 ^ 4 + -0.00970115827966251*E17 ^ 3 + 0.0220087897278897*E17 ^ 2 + 0.0964014104144829*E17 ^ 1 + 0.282998070240486</f>
        <v>0.62358747824595451</v>
      </c>
      <c r="H17" s="4">
        <f>-0.00862720920674655*E17 ^ 6 + 0.213269784059093*E17 ^ 5 + -1.97238847260592*E17 ^ 4 + 9.0439702919439*E17 ^ 3 + -20.709939109409*E17 ^ 2 + -13.580354076652*E17 ^ 1 + 2917.00088641322</f>
        <v>2344.9218502468702</v>
      </c>
      <c r="J17" s="28">
        <f>0.3*J24</f>
        <v>5.2041994419404904</v>
      </c>
      <c r="K17" s="3">
        <f>-6.07432528322432E-06*J17 ^ 6 + 0.000126842263246957*J17 ^ 5 + 0.00321677198410151*J17 ^ 4 + -0.127460535794284*J17 ^ 3 + 0.84403203600861*J17 ^ 2 + -4.68859112874699*J17 ^ 1 + 167.692682957754</f>
        <v>150.90951727112409</v>
      </c>
      <c r="L17" s="3">
        <f>1.78452782161893E-06*J17 ^ 6 + -0.0000969179557560304*J17 ^ 5 + 0.00202531839356322*J17 ^ 4 + -0.0202404720284858*J17 ^ 3 + 0.0723450508293121*J17 ^ 2 + 0.419587661824403*J17 ^ 1 + 1.69998244122793</f>
        <v>4.141199064708216</v>
      </c>
      <c r="M17" s="4">
        <f>0.0145650028584721*J17 ^ 6 + -0.616659611287949*J17 ^ 5 + 9.91951660861782*J17 ^ 4 + -74.8742910144915*J17 ^ 3 + 260.940904047223*J17 ^ 2 + -334.83174969346*J17 ^ 1 + 2940.51388107805</f>
        <v>2923.3110832502834</v>
      </c>
    </row>
    <row r="18" spans="2:13" x14ac:dyDescent="0.2">
      <c r="C18" s="24" t="s">
        <v>21</v>
      </c>
      <c r="D18" s="1" t="s">
        <v>22</v>
      </c>
      <c r="E18" s="2">
        <v>12.750346368420136</v>
      </c>
      <c r="F18" s="3">
        <f>0.0000282188032367864*E18 ^ 6 + 0.00130121834351414*E18 ^ 5 + -0.0387525924048162*E18 ^ 4 + 0.299810151434101*E18 ^ 3 + -1.31754604871672*E18 ^ 2 + 0.0281159091088531*E18 ^ 1 + 56.8500629181969</f>
        <v>6.0661743837897575E-5</v>
      </c>
      <c r="G18" s="3">
        <f>-7.37867143462575E-06*E18 ^ 6 + 0.00019021307682417*E18 ^ 5 + -0.00168340408882171*E18 ^ 4 + 0.00488368725057807*E18 ^ 3 + -0.00814633264881923*E18 ^ 2 + 0.153090229315217*E18 ^ 1 + 0.366024774366575</f>
        <v>-0.97955182110262373</v>
      </c>
      <c r="H18" s="4">
        <f>0.0039660530833907*E18 ^ 6 + -0.122107428750706*E18 ^ 5 + 1.41107588439669*E18 ^ 4 + -7.30309925860495*E18 ^ 3 + 17.4856330441924*E18 ^ 2 + -37.8766048628363*E18 ^ 1 + 2950.01196635564</f>
        <v>3358.0230645866704</v>
      </c>
      <c r="J18" s="28">
        <f>0.4*J24</f>
        <v>6.9389325892539873</v>
      </c>
      <c r="K18" s="3">
        <f>-6.07432528322432E-06*J18 ^ 6 + 0.000126842263246957*J18 ^ 5 + 0.00321677198410151*J18 ^ 4 + -0.127460535794284*J18 ^ 3 + 0.84403203600861*J18 ^ 2 + -4.68859112874699*J18 ^ 1 + 167.692682957754</f>
        <v>142.03314633824547</v>
      </c>
      <c r="L18" s="3">
        <f>1.78452782161893E-06*J18 ^ 6 + -0.0000969179557560304*J18 ^ 5 + 0.00202531839356322*J18 ^ 4 + -0.0202404720284858*J18 ^ 3 + 0.0723450508293121*J18 ^ 2 + 0.419587661824403*J18 ^ 1 + 1.69998244122793</f>
        <v>4.6678589438959222</v>
      </c>
      <c r="M18" s="4">
        <f>0.0145650028584721*J18 ^ 6 + -0.616659611287949*J18 ^ 5 + 9.91951660861782*J18 ^ 4 + -74.8742910144915*J18 ^ 3 + 260.940904047223*J18 ^ 2 + -334.83174969346*J18 ^ 1 + 2940.51388107805</f>
        <v>2867.870692429904</v>
      </c>
    </row>
    <row r="19" spans="2:13" x14ac:dyDescent="0.2">
      <c r="C19" s="24" t="s">
        <v>13</v>
      </c>
      <c r="D19" s="1" t="s">
        <v>23</v>
      </c>
      <c r="E19" s="2">
        <v>11.539503692160094</v>
      </c>
      <c r="F19" s="3">
        <f>0.000530316623504658*E19 ^ 6 + -0.011541669868235*E19 ^ 5 + 0.074841487260092*E19 ^ 4 + -0.0991384254155462*E19 ^ 3 + -1.03645904572094*E19 ^ 2 + 0.363173404971287*E19 ^ 1 + 68.5336293861521</f>
        <v>1.6433167127161141E-4</v>
      </c>
      <c r="G19" s="3">
        <f>0.0000290658527561888*E19 ^ 6 + -0.000780527405446713*E19 ^ 5 + 0.00789625060473874*E19 ^ 4 + -0.0380571068729519*E19 ^ 3 + 0.0740018794320437*E19 ^ 2 + 0.141599386178039*E19 ^ 1 + 0.441312580427335</f>
        <v>2.3858887137069034</v>
      </c>
      <c r="H19" s="4">
        <f>0.000831945985941389*E19 ^ 6 + -0.0257576695409613*E19 ^ 5 + 0.270080430575661*E19 ^ 4 + -0.831945387667903*E19 ^ 3 + -0.379260133134395*E19 ^ 2 + -14.8819680929495*E19 ^ 1 + 2957.98121822683</f>
        <v>2940.3063052764614</v>
      </c>
      <c r="J19" s="28">
        <f>0.5*J24</f>
        <v>8.6736657365674841</v>
      </c>
      <c r="K19" s="3">
        <f>-6.07432528322432E-06*J19 ^ 6 + 0.000126842263246957*J19 ^ 5 + 0.00321677198410151*J19 ^ 4 + -0.127460535794284*J19 ^ 3 + 0.84403203600861*J19 ^ 2 + -4.68859112874699*J19 ^ 1 + 167.692682957754</f>
        <v>129.19791950647573</v>
      </c>
      <c r="L19" s="3">
        <f>1.78452782161893E-06*J19 ^ 6 + -0.0000969179557560304*J19 ^ 5 + 0.00202531839356322*J19 ^ 4 + -0.0202404720284858*J19 ^ 3 + 0.0723450508293121*J19 ^ 2 + 0.419587661824403*J19 ^ 1 + 1.69998244122793</f>
        <v>5.0393938487332992</v>
      </c>
      <c r="M19" s="4">
        <f>0.0145650028584721*J19 ^ 6 + -0.616659611287949*J19 ^ 5 + 9.91951660861782*J19 ^ 4 + -74.8742910144915*J19 ^ 3 + 260.940904047223*J19 ^ 2 + -334.83174969346*J19 ^ 1 + 2940.51388107805</f>
        <v>2881.3671431529956</v>
      </c>
    </row>
    <row r="20" spans="2:13" x14ac:dyDescent="0.2">
      <c r="C20" s="24" t="s">
        <v>14</v>
      </c>
      <c r="D20" s="1" t="s">
        <v>24</v>
      </c>
      <c r="E20" s="2">
        <v>16.847610175946304</v>
      </c>
      <c r="F20" s="3">
        <f>0.0000105452807990025*E20 ^ 6 + -0.000465678671730237*E20 ^ 5 + 0.00747482825359946*E20 ^ 4 + -0.0537682461057686*E20 ^ 3 + 0.144014703801776*E20 ^ 2 + -0.339620516697545*E20 ^ 1 + 11.1414807658867</f>
        <v>0.45508626626424231</v>
      </c>
      <c r="G20" s="3">
        <f>-1.58717323945515E-06*E20 ^ 6 + 0.0000714618809161792*E20 ^ 5 + -0.00118199836754933*E20 ^ 4 + 0.00866432957102913*E20 ^ 3 + -0.028191814770658*E20 ^ 2 + 0.0667855115903639*E20 ^ 1 + 0.1102283553604</f>
        <v>0.14062362439915232</v>
      </c>
      <c r="H20" s="4">
        <f>0.000122695724153819*E20 ^ 6 + -0.0066678941426732*E20 ^ 5 + 0.131550133763971*E20 ^ 4 + -1.1302617294338*E20 ^ 3 + 4.44831901477428*E20 ^ 2 + -19.3486181955346*E20 ^ 1 + 2955.05678056528</f>
        <v>2840.3800809039067</v>
      </c>
      <c r="J20" s="28">
        <f>0.6*J24</f>
        <v>10.408398883880981</v>
      </c>
      <c r="K20" s="3">
        <f>-6.07432528322432E-06*J20 ^ 6 + 0.000126842263246957*J20 ^ 5 + 0.00321677198410151*J20 ^ 4 + -0.127460535794284*J20 ^ 3 + 0.84403203600861*J20 ^ 2 + -4.68859112874699*J20 ^ 1 + 167.692682957754</f>
        <v>112.13138931348172</v>
      </c>
      <c r="L20" s="3">
        <f>1.78452782161893E-06*J20 ^ 6 + -0.0000969179557560304*J20 ^ 5 + 0.00202531839356322*J20 ^ 4 + -0.0202404720284858*J20 ^ 3 + 0.0723450508293121*J20 ^ 2 + 0.419587661824403*J20 ^ 1 + 1.69998244122793</f>
        <v>5.2814284467740356</v>
      </c>
      <c r="M20" s="4">
        <f>0.0145650028584721*J20 ^ 6 + -0.616659611287949*J20 ^ 5 + 9.91951660861782*J20 ^ 4 + -74.8742910144915*J20 ^ 3 + 260.940904047223*J20 ^ 2 + -334.83174969346*J20 ^ 1 + 2940.51388107805</f>
        <v>2905.7881031344768</v>
      </c>
    </row>
    <row r="21" spans="2:13" x14ac:dyDescent="0.2">
      <c r="C21" s="24" t="s">
        <v>14</v>
      </c>
      <c r="D21" s="1" t="s">
        <v>25</v>
      </c>
      <c r="E21" s="2">
        <v>19.34649321992601</v>
      </c>
      <c r="F21" s="3">
        <f>9.00437603379584E-06*E21 ^ 6 + -0.000385149149830011*E21 ^ 5 + 0.00591390492662947*E21 ^ 4 + -0.0422960710394563*E21 ^ 3 + 0.0983492103221783*E21 ^ 2 + -0.568929172830799*E21 ^ 1 + 23.7041961321846</f>
        <v>5.158430708362971E-5</v>
      </c>
      <c r="G21" s="3">
        <f>-5.78766991719268E-07*E21 ^ 6 + 0.0000312603097139836*E21 ^ 5 + -0.000636770862583956*E21 ^ 4 + 0.00613698279003379*E21 ^ 3 + -0.0317712398446532*E21 ^ 2 + 0.133789482534524*E21 ^ 1 + 0.210141013484304</f>
        <v>0.51658175617898872</v>
      </c>
      <c r="H21" s="4">
        <f>0.000143109566076213*E21 ^ 6 + -0.00828292007271225*E21 ^ 5 + 0.17371280009939*E21 ^ 4 + -1.60775211819708*E21 ^ 3 + 7.08819058436248*E21 ^ 2 + -31.1503412575178*E21 ^ 1 + 2926.04953800476</f>
        <v>2724.9270944339569</v>
      </c>
      <c r="J21" s="28">
        <f>0.7*J24</f>
        <v>12.143132031194478</v>
      </c>
      <c r="K21" s="3">
        <f>-6.07432528322432E-06*J21 ^ 6 + 0.000126842263246957*J21 ^ 5 + 0.00321677198410151*J21 ^ 4 + -0.127460535794284*J21 ^ 3 + 0.84403203600861*J21 ^ 2 + -4.68859112874699*J21 ^ 1 + 167.692682957754</f>
        <v>90.946131080542045</v>
      </c>
      <c r="L21" s="3">
        <f>1.78452782161893E-06*J21 ^ 6 + -0.0000969179557560304*J21 ^ 5 + 0.00202531839356322*J21 ^ 4 + -0.0202404720284858*J21 ^ 3 + 0.0723450508293121*J21 ^ 2 + 0.419587661824403*J21 ^ 1 + 1.69998244122793</f>
        <v>5.3897717335275006</v>
      </c>
      <c r="M21" s="4">
        <f>0.0145650028584721*J21 ^ 6 + -0.616659611287949*J21 ^ 5 + 9.91951660861782*J21 ^ 4 + -74.8742910144915*J21 ^ 3 + 260.940904047223*J21 ^ 2 + -334.83174969346*J21 ^ 1 + 2940.51388107805</f>
        <v>2846.5190040158295</v>
      </c>
    </row>
    <row r="22" spans="2:13" x14ac:dyDescent="0.2">
      <c r="C22" s="24" t="s">
        <v>16</v>
      </c>
      <c r="D22" s="1" t="s">
        <v>26</v>
      </c>
      <c r="E22" s="2">
        <v>16.595693015782246</v>
      </c>
      <c r="F22" s="3">
        <f>-0.0000282054953478562*E22 ^ 6 + 0.00122527632304516*E22 ^ 5 + -0.019386236287868*E22 ^ 4 + 0.131959552587289*E22 ^ 3 + -0.433369040703751*E22 ^ 2 + -0.141764184160066*E22 ^ 1 + 35.9003544659458</f>
        <v>-3.4120283817884456E-4</v>
      </c>
      <c r="G22" s="3">
        <f>-1.75575091140341E-06*E22 ^ 6 + 0.000085921929407562*E22 ^ 5 + -0.00159440294085484*E22 ^ 4 + 0.0138950070652716*E22 ^ 3 + -0.0613997389645169*E22 ^ 2 + 0.208531131362745*E22 ^ 1 + 0.349997497431144</f>
        <v>0.95095999969231393</v>
      </c>
      <c r="H22" s="4">
        <f>0.000114578205788166*E22 ^ 6 + -0.00675159444152813*E22 ^ 5 + 0.143712124522551*E22 ^ 4 + -1.35142257319555*E22 ^ 3 + 5.95550042284471*E22 ^ 2 + -22.8369044087104*E22 ^ 1 + 2955.03328585892</f>
        <v>2834.9284416811006</v>
      </c>
      <c r="J22" s="28">
        <f>0.8*J24</f>
        <v>13.877865178507975</v>
      </c>
      <c r="K22" s="3">
        <f>-6.07432528322432E-06*J22 ^ 6 + 0.000126842263246957*J22 ^ 5 + 0.00321677198410151*J22 ^ 4 + -0.127460535794284*J22 ^ 3 + 0.84403203600861*J22 ^ 2 + -4.68859112874699*J22 ^ 1 + 167.692682957754</f>
        <v>65.72333384838312</v>
      </c>
      <c r="L22" s="3">
        <f>1.78452782161893E-06*J22 ^ 6 + -0.0000969179557560304*J22 ^ 5 + 0.00202531839356322*J22 ^ 4 + -0.0202404720284858*J22 ^ 3 + 0.0723450508293121*J22 ^ 2 + 0.419587661824403*J22 ^ 1 + 1.69998244122793</f>
        <v>5.3402941899530418</v>
      </c>
      <c r="M22" s="4">
        <f>0.0145650028584721*J22 ^ 6 + -0.616659611287949*J22 ^ 5 + 9.91951660861782*J22 ^ 4 + -74.8742910144915*J22 ^ 3 + 260.940904047223*J22 ^ 2 + -334.83174969346*J22 ^ 1 + 2940.51388107805</f>
        <v>2981.6670285225136</v>
      </c>
    </row>
    <row r="23" spans="2:13" x14ac:dyDescent="0.2">
      <c r="C23" s="24" t="s">
        <v>13</v>
      </c>
      <c r="D23" s="1" t="s">
        <v>27</v>
      </c>
      <c r="E23" s="2">
        <v>16.558586499740493</v>
      </c>
      <c r="F23" s="3">
        <f>-0.0000154898068540427*E23 ^ 6 + 0.000760547718840014*E23 ^ 5 + -0.0136760749342984*E23 ^ 4 + 0.100323353044095*E23 ^ 3 + -0.338972547787812*E23 ^ 2 + -0.59264105146941*E23 ^ 1 + 47.9415276700417</f>
        <v>-2.0576134904359833E-4</v>
      </c>
      <c r="G23" s="3">
        <f>-3.07586882600016E-06*E23 ^ 6 + 0.000143347240892817*E23 ^ 5 + -0.00247392200674526*E23 ^ 4 + 0.0192821553548373*E23 ^ 3 + -0.0727965775589852*E23 ^ 2 + 0.247058362285589*E23 ^ 1 + 0.410017094587347</f>
        <v>1.1422769775498323</v>
      </c>
      <c r="H23" s="4">
        <f>0.000169276918771465*E23 ^ 6 + -0.00935161309502468*E23 ^ 5 + 0.1937397423916*E23 ^ 4 + -1.85894055938592*E23 ^ 3 + 8.77153175243664*E23 ^ 2 + -29.7051455829753*E23 ^ 1 + 2949.01002190906</f>
        <v>2835.3104249339649</v>
      </c>
      <c r="J23" s="28">
        <f>0.9*J24</f>
        <v>15.612598325821471</v>
      </c>
      <c r="K23" s="3">
        <f>-6.07432528322432E-06*J23 ^ 6 + 0.000126842263246957*J23 ^ 5 + 0.00321677198410151*J23 ^ 4 + -0.127460535794284*J23 ^ 3 + 0.84403203600861*J23 ^ 2 + -4.68859112874699*J23 ^ 1 + 167.692682957754</f>
        <v>35.977204940026695</v>
      </c>
      <c r="L23" s="3">
        <f>1.78452782161893E-06*J23 ^ 6 + -0.0000969179557560304*J23 ^ 5 + 0.00202531839356322*J23 ^ 4 + -0.0202404720284858*J23 ^ 3 + 0.0723450508293121*J23 ^ 2 + 0.419587661824403*J23 ^ 1 + 1.69998244122793</f>
        <v>5.1338197586600236</v>
      </c>
      <c r="M23" s="4">
        <f>0.0145650028584721*J23 ^ 6 + -0.616659611287949*J23 ^ 5 + 9.91951660861782*J23 ^ 4 + -74.8742910144915*J23 ^ 3 + 260.940904047223*J23 ^ 2 + -334.83174969346*J23 ^ 1 + 2940.51388107805</f>
        <v>4657.1699020726674</v>
      </c>
    </row>
    <row r="24" spans="2:13" x14ac:dyDescent="0.2">
      <c r="C24" s="25" t="s">
        <v>28</v>
      </c>
      <c r="D24" s="1" t="s">
        <v>29</v>
      </c>
      <c r="E24" s="2">
        <v>16.386200893145652</v>
      </c>
      <c r="F24" s="3">
        <f>-5.84589818472056E-06*E24 ^ 6 + 0.000108763569330034*E24 ^ 5 + 0.000766097187045057*E24 ^ 4 + -0.0307503314957496*E24 ^ 3 + 0.0844473082145756*E24 ^ 2 + -1.08918542467257*E24 ^ 1 + 59.9116339722313</f>
        <v>-2.4055111751408731E-6</v>
      </c>
      <c r="G24" s="3">
        <f>-1.27882798029942E-06*E24 ^ 6 + 0.0000712616781105331*E24 ^ 5 + -0.00146228335970893*E24 ^ 4 + 0.0137022136543559*E24 ^ 3 + -0.0666734478538956*E24 ^ 2 + 0.295123997302277*E24 ^ 1 + 0.560047487378752</f>
        <v>1.7870829899896896</v>
      </c>
      <c r="H24" s="4">
        <f>0.000200306242461485*E24 ^ 6 + -0.0100807104044312*E24 ^ 5 + 0.186861847217168*E24 ^ 4 + -1.53097257234027*E24 ^ 3 + 5.6255994959073*E24 ^ 2 + -18.8191788682949*E24 ^ 1 + 2952.05871770825</f>
        <v>2858.6612759732457</v>
      </c>
      <c r="J24" s="29">
        <v>17.347331473134968</v>
      </c>
      <c r="K24" s="3">
        <f>-6.07432528322432E-06*J24 ^ 6 + 0.000126842263246957*J24 ^ 5 + 0.00321677198410151*J24 ^ 4 + -0.127460535794284*J24 ^ 3 + 0.84403203600861*J24 ^ 2 + -4.68859112874699*J24 ^ 1 + 167.692682957754</f>
        <v>1.8815065251942542E-4</v>
      </c>
      <c r="L24" s="3">
        <f>1.78452782161893E-06*J24 ^ 6 + -0.0000969179557560304*J24 ^ 5 + 0.00202531839356322*J24 ^ 4 + -0.0202404720284858*J24 ^ 3 + 0.0723450508293121*J24 ^ 2 + 0.419587661824403*J24 ^ 1 + 1.69998244122793</f>
        <v>4.8760326388141335</v>
      </c>
      <c r="M24" s="4">
        <f>0.0145650028584721*J24 ^ 6 + -0.616659611287949*J24 ^ 5 + 9.91951660861782*J24 ^ 4 + -74.8742910144915*J24 ^ 3 + 260.940904047223*J24 ^ 2 + -334.83174969346*J24 ^ 1 + 2940.51388107805</f>
        <v>11267.689488838987</v>
      </c>
    </row>
    <row r="25" spans="2:13" x14ac:dyDescent="0.2">
      <c r="C25" s="24" t="s">
        <v>30</v>
      </c>
      <c r="D25" s="1" t="s">
        <v>31</v>
      </c>
      <c r="E25" s="2">
        <v>18.563653177531606</v>
      </c>
      <c r="F25" s="3">
        <f>0.000036302579189271*E25 ^ 6 + -0.00171407455523818*E25 ^ 5 + 0.0294601051651891*E25 ^ 4 + -0.233842509644456*E25 ^ 3 + 0.726660517614858*E25 ^ 2 + -1.47805102687047*E25 ^ 1 + 67.4998781209917</f>
        <v>3.2645970940023972E-3</v>
      </c>
      <c r="G25" s="3">
        <f>3.5440146281803E-07*E25 ^ 6 + -0.0000137660924491914*E25 ^ 5 + 0.000175524089155646*E25 ^ 4 + -0.000998463265595994*E25 ^ 3 + -0.00256406186064834*E25 ^ 2 + 0.213698476094206*E25 ^ 1 + 0.697195818700382</f>
        <v>2.3934625541072152</v>
      </c>
      <c r="H25" s="4">
        <f>-0.0000534847721709257*E25 ^ 6 + 0.00284132469612103*E25 ^ 5 + -0.0561794620884369*E25 ^ 4 + 0.534912177094022*E25 ^ 3 + -2.33267406415781*E25 ^ 2 + -6.56001989740795*E25 ^ 1 + 2970.9971983806</f>
        <v>2870.6599418415494</v>
      </c>
    </row>
    <row r="26" spans="2:13" x14ac:dyDescent="0.2">
      <c r="C26" s="24" t="s">
        <v>13</v>
      </c>
      <c r="D26" s="1" t="s">
        <v>32</v>
      </c>
      <c r="E26" s="2">
        <v>29.700056176805987</v>
      </c>
      <c r="F26" s="3">
        <f>3.49069013903983E-07*E26 ^ 6 + -0.0000226134751167518*E26 ^ 5 + 0.00047403892576923*E26 ^ 4 + -0.00386397971906333*E26 ^ 3 + -0.00318334244624018*E26 ^ 2 + -0.182217801365993*E26 ^ 1 + 23.6042306660755</f>
        <v>6.114917391215613E-4</v>
      </c>
      <c r="G26" s="3">
        <f>2.14304327410133E-08*E26 ^ 6 + -1.87881798186731E-06*E26 ^ 5 + 0.0000654204249342264*E26 ^ 4 + -0.00116635160932644*E26 ^ 3 + 0.0090039827941856*E26 ^ 2 + 0.0407860729770214*E26 ^ 1 + 0.401346810352015</f>
        <v>1.1921857405668519</v>
      </c>
      <c r="H26" s="4">
        <f>-6.09977300276129E-06*E26 ^ 6 + 0.000442280751382719*E26 ^ 5 + -0.0118157631794717*E26 ^ 4 + 0.151723563307724*E26 ^ 3 + -0.915319002788131*E26 ^ 2 + -4.72451502391514*E26 ^ 1 + 2954.86157950917</f>
        <v>2822.5511862416179</v>
      </c>
    </row>
    <row r="27" spans="2:13" x14ac:dyDescent="0.2">
      <c r="C27" s="24" t="s">
        <v>28</v>
      </c>
      <c r="D27" s="1" t="s">
        <v>33</v>
      </c>
      <c r="E27" s="2">
        <v>29.854077274163373</v>
      </c>
      <c r="F27" s="3">
        <f>9.02016387420778E-07*E27 ^ 6 + -0.000065995846357532*E27 ^ 5 + 0.00170210673094076*E27 ^ 4 + -0.0190505835344906*E27 ^ 3 + 0.0654802888529259*E27 ^ 2 + -0.356225750368837*E27 ^ 1 + 35.6154649450241</f>
        <v>2.0584684669950946</v>
      </c>
      <c r="G27" s="3">
        <f>-2.66303289277715E-08*E27 ^ 6 + 2.49627960459728E-06*E27 ^ 5 + -0.0000839639816230475*E27 ^ 4 + 0.00117441875226911*E27 ^ 3 + -0.00820633171738613*E27 ^ 2 + 0.113711184627571*E27 ^ 1 + 0.635080991517642</f>
        <v>1.6122640806301489</v>
      </c>
      <c r="H27" s="4">
        <f>-0.0000074131280595097*E27 ^ 6 + 0.000533407926417808*E27 ^ 5 + -0.0144602227135711*E27 ^ 4 + 0.199573905093166*E27 ^ 3 + -1.44053230488163*E27 ^ 2 + -3.15094272618745*E27 ^ 1 + 2957.9800564828</f>
        <v>2804.9811363811064</v>
      </c>
    </row>
    <row r="28" spans="2:13" x14ac:dyDescent="0.2">
      <c r="C28" s="24" t="s">
        <v>30</v>
      </c>
      <c r="D28" s="1" t="s">
        <v>34</v>
      </c>
      <c r="E28" s="2">
        <v>30.785819792478691</v>
      </c>
      <c r="F28" s="3">
        <f>5.99823216830673E-07*E28 ^ 6 + -0.0000412152418424389*E28 ^ 5 + 0.000948323649964715*E28 ^ 4 + -0.00836682269782921*E28 ^ 3 + -0.017568588590527*E28 ^ 2 + -0.243155018504947*E28 ^ 1 + 47.9141882323243</f>
        <v>2.3952275181748774</v>
      </c>
      <c r="G28" s="3">
        <f>2.76314602603777E-09*E28 ^ 6 + 8.91206225967753E-08*E28 ^ 5 + -6.80708400287746E-06*E28 ^ 4 + -0.0000328495522685553*E28 ^ 3 + -0.000482778546292621*E28 ^ 2 + 0.139725186273901*E28 ^ 1 + 0.772998324021289</f>
        <v>2.3608723013660207</v>
      </c>
      <c r="H28" s="4">
        <f>-6.71363096571888E-06*E28 ^ 6 + 0.000499095822328704*E28 ^ 5 + -0.0136798811858167*E28 ^ 4 + 0.176897577530773*E28 ^ 3 + -1.00446747356996*E28 ^ 2 + -5.400786766328*E28 ^ 1 + 2962.29460159105</f>
        <v>2803.6483808593193</v>
      </c>
    </row>
    <row r="29" spans="2:13" x14ac:dyDescent="0.2">
      <c r="B29" s="23"/>
      <c r="C29" s="24" t="s">
        <v>9</v>
      </c>
      <c r="D29" s="1" t="s">
        <v>37</v>
      </c>
      <c r="E29" s="2">
        <v>3.8692256686211155</v>
      </c>
      <c r="F29" s="3">
        <f>-0.0474685429481222*E29 ^ 6 + 0.514893672171379*E29 ^ 5 + -2.0439784955023*E29 ^ 4 + 3.44308314276362*E29 ^ 3 + -2.92470458317712*E29 ^ 2 + -1.09052319228279*E29 ^ 1 + 19.4335932274317</f>
        <v>-2.0542012912017071E-5</v>
      </c>
      <c r="G29" s="3">
        <f>0.000555557543807881*E29 ^ 6 + -0.00687496285924428*E29 ^ 5 + 0.033266422119382*E29 ^ 4 + -0.0791792900853152*E29 ^ 3 + 0.0836052370744215*E29 ^ 2 + 0.0213998541026315*E29 ^ 1 + 0.102109109550896</f>
        <v>0.2081059164272826</v>
      </c>
      <c r="H29" s="4">
        <f>-0.238370228164858*E29 ^ 6 + 2.94023615405704*E29 ^ 5 + -14.2170407378959*E29 ^ 4 + 34.0821283280596*E29 ^ 3 + -37.0200098203949*E29 ^ 2 + -7.54722406888411*E29 ^ 1 + 2959.85470588686</f>
        <v>2914.1782953274874</v>
      </c>
    </row>
    <row r="30" spans="2:13" x14ac:dyDescent="0.2">
      <c r="B30" s="23"/>
      <c r="C30" s="24" t="s">
        <v>9</v>
      </c>
      <c r="D30" s="1" t="s">
        <v>38</v>
      </c>
      <c r="E30" s="2">
        <v>4.3809848898200601</v>
      </c>
      <c r="F30" s="3">
        <f>0.121271469950491*E30 ^ 6 + -1.3163032279273*E30 ^ 5 + 5.20002027185364*E30 ^ 4 + -9.27839890927564*E30 ^ 3 + 6.31059719281253*E30 ^ 2 + -4.10491810624251*E30 ^ 1 + 28.3729136989634</f>
        <v>9.1437611882128067E-4</v>
      </c>
      <c r="G30" s="3">
        <f>-0.000157054668356304*E30 ^ 6 + 0.00168646040687412*E30 ^ 5 + -0.00591885655611827*E30 ^ 4 + 0.00555314340507143*E30 ^ 3 + -0.00763570516369459*E30 ^ 2 + 0.0836579764390589*E30 ^ 1 + 0.154029569806912</f>
        <v>0.27183275070904178</v>
      </c>
      <c r="H30" s="4">
        <f>0.0740349835617179*E30 ^ 6 + -0.815311836323816*E30 ^ 5 + 2.96020570946875*E30 ^ 4 + -2.79752613344579*E30 ^ 3 + 2.17940597632952*E30 ^ 2 + -36.3189229687387*E30 ^ 1 + 2938.23443435823</f>
        <v>2883.8439174565651</v>
      </c>
    </row>
    <row r="31" spans="2:13" x14ac:dyDescent="0.2">
      <c r="C31" s="24" t="s">
        <v>9</v>
      </c>
      <c r="D31" s="1" t="s">
        <v>39</v>
      </c>
      <c r="E31" s="2">
        <v>4.3140098153194444</v>
      </c>
      <c r="F31" s="3">
        <f>0.139297588609744*E31 ^ 6 + -1.51847274621792*E31 ^ 5 + 6.13606151618879*E31 ^ 4 + -11.5312470969884*E31 ^ 3 + 8.64612056020559*E31 ^ 2 + -6.5720420987351*E31 ^ 1 + 38.9573822249776</f>
        <v>5.908738709337058E-5</v>
      </c>
      <c r="G31" s="3">
        <f>-0.000286140397433666*E31 ^ 6 + 0.00310453445905046*E31 ^ 5 + -0.0112795006611489*E31 ^ 4 + 0.0123115482884139*E31 ^ 3 + -0.00970208470701289*E31 ^ 2 + 0.105260572462859*E31 ^ 1 + 0.182005063813608</f>
        <v>0.33156835304030419</v>
      </c>
      <c r="H31" s="4">
        <f>0.183351147589166*E31 ^ 6 + -2.12464839947498*E31 ^ 5 + 8.64923801704747*E31 ^ 4 + -12.5973716287068*E31 ^ 3 + 7.77800921020757*E31 ^ 2 + -48.3592772270826*E31 ^ 1 + 2925.94443605176</f>
        <v>2853.6479313102182</v>
      </c>
    </row>
    <row r="32" spans="2:13" x14ac:dyDescent="0.2">
      <c r="C32" s="24" t="s">
        <v>9</v>
      </c>
      <c r="D32" s="1" t="s">
        <v>40</v>
      </c>
      <c r="E32" s="2">
        <v>4.3163631597402246</v>
      </c>
      <c r="F32" s="3">
        <f>0.153934716016495*E32 ^ 6 + -1.70438391018784*E32 ^ 5 + 7.12505516455454*E32 ^ 4 + -14.1787945376551*E32 ^ 3 + 11.6501607635606*E32 ^ 2 + -9.5624717090917*E32 ^ 1 + 49.366849540741</f>
        <v>4.0378367664573034E-5</v>
      </c>
      <c r="G32" s="3">
        <f>-0.000356325402447828*E32 ^ 6 + 0.00414377581712215*E32 ^ 5 + -0.0172592433031891*E32 ^ 4 + 0.028544727806898*E32 ^ 3 + -0.0341966149843216*E32 ^ 2 + 0.139776684831391*E32 ^ 1 + 0.210319730426067</f>
        <v>0.38523059091611411</v>
      </c>
      <c r="H32" s="4">
        <f>0.246297837853243*E32 ^ 6 + -3.05248677351148*E32 ^ 5 + 13.7570229527662*E32 ^ 4 + -24.5895991480625*E32 ^ 3 + 20.2064942827921*E32 ^ 2 + -65.922158772198*E32 ^ 1 + 2913.16842193935</f>
        <v>2822.2740678305358</v>
      </c>
    </row>
    <row r="33" spans="2:8" x14ac:dyDescent="0.2">
      <c r="C33" s="24" t="s">
        <v>9</v>
      </c>
      <c r="D33" s="1" t="s">
        <v>41</v>
      </c>
      <c r="E33" s="2">
        <v>4.3564399426603346</v>
      </c>
      <c r="F33" s="3">
        <f>0.0968813027335256*E33 ^ 6 + -0.968844619105946*E33 ^ 5 + 3.60450211285641*E33 ^ 4 + -6.35334243551346*E33 ^ 3 + 3.20088377238697*E33 ^ 2 + -8.11941875118525*E33 ^ 1 + 59.5996407693918</f>
        <v>1.6866249372782249E-4</v>
      </c>
      <c r="G33" s="3">
        <f>0.00036572777889106*E33 ^ 6 + -0.00514427837897269*E33 ^ 5 + 0.0295467546952198*E33 ^ 4 + -0.0855708951575375*E33 ^ 3 + 0.0936684817318826*E33 ^ 2 + 0.106022134565223*E33 ^ 1 + 0.23819691688068</f>
        <v>0.47319519639279234</v>
      </c>
      <c r="H33" s="4">
        <f>-0.0430299204213488*E33 ^ 6 + 0.692812662163412*E33 ^ 5 + -5.85067675093763*E33 ^ 4 + 27.3426250735229*E33 ^ 3 + -45.5753792512144*E33 ^ 2 + -49.4054595667456*E33 ^ 1 + 2900.25377705977</f>
        <v>2766.3626663346186</v>
      </c>
    </row>
    <row r="34" spans="2:8" x14ac:dyDescent="0.2">
      <c r="C34" s="24" t="s">
        <v>9</v>
      </c>
      <c r="D34" s="1" t="s">
        <v>42</v>
      </c>
      <c r="E34" s="2">
        <v>4.4745369740160159</v>
      </c>
      <c r="F34" s="3">
        <f>0.127660604017073*E34 ^ 6 + -1.34421023711325*E34 ^ 5 + 5.30342203921043*E34 ^ 4 + -9.74976944848881*E34 ^ 3 + 5.18753346678186*E34 ^ 2 + -7.88514077044919*E34 ^ 1 + 65.4223944030445</f>
        <v>4.373836262061559E-6</v>
      </c>
      <c r="G34" s="3">
        <f>0.000937020893560303*E34 ^ 6 + -0.0122356350020801*E34 ^ 5 + 0.0639889252971345*E34 ^ 4 + -0.169201592129281*E34 ^ 3 + 0.197297636773498*E34 ^ 2 + 0.0516869892406589*E34 ^ 1 + 0.294153982244396</f>
        <v>0.54172175135860767</v>
      </c>
      <c r="H34" s="4">
        <f>-0.313631831098013*E34 ^ 6 + 4.10197204334473*E34 ^ 5 + -23.1347829527121*E34 ^ 4 + 73.0703937087451*E34 ^ 3 + -107.528393565632*E34 ^ 2 + -23.4498816226395*E34 ^ 1 + 2873.05044530693</f>
        <v>2727.9917439790247</v>
      </c>
    </row>
    <row r="35" spans="2:8" x14ac:dyDescent="0.2">
      <c r="C35" s="24" t="s">
        <v>9</v>
      </c>
      <c r="D35" s="1" t="s">
        <v>43</v>
      </c>
      <c r="E35" s="2">
        <v>8.3323436194573208</v>
      </c>
      <c r="F35" s="3">
        <f>0.00084289027881202*E35 ^ 6 + -0.0120110622332901*E35 ^ 5 + 0.0473339953840583*E35 ^ 4 + 0.0297701930133318*E35 ^ 3 + -0.920932457521587*E35 ^ 2 + -0.314481779929966*E35 ^ 1 + 21.5055368790939</f>
        <v>2.5016390523546761E-6</v>
      </c>
      <c r="G35" s="3">
        <f>-0.0000529725435029632*E35 ^ 6 + 0.000943164088517758*E35 ^ 5 + -0.00632953322798077*E35 ^ 4 + 0.0194651435026762*E35 ^ 3 + -0.03249419473519*E35 ^ 2 + 0.0746306087543759*E35 ^ 1 + 0.173128596508234</f>
        <v>-0.55697542925286991</v>
      </c>
      <c r="H35" s="4">
        <f>0.0243519439597132*E35 ^ 6 + -0.435313443194376*E35 ^ 5 + 2.93570309706829*E35 ^ 4 + -8.96502983221393*E35 ^ 3 + 14.2338722252848*E35 ^ 2 + -33.234608248739*E35 ^ 1 + 2929.88509851716</f>
        <v>3271.4602426755864</v>
      </c>
    </row>
    <row r="36" spans="2:8" x14ac:dyDescent="0.2">
      <c r="C36" s="24" t="s">
        <v>9</v>
      </c>
      <c r="D36" s="1" t="s">
        <v>44</v>
      </c>
      <c r="E36" s="2">
        <v>8.0455899423146615</v>
      </c>
      <c r="F36" s="3">
        <f>0.000308115528636274*E36 ^ 6 + 0.00254099664670359*E36 ^ 5 + -0.0797037646081543*E36 ^ 4 + 0.470901540250789*E36 ^ 3 + -1.58152141597944*E36 ^ 2 + -1.2665624000582*E36 ^ 1 + 32.0547974184934</f>
        <v>1.3892815010052573E-4</v>
      </c>
      <c r="G36" s="3">
        <f>-0.000043372917203265*E36 ^ 6 + 0.000561081702536927*E36 ^ 5 + -0.00224449536320528*E36 ^ 4 + 0.00213808235013269*E36 ^ 3 + -0.00847133004211073*E36 ^ 2 + 0.0971456072982922*E36 ^ 1 + 0.231880672236196</f>
        <v>-0.67507855372554371</v>
      </c>
      <c r="H36" s="4">
        <f>0.0238944981539388*E36 ^ 6 + -0.297034296142234*E36 ^ 5 + 1.029087862037*E36 ^ 4 + 0.537234097937337*E36 ^ 3 + -2.46506712363864*E36 ^ 2 + -42.8589867920874*E36 ^ 1 + 2903.07264652913</f>
        <v>3457.839190290435</v>
      </c>
    </row>
    <row r="37" spans="2:8" x14ac:dyDescent="0.2">
      <c r="C37" s="24" t="s">
        <v>9</v>
      </c>
      <c r="D37" s="1" t="s">
        <v>45</v>
      </c>
      <c r="E37" s="2">
        <v>6.0031376084403307</v>
      </c>
      <c r="F37" s="3">
        <f>-0.00337461029185762*E37 ^ 6 + 0.0702781182180013*E37 ^ 5 + -0.541285537046855*E37 ^ 4 + 1.89853943697645*E37 ^ 3 + -3.60170489355554*E37 ^ 2 + -1.71459367896632*E37 ^ 1 + 42.3633810831941</f>
        <v>-4.101064104560237E-4</v>
      </c>
      <c r="G37" s="3">
        <f>0.000104204859209913*E37 ^ 6 + -0.00204677501685924*E37 ^ 5 + 0.0151093498114841*E37 ^ 4 + -0.0511593931262969*E37 ^ 3 + 0.0602944331261234*E37 ^ 2 + 0.091914042484535*E37 ^ 1 + 0.286287617997451</f>
        <v>0.48554174570762826</v>
      </c>
      <c r="H37" s="4">
        <f>-0.0757587281496654*E37 ^ 6 + 1.49091097072478*E37 ^ 5 + -11.187123064701*E37 ^ 4 + 40.0815474965029*E37 ^ 3 + -59.1528685088006*E37 ^ 2 + -35.2723393055559*E37 ^ 1 + 2876.54088349137</f>
        <v>2753.3704895259516</v>
      </c>
    </row>
    <row r="38" spans="2:8" x14ac:dyDescent="0.2">
      <c r="C38" s="24" t="s">
        <v>14</v>
      </c>
      <c r="D38" s="1" t="s">
        <v>46</v>
      </c>
      <c r="E38" s="2">
        <v>6.1533430970087366</v>
      </c>
      <c r="F38" s="3">
        <f>-0.00369558816662872*E38 ^ 6 + 0.074674955986073*E38 ^ 5 + -0.552716256621055*E38 ^ 4 + 1.836419856733*E38 ^ 3 + -3.53331399465211*E38 ^ 2 + -2.32573013674023*E38 ^ 1 + 54.4788491033719</f>
        <v>-6.222883944317914E-4</v>
      </c>
      <c r="G38" s="3">
        <f>0.0000430112717247565*E38 ^ 6 + -0.00113325956635359*E38 ^ 5 + 0.0105365858281705*E38 ^ 4 + -0.0431015275207183*E38 ^ 3 + 0.0532878083120023*E38 ^ 2 + 0.136497364841804*E38 ^ 1 + 0.360113978792172</f>
        <v>0.61883167118467719</v>
      </c>
      <c r="H38" s="4">
        <f>-0.123037154503156*E38 ^ 6 + 2.1486804498337*E38 ^ 5 + -14.1077471688872*E38 ^ 4 + 43.9527083362956*E38 ^ 3 + -59.4540042080271*E38 ^ 2 + -24.0545698891273*E38 ^ 1 + 2909.28860161374</f>
        <v>2801.2319732958822</v>
      </c>
    </row>
    <row r="39" spans="2:8" x14ac:dyDescent="0.2">
      <c r="C39" s="24" t="s">
        <v>16</v>
      </c>
      <c r="D39" s="1" t="s">
        <v>47</v>
      </c>
      <c r="E39" s="2">
        <v>7.8250578567947855</v>
      </c>
      <c r="F39" s="3">
        <f>0.00218710449553283*E39 ^ 6 + -0.0240533143355442*E39 ^ 5 + 0.045369280868842*E39 ^ 4 + 0.205179203075648*E39 ^ 3 + -1.75761606599808*E39 ^ 2 + -3.0914895145815*E39 ^ 1 + 66.9829429247621</f>
        <v>4.2850628516077904E-4</v>
      </c>
      <c r="G39" s="3">
        <f>0.000054420354162862*E39 ^ 6 + -0.00106644523423422*E39 ^ 5 + 0.00750019816872231*E39 ^ 4 + -0.0221088500535286*E39 ^ 3 + -0.00745623034657936*E39 ^ 2 + 0.246378504264636*E39 ^ 1 + 0.434090362971008</f>
        <v>0.63839457122691323</v>
      </c>
      <c r="H39" s="4">
        <f>-0.0301576865048675*E39 ^ 6 + 0.531035561963942*E39 ^ 5 + -3.46687603929014*E39 ^ 4 + 10.6062057827459*E39 ^ 3 + -11.2591661923172*E39 ^ 2 + -30.1601396055317*E39 ^ 1 + 2937.45360950884</f>
        <v>2751.8533373174341</v>
      </c>
    </row>
    <row r="40" spans="2:8" x14ac:dyDescent="0.2">
      <c r="C40" s="24" t="s">
        <v>9</v>
      </c>
      <c r="D40" s="1" t="s">
        <v>48</v>
      </c>
      <c r="E40" s="2">
        <v>9.4415277854137187</v>
      </c>
      <c r="F40" s="3">
        <f>-0.000251220795690851*E40 ^ 6 + 0.00677725258775078*E40 ^ 5 + -0.0697065307411936*E40 ^ 4 + 0.32714648907357*E40 ^ 3 + -0.789970908407981*E40 ^ 2 + -0.269791004507138*E40 ^ 1 + 21.0263137890917</f>
        <v>-2.3715551430569803E-4</v>
      </c>
      <c r="G40" s="3">
        <f>2.25373412657218E-07*E40 ^ 6 + -0.00001486177669695*E40 ^ 5 + 0.000315871701427313*E40 ^ 4 + -0.00309180607511838*E40 ^ 3 + 0.0102600933069871*E40 ^ 2 + 0.0318290405705206*E40 ^ 1 + 0.231226792817757</f>
        <v>0.39882300869988047</v>
      </c>
      <c r="H40" s="4">
        <f>0.000168260833845962*E40 ^ 6 + -0.00281935084471416*E40 ^ 5 + -0.0248275784604534*E40 ^ 4 + 0.891381024947871*E40 ^ 3 + -4.58402434138708*E40 ^ 2 + -14.9757977366722*E40 ^ 1 + 2903.51777509891</f>
        <v>2814.0903938035412</v>
      </c>
    </row>
    <row r="41" spans="2:8" x14ac:dyDescent="0.2">
      <c r="C41" s="24" t="s">
        <v>9</v>
      </c>
      <c r="D41" s="1" t="s">
        <v>49</v>
      </c>
      <c r="E41" s="2">
        <v>11.634541299393936</v>
      </c>
      <c r="F41" s="3">
        <f>0.0000190521590482815*E41 ^ 6 + 0.000938477695471737*E41 ^ 5 + -0.0269153880845345*E41 ^ 4 + 0.213947322820262*E41 ^ 3 + -0.834895083311246*E41 ^ 2 + -0.847192907973895*E41 ^ 1 + 31.7811450232387</f>
        <v>7.6308580549522276E-5</v>
      </c>
      <c r="G41" s="3">
        <f>-7.99522526157693E-08*E41 ^ 6 + -3.28521817621637E-06*E41 ^ 5 + 0.000214686829884349*E41 ^ 4 + -0.00326494486311021*E41 ^ 3 + 0.0129663572865298*E41 ^ 2 + 0.0443199383748484*E41 ^ 1 + 0.263677119476293</f>
        <v>0.42764511534683147</v>
      </c>
      <c r="H41" s="4">
        <f>0.0012323822864371*E41 ^ 6 + -0.0381835531190513*E41 ^ 5 + 0.359240317055087*E41 ^ 4 + -0.389718671428201*E41 ^ 3 + -5.2602765940224*E41 ^ 2 + -21.8643124700884*E41 ^ 1 + 2888.09053230273</f>
        <v>2806.9215344864574</v>
      </c>
    </row>
    <row r="42" spans="2:8" x14ac:dyDescent="0.2">
      <c r="C42" s="24" t="s">
        <v>14</v>
      </c>
      <c r="D42" s="1" t="s">
        <v>50</v>
      </c>
      <c r="E42" s="2">
        <v>11.112860749435589</v>
      </c>
      <c r="F42" s="3">
        <f>0.000391625415831061*E42 ^ 6 + -0.00986798149600225*E42 ^ 5 + 0.0893782524429821*E42 ^ 4 + -0.357442802094561*E42 ^ 3 + 0.294618529424698*E42 ^ 2 + -1.5882141941508*E42 ^ 1 + 43.5512715687508</f>
        <v>4.2648524676280886E-5</v>
      </c>
      <c r="G42" s="3">
        <f>4.09472191336438E-06*E42 ^ 6 + -0.000132938895704627*E42 ^ 5 + 0.00170682647259847*E42 ^ 4 + -0.0108915983793888*E42 ^ 3 + 0.0253918098799175*E42 ^ 2 + 0.0775569145901828*E42 ^ 1 + 0.360706108395264</f>
        <v>0.62313545622878252</v>
      </c>
      <c r="H42" s="4">
        <f>0.00302813709377324*E42 ^ 6 + -0.0914142659736102*E42 ^ 5 + 0.989104015188663*E42 ^ 4 + -4.02323959044774*E42 ^ 3 + 4.6323475626854*E42 ^ 2 + -31.6444758380674*E42 ^ 1 + 2910.34837720797</f>
        <v>2904.3936510700701</v>
      </c>
    </row>
    <row r="43" spans="2:8" x14ac:dyDescent="0.2">
      <c r="C43" s="24" t="s">
        <v>16</v>
      </c>
      <c r="D43" s="1" t="s">
        <v>51</v>
      </c>
      <c r="E43" s="2">
        <v>14.010179249538091</v>
      </c>
      <c r="F43" s="3">
        <f>0.000204804911644639*E43 ^ 6 + -0.0055822704322041*E43 ^ 5 + 0.0530427584232521*E43 ^ 4 + -0.225719493248191*E43 ^ 3 + 0.0196287734051229*E43 ^ 2 + -1.29423175662201*E43 ^ 1 + 55.7668376604727</f>
        <v>4.4777520439254204E-4</v>
      </c>
      <c r="G43" s="3">
        <f>0.0000071154861974762*E43 ^ 6 + -0.000221622778807339*E43 ^ 5 + 0.00273324557161209*E43 ^ 4 + -0.0170954036574268*E43 ^ 3 + 0.0427185777824387*E43 ^ 2 + 0.0994375697914676*E43 ^ 1 + 0.435703313415981</f>
        <v>2.6902113053488779</v>
      </c>
      <c r="H43" s="4">
        <f>-0.00126833875094763*E43 ^ 6 + 0.0248637392810048*E43 ^ 5 + -0.151691097137109*E43 ^ 4 + 0.597461921269255*E43 ^ 3 + -1.98551157462338*E43 ^ 2 + -18.3411106663196*E43 ^ 1 + 2937.08835339615</f>
        <v>1918.3426260434587</v>
      </c>
    </row>
    <row r="44" spans="2:8" x14ac:dyDescent="0.2">
      <c r="C44" s="24" t="s">
        <v>13</v>
      </c>
      <c r="D44" s="1" t="s">
        <v>52</v>
      </c>
      <c r="E44" s="2">
        <v>14.004168503937304</v>
      </c>
      <c r="F44" s="3">
        <f>0.000317963095118214*E44 ^ 6 + -0.00921195951613583*E44 ^ 5 + 0.0958206195665097*E44 ^ 4 + -0.461354524758556*E44 ^ 3 + 0.517094767176069*E44 ^ 2 + -1.73763655024748*E44 ^ 1 + 67.9795203647427</f>
        <v>9.9014502271188576E-4</v>
      </c>
      <c r="G44" s="3">
        <f>1.85879589683292E-06*E44 ^ 6 + -0.000098759104176205*E44 ^ 5 + 0.00172932952003534*E44 ^ 4 + -0.014117103713651*E44 ^ 3 + 0.0401523697655226*E44 ^ 2 + 0.133944090600169*E44 ^ 1 + 0.509578564221225</f>
        <v>-1.1722038410320166</v>
      </c>
      <c r="H44" s="4">
        <f>0.000376745841512263*E44 ^ 6 + -0.0114364113842187*E44 ^ 5 + 0.119690404057763*E44 ^ 4 + -0.198594477439055*E44 ^ 3 + -1.49730122405533*E44 ^ 2 + -13.5606887577094*E44 ^ 1 + 2955.06714746844</f>
        <v>3211.4442601185556</v>
      </c>
    </row>
    <row r="45" spans="2:8" x14ac:dyDescent="0.2">
      <c r="C45" s="24" t="s">
        <v>14</v>
      </c>
      <c r="D45" s="1" t="s">
        <v>53</v>
      </c>
      <c r="E45" s="2">
        <v>17.100193801530786</v>
      </c>
      <c r="F45" s="3">
        <f>-0.000011498193403905*E45 ^ 6 + 0.000574884906819641*E45 ^ 5 + -0.0108263013623272*E45 ^ 4 + 0.0916903804932941*E45 ^ 3 + -0.364772279910603*E45 ^ 2 + -0.0665215487135096*E45 ^ 1 + 21.950547069008</f>
        <v>-4.8749495687516742E-4</v>
      </c>
      <c r="G45" s="3">
        <f>1.64080725582305E-07*E45 ^ 6 + -8.92013703842385E-06*E45 ^ 5 + 0.000186550170182477*E45 ^ 4 + -0.00190904245398839*E45 ^ 3 + 0.00768957479446484*E45 ^ 2 + 0.0342254357001826*E45 ^ 1 + 0.351040503740172</f>
        <v>0.65002527309928571</v>
      </c>
      <c r="H45" s="4">
        <f>-0.000285458718249049*E45 ^ 6 + 0.0139537216609818*E45 ^ 5 + -0.25570805414159*E45 ^ 4 + 2.22318606174525*E45 ^ 3 + -8.95359118586891*E45 ^ 2 + -1.3216827836712*E45 ^ 1 + 2912.06615794381</f>
        <v>2788.6113043301953</v>
      </c>
    </row>
    <row r="46" spans="2:8" x14ac:dyDescent="0.2">
      <c r="C46" s="24" t="s">
        <v>16</v>
      </c>
      <c r="D46" s="1" t="s">
        <v>54</v>
      </c>
      <c r="E46" s="2">
        <v>16.900503181483124</v>
      </c>
      <c r="F46" s="3">
        <f>-0.0000107460015879781*E46 ^ 6 + 0.000505738149741697*E46 ^ 5 + -0.00900024442413727*E46 ^ 4 + 0.0709593022110029*E46 ^ 3 + -0.301850556181681*E46 ^ 2 + -0.17409711468132*E46 ^ 1 + 33.9853504679733</f>
        <v>-2.8937073400925328E-4</v>
      </c>
      <c r="G46" s="3">
        <f>1.69103986084282E-07*E46 ^ 6 + -9.44986340612149E-06*E46 ^ 5 + 0.000210075945749562*E46 ^ 4 + -0.00237524249023228*E46 ^ 3 + 0.00942710726433428*E46 ^ 2 + 0.07840684802809*E46 ^ 1 + 0.368393096109564</f>
        <v>0.96998430417019432</v>
      </c>
      <c r="H46" s="4">
        <f>-0.0000833813000475417*E46 ^ 6 + 0.00340840106777191*E46 ^ 5 + -0.0502996560310929*E46 ^ 4 + 0.391345349941857*E46 ^ 3 + -1.674848272668*E46 ^ 2 + -10.8002177978753*E46 ^ 1 + 2946.88008647695</f>
        <v>2827.9990708564337</v>
      </c>
    </row>
    <row r="47" spans="2:8" x14ac:dyDescent="0.2">
      <c r="C47" s="24" t="s">
        <v>13</v>
      </c>
      <c r="D47" s="1" t="s">
        <v>55</v>
      </c>
      <c r="E47" s="2">
        <v>20.073093587222235</v>
      </c>
      <c r="F47" s="3">
        <f>9.64702751139505E-06*E47 ^ 6 + -0.000366211531892251*E47 ^ 5 + 0.00435540670869043*E47 ^ 4 + -0.0194316553620377*E47 ^ 3 + -0.0473692259250587*E47 ^ 2 + -0.724935449384627*E47 ^ 1 + 46.0691842875386</f>
        <v>4.4373159440169729E-6</v>
      </c>
      <c r="G47" s="3">
        <f>2.16745144712881E-07*E47 ^ 6 + -0.0000116450351241642*E47 ^ 5 + 0.000259771131944378*E47 ^ 4 + -0.00307031781816052*E47 ^ 3 + 0.0130355292150461*E47 ^ 2 + 0.100003702626156*E47 ^ 1 + 0.531805291264884</f>
        <v>1.361685394872735</v>
      </c>
      <c r="H47" s="4">
        <f>0.0000479096319982712*E47 ^ 6 + -0.00275956686711129*E47 ^ 5 + 0.0535277855238234*E47 ^ 4 + -0.348479306020837*E47 ^ 3 + 0.262290408452845*E47 ^ 2 + -10.5300279268863*E47 ^ 1 + 2953.14119730752</f>
        <v>2860.1850155970901</v>
      </c>
    </row>
    <row r="48" spans="2:8" x14ac:dyDescent="0.2">
      <c r="B48" s="23"/>
      <c r="C48" s="24" t="s">
        <v>28</v>
      </c>
      <c r="D48" s="1" t="s">
        <v>56</v>
      </c>
      <c r="E48" s="2">
        <v>17.300536397592307</v>
      </c>
      <c r="F48" s="3">
        <f>2.56030869157068E-06*E48 ^ 6 + -0.0000520755665130932*E48 ^ 5 + -0.000460129487224556*E48 ^ 4 + 0.00888783194076912*E48 ^ 3 + -0.133013799132814*E48 ^ 2 + -0.658478877530967*E48 ^ 1 + 58.4615010112555</f>
        <v>-1.1051781347504175E-4</v>
      </c>
      <c r="G48" s="3">
        <f>3.7350653940104E-08*E48 ^ 6 + -4.19135909158591E-06*E48 ^ 5 + 0.00016905279747102*E48 ^ 4 + -0.00303254815565609*E48 ^ 3 + 0.0163826632010702*E48 ^ 2 + 0.123088018349471*E48 ^ 1 + 0.650047702210185</f>
        <v>1.629980300793497</v>
      </c>
      <c r="H48" s="4">
        <f>3.08968146765059E-06*E48 ^ 6 + -0.000900638146980796*E48 ^ 5 + 0.0309975292189669*E48 ^ 4 + -0.325292372500133*E48 ^ 3 + 1.1222688421978*E48 ^ 2 + -11.3734826608289*E48 ^ 1 + 2958.0772307291</f>
        <v>2876.6843285916566</v>
      </c>
    </row>
    <row r="49" spans="2:8" x14ac:dyDescent="0.2">
      <c r="B49" s="23"/>
      <c r="C49" s="24" t="s">
        <v>9</v>
      </c>
      <c r="D49" s="1" t="s">
        <v>57</v>
      </c>
      <c r="E49" s="2">
        <v>8.5937969480282312</v>
      </c>
      <c r="F49" s="3">
        <f>0.00085663433732289*E49 ^ 6 + -0.0181284377506011*E49 ^ 5 + 0.15100708268705*E49 ^ 4 + -0.587197733048726*E49 ^ 3 + 0.657421374884868*E49 ^ 2 + -2.04399433225103*E49 ^ 1 + 22.7259745271737</f>
        <v>4.405233440252232E-6</v>
      </c>
      <c r="G49" s="3">
        <f>-0.0000188048476033479*E49 ^ 6 + 0.000382587664095886*E49 ^ 5 + -0.00281753605203498*E49 ^ 4 + 0.0092728213996818*E49 ^ 3 + -0.0194768313282427*E49 ^ 2 + 0.0539978407499972*E49 ^ 1 + 0.237755726089304</f>
        <v>0.13910206824012372</v>
      </c>
      <c r="H49" s="4">
        <f>0.0103862506094649*E49 ^ 6 + -0.210198125161615*E49 ^ 5 + 1.52878123339172*E49 ^ 4 + -4.84642823710416*E49 ^ 3 + 9.2730388547106*E49 ^ 2 + -25.6248940754988*E49 ^ 1 + 2900.47842826337</f>
        <v>2958.7379414643783</v>
      </c>
    </row>
    <row r="50" spans="2:8" x14ac:dyDescent="0.2">
      <c r="C50" s="24" t="s">
        <v>9</v>
      </c>
      <c r="D50" s="1" t="s">
        <v>58</v>
      </c>
      <c r="E50" s="2">
        <v>6.309279120575721</v>
      </c>
      <c r="F50" s="3">
        <f>-0.00206172999834443*E50 ^ 6 + 0.0378974047159079*E50 ^ 5 + -0.258881411618675*E50 ^ 4 + 0.828234375510853*E50 ^ 3 + -1.72317596904154*E50 ^ 2 + -1.49466884771181*E50 ^ 1 + 31.3979189282381</f>
        <v>-1.2298570403856957E-5</v>
      </c>
      <c r="G50" s="3">
        <f>-9.07952561388423E-06*E50 ^ 6 + 0.000133195378448984*E50 ^ 5 + -0.000315234724163431*E50 ^ 4 + -0.00283627708252704*E50 ^ 3 + 0.00840706180222018*E50 ^ 2 + 0.0282609297047133*E50 ^ 1 + 0.375563778807964</f>
        <v>0.43559289542909135</v>
      </c>
      <c r="H50" s="4">
        <f>0.00768004804918762*E50 ^ 6 + -0.119635468675799*E50 ^ 5 + 0.399214530479282*E50 ^ 4 + 1.61396858705372*E50 ^ 3 + -6.59562845941117*E50 ^ 2 + -16.2200658755652*E50 ^ 1 + 2828.35458504186</f>
        <v>2789.7806342006202</v>
      </c>
    </row>
    <row r="51" spans="2:8" x14ac:dyDescent="0.2">
      <c r="C51" s="24" t="s">
        <v>9</v>
      </c>
      <c r="D51" s="1" t="s">
        <v>59</v>
      </c>
      <c r="E51" s="2">
        <v>8.2158351626838435</v>
      </c>
      <c r="F51" s="3">
        <f>0.0016920422888443*E51 ^ 6 + -0.0350914878082271*E51 ^ 5 + 0.294947660654115*E51 ^ 4 + -1.20299874184947*E51 ^ 3 + 1.77686360004529*E51 ^ 2 + -5.57416103154006*E51 ^ 1 + 42.3607249852894</f>
        <v>6.9689356116953149E-5</v>
      </c>
      <c r="G51" s="3">
        <f>3.55677928231033E-06*E51 ^ 6 + -0.0000229481434301078*E51 ^ 5 + -0.000223622435558044*E51 ^ 4 + 0.00354675988745901*E51 ^ 3 + -0.0257790227193006*E51 ^ 2 + 0.0938216240394107*E51 ^ 1 + 0.439698196597315</f>
        <v>0.65332961173447424</v>
      </c>
      <c r="H51" s="4">
        <f>-0.00735960905088257*E51 ^ 6 + 0.118234196957655*E51 ^ 5 + -0.710080664560404*E51 ^ 4 + 1.18903815402397*E51 ^ 3 + 11.2142004174051*E51 ^ 2 + -65.3597507523749*E51 ^ 1 + 2786.92010778552</f>
        <v>2593.477650999263</v>
      </c>
    </row>
    <row r="52" spans="2:8" x14ac:dyDescent="0.2">
      <c r="C52" s="24" t="s">
        <v>14</v>
      </c>
      <c r="D52" s="1" t="s">
        <v>60</v>
      </c>
      <c r="E52" s="2">
        <v>6.4228025395514319</v>
      </c>
      <c r="F52" s="3">
        <f>-0.00293128639388813*E52 ^ 6 + 0.059602488530015*E52 ^ 5 + -0.449755700695798*E52 ^ 4 + 1.61702524709693*E52 ^ 3 + -3.5169464385226*E52 ^ 2 + -2.89465722003414*E52 ^ 1 + 54.9309942311591</f>
        <v>-9.4185768490007149E-4</v>
      </c>
      <c r="G52" s="3">
        <f>-0.0000154647925347438*E52 ^ 6 + 0.000338507745786684*E52 ^ 5 + -0.00296498016950995*E52 ^ 4 + 0.0146166960813793*E52 ^ 3 + -0.0537917409102682*E52 ^ 2 + 0.141650478174899*E52 ^ 1 + 0.584353157880227</f>
        <v>0.7164631667928657</v>
      </c>
      <c r="H52" s="4">
        <f>0.00517706738054006*E52 ^ 6 + -0.0738678353416107*E52 ^ 5 + 0.122073617289743*E52 ^ 4 + 1.90722497835805*E52 ^ 3 + -2.67985444699648*E52 ^ 2 + -32.5371590533431*E52 ^ 1 + 2882.12135975631</f>
        <v>2831.720152366508</v>
      </c>
    </row>
    <row r="53" spans="2:8" x14ac:dyDescent="0.2">
      <c r="C53" s="24" t="s">
        <v>16</v>
      </c>
      <c r="D53" s="1" t="s">
        <v>61</v>
      </c>
      <c r="E53" s="2">
        <v>6.4774423205564986</v>
      </c>
      <c r="F53" s="3">
        <f>-0.0028492806601874*E53 ^ 6 + 0.0575420434057618*E53 ^ 5 + -0.425318350349401*E53 ^ 4 + 1.46870864680268*E53 ^ 3 + -3.16978784817426*E53 ^ 2 + -2.84694739438265*E53 ^ 1 + 55.315744510185</f>
        <v>-6.1387901016729529E-4</v>
      </c>
      <c r="G53" s="3">
        <f>-0.0000166902109762787*E53 ^ 6 + 0.000350322057247055*E53 ^ 5 + -0.00282494456343636*E53 ^ 4 + 0.0125136327284417*E53 ^ 3 + -0.0469724723467475*E53 ^ 2 + 0.142869690183834*E53 ^ 1 + 0.590544749541489</f>
        <v>0.73491208404648323</v>
      </c>
      <c r="H53" s="4">
        <f>0.00396840759802422*E53 ^ 6 + -0.0754490035011737*E53 ^ 5 + 0.493398896959782*E53 ^ 4 + -1.55626054774531*E53 ^ 3 + 6.87709969834137*E53 ^ 2 + -31.3946640904979*E53 ^ 1 + 2892.22266326402</f>
        <v>2855.8134772032449</v>
      </c>
    </row>
    <row r="54" spans="2:8" x14ac:dyDescent="0.2">
      <c r="C54" s="24" t="s">
        <v>9</v>
      </c>
      <c r="D54" s="1" t="s">
        <v>62</v>
      </c>
      <c r="E54" s="2">
        <v>9.4018257313658662</v>
      </c>
      <c r="F54" s="3">
        <f>-0.000124255872655848*E54 ^ 6 + 0.00256094606635398*E54 ^ 5 + -0.0153710627217753*E54 ^ 4 + 0.0022892330599403*E54 ^ 3 + 0.020850720710593*E54 ^ 2 + -0.824858393423283*E54 ^ 1 + 21.8011054540446</f>
        <v>-1.0166426978486243E-5</v>
      </c>
      <c r="G54" s="3">
        <f>-3.54302637721342E-07*E54 ^ 6 + -1.40168986272985E-06*E54 ^ 5 + 0.000205300783925043*E54 ^ 4 + -0.00257972434474681*E54 ^ 3 + 0.00828804392796704*E54 ^ 2 + 0.0350866714361602*E54 ^ 1 + 0.221887972882797</f>
        <v>0.3969075104666781</v>
      </c>
      <c r="H54" s="4">
        <f>0.000609457596099014*E54 ^ 6 + -0.0127462973353225*E54 ^ 5 + 0.0508736283616368*E54 ^ 4 + 0.589835413743879*E54 ^ 3 + -3.50780077389179*E54 ^ 2 + -16.4600563601147*E54 ^ 1 + 2907.85535364833</f>
        <v>2815.3003474300067</v>
      </c>
    </row>
    <row r="55" spans="2:8" x14ac:dyDescent="0.2">
      <c r="C55" s="24" t="s">
        <v>9</v>
      </c>
      <c r="D55" s="1" t="s">
        <v>63</v>
      </c>
      <c r="E55" s="2">
        <v>9.5700970294932546</v>
      </c>
      <c r="F55" s="3">
        <f>-0.0000639549142315396*E55 ^ 6 + 0.00118490494775493*E55 ^ 5 + -0.00524510954866111*E55 ^ 4 + -0.0192362703917745*E55 ^ 3 + 0.00859816040805065*E55 ^ 2 + -1.67503918912508*E55 ^ 1 + 30.1142656283888</f>
        <v>-6.8845061207412073E-6</v>
      </c>
      <c r="G55" s="3">
        <f>2.06372832273595E-06*E55 ^ 6 + -0.0000676483403233912*E55 ^ 5 + 0.000888118339562283*E55 ^ 4 + -0.00573266121984392*E55 ^ 3 + 0.0132847584015526*E55 ^ 2 + 0.0406630437210472*E55 ^ 1 + 0.334190720837864</f>
        <v>0.52001447618519969</v>
      </c>
      <c r="H55" s="4">
        <f>-0.000788877546415322*E55 ^ 6 + 0.0275083726401242*E55 ^ 5 + -0.411309056413024*E55 ^ 4 + 3.23265392801414*E55 ^ 3 + -9.91952537636045*E55 ^ 2 + -21.1979407087573*E55 ^ 1 + 2852.01835938202</f>
        <v>2726.1344199395721</v>
      </c>
    </row>
    <row r="56" spans="2:8" x14ac:dyDescent="0.2">
      <c r="C56" s="24" t="s">
        <v>14</v>
      </c>
      <c r="D56" s="1" t="s">
        <v>64</v>
      </c>
      <c r="E56" s="2">
        <v>15.976760518350588</v>
      </c>
      <c r="F56" s="3">
        <f>0.0000859307814230288*E56 ^ 6 + -0.00317029047182291*E56 ^ 5 + 0.0457237163715007*E56 ^ 4 + -0.311842299827723*E56 ^ 3 + 0.58881749823859*E56 ^ 2 + -1.89945808083687*E56 ^ 1 + 43.6763868032748</f>
        <v>7.6761155441573692E-4</v>
      </c>
      <c r="G56" s="3">
        <f>-1.83690016997973E-06*E56 ^ 6 + 0.000038414121670144*E56 ^ 5 + -0.000140097041538273*E56 ^ 4 + -0.00152753902193638*E56 ^ 3 + 0.00375287368241473*E56 ^ 2 + 0.0860371331398969*E56 ^ 1 + 0.450628697690379</f>
        <v>-3.1366029883682311</v>
      </c>
      <c r="H56" s="4">
        <f>0.000830005246168462*E56 ^ 6 + -0.0223129982782624*E56 ^ 5 + 0.189678859238383*E56 ^ 4 + -0.319896232080487*E56 ^ 3 + -0.862272287282379*E56 ^ 2 + -16.2622277254068*E56 ^ 1 + 2920.64901124059</f>
        <v>4071.6767461593595</v>
      </c>
    </row>
    <row r="57" spans="2:8" x14ac:dyDescent="0.2">
      <c r="C57" s="24" t="s">
        <v>16</v>
      </c>
      <c r="D57" s="1" t="s">
        <v>65</v>
      </c>
      <c r="E57" s="2">
        <v>9.7610459733204653</v>
      </c>
      <c r="F57" s="3">
        <f>-0.000191900084519723*E57 ^ 6 + 0.00480211838418114*E57 ^ 5 + -0.0402021887201506*E57 ^ 4 + 0.114170301562785*E57 ^ 3 + -0.466366071511028*E57 ^ 2 + -1.17893452534874*E57 ^ 1 + 55.177932918746</f>
        <v>-2.1447470167856864E-5</v>
      </c>
      <c r="G57" s="3">
        <f>6.56610587296101E-06*E57 ^ 6 + -0.000219605842383399*E57 ^ 5 + 0.00289440585469833*E57 ^ 4 + -0.0185102842308293*E57 ^ 3 + 0.0463674607614005*E57 ^ 2 + 0.074879918312304*E57 ^ 1 + 0.571220979678258</f>
        <v>1.0002030208188253</v>
      </c>
      <c r="H57" s="4">
        <f>-0.000439787750067156*E57 ^ 6 + 0.0154636466865323*E57 ^ 5 + -0.229022423719867*E57 ^ 4 + 1.78578850388083*E57 ^ 3 + -5.88745801188869*E57 ^ 2 + -7.00420974965986*E57 ^ 1 + 2935.86757707245</f>
        <v>2878.1653150350744</v>
      </c>
    </row>
    <row r="58" spans="2:8" x14ac:dyDescent="0.2">
      <c r="C58" s="24" t="s">
        <v>9</v>
      </c>
      <c r="D58" s="1" t="s">
        <v>66</v>
      </c>
      <c r="E58" s="2">
        <v>7.3148097265692922</v>
      </c>
      <c r="F58" s="3">
        <f>0.00386092453798157*E58 ^ 6 + -0.0562918742216709*E58 ^ 5 + 0.280592602777624*E58 ^ 4 + -0.541746084672152*E58 ^ 3 + -0.355807675091722*E58 ^ 2 + -3.57846136542153*E58 ^ 1 + 41.3460350305903</f>
        <v>2.2663464246619469E-4</v>
      </c>
      <c r="G58" s="3">
        <f>-0.0000817128708847301*E58 ^ 6 + 0.00136239787673444*E58 ^ 5 + -0.00870709398799048*E58 ^ 4 + 0.0269510193769747*E58 ^ 3 + -0.0499789255473714*E58 ^ 2 + 0.086431547525659*E58 ^ 1 + 0.450799924893652</f>
        <v>4.3196322628663963E-2</v>
      </c>
      <c r="H58" s="4">
        <f>0.0624576128466624*E58 ^ 6 + -1.02713243849444*E58 ^ 5 + 6.41534090634405*E58 ^ 4 + -19.0560827062414*E58 ^ 3 + 33.9793090153952*E58 ^ 2 + -62.7145453631122*E58 ^ 1 + 2779.12317819114</f>
        <v>3104.4250348408113</v>
      </c>
    </row>
    <row r="59" spans="2:8" x14ac:dyDescent="0.2">
      <c r="C59" s="24" t="s">
        <v>14</v>
      </c>
      <c r="D59" s="1" t="s">
        <v>67</v>
      </c>
      <c r="E59" s="2">
        <v>7.8312094892115685</v>
      </c>
      <c r="F59" s="3">
        <f>0.00261166329201382*E59 ^ 6 + -0.037742250006086*E59 ^ 5 + 0.177652494540123*E59 ^ 4 + -0.267356264320433*E59 ^ 3 + -0.877312930541018*E59 ^ 2 + -4.15495249062514*E59 ^ 1 + 55.8294420716233</f>
        <v>7.3728966252417649E-4</v>
      </c>
      <c r="G59" s="3">
        <f>-0.0000283221026475046*E59 ^ 6 + 0.000607371174285465*E59 ^ 5 + -0.00490829077906019*E59 ^ 4 + 0.0194415991738603*E59 ^ 3 + -0.0545389402544012*E59 ^ 2 + 0.146364539662305*E59 ^ 1 + 0.592953870380181</f>
        <v>0.62777621379019111</v>
      </c>
      <c r="H59" s="4">
        <f>0.00848123291161215*E59 ^ 6 + -0.179137360860845*E59 ^ 5 + 1.3554523875074*E59 ^ 4 + -4.52045708086458*E59 ^ 3 + 10.4556432608045*E59 ^ 2 + -33.1701583847933*E59 ^ 1 + 2891.73290893718</f>
        <v>2880.1186106710534</v>
      </c>
    </row>
    <row r="60" spans="2:8" x14ac:dyDescent="0.2">
      <c r="C60" s="24" t="s">
        <v>14</v>
      </c>
      <c r="D60" s="1" t="s">
        <v>68</v>
      </c>
      <c r="E60" s="2">
        <v>17.492529824124222</v>
      </c>
      <c r="F60" s="3">
        <f>0.0000872641696026856*E60 ^ 6 + -0.00309884076928952*E60 ^ 5 + 0.0402178202670118*E60 ^ 4 + -0.233413951692585*E60 ^ 3 + 0.135877891097546*E60 ^ 2 + -1.71383830226212*E60 ^ 1 + 47.4391965194307</f>
        <v>1.3479710512598331E-4</v>
      </c>
      <c r="G60" s="3">
        <f>0.0000151420443222354*E60 ^ 6 + -0.000393949026742983*E60 ^ 5 + 0.00376970476443602*E60 ^ 4 + -0.0157829396506974*E60 ^ 3 + 0.0150471427850053*E60 ^ 2 + 0.122517685611439*E60 ^ 1 + 0.531715266262608</f>
        <v>64.352106837603301</v>
      </c>
      <c r="H60" s="4">
        <f>-0.00206433066399142*E60 ^ 6 + 0.0532608773132362*E60 ^ 5 + -0.511840885791192*E60 ^ 4 + 2.27590415406433*E60 ^ 3 + -3.5323065003261*E60 ^ 2 + -11.393658857524*E60 ^ 1 + 2939.8341268858</f>
        <v>-5992.4136521680521</v>
      </c>
    </row>
    <row r="61" spans="2:8" x14ac:dyDescent="0.2">
      <c r="C61" s="24" t="s">
        <v>16</v>
      </c>
      <c r="D61" s="1" t="s">
        <v>69</v>
      </c>
      <c r="E61" s="2">
        <v>11.978218172008022</v>
      </c>
      <c r="F61" s="3">
        <f>0.000551589798908732*E61 ^ 6 + -0.014411083646911*E61 ^ 5 + 0.136128753582221*E61 ^ 4 + -0.566654152941045*E61 ^ 3 + 0.459875594183783*E61 ^ 2 + -2.36478716128517*E61 ^ 1 + 58.2039398864336</f>
        <v>6.8390184713251756E-4</v>
      </c>
      <c r="G61" s="3">
        <f>-0.0000109662196971331*E61 ^ 6 + 0.000303564903802428*E61 ^ 5 + -0.00325402185293073*E61 ^ 4 + 0.0170028336387997*E61 ^ 3 + -0.0570458088609646*E61 ^ 2 + 0.205372473296519*E61 ^ 1 + 0.641553670589717</f>
        <v>-0.38522946369522126</v>
      </c>
      <c r="H61" s="4">
        <f>0.00186504742977825*E61 ^ 6 + -0.0511435573836888*E61 ^ 5 + 0.523899590977463*E61 ^ 4 + -2.35032947152947*E61 ^ 3 + 5.7453473948234*E61 ^ 2 + -23.6555479518889*E61 ^ 1 + 2928.51281903757</f>
        <v>3112.6697118344118</v>
      </c>
    </row>
    <row r="62" spans="2:8" x14ac:dyDescent="0.2">
      <c r="C62" s="26" t="s">
        <v>70</v>
      </c>
      <c r="D62" s="1" t="s">
        <v>86</v>
      </c>
      <c r="E62" s="2">
        <v>3.5787852927377655</v>
      </c>
      <c r="F62" s="3">
        <f>-0.0895982729587779*E62 ^ 6 + 0.977622967514184*E62 ^ 5 + -3.88389116553797*E62 ^ 4 + 6.6174764388789*E62 ^ 3 + -5.31908704040065*E62 ^ 2 + -0.636416211029243*E62 ^ 1 + 18.51</f>
        <v>-4.4972634803741585E-5</v>
      </c>
      <c r="G62" s="3">
        <f>0.00256837241245372*E62 ^ 6 + -0.0298308602602231*E62 ^ 5 + 0.134369749361018*E62 ^ 4 + -0.294647392346527*E62 ^ 3 + 0.306765204484902*E62 ^ 2 + -0.07097808791547*E62 ^ 1 + 0.118959781123971</f>
        <v>0.21375308847548108</v>
      </c>
      <c r="H62" s="4">
        <f>-1.77172882444343*E62 ^ 6 + 20.0176709135444*E62 ^ 5 + -86.7052100562553*E62 ^ 4 + 180.292590971829*E62 ^ 3 + -176.019214833269*E62 ^ 2 + 35.5141644473266*E62 ^ 1 + 2926</f>
        <v>2868.8641281123901</v>
      </c>
    </row>
    <row r="63" spans="2:8" x14ac:dyDescent="0.2">
      <c r="C63" s="26" t="s">
        <v>70</v>
      </c>
      <c r="D63" s="1" t="s">
        <v>87</v>
      </c>
      <c r="E63" s="2">
        <v>4.7730635338816318</v>
      </c>
      <c r="F63" s="3">
        <f>0.0510862328699987*E63 ^ 6 + -0.634163513727488*E63 ^ 5 + 3.18983959329092*E63 ^ 4 + -8.16958281306392*E63 ^ 3 + 8.95481971824657*E63 ^ 2 + -6.57293779192138*E63 ^ 1 + 27.0900338951798</f>
        <v>2.888199780670675E-6</v>
      </c>
      <c r="G63" s="3">
        <f>-0.000340979593858103*E63 ^ 6 + 0.00433556712319883*E63 ^ 5 + -0.0201914403282831*E63 ^ 4 + 0.0402006744219218*E63 ^ 3 + -0.0430861379103978*E63 ^ 2 + 0.090362820634178*E63 ^ 1 + 0.166941012667084</f>
        <v>0.21698987896774069</v>
      </c>
      <c r="H63" s="4">
        <f>0.531941019716842*E63 ^ 6 + -7.16381134846884*E63 ^ 5 + 36.004743269001*E63 ^ 4 + -81.4301164281658*E63 ^ 3 + 84.8479873732406*E63 ^ 2 + -68.7525840036372*E63 ^ 1 + 2915.99862191407</f>
        <v>2896.2140704700373</v>
      </c>
    </row>
    <row r="64" spans="2:8" x14ac:dyDescent="0.2">
      <c r="C64" s="26" t="s">
        <v>9</v>
      </c>
      <c r="D64" s="1" t="s">
        <v>88</v>
      </c>
      <c r="E64" s="2">
        <v>4.1519442648844214</v>
      </c>
      <c r="F64" s="3">
        <f>-0.0253026965596917*E64 ^ 6 + 0.274342329340146*E64 ^ 5 + -0.93486906363858*E64 ^ 4 + 0.628158114602849*E64 ^ 3 + 0.143623860972978*E64 ^ 2 + -4.02278123319012*E64 ^ 1 + 38.2099671343651</f>
        <v>-1.5358082539762563E-4</v>
      </c>
      <c r="G64" s="3">
        <f>0.000348434388672156*E64 ^ 6 + -0.00519306670390995*E64 ^ 5 + 0.030907029472592*E64 ^ 4 + -0.0929379502572407*E64 ^ 3 + 0.123055697599517*E64 ^ 2 + 0.0375509620364466*E64 ^ 1 + 0.200005360854195</f>
        <v>0.38753549570830664</v>
      </c>
      <c r="H64" s="4">
        <f>-0.193658764677336*E64 ^ 6 + 2.63642580642019*E64 ^ 5 + -14.0518414101041*E64 ^ 4 + 37.7345810839911*E64 ^ 3 + -48.3453749637669*E64 ^ 2 + -0.702205192968512*E64 ^ 1 + 2946.2989726747</f>
        <v>2895.8280384474456</v>
      </c>
    </row>
    <row r="65" spans="2:8" x14ac:dyDescent="0.2">
      <c r="C65" s="26" t="s">
        <v>71</v>
      </c>
      <c r="D65" s="1" t="s">
        <v>89</v>
      </c>
      <c r="E65" s="2">
        <v>3.876637128861038</v>
      </c>
      <c r="F65" s="3">
        <f>-0.0324286745199291*E65 ^ 6 + 0.42368520501225*E65 ^ 5 + -1.85565105934986*E65 ^ 4 + 2.83618533406271*E65 ^ 3 + -2.69711389771856*E65 ^ 2 + -3.70096988168864*E65 ^ 1 + 47.8600091905699</f>
        <v>-3.6609853843572182E-5</v>
      </c>
      <c r="G65" s="3">
        <f>0.000316916083670004*E65 ^ 6 + -0.0030705543640833*E65 ^ 5 + 0.011452324413634*E65 ^ 4 + -0.0279827680849741*E65 ^ 3 + 0.0247289112450611*E65 ^ 2 + 0.145352769566154*E65 ^ 1 + 0.193997546026637</f>
        <v>0.47263338605506255</v>
      </c>
      <c r="H65" s="4">
        <f>-0.360947068296575*E65 ^ 6 + 4.08390860809265*E65 ^ 5 + -17.9870329289043*E65 ^ 4 + 40.7851951562042*E65 ^ 3 + -45.4670851198724*E65 ^ 2 + -10.0468846364178*E65 ^ 1 + 2941.99871206771</f>
        <v>2884.0139570216265</v>
      </c>
    </row>
    <row r="66" spans="2:8" x14ac:dyDescent="0.2">
      <c r="C66" s="26" t="s">
        <v>14</v>
      </c>
      <c r="D66" s="1" t="s">
        <v>90</v>
      </c>
      <c r="E66" s="2">
        <v>4.1166196161763864</v>
      </c>
      <c r="F66" s="3">
        <f>-0.0994857076465326*E66 ^ 6 + 1.21787564120523*E66 ^ 5 + -5.37091722950475*E66 ^ 4 + 9.86685859078686*E66 ^ 3 + -8.63650214271488*E66 ^ 2 + -3.52080912930205*E66 ^ 1 + 59.3301995559511</f>
        <v>-2.3688495218721073E-6</v>
      </c>
      <c r="G66" s="3">
        <f>-0.000673929245647582*E66 ^ 6 + 0.00819153902810646*E66 ^ 5 + -0.0351562849682068*E66 ^ 4 + 0.0574301665702884*E66 ^ 3 + -0.0426599957799309*E66 ^ 2 + 0.175351544149763*E66 ^ 1 + 0.285001170521667</f>
        <v>0.59844032802514824</v>
      </c>
      <c r="H66" s="4">
        <f>0.445693910106265*E66 ^ 6 + -5.88218842167304*E66 ^ 5 + 29.2805469127606*E66 ^ 4 + -65.837304977227*E66 ^ 3 + 66.259533518723*E66 ^ 2 + -52.6226598923651*E66 ^ 1 + 2939.00054414676</f>
        <v>2876.2049377899161</v>
      </c>
    </row>
    <row r="67" spans="2:8" x14ac:dyDescent="0.2">
      <c r="B67" s="23"/>
      <c r="C67" s="26" t="s">
        <v>14</v>
      </c>
      <c r="D67" s="1" t="s">
        <v>91</v>
      </c>
      <c r="E67" s="2">
        <v>4.8099248098815757</v>
      </c>
      <c r="F67" s="3">
        <f>0.206070862919256*E67 ^ 6 + -2.93938948379661*E67 ^ 5 + 16.8237747854314*E67 ^ 4 + -48.8597179803532*E67 ^ 3 + 70.3445433778928*E67 ^ 2 + -53.9892431070725*E67 ^ 1 + 80.1002455999592</f>
        <v>2.6944005881546218E-5</v>
      </c>
      <c r="G67" s="3">
        <f>-0.00287890853609576*E67 ^ 6 + 0.0403313426101203*E67 ^ 5 + -0.219436141871798*E67 ^ 4 + 0.583706686384868*E67 ^ 3 + -0.825096132927089*E67 ^ 2 + 0.74788211014066*E67 ^ 1 + 0.157340424835196</f>
        <v>0.35084102090100983</v>
      </c>
      <c r="H67" s="4">
        <f>-0.576353756440426*E67 ^ 6 + 7.73287282160078*E67 ^ 5 + -41.2364961415469*E67 ^ 4 + 111.886760720597*E67 ^ 3 + -153.269820726264*E67 ^ 2 + 60.3090037064776*E67 ^ 1 + 2914.06841363531</f>
        <v>2808.3962306233293</v>
      </c>
    </row>
    <row r="68" spans="2:8" x14ac:dyDescent="0.2">
      <c r="B68" s="23"/>
      <c r="C68" s="26" t="s">
        <v>14</v>
      </c>
      <c r="D68" s="1" t="s">
        <v>92</v>
      </c>
      <c r="E68" s="2">
        <v>4.7497992105148841</v>
      </c>
      <c r="F68" s="3">
        <f>0.135281041900824*E68 ^ 6 + -1.59775726301283*E68 ^ 5 + 7.66367186926809*E68 ^ 4 + -19.5113508708888*E68 ^ 3 + 22.5102100922664*E68 ^ 2 + -18.2474313183488*E68 ^ 1 + 78.2192794162679</f>
        <v>1.778082308590001E-5</v>
      </c>
      <c r="G68" s="3">
        <f>-0.00164578018021274*E68 ^ 6 + 0.0208577726238926*E68 ^ 5 + -0.0996750093641195*E68 ^ 4 + 0.21825911531443*E68 ^ 3 + -0.251222529949759*E68 ^ 2 + 0.323565552891229*E68 ^ 1 + 0.329993097937181</f>
        <v>0.38126207432481851</v>
      </c>
      <c r="H68" s="4">
        <f>1.05322762768782*E68 ^ 6 + -13.9091976794983*E68 ^ 5 + 70.1311239109834*E68 ^ 4 + -165.395500014031*E68 ^ 3 + 186.938979647257*E68 ^ 2 + -129.392616666462*E68 ^ 1 + 2920.99910003179</f>
        <v>2963.592604288734</v>
      </c>
    </row>
    <row r="69" spans="2:8" x14ac:dyDescent="0.2">
      <c r="C69" s="26" t="s">
        <v>72</v>
      </c>
      <c r="D69" s="1" t="s">
        <v>93</v>
      </c>
      <c r="E69" s="2">
        <v>4.0463904843933145</v>
      </c>
      <c r="F69" s="3">
        <f>-0.209283221769972*E69 ^ 6 + 2.58005183290998*E69 ^ 5 + -11.7733698058346*E69 ^ 4 + 23.7481124168013*E69 ^ 3 + -23.567508089149*E69 ^ 2 + -0.0824654639574066*E69 ^ 1 + 88.9491309765027</f>
        <v>-8.256035113163307E-5</v>
      </c>
      <c r="G69" s="3">
        <f>0.000476777805819065*E69 ^ 6 + -0.00771677124243246*E69 ^ 5 + 0.0512797512417179*E69 ^ 4 + -0.171165404153614*E69 ^ 3 + 0.228153301679189*E69 ^ 2 + 0.132987700488649*E69 ^ 1 + 0.416003226583407</f>
        <v>0.81869435869052087</v>
      </c>
      <c r="H69" s="4">
        <f>-0.0744574743076626*E69 ^ 6 + 0.678211330031133*E69 ^ 5 + -2.48187276311459*E69 ^ 4 + 7.53353684284623*E69 ^ 3 + -11.6891334255499*E69 ^ 2 + -29.1696087715947*E69 ^ 1 + 2938.99810590295</f>
        <v>2872.2238534907178</v>
      </c>
    </row>
    <row r="70" spans="2:8" x14ac:dyDescent="0.2">
      <c r="C70" s="26" t="s">
        <v>16</v>
      </c>
      <c r="D70" s="1" t="s">
        <v>94</v>
      </c>
      <c r="E70" s="2">
        <v>4.5402129446859041</v>
      </c>
      <c r="F70" s="3">
        <f>0.317839448788211*E70 ^ 6 + -4.02811942377833*E70 ^ 5 + 19.8078317610321*E70 ^ 4 + -47.6451221508488*E70 ^ 3 + 52.0769267979691*E70 ^ 2 + -30.7625806462584*E70 ^ 1 + 95.721899719504</f>
        <v>5.4995843669303213E-5</v>
      </c>
      <c r="G70" s="3">
        <f>0.000651662230069918*E70 ^ 6 + -0.00821247269463012*E70 ^ 5 + 0.042899841654832*E70 ^ 4 + -0.121623984375968*E70 ^ 3 + 0.135060731772264*E70 ^ 2 + 0.215046191988189*E70 ^ 1 + 0.44799442968766</f>
        <v>0.91886877634741793</v>
      </c>
      <c r="H70" s="4">
        <f>-0.285924104824255*E70 ^ 6 + 3.46356838741056*E70 ^ 5 + -16.0601346859046*E70 ^ 4 + 36.8987121527175*E70 ^ 3 + -37.4660651345026*E70 ^ 2 + -24.8312912768701*E70 ^ 1 + 2938.00107469133</f>
        <v>2859.6115226264405</v>
      </c>
    </row>
    <row r="71" spans="2:8" x14ac:dyDescent="0.2">
      <c r="C71" s="26" t="s">
        <v>16</v>
      </c>
      <c r="D71" s="1" t="s">
        <v>95</v>
      </c>
      <c r="E71" s="2">
        <v>3.9665793410801093</v>
      </c>
      <c r="F71" s="3">
        <f>-0.0502046979683924*E71 ^ 6 + 0.551502476277993*E71 ^ 5 + -1.63654068967804*E71 ^ 4 + -1.2256329674073*E71 ^ 3 + 5.1144098231497*E71 ^ 2 + -15.5160149353145*E71 ^ 1 + 116.699718974764</f>
        <v>-3.1747085824918031E-4</v>
      </c>
      <c r="G71" s="3">
        <f>-0.0012482985268229*E71 ^ 6 + 0.0155711364740945*E71 ^ 5 + -0.0692207982903005*E71 ^ 4 + 0.120985209390307*E71 ^ 3 + -0.106432294252083*E71 ^ 2 + 0.340284767086114*E71 ^ 1 + 0.515670730476782</f>
        <v>1.0335400331325404</v>
      </c>
      <c r="H71" s="4">
        <f>0.332101194852927*E71 ^ 6 + -4.54087143934226*E71 ^ 5 + 22.9510548032483*E71 ^ 4 + -50.1453796925106*E71 ^ 3 + 50.2479175255114*E71 ^ 2 + -67.0096618527394*E71 ^ 1 + 2920.00010794765</f>
        <v>2831.4953862236903</v>
      </c>
    </row>
    <row r="72" spans="2:8" x14ac:dyDescent="0.2">
      <c r="C72" s="26" t="s">
        <v>13</v>
      </c>
      <c r="D72" s="1" t="s">
        <v>96</v>
      </c>
      <c r="E72" s="2">
        <v>4.0232539328978616</v>
      </c>
      <c r="F72" s="3">
        <f>-0.087977230901614*E72 ^ 6 + 1.15271276293437*E72 ^ 5 + -5.26670920058528*E72 ^ 4 + 8.87423953789542*E72 ^ 3 + -9.01950782801365*E72 ^ 2 + -8.25090586592001*E72 ^ 1 + 139.19950536002</f>
        <v>-2.614693613622876E-6</v>
      </c>
      <c r="G72" s="3">
        <f>-0.000498037944648361*E72 ^ 6 + 0.00557869132375997*E72 ^ 5 + -0.0180124893784366*E72 ^ 4 + -0.00573528860767718*E72 ^ 3 + 0.0331669942227101*E72 ^ 2 + 0.361106761912137*E72 ^ 1 + 0.654604856555257</f>
        <v>1.3198375195813847</v>
      </c>
      <c r="H72" s="4">
        <f>0.204350666798715*E72 ^ 6 + -2.31086174431892*E72 ^ 5 + 9.03423809954896*E72 ^ 4 + -11.8259593857249*E72 ^ 3 + 1.39555606802882*E72 ^ 2 + -26.8006843923561*E72 ^ 1 + 2947.99960875092</f>
        <v>2890.3755437443829</v>
      </c>
    </row>
    <row r="73" spans="2:8" x14ac:dyDescent="0.2">
      <c r="C73" s="26" t="s">
        <v>28</v>
      </c>
      <c r="D73" s="1" t="s">
        <v>97</v>
      </c>
      <c r="E73" s="2">
        <v>4.8442157285200729</v>
      </c>
      <c r="F73" s="3">
        <f>0.264610191650087*E73 ^ 6 + -3.33840961547747*E73 ^ 5 + 16.6299873907595*E73 ^ 4 + -41.1729998846411*E73 ^ 3 + 42.7965889791306*E73 ^ 2 + -31.5583210929935*E73 ^ 1 + 157.397327996771</f>
        <v>1.4953241444004561E-4</v>
      </c>
      <c r="G73" s="3">
        <f>0.00461990298705974*E73 ^ 6 + -0.0583781921451499*E73 ^ 5 + 0.2845012871439*E73 ^ 4 + -0.670024033055074*E73 ^ 3 + 0.676525745721957*E73 ^ 2 + 0.201522127599081*E73 ^ 1 + 0.77145732206608</f>
        <v>2.0960389886881892</v>
      </c>
      <c r="H73" s="4">
        <f>-0.371263181787382*E73 ^ 6 + 4.1710911795498*E73 ^ 5 + -17.5022829800964*E73 ^ 4 + 35.7079870644924*E73 ^ 3 + -32.52207586599*E73 ^ 2 + -24.6361626655587*E73 ^ 1 + 2944.30563621747</f>
        <v>2812.0368936336822</v>
      </c>
    </row>
    <row r="74" spans="2:8" x14ac:dyDescent="0.2">
      <c r="C74" s="26" t="s">
        <v>28</v>
      </c>
      <c r="D74" s="1" t="s">
        <v>98</v>
      </c>
      <c r="E74" s="2">
        <v>4.0501189841575824</v>
      </c>
      <c r="F74" s="3">
        <f>-0.117778753871857*E74 ^ 6 + 1.42986795302557*E74 ^ 5 + -6.06403910753443*E74 ^ 4 + 9.34242657651273*E74 ^ 3 + -9.71454385539789*E74 ^ 2 + -11.0734412712623*E74 ^ 1 + 176.803521636112</f>
        <v>-7.3147984778643149E-5</v>
      </c>
      <c r="G74" s="3">
        <f>0.00435995106852981*E74 ^ 6 + -0.0585721425241963*E74 ^ 5 + 0.309674310664932*E74 ^ 4 + -0.812678483399788*E74 ^ 3 + 0.975926566504117*E74 ^ 2 + 0.00488996075809786*E74 ^ 1 + 0.872130505771091</f>
        <v>1.6475362879929447</v>
      </c>
      <c r="H74" s="4">
        <f>-0.624885926107505*E74 ^ 6 + 9.28860598427874*E74 ^ 5 + -55.6007104784844*E74 ^ 4 + 171.304577230275*E74 ^ 3 + -276.765597031021*E74 ^ 2 + 185.707751594933*E74 ^ 1 + 2881.30225540586</f>
        <v>2878.0842661118058</v>
      </c>
    </row>
    <row r="75" spans="2:8" x14ac:dyDescent="0.2">
      <c r="C75" s="26" t="s">
        <v>36</v>
      </c>
      <c r="D75" s="1" t="s">
        <v>99</v>
      </c>
      <c r="E75" s="2">
        <v>4.0995638174661755</v>
      </c>
      <c r="F75" s="3">
        <f>-0.143844888556757*E75 ^ 6 + 1.84382504199956*E75 ^ 5 + -8.33644960711683*E75 ^ 4 + 14.5332857715714*E75 ^ 3 + -15.343877345177*E75 ^ 2 + -11.6892983610242*E75 ^ 1 + 206.939435412716</f>
        <v>-7.955378711699268E-5</v>
      </c>
      <c r="G75" s="3">
        <f>-0.0014390374368949*E75 ^ 6 + 0.01771363188893*E75 ^ 5 + -0.075670537786877*E75 ^ 4 + 0.118336258767588*E75 ^ 3 + -0.126359434069742*E75 ^ 2 + 0.656018234675617*E75 ^ 1 + 0.910604139028289</f>
        <v>1.9362166322930028</v>
      </c>
      <c r="H75" s="4">
        <f>0.139508952535705*E75 ^ 6 + -1.90589864385245*E75 ^ 5 + 9.03134243987118*E75 ^ 4 + -14.4160067012827*E75 ^ 3 + 0.738505161984942*E75 ^ 2 + -21.959274190644*E75 ^ 1 + 2949.59999443249</f>
        <v>2885.0270646073463</v>
      </c>
    </row>
    <row r="76" spans="2:8" x14ac:dyDescent="0.2">
      <c r="C76" s="26" t="s">
        <v>36</v>
      </c>
      <c r="D76" s="1" t="s">
        <v>100</v>
      </c>
      <c r="E76" s="2">
        <v>3.9547289313733258</v>
      </c>
      <c r="F76" s="3">
        <f>-1.9850738556873*E76 ^ 6 + 24.9945520205582*E76 ^ 5 + -118.370202611871*E76 ^ 4 + 258.480821997788*E76 ^ 3 + -265.742384626209*E76 ^ 2 + 78.40994184222*E76 ^ 1 + 228.345749232619</f>
        <v>-3.6042185959672679E-4</v>
      </c>
      <c r="G76" s="3">
        <f>-0.0295119412803084*E76 ^ 6 + 0.369780260505799*E76 ^ 5 + -1.75012503624151*E76 ^ 4 + 3.84592261433912*E76 ^ 3 + -3.97016521381738*E76 ^ 2 + 2.16069721516812*E76 ^ 1 + 1.03606596017427</f>
        <v>2.0791303574067599</v>
      </c>
      <c r="H76" s="4">
        <f>-6.09546870038278*E76 ^ 6 + 76.8163615383358*E76 ^ 5 + -368.125298384782*E76 ^ 4 + 831.240225721878*E76 ^ 3 + -870.514567157135*E76 ^ 2 + 300.355014041383*E76 ^ 1 + 2951.01467287623</f>
        <v>2881.3643112328173</v>
      </c>
    </row>
    <row r="77" spans="2:8" x14ac:dyDescent="0.2">
      <c r="C77" s="26" t="s">
        <v>73</v>
      </c>
      <c r="D77" s="1" t="s">
        <v>101</v>
      </c>
      <c r="E77" s="2">
        <v>5.2121779342046155</v>
      </c>
      <c r="F77" s="3">
        <f>0.237462225439378*E77 ^ 6 + -3.02944253406968*E77 ^ 5 + 15.7491756338565*E77 ^ 4 + -42.6930646873274*E77 ^ 3 + 47.2438340378175*E77 ^ 2 + -39.9945878701757*E77 ^ 1 + 239.252047343341</f>
        <v>1.7094230543079902E-5</v>
      </c>
      <c r="G77" s="3">
        <f>0.000306031742804336*E77 ^ 6 + -0.00680518982493772*E77 ^ 5 + 0.0584470610434784*E77 ^ 4 + -0.244699557598341*E77 ^ 3 + 0.345229477756822*E77 ^ 2 + 0.507866497054772*E77 ^ 1 + 1.1300231494081</f>
        <v>1.6008075015039693</v>
      </c>
      <c r="H77" s="4">
        <f>-0.48560711060171*E77 ^ 6 + 6.56034484300062*E77 ^ 5 + -34.2292506136391*E77 ^ 4 + 86.7932411539254*E77 ^ 3 + -103.184601621823*E77 ^ 2 + 21.5310398308816*E77 ^ 1 + 2966.00050000281</f>
        <v>2802.1001534249117</v>
      </c>
    </row>
    <row r="78" spans="2:8" x14ac:dyDescent="0.2">
      <c r="C78" s="26" t="s">
        <v>70</v>
      </c>
      <c r="D78" s="1" t="s">
        <v>102</v>
      </c>
      <c r="E78" s="2">
        <v>6.2092846599708658</v>
      </c>
      <c r="F78" s="3">
        <f>-0.00304586793965497*E78 ^ 6 + 0.0531520103936971*E78 ^ 5 + -0.349248321037944*E78 ^ 4 + 1.06617718117121*E78 ^ 3 + -1.8875954105569*E78 ^ 2 + -0.327030932955189*E78 ^ 1 + 22.6897189969101</f>
        <v>-3.1134904574514621E-6</v>
      </c>
      <c r="G78" s="3">
        <f>-0.0000125600564460993*E78 ^ 6 + 0.000189462242310873*E78 ^ 5 + -0.00074625774192581*E78 ^ 4 + -0.00115650105554121*E78 ^ 3 + 0.00470071181397056*E78 ^ 2 + 0.0553415312608722*E78 ^ 1 + 0.166198077736633</f>
        <v>0.33379693198806931</v>
      </c>
      <c r="H78" s="4">
        <f>-0.0421111452181382*E78 ^ 6 + 0.838789663282009*E78 ^ 5 + -6.46387374383671*E78 ^ 4 + 23.9316642020186*E78 ^ 3 + -38.4395517581245*E78 ^ 2 + -8.21887635453171*E78 ^ 1 + 2919.20277983636</f>
        <v>2835.4363408037748</v>
      </c>
    </row>
    <row r="79" spans="2:8" x14ac:dyDescent="0.2">
      <c r="C79" s="26" t="s">
        <v>14</v>
      </c>
      <c r="D79" s="1" t="s">
        <v>103</v>
      </c>
      <c r="E79" s="2">
        <v>6.277459228134151</v>
      </c>
      <c r="F79" s="3">
        <f>-0.00232051964152371*E79 ^ 6 + 0.0405263748943385*E79 ^ 5 + -0.270243024423543*E79 ^ 4 + 0.874533198434281*E79 ^ 3 + -2.26947443529827*E79 ^ 2 + -0.963046019953943*E79 ^ 1 + 45.7397619553333</f>
        <v>-2.9328305592457582E-4</v>
      </c>
      <c r="G79" s="3">
        <f>0.0000554041799823029*E79 ^ 6 + -0.00109815858353059*E79 ^ 5 + 0.00868669796300002*E79 ^ 4 + -0.0344019398934467*E79 ^ 3 + 0.0521800017475137*E79 ^ 2 + 0.0958258030649405*E79 ^ 1 + 0.313298468227484</f>
        <v>0.63571372063435982</v>
      </c>
      <c r="H79" s="4">
        <f>-0.0417645498988059*E79 ^ 6 + 0.779976600460746*E79 ^ 5 + -5.66766548450194*E79 ^ 4 + 20.6547203473766*E79 ^ 3 + -36.5819316700853*E79 ^ 2 + 1.96546931121221*E79 ^ 1 + 2934.67159735219</f>
        <v>2861.2730898190407</v>
      </c>
    </row>
    <row r="80" spans="2:8" x14ac:dyDescent="0.2">
      <c r="C80" s="26" t="s">
        <v>14</v>
      </c>
      <c r="D80" s="1" t="s">
        <v>104</v>
      </c>
      <c r="E80" s="2">
        <v>9.4839457014700557</v>
      </c>
      <c r="F80" s="3">
        <f>0.00127104334152113*E80 ^ 6 + -0.0228317737712881*E80 ^ 5 + 0.145022359207728*E80 ^ 4 + -0.341224625080245*E80 ^ 3 + -0.991633245457663*E80 ^ 2 + -2.40400064743592*E80 ^ 1 + 56.719248080404</f>
        <v>2.6307039494355422E-4</v>
      </c>
      <c r="G80" s="3">
        <f>0.000105381083449123*E80 ^ 6 + -0.00200102229448749*E80 ^ 5 + 0.014831483584184*E80 ^ 4 + -0.0532421692524913*E80 ^ 3 + 0.0711147690234934*E80 ^ 2 + 0.11926843283804*E80 ^ 1 + 0.367891246443352</f>
        <v>5.6180542176796457</v>
      </c>
      <c r="H80" s="4">
        <f>-0.0185077182179256*E80 ^ 6 + 0.328763332790383*E80 ^ 5 + -2.46736121166185*E80 ^ 4 + 11.0065220855516*E80 ^ 3 + -24.8735126143702*E80 ^ 2 + -12.6160496967377*E80 ^ 1 + 2926.81457453986</f>
        <v>1754.9065499672495</v>
      </c>
    </row>
    <row r="81" spans="2:8" x14ac:dyDescent="0.2">
      <c r="C81" s="26" t="s">
        <v>16</v>
      </c>
      <c r="D81" s="1" t="s">
        <v>105</v>
      </c>
      <c r="E81" s="2">
        <v>7.688275440695838</v>
      </c>
      <c r="F81" s="3">
        <f>0.00610100975064706*E81 ^ 6 + -0.110012004078254*E81 ^ 5 + 0.741643110725973*E81 ^ 4 + -2.27068042144314*E81 ^ 3 + 1.67824931996626*E81 ^ 2 + -4.15875644748158*E81 ^ 1 + 68.5992472244064</f>
        <v>4.7473932511366002E-4</v>
      </c>
      <c r="G81" s="3">
        <f>0.00015547012445108*E81 ^ 6 + -0.00287763287951607*E81 ^ 5 + 0.0206201394769481*E81 ^ 4 + -0.0715952375385005*E81 ^ 3 + 0.0943452146913726*E81 ^ 2 + 0.15017602654846*E81 ^ 1 + 0.42338566610842</f>
        <v>1.4721964997080801</v>
      </c>
      <c r="H81" s="4">
        <f>-0.0235321007286411*E81 ^ 6 + 0.406275987457047*E81 ^ 5 + -2.73458713782722*E81 ^ 4 + 9.58656243432344*E81 ^ 3 + -15.6461034506861*E81 ^ 2 + -14.4444066010755*E81 ^ 1 + 2942.40298334759</f>
        <v>2762.2127714197841</v>
      </c>
    </row>
    <row r="82" spans="2:8" x14ac:dyDescent="0.2">
      <c r="C82" s="26" t="s">
        <v>16</v>
      </c>
      <c r="D82" s="1" t="s">
        <v>106</v>
      </c>
      <c r="E82" s="2">
        <v>7.0063914554382611</v>
      </c>
      <c r="F82" s="3">
        <f>0.0126770143845672*E82 ^ 6 + -0.2220863748259*E82 ^ 5 + 1.45280361031577*E82 ^ 4 + -4.32431085589905*E82 ^ 3 + 4.06110666629673*E82 ^ 2 + -6.07597986504866*E82 ^ 1 + 79.6295246050016</f>
        <v>8.3662628085789947E-5</v>
      </c>
      <c r="G82" s="3">
        <f>0.000240662625476286*E82 ^ 6 + -0.00434492123821017*E82 ^ 5 + 0.0301490659078407*E82 ^ 4 + -0.10015241345672*E82 ^ 3 + 0.126411745242265*E82 ^ 2 + 0.169781664756525*E82 ^ 1 + 0.462990333761451</f>
        <v>1.1743282905832257</v>
      </c>
      <c r="H82" s="4">
        <f>-0.0574430722886331*E82 ^ 6 + 1.01891787899583*E82 ^ 5 + -6.92797617107948*E82 ^ 4 + 23.0437330223408*E82 ^ 3 + -34.5741707430307*E82 ^ 2 + -11.5281028522721*E82 ^ 1 + 2939.00279393408</f>
        <v>2799.8161314542217</v>
      </c>
    </row>
    <row r="83" spans="2:8" x14ac:dyDescent="0.2">
      <c r="C83" s="26" t="s">
        <v>13</v>
      </c>
      <c r="D83" s="1" t="s">
        <v>107</v>
      </c>
      <c r="E83" s="2">
        <v>7.1056484855029272</v>
      </c>
      <c r="F83" s="3">
        <f>0.0148597776804354*E83 ^ 6 + -0.267461663491509*E83 ^ 5 + 1.80175412165322*E83 ^ 4 + -5.55196328518117*E83 ^ 3 + 5.70396574175011*E83 ^ 2 + -6.96272989377748*E83 ^ 1 + 92.3893534514327</f>
        <v>7.71148385183551E-5</v>
      </c>
      <c r="G83" s="3">
        <f>0.000278782354187777*E83 ^ 6 + -0.00509429617636394*E83 ^ 5 + 0.0357176511407284*E83 ^ 4 + -0.120060719645176*E83 ^ 3 + 0.156152911197455*E83 ^ 2 + 0.198124669983387*E83 ^ 1 + 0.541187680431003</f>
        <v>1.41715821621617</v>
      </c>
      <c r="H83" s="4">
        <f>-0.0251288621824044*E83 ^ 6 + 0.447233261155294*E83 ^ 5 + -3.08040881986213*E83 ^ 4 + 10.6732201896262*E83 ^ 3 + -16.7269361155711*E83 ^ 2 + -10.440193157113*E83 ^ 1 + 2961.23150116283</f>
        <v>2885.762853657141</v>
      </c>
    </row>
    <row r="84" spans="2:8" x14ac:dyDescent="0.2">
      <c r="C84" s="26" t="s">
        <v>13</v>
      </c>
      <c r="D84" s="1" t="s">
        <v>108</v>
      </c>
      <c r="E84" s="2">
        <v>7.6944078626812562</v>
      </c>
      <c r="F84" s="3">
        <f>0.00979633058034556*E84 ^ 6 + -0.174765992401133*E84 ^ 5 + 1.13930632249189*E84 ^ 4 + -3.19112389263383*E84 ^ 3 + 1.10931097847528*E84 ^ 2 + -5.00579041100478*E84 ^ 1 + 113.628007604405</f>
        <v>1.9739829468790049E-6</v>
      </c>
      <c r="G84" s="3">
        <f>0.000197720802604406*E84 ^ 6 + -0.00366847810178267*E84 ^ 5 + 0.0261873123806338*E84 ^ 4 + -0.0897465206650621*E84 ^ 3 + 0.104923451866865*E84 ^ 2 + 0.283066789435888*E84 ^ 1 + 0.700269047662887</f>
        <v>2.0888319168428433</v>
      </c>
      <c r="H84" s="4">
        <f>-0.0231443028877513*E84 ^ 6 + 0.423944531415587*E84 ^ 5 + -3.08218509605603*E84 ^ 4 + 11.7820416609315*E84 ^ 3 + -20.8776554750815*E84 ^ 2 + -15.581512785027*E84 ^ 1 + 2950.30458173892</f>
        <v>2789.0234151290078</v>
      </c>
    </row>
    <row r="85" spans="2:8" x14ac:dyDescent="0.2">
      <c r="C85" s="26" t="s">
        <v>28</v>
      </c>
      <c r="D85" s="1" t="s">
        <v>109</v>
      </c>
      <c r="E85" s="2">
        <v>7.7496206406835144</v>
      </c>
      <c r="F85" s="3">
        <f>0.00937642237566061*E85 ^ 6 + -0.156830545116956*E85 ^ 5 + 0.919948915917169*E85 ^ 4 + -2.09941129963574*E85 ^ 3 + -1.43660668229985*E85 ^ 2 + -4.46161632331585*E85 ^ 1 + 132.457453587851</f>
        <v>3.8213461593272768E-4</v>
      </c>
      <c r="G85" s="3">
        <f>0.000260911565710455*E85 ^ 6 + -0.0048890832383359*E85 ^ 5 + 0.035206486611192*E85 ^ 4 + -0.122103213160336*E85 ^ 3 + 0.158064554179229*E85 ^ 2 + 0.29619689880079*E85 ^ 1 + 0.835774911601917</f>
        <v>2.6381898418706586</v>
      </c>
      <c r="H85" s="4">
        <f>-0.0252832354942318*E85 ^ 6 + 0.473659373250216*E85 ^ 5 + -3.41010531735492*E85 ^ 4 + 11.820519001009*E85 ^ 3 + -15.1158686800088*E85 ^ 2 + -30.1668409418412*E85 ^ 1 + 2916.37258024192</f>
        <v>2739.4296707185849</v>
      </c>
    </row>
    <row r="86" spans="2:8" x14ac:dyDescent="0.2">
      <c r="B86" s="23"/>
      <c r="C86" s="26" t="s">
        <v>36</v>
      </c>
      <c r="D86" s="1" t="s">
        <v>110</v>
      </c>
      <c r="E86" s="2">
        <v>6.4793254646242673</v>
      </c>
      <c r="F86" s="3">
        <f>-0.0050020988310611*E86 ^ 6 + 0.0942451520506915*E86 ^ 5 + -0.73098479184592*E86 ^ 4 + 3.11715727268764*E86 ^ 3 + -10.3300250881184*E86 ^ 2 + 1.76273481674294*E86 ^ 1 + 156.547673305144</f>
        <v>-4.8344218726015242E-6</v>
      </c>
      <c r="G86" s="3">
        <f>-0.0000244963349701247*E86 ^ 6 + 0.0000319753986896094*E86 ^ 5 + 0.00388286998244275*E86 ^ 4 + -0.0312413950090185*E86 ^ 3 + 0.0302976634184376*E86 ^ 2 + 0.446133989063406*E86 ^ 1 + 1.03198594619082</f>
        <v>2.0925576986962988</v>
      </c>
      <c r="H86" s="4">
        <f>-0.0800057022689081*E86 ^ 6 + 1.41611228115256*E86 ^ 5 + -9.4673042123634*E86 ^ 4 + 30.4937123193418*E86 ^ 3 + -47.1715417137026*E86 ^ 2 + 1.67633870813392*E86 ^ 1 + 2944.01621625228</f>
        <v>2835.1418097127676</v>
      </c>
    </row>
    <row r="87" spans="2:8" x14ac:dyDescent="0.2">
      <c r="B87" s="23"/>
      <c r="C87" s="26" t="s">
        <v>73</v>
      </c>
      <c r="D87" s="1" t="s">
        <v>111</v>
      </c>
      <c r="E87" s="2">
        <v>11.437716656050805</v>
      </c>
      <c r="F87" s="3">
        <f>0.00152690639221583*E87 ^ 6 + -0.0231350787968387*E87 ^ 5 + 0.0395427351415519*E87 ^ 4 + 0.887064961171805*E87 ^ 3 + -8.39531404146163*E87 ^ 2 + 1.0841910154059*E87 ^ 1 + 191.867027006271</f>
        <v>4.6399666416618857E-4</v>
      </c>
      <c r="G87" s="3">
        <f>0.000103825357798032*E87 ^ 6 + -0.00240596038604183*E87 ^ 5 + 0.0214298774723314*E87 ^ 4 + -0.091787810947905*E87 ^ 3 + 0.121367489311412*E87 ^ 2 + 0.512783796915699*E87 ^ 1 + 1.27065443022905</f>
        <v>13.921209463831721</v>
      </c>
      <c r="H87" s="4">
        <f>-0.0337276309252225*E87 ^ 6 + 0.609649538089713*E87 ^ 5 + -4.22840399100177*E87 ^ 4 + 14.5130643233224*E87 ^ 3 + -24.1875183631356*E87 ^ 2 + -2.15079596960866*E87 ^ 1 + 2957.68893155087</f>
        <v>-7056.6893656069915</v>
      </c>
    </row>
    <row r="88" spans="2:8" x14ac:dyDescent="0.2">
      <c r="C88" s="26" t="s">
        <v>74</v>
      </c>
      <c r="D88" s="1" t="s">
        <v>112</v>
      </c>
      <c r="E88" s="2">
        <v>6.5887841899641852</v>
      </c>
      <c r="F88" s="3">
        <f>-0.0157408044503894*E88 ^ 6 + 0.323577623535749*E88 ^ 5 + -2.54232964353391*E88 ^ 4 + 9.6231462074142*E88 ^ 3 + -22.0122576682931*E88 ^ 2 + 6.07890905253217*E88 ^ 1 + 224.182419384591</f>
        <v>-1.096735221040035E-5</v>
      </c>
      <c r="G88" s="3">
        <f>0.00015034801552076*E88 ^ 6 + -0.00308127901811102*E88 ^ 5 + 0.0248081914857635*E88 ^ 4 + -0.0994236155492635*E88 ^ 3 + 0.123409793420554*E88 ^ 2 + 0.598533034159887*E88 ^ 1 + 1.47980246189755</f>
        <v>3.1357828701535349</v>
      </c>
      <c r="H88" s="4">
        <f>-0.00499416095808035*E88 ^ 6 + 0.103961306688806*E88 ^ 5 + -0.853216235544409*E88 ^ 4 + 3.50570616892757*E88 ^ 3 + -4.51487428405035*E88 ^ 2 + -21.4109860509497*E88 ^ 1 + 2947.76343842949</f>
        <v>2887.7798227272469</v>
      </c>
    </row>
    <row r="89" spans="2:8" x14ac:dyDescent="0.2">
      <c r="C89" s="26" t="s">
        <v>9</v>
      </c>
      <c r="D89" s="1" t="s">
        <v>113</v>
      </c>
      <c r="E89" s="2">
        <v>11.61676179271425</v>
      </c>
      <c r="F89" s="3">
        <f>0.000256357079374004*E89 ^ 6 + -0.0064294725835504*E89 ^ 5 + 0.0581418465923084*E89 ^ 4 + -0.243717612180044*E89 ^ 3 + 0.285690621894504*E89 ^ 2 + -0.645635549242966*E89 ^ 1 + 22.3502862954949</f>
        <v>1.6401736797178046E-5</v>
      </c>
      <c r="G89" s="3">
        <f>-7.42708894018913E-07*E89 ^ 6 + 0.0000196960105593438*E89 ^ 5 + -0.000134448552468715*E89 ^ 4 + -0.00044940865383815*E89 ^ 3 + 0.00165501751270542*E89 ^ 2 + 0.0613451599999073*E89 ^ 1 + 0.177702324526474</f>
        <v>0.30220418563324075</v>
      </c>
      <c r="H89" s="4">
        <f>0.000595706189576804*E89 ^ 6 + -0.0225960190229991*E89 ^ 5 + 0.288758418381142*E89 ^ 4 + -1.30893498198504*E89 ^ 3 + 1.87632027053486*E89 ^ 2 + -16.6056693882153*E89 ^ 1 + 2937.83904190769</f>
        <v>2888.5015635595851</v>
      </c>
    </row>
    <row r="90" spans="2:8" x14ac:dyDescent="0.2">
      <c r="C90" s="26" t="s">
        <v>14</v>
      </c>
      <c r="D90" s="1" t="s">
        <v>114</v>
      </c>
      <c r="E90" s="2">
        <v>10.72464591827133</v>
      </c>
      <c r="F90" s="3">
        <f>0.000524377333895235*E90 ^ 6 + -0.0130431258003979*E90 ^ 5 + 0.118227547512694*E90 ^ 4 + -0.494750307778101*E90 ^ 3 + 0.664605145859212*E90 ^ 2 + -1.04051185981193*E90 ^ 1 + 33.6005186472037</f>
        <v>4.1100011441130846E-4</v>
      </c>
      <c r="G90" s="3">
        <f>-1.41638856308243E-06*E90 ^ 6 + 0.0000408703689643437*E90 ^ 5 + -0.000354631671839617*E90 ^ 4 + 0.000275925620554058*E90 ^ 3 + -0.0000525874193004864*E90 ^ 2 + 0.0916897144688257*E90 ^ 1 + 0.257003614256142</f>
        <v>0.52662173140055324</v>
      </c>
      <c r="H90" s="4">
        <f>0.000211135691755183*E90 ^ 6 + -0.00596379452385593*E90 ^ 5 + 0.0389959624706904*E90 ^ 4 + 0.407788052601437*E90 ^ 3 + -3.93655192840885*E90 ^ 2 + -7.47971380982378*E90 ^ 1 + 2940.99971664349</f>
        <v>2902.0404438141832</v>
      </c>
    </row>
    <row r="91" spans="2:8" x14ac:dyDescent="0.2">
      <c r="C91" s="26" t="s">
        <v>16</v>
      </c>
      <c r="D91" s="1" t="s">
        <v>115</v>
      </c>
      <c r="E91" s="2">
        <v>10.528581175230535</v>
      </c>
      <c r="F91" s="3">
        <f>0.000858830297223598*E91 ^ 6 + -0.0217768477768063*E91 ^ 5 + 0.203180405987228*E91 ^ 4 + -0.886728898307297*E91 ^ 3 + 1.45085478797932*E91 ^ 2 + -1.90643454823099*E91 ^ 1 + 45.010203668894</f>
        <v>3.7839313755227977E-5</v>
      </c>
      <c r="G91" s="3">
        <f>3.78729421881107E-06*E91 ^ 6 + -0.0000995064948962733*E91 ^ 5 + 0.00110487757956033*E91 ^ 4 + -0.00727850243240373*E91 ^ 3 + 0.0177270186568117*E91 ^ 2 + 0.107333846472333*E91 ^ 1 + 0.339097611700139</f>
        <v>0.80131276332961687</v>
      </c>
      <c r="H91" s="4">
        <f>0.00610488404808115*E91 ^ 6 + -0.17336647122081*E91 ^ 5 + 1.86506737881464*E91 ^ 4 + -9.20679462738062*E91 ^ 3 + 20.8770897344604*E91 ^ 2 + -32.1399667371032*E91 ^ 1 + 2951.70321179829</f>
        <v>2986.55420103701</v>
      </c>
    </row>
    <row r="92" spans="2:8" x14ac:dyDescent="0.2">
      <c r="C92" s="26" t="s">
        <v>16</v>
      </c>
      <c r="D92" s="1" t="s">
        <v>116</v>
      </c>
      <c r="E92" s="2">
        <v>10.147639869702164</v>
      </c>
      <c r="F92" s="3">
        <f>0.000666247543289387*E92 ^ 6 + -0.0145552506122645*E92 ^ 5 + 0.107331336332962*E92 ^ 4 + -0.312635183241448*E92 ^ 3 + -0.229892420424222*E92 ^ 2 + -0.449515143923437*E92 ^ 1 + 55.5095966889542</f>
        <v>5.4951629451238659E-5</v>
      </c>
      <c r="G92" s="3">
        <f>0.0000150026572269232*E92 ^ 6 + -0.000406824278906046*E92 ^ 5 + 0.0043516086600089*E92 ^ 4 + -0.0237355877831678*E92 ^ 3 + 0.0538398144970535*E92 ^ 2 + 0.111372164299902*E92 ^ 1 + 0.406894123109253</f>
        <v>1.0282381037538348</v>
      </c>
      <c r="H92" s="4">
        <f>-0.0013855094571459*E92 ^ 6 + 0.0169382770846913*E92 ^ 5 + 0.0381344546371324*E92 ^ 4 + -0.705112553606464*E92 ^ 3 + 0.946841534229689*E92 ^ 2 + -18.275233159429*E92 ^ 1 + 2943.73368985262</f>
        <v>2833.0953847517994</v>
      </c>
    </row>
    <row r="93" spans="2:8" x14ac:dyDescent="0.2">
      <c r="C93" s="26" t="s">
        <v>13</v>
      </c>
      <c r="D93" s="1" t="s">
        <v>117</v>
      </c>
      <c r="E93" s="2">
        <v>-3301264.6462593037</v>
      </c>
      <c r="F93" s="3">
        <f>0.00103590095596529*E93 ^ 6 + -0.0242215665915345*E93 ^ 5 + 0.201465833736962*E93 ^ 4 + -0.749581421601526*E93 ^ 3 + 0.670736931982053*E93 ^ 2 + -1.20495063943046*E93 ^ 1 + 67.5295407446266</f>
        <v>1.3409215049875559E+36</v>
      </c>
      <c r="G93" s="3">
        <f>0.0000205435928691247*E93 ^ 6 + -0.0005516375780857*E93 ^ 5 + 0.00578352301517015*E93 ^ 4 + -0.0308583781200475*E93 ^ 3 + 0.0711882329684104*E93 ^ 2 + 0.127912055437801*E93 ^ 1 + 0.486386267099327</f>
        <v>2.6592672073540897E+34</v>
      </c>
      <c r="H93" s="4">
        <f>0.00156138008470828*E93 ^ 6 + -0.0561892286874286*E93 ^ 5 + 0.73877194877408*E93 ^ 4 + -4.19140265198122*E93 ^ 3 + 10.4197064424323*E93 ^ 2 + -23.1683460951427*E93 ^ 1 + 2963.9307019322</f>
        <v>2.021135432911922E+36</v>
      </c>
    </row>
    <row r="94" spans="2:8" x14ac:dyDescent="0.2">
      <c r="C94" s="26" t="s">
        <v>13</v>
      </c>
      <c r="D94" s="1" t="s">
        <v>118</v>
      </c>
      <c r="E94" s="2">
        <v>10.565461555651172</v>
      </c>
      <c r="F94" s="3">
        <f>0.000669377031749151*E94 ^ 6 + -0.0134736381973941*E94 ^ 5 + 0.0801012876710732*E94 ^ 4 + -0.0979955312347033*E94 ^ 3 + -1.06765639044883*E94 ^ 2 + 0.0828604749123804*E94 ^ 1 + 78.5194919582114</f>
        <v>3.3011054725307076E-5</v>
      </c>
      <c r="G94" s="3">
        <f>0.0000118705545763412*E94 ^ 6 + -0.000320627770084285*E94 ^ 5 + 0.00346287492325572*E94 ^ 4 + -0.0199617691701718*E94 ^ 3 + 0.0449942631619699*E94 ^ 2 + 0.178105560147185*E94 ^ 1 + 0.558985654526227</f>
        <v>1.3706032405090309</v>
      </c>
      <c r="H94" s="4">
        <f>-0.00762243253078187*E94 ^ 6 + 0.191394633168862*E94 ^ 5 + -1.82422440186764*E94 ^ 4 + 8.59747527726133*E94 ^ 3 + -20.2274942422595*E94 ^ 2 + 1.31243015012463*E94 ^ 1 + 2959.00196273922</f>
        <v>2718.6009198331935</v>
      </c>
    </row>
    <row r="95" spans="2:8" x14ac:dyDescent="0.2">
      <c r="C95" s="26" t="s">
        <v>28</v>
      </c>
      <c r="D95" s="1" t="s">
        <v>119</v>
      </c>
      <c r="E95" s="2">
        <v>10.071174517167012</v>
      </c>
      <c r="F95" s="3">
        <f>0.000947815238414121*E95 ^ 6 + -0.0190761376216859*E95 ^ 5 + 0.116526195515171*E95 ^ 4 + -0.187317399400427*E95 ^ 3 + -1.01480967923484*E95 ^ 2 + -0.548060494760227*E95 ^ 1 + 88.4593054868838</f>
        <v>7.4430837707950559E-4</v>
      </c>
      <c r="G95" s="3">
        <f>0.0000274502666017172*E95 ^ 6 + -0.000718890380239294*E95 ^ 5 + 0.00732827595185257*E95 ^ 4 + -0.0380156670011248*E95 ^ 3 + 0.0847943911133819*E95 ^ 2 + 0.165503911399352*E95 ^ 1 + 0.625284361703735</f>
        <v>1.6105096740357263</v>
      </c>
      <c r="H95" s="4">
        <f>-0.0027144585793979*E95 ^ 6 + 0.0709363649410584*E95 ^ 5 + -0.720949703328423*E95 ^ 4 + 3.72599899568554*E95 ^ 3 + -8.2218524583717*E95 ^ 2 + -16.9941022246554*E95 ^ 1 + 2937.84155955503</f>
        <v>2839.1717353840154</v>
      </c>
    </row>
    <row r="96" spans="2:8" x14ac:dyDescent="0.2">
      <c r="C96" s="26" t="s">
        <v>36</v>
      </c>
      <c r="D96" s="1" t="s">
        <v>120</v>
      </c>
      <c r="E96" s="2">
        <v>9.9312987987753178</v>
      </c>
      <c r="F96" s="3">
        <f>0.00137208369756851*E96 ^ 6 + -0.0314491512765724*E96 ^ 5 + 0.253454228943219*E96 ^ 4 + -0.889810432553311*E96 ^ 3 + 0.291381108385625*E96 ^ 2 + -1.23275760461203*E96 ^ 1 + 111.960150531833</f>
        <v>0.59426809899586885</v>
      </c>
      <c r="G96" s="3">
        <f>0.0000203487819574006*E96 ^ 6 + -0.000542443628077512*E96 ^ 5 + 0.00582753131299373*E96 ^ 4 + -0.0334668523215834*E96 ^ 3 + 0.0785933496657221*E96 ^ 2 + 0.237392304993795*E96 ^ 1 + 0.794689913762467</f>
        <v>1.9303134567809459</v>
      </c>
      <c r="H96" s="4">
        <f>-0.00634146267652815*E96 ^ 6 + 0.150552795671544*E96 ^ 5 + -1.30807169284548*E96 ^ 4 + 5.46512953062713*E96 ^ 3 + -11.7186820508219*E96 ^ 2 + -4.47349025700342*E96 ^ 1 + 2954.71745566573</f>
        <v>2843.4586567731189</v>
      </c>
    </row>
    <row r="97" spans="2:8" x14ac:dyDescent="0.2">
      <c r="C97" s="26" t="s">
        <v>73</v>
      </c>
      <c r="D97" s="1" t="s">
        <v>121</v>
      </c>
      <c r="E97" s="2">
        <v>9.9540955683956565</v>
      </c>
      <c r="F97" s="3">
        <f>0.00177894196440651*E97 ^ 6 + -0.041299682374206*E97 ^ 5 + 0.337680775325349*E97 ^ 4 + -1.20881046714102*E97 ^ 3 + 0.638308694245053*E97 ^ 2 + -1.35649014238455*E97 ^ 1 + 135.539386286866</f>
        <v>2.7337485156494949</v>
      </c>
      <c r="G97" s="3">
        <f>0.0000354900681945275*E97 ^ 6 + -0.00092963766534792*E97 ^ 5 + 0.00957031238928262*E97 ^ 4 + -0.0514073997684146*E97 ^ 3 + 0.120022381089498*E97 ^ 2 + 0.267074549257117*E97 ^ 1 + 0.964879594842544</f>
        <v>2.4450614560452428</v>
      </c>
      <c r="H97" s="4">
        <f>-0.00187449254932354*E97 ^ 6 + 0.0431693911620416*E97 ^ 5 + -0.360118207205896*E97 ^ 4 + 1.51012288746863*E97 ^ 3 + -3.26759787656424*E97 ^ 2 + -8.07070607968599*E97 ^ 1 + 2966.6708260064</f>
        <v>2911.7858055412794</v>
      </c>
    </row>
    <row r="98" spans="2:8" x14ac:dyDescent="0.2">
      <c r="C98" s="26" t="s">
        <v>73</v>
      </c>
      <c r="D98" s="1" t="s">
        <v>122</v>
      </c>
      <c r="E98" s="2">
        <v>119.98331088567542</v>
      </c>
      <c r="F98" s="3">
        <f>0.00218783395475021*E98 ^ 6 + -0.0515562845834393*E98 ^ 5 + 0.432568731689039*E98 ^ 4 + -1.59983869805083*E98 ^ 3 + 1.06294910490084*E98 ^ 2 + -1.91302176288535*E98 ^ 1 + 157.739155304141</f>
        <v>5332293645.0979004</v>
      </c>
      <c r="G98" s="3">
        <f>0.0000428864424470038*E98 ^ 6 + -0.00113543280984909*E98 ^ 5 + 0.0118218978547055*E98 ^ 4 + -0.0635480144886239*E98 ^ 3 + 0.146521394540941*E98 ^ 2 + 0.300378306758872*E98 ^ 1 + 1.11996598065746</f>
        <v>102060255.36348404</v>
      </c>
      <c r="H98" s="4">
        <f>-0.00333422528810636*E98 ^ 6 + 0.0741832125938806*E98 ^ 5 + -0.609179938859611*E98 ^ 4 + 2.61801646067022*E98 ^ 3 + -6.48579275114889*E98 ^ 2 + -6.6491840239752*E98 ^ 1 + 2961.99537738337</f>
        <v>-8224824451.431221</v>
      </c>
    </row>
    <row r="99" spans="2:8" x14ac:dyDescent="0.2">
      <c r="C99" s="26" t="s">
        <v>74</v>
      </c>
      <c r="D99" s="1" t="s">
        <v>123</v>
      </c>
      <c r="E99" s="2">
        <v>9.7554576159701156</v>
      </c>
      <c r="F99" s="3">
        <f>0.00342867958583459*E99 ^ 6 + -0.081690124780623*E99 ^ 5 + 0.705884230136973*E99 ^ 4 + -2.79202445777966*E99 ^ 3 + 3.46544572999212*E99 ^ 2 + -5.05345356754164*E99 ^ 1 + 190.169610464943</f>
        <v>9.3238712468683502</v>
      </c>
      <c r="G99" s="3">
        <f>0.0000759481754876858*E99 ^ 6 + -0.00199141564510375*E99 ^ 5 + 0.0203385458168524*E99 ^ 4 + -0.105253374080774*E99 ^ 3 + 0.243990403774618*E99 ^ 2 + 0.291391594282586*E99 ^ 1 + 1.34537326580058</f>
        <v>3.4078976853370078</v>
      </c>
      <c r="H99" s="4">
        <f>0.00103395852518791*E99 ^ 6 + -0.0381284177081401*E99 ^ 5 + 0.508042260216784*E99 ^ 4 + -2.97654770002193*E99 ^ 3 + 8.88813641531929*E99 ^ 2 + -27.2689072197618*E99 ^ 1 + 2951.37992141249</f>
        <v>2891.4988873597044</v>
      </c>
    </row>
    <row r="100" spans="2:8" x14ac:dyDescent="0.2">
      <c r="C100" s="26" t="s">
        <v>75</v>
      </c>
      <c r="D100" s="1" t="s">
        <v>124</v>
      </c>
      <c r="E100" s="2">
        <v>129899069.29627664</v>
      </c>
      <c r="F100" s="3">
        <f>0.0035895290504043*E100 ^ 6 + -0.0836773791457914*E100 ^ 5 + 0.695940713423949*E100 ^ 4 + -2.57083529661793*E100 ^ 3 + 2.31833374454338*E100 ^ 2 + -4.10387083827913*E100 ^ 1 + 212.539569466517</f>
        <v>1.7245414258641404E+46</v>
      </c>
      <c r="G100" s="3">
        <f>0.0000682569292435509*E100 ^ 6 + -0.00175467282724015*E100 ^ 5 + 0.017615647536912*E100 ^ 4 + -0.0911089607828734*E100 ^ 3 + 0.207386157265006*E100 ^ 2 + 0.383888511682515*E100 ^ 1 + 1.50367807665731</f>
        <v>3.2793131984513281E+44</v>
      </c>
      <c r="H100" s="4">
        <f>-0.00213468497071028*E100 ^ 6 + 0.0548515592248503*E100 ^ 5 + -0.550659562627625*E100 ^ 4 + 2.85267555621963*E100 ^ 3 + -6.45958458717345*E100 ^ 2 + -12.8386234692971*E100 ^ 1 + 2951.38073976663</f>
        <v>-1.0255809449949311E+46</v>
      </c>
    </row>
    <row r="101" spans="2:8" x14ac:dyDescent="0.2">
      <c r="C101" s="26" t="s">
        <v>14</v>
      </c>
      <c r="D101" s="1" t="s">
        <v>125</v>
      </c>
      <c r="E101" s="2">
        <v>17.021703683912385</v>
      </c>
      <c r="F101" s="3">
        <f>-8.28701538810279E-06*E101 ^ 6 + 0.000441596364678707*E101 ^ 5 + -0.00847055842504515*E101 ^ 4 + 0.0667553591140268*E101 ^ 3 + -0.238965100778116*E101 ^ 2 + -0.116285907093762*E101 ^ 1 + 23.6284124607643</f>
        <v>-1.8242358095221789E-6</v>
      </c>
      <c r="G101" s="3">
        <f>2.59961442147473E-07*E101 ^ 6 + -0.0000141339103514793*E101 ^ 5 + 0.000300655921686713*E101 ^ 4 + -0.00312607293962544*E101 ^ 3 + 0.0128557861539184*E101 ^ 2 + 0.0500781870598827*E101 ^ 1 + 0.252047293944441</f>
        <v>0.77804239479371917</v>
      </c>
      <c r="H101" s="4">
        <f>-0.0000724391139249974*E101 ^ 6 + 0.00387886080311985*E101 ^ 5 + -0.0810178502487116*E101 ^ 4 + 0.858292635006604*E101 ^ 3 + -4.36151471888084*E101 ^ 2 + -3.57734297919083*E101 ^ 1 + 2957.98015303068</f>
        <v>2845.771586599149</v>
      </c>
    </row>
    <row r="102" spans="2:8" x14ac:dyDescent="0.2">
      <c r="C102" s="26" t="s">
        <v>16</v>
      </c>
      <c r="D102" s="1" t="s">
        <v>126</v>
      </c>
      <c r="E102" s="2">
        <v>17.311662992342423</v>
      </c>
      <c r="F102" s="3">
        <f>-2.23414662342054E-06*E102 ^ 6 + 0.000142045241735585*E102 ^ 5 + -0.00278117777932124*E102 ^ 4 + 0.0131498248782786*E102 ^ 3 + -0.00776351473461067*E102 ^ 2 + -0.75528171408806*E102 ^ 1 + 36.2481861030304</f>
        <v>-4.5265355773693727E-4</v>
      </c>
      <c r="G102" s="3">
        <f>3.13786849243346E-07*E102 ^ 6 + -0.0000167692188457901*E102 ^ 5 + 0.000349471236424006*E102 ^ 4 + -0.00356171872724455*E102 ^ 3 + 0.0131357998843479*E102 ^ 2 + 0.0890628996880442*E102 ^ 1 + 0.40192853591256</f>
        <v>1.1621620701787356</v>
      </c>
      <c r="H102" s="4">
        <f>0.0000214425811805396*E102 ^ 6 + -0.00123290573040843*E102 ^ 5 + 0.0267825676823688*E102 ^ 4 + -0.265599963077586*E102 ^ 3 + 1.89381749406814*E102 ^ 2 + -21.3279738008077*E102 ^ 1 + 2970.03830694665</f>
        <v>2856.0777247134715</v>
      </c>
    </row>
    <row r="103" spans="2:8" x14ac:dyDescent="0.2">
      <c r="C103" s="26" t="s">
        <v>13</v>
      </c>
      <c r="D103" s="1" t="s">
        <v>127</v>
      </c>
      <c r="E103" s="2">
        <v>16.842983735732005</v>
      </c>
      <c r="F103" s="3">
        <f>-0.0000137442129629647*E103 ^ 6 + 0.000655315170940254*E103 ^ 5 + -0.0112275195868961*E103 ^ 4 + 0.0754980089355231*E103 ^ 3 + -0.245980154105218*E103 ^ 2 + -0.559872183372054*E103 ^ 1 + 47.5540947940947</f>
        <v>-1.0695826463091862E-4</v>
      </c>
      <c r="G103" s="3">
        <f>-1.18634259259264E-07*E103 ^ 6 + 2.62954059829081E-06*E103 ^ 5 + 0.000038550569800566*E103 ^ 4 + -0.00150936528749026*E103 ^ 3 + 0.00747444412069403*E103 ^ 2 + 0.121291542346542*E103 ^ 1 + 0.481974203574203</f>
        <v>1.3916524291205756</v>
      </c>
      <c r="H103" s="4">
        <f>0.0000723379629629727*E103 ^ 6 + -0.00361244658119705*E103 ^ 5 + 0.0654602920228007*E103 ^ 4 + -0.47451680264188*E103 ^ 3 + 1.24224617974652*E103 ^ 2 + -13.1338772338779*E103 ^ 1 + 2949.02175602176</f>
        <v>2835.9033048673859</v>
      </c>
    </row>
    <row r="104" spans="2:8" x14ac:dyDescent="0.2">
      <c r="C104" s="26" t="s">
        <v>28</v>
      </c>
      <c r="D104" s="1" t="s">
        <v>128</v>
      </c>
      <c r="E104" s="2">
        <v>17.224850814038163</v>
      </c>
      <c r="F104" s="3">
        <f>2.59256296977526E-06*E104 ^ 6 + -0.000136287883349162*E104 ^ 5 + 0.00364525944149138*E104 ^ 4 + -0.06017647399669*E104 ^ 3 + 0.333288916174862*E104 ^ 2 + -1.90224335528233*E104 ^ 1 + 59.4669964959326</f>
        <v>-4.0924918870643978E-5</v>
      </c>
      <c r="G104" s="3">
        <f>-1.84273906094584E-07*E104 ^ 6 + 4.38615933209854E-06*E104 ^ 5 + 0.0000426266518479211*E104 ^ 4 + -0.00188202102492657*E104 ^ 3 + 0.00785669340537955*E104 ^ 2 + 0.15628666984361*E104 ^ 1 + 0.618920207871385</f>
        <v>1.6140198847207272</v>
      </c>
      <c r="H104" s="4">
        <f>0.0000333112174389948*E104 ^ 6 + -0.00123480768255993*E104 ^ 5 + 0.010005519342319*E104 ^ 4 + 0.131515662024708*E104 ^ 3 + -1.39138491435207*E104 ^ 2 + -13.8353004780679*E104 ^ 1 + 2950.01361319351</f>
        <v>2849.4712698501512</v>
      </c>
    </row>
    <row r="105" spans="2:8" x14ac:dyDescent="0.2">
      <c r="B105" s="23"/>
      <c r="C105" s="26" t="s">
        <v>36</v>
      </c>
      <c r="D105" s="1" t="s">
        <v>129</v>
      </c>
      <c r="E105" s="2">
        <v>17.505231973691842</v>
      </c>
      <c r="F105" s="3">
        <f>0.0000321889052156628*E105 ^ 6 + -0.00145411583892192*E105 ^ 5 + 0.0255056621200936*E105 ^ 4 + -0.23062523037286*E105 ^ 3 + 0.952355609072795*E105 ^ 2 + -3.06082197165959*E105 ^ 1 + 72.0892372715127</f>
        <v>4.2361062265440239</v>
      </c>
      <c r="G105" s="3">
        <f>9.78476474535381E-08*E105 ^ 6 + -9.92060325073439E-06*E105 ^ 5 + 0.000317493318956511*E105 ^ 4 + -0.00434187121798537*E105 ^ 3 + 0.0157585155541461*E105 ^ 2 + 0.194780546776839*E105 ^ 1 + 0.690857963883058</f>
        <v>1.9602891356132384</v>
      </c>
      <c r="H105" s="4">
        <f>0.0000480459626394895*E105 ^ 6 + -0.00245766098985939*E105 ^ 5 + 0.0438795937265733*E105 ^ 4 + -0.304212929456726*E105 ^ 3 + 1.38555149794733*E105 ^ 2 + -22.0311480208565*E105 ^ 1 + 2960.02547475708</f>
        <v>2830.1229750584316</v>
      </c>
    </row>
    <row r="106" spans="2:8" x14ac:dyDescent="0.2">
      <c r="B106" s="23"/>
      <c r="C106" s="26" t="s">
        <v>73</v>
      </c>
      <c r="D106" s="1" t="s">
        <v>130</v>
      </c>
      <c r="E106" s="2">
        <v>21.212590185273037</v>
      </c>
      <c r="F106" s="3">
        <f>0.0000156778493475376*E106 ^ 6 + -0.000784657409420982*E106 ^ 5 + 0.015909453900923*E106 ^ 4 + -0.176709974834621*E106 ^ 3 + 0.848524081197797*E106 ^ 2 + -2.8445078235668*E106 ^ 1 + 85.6986967171005</f>
        <v>-6.076839173516646E-4</v>
      </c>
      <c r="G106" s="3">
        <f>-3.96324865878947E-07*E106 ^ 6 + 0.0000155713170217891*E106 ^ 5 + -0.000176893512159639*E106 ^ 4 + -0.0000877404657499171*E106 ^ 3 + 0.000173707707919705*E106 ^ 2 + 0.252575687186025*E106 ^ 1 + 0.799755484117207</f>
        <v>0.35220648819574496</v>
      </c>
      <c r="H106" s="4">
        <f>0.0000926778381264073*E106 ^ 6 + -0.00464696217115156*E106 ^ 5 + 0.0895628783826345*E106 ^ 4 + -0.823059563679464*E106 ^ 3 + 3.97938759644032*E106 ^ 2 + -16.0674488398755*E106 ^ 1 + 2979.99326057997</f>
        <v>3192.8258626792363</v>
      </c>
    </row>
    <row r="107" spans="2:8" x14ac:dyDescent="0.2">
      <c r="C107" s="26" t="s">
        <v>73</v>
      </c>
      <c r="D107" s="1" t="s">
        <v>131</v>
      </c>
      <c r="E107" s="2">
        <v>-15.868217355706754</v>
      </c>
      <c r="F107" s="3">
        <f>2.66856911967593E-06*E107 ^ 6 + 0.0000348754377706684*E107 ^ 5 + -0.00227306444005776*E107 ^ 4 + 0.000973061938359828*E107 ^ 3 + 0.0586758614745207*E107 ^ 2 + -1.8037308809178*E107 ^ 1 + 97.0958515008947</f>
        <v>-4.5038437548328147E-6</v>
      </c>
      <c r="G107" s="3">
        <f>6.67876878041866E-07*E107 ^ 6 + -0.0000395492179069568*E107 ^ 5 + 0.000919328577497401*E107 ^ 4 + -0.0105239748670223*E107 ^ 3 + 0.0458483305534922*E107 ^ 2 + 0.208465006784919*E107 ^ 1 + 0.949948496212933</f>
        <v>159.97807212407938</v>
      </c>
      <c r="H107" s="4">
        <f>0.000265687829106565*E107 ^ 6 + -0.0135516511113482*E107 ^ 5 + 0.258208219988571*E107 ^ 4 + -2.23709960506926*E107 ^ 3 + 8.78478343385605*E107 ^ 2 + -20.2043124867665*E107 ^ 1 + 2970.01790623942</f>
        <v>48688.527782925288</v>
      </c>
    </row>
    <row r="108" spans="2:8" x14ac:dyDescent="0.2">
      <c r="C108" s="26" t="s">
        <v>74</v>
      </c>
      <c r="D108" s="1" t="s">
        <v>132</v>
      </c>
      <c r="E108" s="2">
        <v>18.136486371190514</v>
      </c>
      <c r="F108" s="3">
        <f>0.0000471681792932831*E108 ^ 6 + -0.00223435747377416*E108 ^ 5 + 0.0412747827388714*E108 ^ 4 + -0.392532240359427*E108 ^ 3 + 1.66471801527268*E108 ^ 2 + -4.48743477454879*E108 ^ 1 + 121.490058065339</f>
        <v>5.9419300621972297</v>
      </c>
      <c r="G108" s="3">
        <f>-7.85539633812732E-07*E108 ^ 6 + 0.000034438542085097*E108 ^ 5 + -0.00049383480018413*E108 ^ 4 + 0.00204993537479711*E108 ^ 3 + -0.010055343385556*E108 ^ 2 + 0.383474856325139*E108 ^ 1 + 1.19996854468734</f>
        <v>3.2674864820590148</v>
      </c>
      <c r="H108" s="4">
        <f>0.0000422213725658765*E108 ^ 6 + -0.0024293251369995*E108 ^ 5 + 0.0534658973187314*E108 ^ 4 + -0.545174644693605*E108 ^ 3 + 2.83913036069121*E108 ^ 2 + -13.9207307588916*E108 ^ 1 + 2979.98657313177</f>
        <v>2929.4344304430842</v>
      </c>
    </row>
    <row r="109" spans="2:8" x14ac:dyDescent="0.2">
      <c r="C109" s="26" t="s">
        <v>75</v>
      </c>
      <c r="D109" s="1" t="s">
        <v>133</v>
      </c>
      <c r="E109" s="2">
        <v>17.815738850110268</v>
      </c>
      <c r="F109" s="3">
        <f>0.0000605973529480913*E109 ^ 6 + -0.00286602977953401*E109 ^ 5 + 0.0527436116688791*E109 ^ 4 + -0.494828724861009*E109 ^ 3 + 2.10987327189829*E109 ^ 2 + -5.90544479292484*E109 ^ 1 + 133.592770180318</f>
        <v>7.1614839897668077</v>
      </c>
      <c r="G109" s="3">
        <f>-1.69756063200335E-06*E109 ^ 6 + 0.0000742783134091432*E109 ^ 5 + -0.00113458201799841*E109 ^ 4 + 0.00677894385018332*E109 ^ 3 + -0.0279226388650489*E109 ^ 2 + 0.433792923858142*E109 ^ 1 + 1.30978889871009</f>
        <v>3.2418313151617633</v>
      </c>
      <c r="H109" s="4">
        <f>0.0000303327021522229*E109 ^ 6 + -0.00202697263281118*E109 ^ 5 + 0.0475918308157406*E109 ^ 4 + -0.469086733797758*E109 ^ 3 + 2.26732793123667*E109 ^ 2 + -15.7340631367299*E109 ^ 1 + 2970.06796730052</f>
        <v>2883.2768554469067</v>
      </c>
    </row>
    <row r="110" spans="2:8" x14ac:dyDescent="0.2">
      <c r="C110" s="26" t="s">
        <v>76</v>
      </c>
      <c r="D110" s="1" t="s">
        <v>134</v>
      </c>
      <c r="E110" s="2">
        <v>17.999565964165068</v>
      </c>
      <c r="F110" s="3">
        <f>0.0000375888191428196*E110 ^ 6 + -0.00198883053252859*E110 ^ 5 + 0.042496117971323*E110 ^ 4 + -0.472474840353507*E110 ^ 3 + 2.29714222372032*E110 ^ 2 + -6.4006209471157*E110 ^ 1 + 144.885056442724</f>
        <v>2.9155092164501184E-5</v>
      </c>
      <c r="G110" s="3">
        <f>8.02138999520958E-07*E110 ^ 6 + -0.000044684576437944*E110 ^ 5 + 0.000990994123617276*E110 ^ 4 + -0.0108491184322302*E110 ^ 3 + 0.0370790669600598*E110 ^ 2 + 0.399498297307789*E110 ^ 1 + 1.42983819360123</f>
        <v>4.2409742535573516</v>
      </c>
      <c r="H110" s="4">
        <f>0.0000124986080024492*E110 ^ 6 + -0.000775738991278448*E110 ^ 5 + 0.0173048997895871*E110 ^ 4 + -0.168258411937781*E110 ^ 3 + 1.06739215205853*E110 ^ 2 + -11.0895948951816*E110 ^ 1 + 2975.00364190595</f>
        <v>2915.8351013517636</v>
      </c>
    </row>
    <row r="111" spans="2:8" x14ac:dyDescent="0.2">
      <c r="C111" s="26" t="s">
        <v>76</v>
      </c>
      <c r="D111" s="1" t="s">
        <v>135</v>
      </c>
      <c r="E111" s="2">
        <v>17.347331473134968</v>
      </c>
      <c r="F111" s="3">
        <f>-6.07432528322432E-06*E111 ^ 6 + 0.000126842263246957*E111 ^ 5 + 0.00321677198410151*E111 ^ 4 + -0.127460535794284*E111 ^ 3 + 0.84403203600861*E111 ^ 2 + -4.68859112874699*E111 ^ 1 + 167.692682957754</f>
        <v>1.8815065251942542E-4</v>
      </c>
      <c r="G111" s="3">
        <f>1.78452782161893E-06*E111 ^ 6 + -0.0000969179557560304*E111 ^ 5 + 0.00202531839356322*E111 ^ 4 + -0.0202404720284858*E111 ^ 3 + 0.0723450508293121*E111 ^ 2 + 0.419587661824403*E111 ^ 1 + 1.69998244122793</f>
        <v>4.8760326388141335</v>
      </c>
      <c r="H111" s="4">
        <f>0.0145650028584721*E111 ^ 6 + -0.616659611287949*E111 ^ 5 + 9.91951660861782*E111 ^ 4 + -74.8742910144915*E111 ^ 3 + 260.940904047223*E111 ^ 2 + -334.83174969346*E111 ^ 1 + 2940.51388107805</f>
        <v>11267.689488838987</v>
      </c>
    </row>
    <row r="112" spans="2:8" x14ac:dyDescent="0.2">
      <c r="C112" s="26" t="s">
        <v>77</v>
      </c>
      <c r="D112" s="1" t="s">
        <v>136</v>
      </c>
      <c r="E112" s="2">
        <v>18.089181562203049</v>
      </c>
      <c r="F112" s="3">
        <f>0.0000633772884693629*E112 ^ 6 + -0.0028107503107513*E112 ^ 5 + 0.0480730877690649*E112 ^ 4 + -0.434620047566246*E112 ^ 3 + 1.72495568220687*E112 ^ 2 + -5.755921713157*E112 ^ 1 + 206.991185532717</f>
        <v>18.518838830474635</v>
      </c>
      <c r="G112" s="3">
        <f>-4.33215707402085E-08*E112 ^ 6 + -0.0000112907245696931*E112 ^ 5 + 0.00060188061363064*E112 ^ 4 + -0.0106952870194304*E112 ^ 3 + 0.049250974860684*E112 ^ 2 + 0.543181649772101*E112 ^ 1 + 1.96990185087288</f>
        <v>5.6631570975097034</v>
      </c>
      <c r="H112" s="4">
        <f>0.0000245575301797017*E112 ^ 6 + -0.00114342350876469*E112 ^ 5 + 0.0187937830949688*E112 ^ 4 + -0.121924467522432*E112 ^ 3 + 0.531883278769244*E112 ^ 2 + -8.34403373975623*E112 ^ 1 + 2979.99706167899</f>
        <v>2939.4672090897743</v>
      </c>
    </row>
    <row r="113" spans="3:8" x14ac:dyDescent="0.2">
      <c r="C113" s="26" t="s">
        <v>77</v>
      </c>
      <c r="D113" s="1" t="s">
        <v>137</v>
      </c>
      <c r="E113" s="2">
        <v>18.705793264144976</v>
      </c>
      <c r="F113" s="3">
        <f>0.0000173491026112233*E113 ^ 6 + -0.000646665246329213*E113 ^ 5 + 0.01051375768458*E113 ^ 4 + -0.142328534790503*E113 ^ 3 + 0.701761400604467*E113 ^ 2 + -4.97914772942851*E113 ^ 1 + 229.688721412177</f>
        <v>-2.1769274775351732E-4</v>
      </c>
      <c r="G113" s="3">
        <f>2.03314643630116E-06*E113 ^ 6 + -0.000118645625688769*E113 ^ 5 + 0.00273994181987102*E113 ^ 4 + -0.0311625809938948*E113 ^ 3 + 0.14145639296475*E113 ^ 2 + 0.429853207864763*E113 ^ 1 + 2.28966698789077</f>
        <v>6.697731776417557</v>
      </c>
      <c r="H113" s="4">
        <f>0.000230509424602417*E113 ^ 6 + -0.0114958912916383*E113 ^ 5 + 0.213319439422161*E113 ^ 4 + -1.76547240708706*E113 ^ 3 + 6.03624639347301*E113 ^ 2 + -9.13041892149645*E113 ^ 1 + 2946.98089213438</f>
        <v>2997.359236839251</v>
      </c>
    </row>
    <row r="114" spans="3:8" x14ac:dyDescent="0.2">
      <c r="C114" s="26" t="s">
        <v>13</v>
      </c>
      <c r="D114" s="1" t="s">
        <v>138</v>
      </c>
      <c r="E114" s="2">
        <v>28.446310269857747</v>
      </c>
      <c r="F114" s="3">
        <f>4.70777879713996E-07*E114 ^ 6 + -0.0000366458292805935*E114 ^ 5 + 0.0010143159661582*E114 ^ 4 + -0.0122598645914376*E114 ^ 3 + 0.04028463746646*E114 ^ 2 + -0.161797552542904*E114 ^ 1 + 23.1800214839956</f>
        <v>-3.253530177715902E-6</v>
      </c>
      <c r="G114" s="3">
        <f>3.49635509589791E-08*E114 ^ 6 + -3.00115216408245E-06*E114 ^ 5 + 0.0000988989002507891*E114 ^ 4 + -0.00158141092299965*E114 ^ 3 + 0.0104304986324999*E114 ^ 2 + 0.0430238929274422*E114 ^ 1 + 0.47308400325869</f>
        <v>1.1185223691746462</v>
      </c>
      <c r="H114" s="4">
        <f>0*E114 ^ 6 + 0*E114 ^ 5 + 0*E114 ^ 4 + 0*E114 ^ 3 + 0*E114 ^ 2 + 0*E114 ^ 1 + 2942</f>
        <v>2942</v>
      </c>
    </row>
    <row r="115" spans="3:8" x14ac:dyDescent="0.2">
      <c r="C115" s="26" t="s">
        <v>36</v>
      </c>
      <c r="D115" s="1" t="s">
        <v>139</v>
      </c>
      <c r="E115" s="2">
        <v>29.144660774538039</v>
      </c>
      <c r="F115" s="3">
        <f>6.96064731028979E-07*E115 ^ 6 + -0.0000540990992037509*E115 ^ 5 + 0.00149412763476671*E115 ^ 4 + -0.0180170889681516*E115 ^ 3 + 0.0609295346285839*E115 ^ 2 + -0.257474934379376*E115 ^ 1 + 34.7700262168067</f>
        <v>7.0372319882494594E-6</v>
      </c>
      <c r="G115" s="3">
        <f>5.18038023632369E-08*E115 ^ 6 + -4.44439887126656E-06*E115 ^ 5 + 0.000146400396207974*E115 ^ 4 + -0.00233939462656952*E115 ^ 3 + 0.0154420511905486*E115 ^ 2 + 0.0619983443843421*E115 ^ 1 + 0.692119422402264</f>
        <v>1.6216716878146051</v>
      </c>
      <c r="H115" s="4">
        <f>-5.74922835391699E-06*E115 ^ 6 + 0.000493270233595824*E115 ^ 5 + -0.0161491901609048*E115 ^ 4 + 0.253355473957276*E115 ^ 3 + -1.67015588832117*E115 ^ 2 + -4.41338581851021*E115 ^ 1 + 2941.99080772811</f>
        <v>2864.103769678899</v>
      </c>
    </row>
    <row r="116" spans="3:8" x14ac:dyDescent="0.2">
      <c r="C116" s="26" t="s">
        <v>73</v>
      </c>
      <c r="D116" s="1" t="s">
        <v>140</v>
      </c>
      <c r="E116" s="2">
        <v>33.329867653906433</v>
      </c>
      <c r="F116" s="3">
        <f>1.02969862661842E-06*E116 ^ 6 + -0.0000845110010216536*E116 ^ 5 + 0.00251391262153534*E116 ^ 4 + -0.0336139881952905*E116 ^ 3 + 0.154757036688233*E116 ^ 2 + -0.386025838154133*E116 ^ 1 + 47.6299745219685</f>
        <v>1.113746724001885E-5</v>
      </c>
      <c r="G116" s="3">
        <f>7.37193070828649E-08*E116 ^ 6 + -6.51825227334939E-06*E116 ^ 5 + 0.000221041229730523*E116 ^ 4 + -0.00362913597755886*E116 ^ 3 + 0.0252048594977178*E116 ^ 2 + 0.0749881780749238*E116 ^ 1 + 0.934180220639369</f>
        <v>2.7989073290664059</v>
      </c>
      <c r="H116" s="4">
        <f>1.33749221594591E-06*E116 ^ 6 + -0.000138827525527382*E116 ^ 5 + 0.00533292789802932*E116 ^ 4 + -0.0897840599027901*E116 ^ 3 + 0.699665340075332*E116 ^ 2 + -5.62245301464913*E116 ^ 1 + 2981.99163561716</f>
        <v>2952.1183897063911</v>
      </c>
    </row>
    <row r="117" spans="3:8" x14ac:dyDescent="0.2">
      <c r="C117" s="26" t="s">
        <v>74</v>
      </c>
      <c r="D117" s="1" t="s">
        <v>141</v>
      </c>
      <c r="E117" s="2">
        <v>32.967052179679627</v>
      </c>
      <c r="F117" s="3">
        <f>1.20457139847984E-06*E117 ^ 6 + -0.0000963769501420982*E117 ^ 5 + 0.00277284122678673*E117 ^ 4 + -0.0355817730103843*E117 ^ 3 + 0.149908644716489*E117 ^ 2 + -0.467352111729416*E117 ^ 1 + 58.6899811413117</f>
        <v>2.7627371757432684E-5</v>
      </c>
      <c r="G117" s="3">
        <f>8.50403416494869E-08*E117 ^ 6 + -0.0000074136093080211*E117 ^ 5 + 0.000248176105663223*E117 ^ 4 + -0.00403575837139587*E117 ^ 3 + 0.0275721931469695*E117 ^ 2 + 0.0954994955090163*E117 ^ 1 + 1.12621288322967</f>
        <v>3.2668504162959442</v>
      </c>
      <c r="H117" s="4">
        <f>-2.40084635748843E-06*E117 ^ 6 + 0.000196727328934733*E117 ^ 5 + -0.00605695587178464*E117 ^ 4 + 0.0885764833208834*E117 ^ 3 + -0.457983043706422*E117 ^ 2 + -5.32404010092657*E117 ^ 1 + 2960.99126787918</f>
        <v>2885.5018455230652</v>
      </c>
    </row>
    <row r="118" spans="3:8" x14ac:dyDescent="0.2">
      <c r="C118" s="26" t="s">
        <v>75</v>
      </c>
      <c r="D118" s="1" t="s">
        <v>142</v>
      </c>
      <c r="E118" s="2">
        <v>32.653115419017659</v>
      </c>
      <c r="F118" s="3">
        <f>1.38783203942956E-06*E118 ^ 6 + -0.000109526289516802*E118 ^ 5 + 0.00308485796010389*E118 ^ 4 + -0.0382315437136399*E118 ^ 3 + 0.143070664088118*E118 ^ 2 + -0.465009135211553*E118 ^ 1 + 70.2399538027166</f>
        <v>6.6870551080455698E-5</v>
      </c>
      <c r="G118" s="3">
        <f>9.98728187936247E-08*E118 ^ 6 + -8.66312552194502E-06*E118 ^ 5 + 0.000288313387755619*E118 ^ 4 + -0.00465585052990693*E118 ^ 3 + 0.0313670874402732*E118 ^ 2 + 0.116974189904629*E118 ^ 1 + 1.33224849086525</f>
        <v>3.7375425478245017</v>
      </c>
      <c r="H118" s="4">
        <f>-2.79343114417754E-06*E118 ^ 6 + 0.000240922677154668*E118 ^ 5 + -0.0079809873992292*E118 ^ 4 + 0.128613930065891*E118 ^ 3 + -0.836649045763189*E118 ^ 2 + -4.43771171851774*E118 ^ 1 + 2956.9912674537</f>
        <v>2882.0837551392729</v>
      </c>
    </row>
    <row r="119" spans="3:8" x14ac:dyDescent="0.2">
      <c r="C119" s="26" t="s">
        <v>76</v>
      </c>
      <c r="D119" s="1" t="s">
        <v>143</v>
      </c>
      <c r="E119" s="2">
        <v>32.697051137345021</v>
      </c>
      <c r="F119" s="3">
        <f>1.62801900032511E-06*E119 ^ 6 + -0.00013091161470503*E119 ^ 5 + 0.00377506957889442*E119 ^ 4 + -0.0482885823598151*E119 ^ 3 + 0.196480906086414*E119 ^ 2 + -0.507103913233718*E119 ^ 1 + 82.7700829330446</f>
        <v>1.2838086303190721E-4</v>
      </c>
      <c r="G119" s="3">
        <f>1.16952863974326E-07*E119 ^ 6 + -0.0000102535012142048*E119 ^ 5 + 0.000344769452633397*E119 ^ 4 + -0.00563029201046694*E119 ^ 3 + 0.038689738844593*E119 ^ 2 + 0.136655336345543*E119 ^ 1 + 1.5783151556609</f>
        <v>4.3750995717343191</v>
      </c>
      <c r="H119" s="4">
        <f>-2.25753926792129E-06*E119 ^ 6 + 0.000194810517933087*E119 ^ 5 + -0.00643394411108499*E119 ^ 4 + 0.103434302664351*E119 ^ 3 + -0.711047238975366*E119 ^ 2 + -2.34992359938666*E119 ^ 1 + 2970.99527188763</f>
        <v>2917.6808825429339</v>
      </c>
    </row>
    <row r="120" spans="3:8" x14ac:dyDescent="0.2">
      <c r="C120" s="26" t="s">
        <v>76</v>
      </c>
      <c r="D120" s="1" t="s">
        <v>144</v>
      </c>
      <c r="E120" s="2">
        <v>32.3807366959037</v>
      </c>
      <c r="F120" s="3">
        <f>1.84477584905918E-06*E120 ^ 6 + -0.000147462601185013*E120 ^ 5 + 0.00422016233911931*E120 ^ 4 + -0.0534477568246834*E120 ^ 3 + 0.21230818119702*E120 ^ 2 + -0.583228841038907*E120 ^ 1 + 94.3400418738742</f>
        <v>2.0407499026475762E-4</v>
      </c>
      <c r="G120" s="3">
        <f>1.33670458193498E-07*E120 ^ 6 + -0.0000116841919323673*E120 ^ 5 + 0.000391761118042416*E120 ^ 4 + -0.006378599521905*E120 ^ 3 + 0.0436169960388957*E120 ^ 2 + 0.155906344193093*E120 ^ 1 + 1.79635089780886</f>
        <v>4.8492760766658165</v>
      </c>
      <c r="H120" s="4">
        <f>-2.35259521816803E-06*E120 ^ 6 + 0.000201630982094346*E120 ^ 5 + -0.00662097821096216*E120 ^ 4 + 0.10608026424387*E120 ^ 3 + -0.713620776111131*E120 ^ 2 + -2.98700993502448*E120 ^ 1 + 2966.99056466118</f>
        <v>2910.5981803498917</v>
      </c>
    </row>
    <row r="121" spans="3:8" x14ac:dyDescent="0.2">
      <c r="C121" s="26" t="s">
        <v>77</v>
      </c>
      <c r="D121" s="1" t="s">
        <v>145</v>
      </c>
      <c r="E121" s="2">
        <v>30.69396978513748</v>
      </c>
      <c r="F121" s="3">
        <f>1.83289160951179E-06*E121 ^ 6 + -0.000148464384936377*E121 ^ 5 + 0.00428221192259468*E121 ^ 4 + -0.0544035370892218*E121 ^ 3 + 0.205610340279924*E121 ^ 2 + -0.51765949231475*E121 ^ 1 + 106.559904087792</f>
        <v>-1.7735928750539642E-5</v>
      </c>
      <c r="G121" s="3">
        <f>7.99786483190168E-08*E121 ^ 6 + -7.77108702223682E-06*E121 ^ 5 + 0.000285712497056256*E121 ^ 4 + -0.00509839822229705*E121 ^ 3 + 0.0364709849946686*E121 ^ 2 + 0.206320177307235*E121 ^ 1 + 2.0333802545075</f>
        <v>4.0558928502054101</v>
      </c>
      <c r="H121" s="4">
        <f>-1.92809714003005E-06*E121 ^ 6 + 0.000146612004373176*E121 ^ 5 + -0.00426274276021826*E121 ^ 4 + 0.06145845212633*E121 ^ 3 + -0.360451771700242*E121 ^ 2 + -3.08159797775882*E121 ^ 1 + 2972.99290282454</f>
        <v>2914.4105713793492</v>
      </c>
    </row>
    <row r="122" spans="3:8" x14ac:dyDescent="0.2">
      <c r="C122" s="26" t="s">
        <v>77</v>
      </c>
      <c r="D122" s="1" t="s">
        <v>146</v>
      </c>
      <c r="E122" s="2">
        <v>31.981072646126684</v>
      </c>
      <c r="F122" s="3">
        <f>2.32033186322903E-06*E122 ^ 6 + -0.000186433267255901*E122 ^ 5 + 0.00537199418648279*E122 ^ 4 + -0.0686751397330926*E122 ^ 3 + 0.280627149088361*E122 ^ 2 + -0.726190820011072*E122 ^ 1 + 118.17001258695</f>
        <v>0.66553399242479827</v>
      </c>
      <c r="G122" s="3">
        <f>0.0000001651415782238*E122 ^ 6 + -0.0000144563435785637*E122 ^ 5 + 0.000485425499727497*E122 ^ 4 + -0.00792131007098277*E122 ^ 3 + 0.0543258196052815*E122 ^ 2 + 0.197207981542194*E122 ^ 1 + 2.25245127093208</f>
        <v>5.8699075278220505</v>
      </c>
      <c r="H122" s="4">
        <f>-2.58352734222469E-06*E122 ^ 6 + 0.000226472027047112*E122 ^ 5 + -0.00761044994587419*E122 ^ 4 + 0.123870047365949*E122 ^ 3 + -0.864431002139809*E122 ^ 2 + -2.16712961562274*E122 ^ 1 + 2970.9954236682</f>
        <v>2920.5437250798404</v>
      </c>
    </row>
    <row r="123" spans="3:8" x14ac:dyDescent="0.2">
      <c r="C123" s="26" t="s">
        <v>77</v>
      </c>
      <c r="D123" s="1" t="s">
        <v>147</v>
      </c>
      <c r="E123" s="2">
        <v>-580497272002.68347</v>
      </c>
      <c r="F123" s="3">
        <f>2.59570460005119E-06*E123 ^ 6 + -0.000208457297699578*E123 ^ 5 + 0.00601374388613928*E123 ^ 4 + -0.07727134143306*E123 ^ 3 + 0.327386724959957*E123 ^ 2 + -0.94321613721339*E123 ^ 1 + 129.990104025389</f>
        <v>9.9324495020451569E+64</v>
      </c>
      <c r="G123" s="3">
        <f>1.83728669860703E-07*E123 ^ 6 + -0.0000160718193727053*E123 ^ 5 + 0.000539424138156355*E123 ^ 4 + -0.00879623631196439*E123 ^ 3 + 0.0603549355614782*E123 ^ 2 + 0.212155046759522*E123 ^ 1 + 2.4774881173271</f>
        <v>7.030367536644584E+63</v>
      </c>
      <c r="H123" s="4">
        <f>-2.08585696902424E-06*E123 ^ 6 + 0.000173797216366497*E123 ^ 5 + -0.00546496084427494*E123 ^ 4 + 0.0818023693659775*E123 ^ 3 + -0.444676343187853*E123 ^ 2 + -4.45314738582412*E123 ^ 1 + 2970.99045581317</f>
        <v>-7.9815203213112897E+64</v>
      </c>
    </row>
    <row r="124" spans="3:8" x14ac:dyDescent="0.2">
      <c r="C124" s="26" t="s">
        <v>36</v>
      </c>
      <c r="D124" s="1" t="s">
        <v>148</v>
      </c>
      <c r="E124" s="2">
        <v>27.314552436601936</v>
      </c>
      <c r="F124" s="3">
        <f>-4.70128760105244E-08*E124 ^ 6 + 6.28603938199052E-06*E124 ^ 5 + -0.000307514725808457*E124 ^ 4 + 0.00470997457224819*E124 ^ 3 + -0.0322912160335167*E124 ^ 2 + -0.408961727630729*E124 ^ 1 + 34.4027714286036</f>
        <v>3.2025569538518539E-6</v>
      </c>
      <c r="G124" s="3">
        <f>-4.27383312435283E-08*E124 ^ 6 + 3.13029268970531E-06*E124 ^ 5 + -0.0000837004924014956*E124 ^ 4 + 0.000891482400587065*E124 ^ 3 + -0.00418810596344322*E124 ^ 2 + 0.0925239779144138*E124 ^ 1 + 0.767674219076346</f>
        <v>1.5915008891351801</v>
      </c>
      <c r="H124" s="4">
        <f>6.52623760515567E-06*E124 ^ 6 + -0.000501985624672922*E124 ^ 5 + 0.0142543735239921*E124 ^ 4 + -0.169411938428096*E124 ^ 3 + 0.759251928062913*E124 ^ 2 + -6.46113364318574*E124 ^ 1 + 2950.00846572113</f>
        <v>2900.0928285609634</v>
      </c>
    </row>
    <row r="125" spans="3:8" x14ac:dyDescent="0.2">
      <c r="C125" s="26" t="s">
        <v>73</v>
      </c>
      <c r="D125" s="1" t="s">
        <v>149</v>
      </c>
      <c r="E125" s="2">
        <v>27.195920083001514</v>
      </c>
      <c r="F125" s="3">
        <f>9.91997597101236E-07*E125 ^ 6 + -0.0000681269228773467*E125 ^ 5 + 0.0015689983211838*E125 ^ 4 + -0.0163060770027557*E125 ^ 3 + 0.0616210788282911*E125 ^ 2 + -0.57495894704835*E125 ^ 1 + 51.9266302363232</f>
        <v>-2.0877980298905641E-4</v>
      </c>
      <c r="G125" s="3">
        <f>-9.53385402954193E-08*E125 ^ 6 + 6.35683734760443E-06*E125 ^ 5 + -0.000151656795280279*E125 ^ 4 + 0.00132922029069322*E125 ^ 3 + -0.00286791067655851*E125 ^ 2 + 0.118787180354739*E125 ^ 1 + 1.13251462699967</f>
        <v>2.0147879642381841</v>
      </c>
      <c r="H125" s="4">
        <f>2.90200625723327E-06*E125 ^ 6 + -0.000190638394923093*E125 ^ 5 + 0.00448881494596498*E125 ^ 4 + -0.0380388652856338*E125 ^ 3 + 0.0645508047297864*E125 ^ 2 + -3.50782886558299*E125 ^ 1 + 2969.00082006604</f>
        <v>2949.7401571698661</v>
      </c>
    </row>
    <row r="126" spans="3:8" x14ac:dyDescent="0.2">
      <c r="C126" s="26" t="s">
        <v>75</v>
      </c>
      <c r="D126" s="1" t="s">
        <v>150</v>
      </c>
      <c r="E126" s="2">
        <v>27.506680562587519</v>
      </c>
      <c r="F126" s="3">
        <f>1.40288227685604E-06*E126 ^ 6 + -0.000101308015126771*E126 ^ 5 + 0.00249375800671621*E126 ^ 4 + -0.026680079650313*E126 ^ 3 + 0.0828600759920129*E126 ^ 2 + -0.592673583127384*E126 ^ 1 + 68.9005769748368</f>
        <v>-1.9057615929796157E-7</v>
      </c>
      <c r="G126" s="3">
        <f>-8.62078646091023E-09*E126 ^ 6 + 2.03867494097478E-07*E126 ^ 5 + 0.0000158921459633944*E126 ^ 4 + -0.000935170883894369*E126 ^ 3 + 0.0113662527605598*E126 ^ 2 + 0.130591404937704*E126 ^ 1 + 1.39855810454954</f>
        <v>2.7018030844514738</v>
      </c>
      <c r="H126" s="4">
        <f>2.88847594887602E-06*E126 ^ 6 + -0.000209528917546414*E126 ^ 5 + 0.0053012642461867*E126 ^ 4 + -0.0420753226127646*E126 ^ 3 + -0.0563454405363299*E126 ^ 2 + -3.72460198836911*E126 ^ 1 + 2963.98943410915</f>
        <v>2929.7651469853467</v>
      </c>
    </row>
    <row r="127" spans="3:8" x14ac:dyDescent="0.2">
      <c r="C127" s="26" t="s">
        <v>76</v>
      </c>
      <c r="D127" s="1" t="s">
        <v>151</v>
      </c>
      <c r="E127" s="2">
        <v>32.112076722293899</v>
      </c>
      <c r="F127" s="3">
        <f>0.0000028463462613391*E127 ^ 6 + -0.000204791929461724*E127 ^ 5 + 0.00509245933893132*E127 ^ 4 + -0.0544952380684171*E127 ^ 3 + 0.193957425792753*E127 ^ 2 + -0.767104655322199*E127 ^ 1 + 85.9508740416667</f>
        <v>1.5697428246141953E-4</v>
      </c>
      <c r="G127" s="3">
        <f>-1.61339348201338E-08*E127 ^ 6 + 1.15219341474535E-06*E127 ^ 5 + -0.0000251289220348338*E127 ^ 4 + -0.000272479681173302*E127 ^ 3 + 0.00771428199217967*E127 ^ 2 + 0.170559507016442*E127 ^ 1 + 1.81854492269871</f>
        <v>1.1590467545632834</v>
      </c>
      <c r="H127" s="4">
        <f>3.30793542201913E-06*E127 ^ 6 + -0.000222604533406932*E127 ^ 5 + 0.00548792169564858*E127 ^ 4 + -0.0519534362970295*E127 ^ 3 + 0.127145891887993*E127 ^ 2 + -3.68654316025122*E127 ^ 1 + 2965.05722794714</f>
        <v>3119.0448479441975</v>
      </c>
    </row>
    <row r="128" spans="3:8" x14ac:dyDescent="0.2">
      <c r="C128" s="26" t="s">
        <v>76</v>
      </c>
      <c r="D128" s="1" t="s">
        <v>152</v>
      </c>
      <c r="E128" s="2">
        <v>33.39257262604194</v>
      </c>
      <c r="F128" s="3">
        <f>0.0000027172151136255*E128 ^ 6 + -0.00019603596298959*E128 ^ 5 + 0.00487103360676357*E128 ^ 4 + -0.0529840279435183*E128 ^ 3 + 0.197897527435573*E128 ^ 2 + -1.04623866067746*E128 ^ 1 + 102.659859580278</f>
        <v>-8.6917124519914069E-7</v>
      </c>
      <c r="G128" s="3">
        <f>8.71517677315396E-08*E128 ^ 6 + -0.0000062800193910767*E128 ^ 5 + 0.00015926829571845*E128 ^ 4 + -0.00195582111421517*E128 ^ 3 + 0.00722381965926127*E128 ^ 2 + 0.262980522424629*E128 ^ 1 + 2.1623778341588</f>
        <v>4.2918711770947482</v>
      </c>
      <c r="H128" s="4">
        <f>4.86398979776549E-06*E128 ^ 6 + -0.000400039833390087*E128 ^ 5 + 0.0116675344071626*E128 ^ 4 + -0.120782939952016*E128 ^ 3 + -0.0808166767311195*E128 ^ 2 + 2.9271116427596*E128 ^ 1 + 2928.58298619475</f>
        <v>3080.1614498303443</v>
      </c>
    </row>
    <row r="129" spans="3:8" x14ac:dyDescent="0.2">
      <c r="C129" s="26" t="s">
        <v>77</v>
      </c>
      <c r="D129" s="1" t="s">
        <v>153</v>
      </c>
      <c r="E129" s="2">
        <v>27.496000348441051</v>
      </c>
      <c r="F129" s="3">
        <f>1.50500753124765E-06*E129 ^ 6 + -0.000110860592719763*E129 ^ 5 + 0.00273044100993459*E129 ^ 4 + -0.0317720978656312*E129 ^ 3 + 0.138131583083623*E129 ^ 2 + -1.24575393599571*E129 ^ 1 + 121.568962066905</f>
        <v>2.7078216433551461E-5</v>
      </c>
      <c r="G129" s="3">
        <f>-5.77880666019463E-08*E129 ^ 6 + 3.20465693045132E-06*E129 ^ 5 + -0.0000438526689962136*E129 ^ 4 + -0.000746532083213177*E129 ^ 3 + 0.0138933879633887*E129 ^ 2 + 0.256218275250378*E129 ^ 1 + 2.65581612841196</f>
        <v>5.0134046242329733</v>
      </c>
      <c r="H129" s="4">
        <f>2.31672938880389E-06*E129 ^ 6 + -0.000170590122339405*E129 ^ 5 + 0.00457836776712074*E129 ^ 4 + -0.0486183132036526*E129 ^ 3 + 0.197881280133514*E129 ^ 2 + -3.62486382422854*E129 ^ 1 + 2973.19541406243</f>
        <v>2949.4780096566924</v>
      </c>
    </row>
    <row r="130" spans="3:8" x14ac:dyDescent="0.2">
      <c r="C130" s="26" t="s">
        <v>77</v>
      </c>
      <c r="D130" s="1" t="s">
        <v>154</v>
      </c>
      <c r="E130" s="2">
        <v>33.386532279243191</v>
      </c>
      <c r="F130" s="3">
        <f>3.15584170225921E-06*E130 ^ 6 + -0.000224397252532971*E130 ^ 5 + 0.00548401188956503*E130 ^ 4 + -0.0597948474603631*E130 ^ 3 + 0.229105139382966*E130 ^ 2 + -1.35219168012887*E130 ^ 1 + 139.064633503515</f>
        <v>1.7973647899793832E-4</v>
      </c>
      <c r="G130" s="3">
        <f>-3.94086610039393E-08*E130 ^ 6 + 1.54719835781401E-06*E130 ^ 5 + 0.0000198072458601064*E130 ^ 4 + -0.00202280081656984*E130 ^ 3 + 0.025308776338992*E130 ^ 2 + 0.257691488819989*E130 ^ 1 + 2.90146274043477</f>
        <v>-1.3501937693482873</v>
      </c>
      <c r="H130" s="4">
        <f>1.35798333762772E-06*E130 ^ 6 + -0.0000952433352014516*E130 ^ 5 + 0.00208532153112347*E130 ^ 4 + -0.0038237335720448*E130 ^ 3 + -0.215887527575748*E130 ^ 2 + -2.6281160351406*E130 ^ 1 + 2971.03183027801</f>
        <v>3021.1499191683993</v>
      </c>
    </row>
    <row r="131" spans="3:8" x14ac:dyDescent="0.2">
      <c r="C131" s="26" t="s">
        <v>78</v>
      </c>
      <c r="D131" s="1" t="s">
        <v>155</v>
      </c>
      <c r="E131" s="2">
        <v>27.50125720507037</v>
      </c>
      <c r="F131" s="3">
        <f>3.04762636687203E-06*E131 ^ 6 + -0.000232371236881753*E131 ^ 5 + 0.0061006682745659*E131 ^ 4 + -0.0724157664260224*E131 ^ 3 + 0.322591138823299*E131 ^ 2 + -1.73977309975843*E131 ^ 1 + 157.391734856286</f>
        <v>1.4068383356402592E-4</v>
      </c>
      <c r="G131" s="3">
        <f>-1.36606105329028E-07*E131 ^ 6 + 0.0000105957834758909*E131 ^ 5 + -0.000307103219367409*E131 ^ 4 + 0.00338943623772368*E131 ^ 3 + -0.0144752428061258*E131 ^ 2 + 0.412244502654969*E131 ^ 1 + 3.17869693840614</f>
        <v>5.9836284831525921</v>
      </c>
      <c r="H131" s="4">
        <f>0.0000012288975223165*E131 ^ 6 + -0.000114936579914935*E131 ^ 5 + 0.00404299785015787*E131 ^ 4 + -0.0568058221704678*E131 ^ 3 + 0.301717737959266*E131 ^ 2 + -3.84874221148202*E131 ^ 1 + 2972.97175796363</f>
        <v>2950.0082522663024</v>
      </c>
    </row>
    <row r="132" spans="3:8" x14ac:dyDescent="0.2">
      <c r="C132" s="26" t="s">
        <v>79</v>
      </c>
      <c r="D132" s="1" t="s">
        <v>156</v>
      </c>
      <c r="E132" s="2">
        <v>27.48598172175716</v>
      </c>
      <c r="F132" s="3">
        <f>4.02718202596515E-06*E132 ^ 6 + -0.000329060854913515*E132 ^ 5 + 0.0095154382135332*E132 ^ 4 + -0.127035333391814*E132 ^ 3 + 0.699923127552525*E132 ^ 2 + -2.57270528918456*E132 ^ 1 + 174.607130093818</f>
        <v>1.6821692562984936E-4</v>
      </c>
      <c r="G132" s="3">
        <f>-1.30247954247041E-07*E132 ^ 6 + 8.64835829453258E-06*E132 ^ 5 + -0.00020472533598321*E132 ^ 4 + 0.00139105299373845*E132 ^ 3 + -0.000863951359096909*E132 ^ 2 + 0.452485287080392*E132 ^ 1 + 3.56004116487065</f>
        <v>6.8933865416054392</v>
      </c>
      <c r="H132" s="4">
        <f>4.05622902477251E-07*E132 ^ 6 + -0.0000363216749816938*E132 ^ 5 + 0.00120185402691951*E132 ^ 4 + -0.013855934674807*E132 ^ 3 + 0.0474315955931625*E132 ^ 2 + -2.04858382936315*E132 ^ 1 + 2982.00157197501</f>
        <v>2964.8653582474449</v>
      </c>
    </row>
    <row r="133" spans="3:8" x14ac:dyDescent="0.2">
      <c r="C133" s="26" t="s">
        <v>79</v>
      </c>
      <c r="D133" s="1" t="s">
        <v>157</v>
      </c>
      <c r="E133" s="2">
        <v>27.896623108796337</v>
      </c>
      <c r="F133" s="3">
        <f>1.82481174472222E-06*E133 ^ 6 + -0.000142641416629826*E133 ^ 5 + 0.00380461107549492*E133 ^ 4 + -0.0492465325607368*E133 ^ 3 + 0.218453192591769*E133 ^ 2 + -1.64728826917193*E133 ^ 1 + 190.765154610568</f>
        <v>5.4867866310814861E-5</v>
      </c>
      <c r="G133" s="3">
        <f>-1.50038404249124E-07*E133 ^ 6 + 8.76916479005058E-06*E133 ^ 5 + -0.000145627045656723*E133 ^ 4 + -0.000774036257425218*E133 ^ 3 + 0.0250674470997041*E133 ^ 2 + 0.392167451787694*E133 ^ 1 + 4.11707865482107</f>
        <v>7.0050984372500622</v>
      </c>
      <c r="H133" s="4">
        <f>-6.27309900233311E-08*E133 ^ 6 + 0.0000175841296662534*E133 ^ 5 + -0.00115057685134504*E133 ^ 4 + 0.0347808144011824*E133 ^ 3 + -0.403611144620484*E133 ^ 2 + -1.09243920492575*E133 ^ 1 + 2978.88446659197</f>
        <v>2960.0885156746713</v>
      </c>
    </row>
    <row r="134" spans="3:8" x14ac:dyDescent="0.2">
      <c r="C134" s="26" t="s">
        <v>80</v>
      </c>
      <c r="D134" s="1" t="s">
        <v>158</v>
      </c>
      <c r="E134" s="2">
        <v>27.502697438115501</v>
      </c>
      <c r="F134" s="3">
        <f>2.28942761404368E-06*E134 ^ 6 + -0.000175534803412983*E134 ^ 5 + 0.00449614579114244*E134 ^ 4 + -0.0550771916594032*E134 ^ 3 + 0.24929892040388*E134 ^ 2 + -1.91972811966807*E134 ^ 1 + 208.899925478691</f>
        <v>4.0402123033800308E-4</v>
      </c>
      <c r="G134" s="3">
        <f>-4.78269553713134E-08*E134 ^ 6 + 2.51796751723505E-06*E134 ^ 5 + -0.0000239058363715808*E134 ^ 4 + -0.00152125774892524*E134 ^ 3 + 0.0245447697550223*E134 ^ 2 + 0.42875179894959*E134 ^ 1 + 4.35071704993783</f>
        <v>8.3072952237979472</v>
      </c>
      <c r="H134" s="4">
        <f>-4.49942309952751E-07*E134 ^ 6 + 0.0000326902228013505*E134 ^ 5 + -0.000646600387519087*E134 ^ 4 + 0.006992779556849*E134 ^ 3 + -0.0383447369614807*E134 ^ 2 + -2.71726571367328*E134 ^ 1 + 2978.88288808475</f>
        <v>2970.3456899534863</v>
      </c>
    </row>
    <row r="135" spans="3:8" x14ac:dyDescent="0.2">
      <c r="C135" s="26" t="s">
        <v>80</v>
      </c>
      <c r="D135" s="1" t="s">
        <v>159</v>
      </c>
      <c r="E135" s="2">
        <v>32.790096967542922</v>
      </c>
      <c r="F135" s="3">
        <f>6.26957256902262E-06*E135 ^ 6 + -0.000459194266788881*E135 ^ 5 + 0.0118269713527197*E135 ^ 4 + -0.138970896823285*E135 ^ 3 + 0.65633581446401*E135 ^ 2 + -2.78824598248402*E135 ^ 1 + 226.485182376941</f>
        <v>2.2234566472434381E-6</v>
      </c>
      <c r="G135" s="3">
        <f>2.63597885706494E-07*E135 ^ 6 + -0.0000208729199172125*E135 ^ 5 + 0.00061982924059506*E135 ^ 4 + -0.00938987594602444*E135 ^ 3 + 0.0639730252651203*E135 ^ 2 + 0.416651465028553*E135 ^ 1 + 4.71683618245888</f>
        <v>9.0822666627087045</v>
      </c>
      <c r="H135" s="4">
        <f>0.00243554664566201*E135 ^ 6 + -0.21169085979933*E135 ^ 5 + 6.79708995518934*E135 ^ 4 + -97.3354759328244*E135 ^ 3 + 587.026814903805*E135 ^ 2 + -1140.73631995616*E135 ^ 1 + 3122.70786587644</f>
        <v>25757.825644375578</v>
      </c>
    </row>
    <row r="136" spans="3:8" x14ac:dyDescent="0.2">
      <c r="C136" s="26" t="s">
        <v>80</v>
      </c>
      <c r="D136" s="1" t="s">
        <v>160</v>
      </c>
      <c r="E136" s="2">
        <v>27.920829247912888</v>
      </c>
      <c r="F136" s="3">
        <f>5.35824391990534E-06*E136 ^ 6 + -0.000382563708946152*E136 ^ 5 + 0.00927145779948717*E136 ^ 4 + -0.098505175722678*E136 ^ 3 + 0.361175813564356*E136 ^ 2 + -2.2605285171981*E136 ^ 1 + 243.9866242752</f>
        <v>-3.8068998492235551E-5</v>
      </c>
      <c r="G136" s="3">
        <f>1.54957321962547E-07*E136 ^ 6 + -0.0000132821915205667*E136 ^ 5 + 0.000417186143230602*E136 ^ 4 + -0.00678489268474649*E136 ^ 3 + 0.0466042583362714*E136 ^ 2 + 0.507639859991467*E136 ^ 1 + 5.07024383456174</f>
        <v>9.4679309109466878</v>
      </c>
      <c r="H136" s="4">
        <f>-3.44035634101268E-06*E136 ^ 6 + 0.000296558777800577*E136 ^ 5 + -0.00959351376920515*E136 ^ 4 + 0.150511770008282*E136 ^ 3 + -1.10152086017423*E136 ^ 2 + -0.397894327869868*E136 ^ 1 + 2971.79171328321</f>
        <v>2949.9420906626215</v>
      </c>
    </row>
    <row r="137" spans="3:8" x14ac:dyDescent="0.2">
      <c r="C137" s="26" t="s">
        <v>75</v>
      </c>
      <c r="D137" s="1" t="s">
        <v>161</v>
      </c>
      <c r="E137" s="2">
        <v>54.999161261171047</v>
      </c>
      <c r="F137" s="3">
        <f>6.29251211787998E-09*E137 ^ 6 + -7.96238357038537E-07*E137 ^ 5 + 0.0000302122218436066*E137 ^ 4 + -0.000451129381709311*E137 ^ 3 + -0.000551627440249432*E137 ^ 2 + -0.16606819708799*E137 ^ 1 + 35.949921094979</f>
        <v>-6.2007061293911647E-4</v>
      </c>
      <c r="G137" s="3">
        <f>-6.32163857456636E-10*E137 ^ 6 + 7.21128289975665E-08*E137 ^ 5 + -2.11614078920269E-06*E137 ^ 4 + -0.0000574818792885836*E137 ^ 3 + 0.00299648494999963*E137 ^ 2 + 0.0426786096961597*E137 ^ 1 + 1.72268156030124</f>
        <v>3.0015133456725787</v>
      </c>
      <c r="H137" s="4">
        <f>1.08225753861942E-07*E137 ^ 6 + -0.0000163529879366572*E137 ^ 5 + 0.000898498737443716*E137 ^ 4 + -0.0201269210270655*E137 ^ 3 + 0.147618396069054*E137 ^ 2 + -2.07817195027859*E137 ^ 1 + 2949.05197713388</f>
        <v>2920.0548104302529</v>
      </c>
    </row>
    <row r="138" spans="3:8" x14ac:dyDescent="0.2">
      <c r="C138" s="26" t="s">
        <v>76</v>
      </c>
      <c r="D138" s="1" t="s">
        <v>162</v>
      </c>
      <c r="E138" s="2">
        <v>54.993046447352675</v>
      </c>
      <c r="F138" s="3">
        <f>-1.78012477868904E-09*E138 ^ 6 + 3.47240743551608E-07*E138 ^ 5 + -0.0000214569152813083*E138 ^ 4 + -0.0000160814445759104*E138 ^ 3 + 0.0163815171546129*E138 ^ 2 + -0.5541478046099*E138 ^ 1 + 54.4397113614906</f>
        <v>3.1683690259143305E-4</v>
      </c>
      <c r="G138" s="3">
        <f>-3.91955976838476E-09*E138 ^ 6 + 5.91782384834837E-07*E138 ^ 5 + -0.000032871183808608*E138 ^ 4 + 0.000763866032944615*E138 ^ 3 + -0.00675198314867787*E138 ^ 2 + 0.114872382230239*E138 ^ 1 + 2.47873772761528</f>
        <v>4.0095109829944171</v>
      </c>
      <c r="H138" s="4">
        <f>-3.75579036883588E-09*E138 ^ 6 + -5.37421584255107E-07*E138 ^ 5 + 0.0000899311950866488*E138 ^ 4 + -0.00170908567072118*E138 ^ 3 + -0.0427199823116384*E138 ^ 2 + -1.35703374334884*E138 ^ 1 + 2949.37865278084</f>
        <v>2909.6364282460959</v>
      </c>
    </row>
    <row r="139" spans="3:8" x14ac:dyDescent="0.2">
      <c r="C139" s="26" t="s">
        <v>77</v>
      </c>
      <c r="D139" s="1" t="s">
        <v>163</v>
      </c>
      <c r="E139" s="2">
        <v>54.991037166018515</v>
      </c>
      <c r="F139" s="3">
        <f>-5.45692556881961E-09*E139 ^ 6 + 1.01058092350075E-06*E139 ^ 5 + -0.0000717770149727718*E139 ^ 4 + 0.00184013298408337*E139 ^ 3 + -0.0200623868045577*E139 ^ 2 + -0.365144398585607*E139 ^ 1 + 73.8309153510667</f>
        <v>5.9092381405889682E-6</v>
      </c>
      <c r="G139" s="3">
        <f>2.27559323972008E-09*E139 ^ 6 + -3.81994143524763E-07*E139 ^ 5 + 0.0000249680523012895*E139 ^ 4 + -0.000852377838918072*E139 ^ 3 + 0.0140568963994286*E139 ^ 2 + 0.0482030963010622*E139 ^ 1 + 3.43171906024325</f>
        <v>6.0032858080015306</v>
      </c>
      <c r="H139" s="4">
        <f>-7.56884125602975E-08*E139 ^ 6 + 0.0000105655226054189*E139 ^ 5 + -0.000529941929612442*E139 ^ 4 + 0.0133042312930808*E139 ^ 3 + -0.198256831182411*E139 ^ 2 + -0.617283435366888*E139 ^ 1 + 2972.02910288447</f>
        <v>2924.8975418367377</v>
      </c>
    </row>
    <row r="140" spans="3:8" x14ac:dyDescent="0.2">
      <c r="C140" s="26" t="s">
        <v>78</v>
      </c>
      <c r="D140" s="1" t="s">
        <v>164</v>
      </c>
      <c r="E140" s="2">
        <v>54.990500412301984</v>
      </c>
      <c r="F140" s="3">
        <f>1.64042890384173E-09*E140 ^ 6 + -1.62710176392875E-07*E140 ^ 5 + 8.36147144204744E-07*E140 ^ 4 + -0.000386547919921478*E140 ^ 3 + 0.0116923453028999*E140 ^ 2 + -0.630057930643436*E140 ^ 1 + 92.3813694022849</f>
        <v>9.8004820809194371E-4</v>
      </c>
      <c r="G140" s="3">
        <f>9.83952817929955E-10*E140 ^ 6 + -1.83275685572133E-07*E140 ^ 5 + 0.0000134520979286797*E140 ^ 4 + -0.000561241212325017*E140 ^ 3 + 0.0109888153088735*E140 ^ 2 + 0.0917797143193801*E140 ^ 1 + 4.29846098236723</f>
        <v>7.3051812380726977</v>
      </c>
      <c r="H140" s="4">
        <f>-6.49897204530164E-09*E140 ^ 6 + 2.35427884044957E-07*E140 ^ 5 + 0.0000505095308999017*E140 ^ 4 + -0.00197819163804883*E140 ^ 3 + -0.01021546493028*E140 ^ 2 + -1.36191640597183*E140 ^ 1 + 2973.99743835233</f>
        <v>2939.8128037379488</v>
      </c>
    </row>
    <row r="141" spans="3:8" x14ac:dyDescent="0.2">
      <c r="C141" s="26" t="s">
        <v>79</v>
      </c>
      <c r="D141" s="1" t="s">
        <v>165</v>
      </c>
      <c r="E141" s="2">
        <v>54.513338576374046</v>
      </c>
      <c r="F141" s="3">
        <f>4.48049069881239E-08*E141 ^ 6 + -6.91443090092441E-06*E141 ^ 5 + 0.000388709444298895*E141 ^ 4 + -0.0106240284082933*E141 ^ 3 + 0.131185602965384*E141 ^ 2 + -1.11503242049901*E141 ^ 1 + 112.145723008646</f>
        <v>-1.0873041418335561E-6</v>
      </c>
      <c r="G141" s="3">
        <f>-4.62794382249931E-09*E141 ^ 6 + 7.12124692761267E-07*E141 ^ 5 + -0.0000371422975020761*E141 ^ 4 + 0.000597237531574295*E141 ^ 3 + 0.00213341165152152*E141 ^ 2 + 0.142644685349192*E141 ^ 1 + 5.16866811170769</f>
        <v>9.4019760181364624</v>
      </c>
      <c r="H141" s="4">
        <f>6.7403620016166E-08*E141 ^ 6 + -0.0000112011473525904*E141 ^ 5 + 0.000685255159437162*E141 ^ 4 + -0.0188197412677035*E141 ^ 3 + 0.248301275955763*E141 ^ 2 + -2.62434940212103*E141 ^ 1 + 2977.96087819378</f>
        <v>2952.0879155387584</v>
      </c>
    </row>
    <row r="142" spans="3:8" x14ac:dyDescent="0.2">
      <c r="C142" s="26" t="s">
        <v>80</v>
      </c>
      <c r="D142" s="1" t="s">
        <v>166</v>
      </c>
      <c r="E142" s="2">
        <v>54.495730987406056</v>
      </c>
      <c r="F142" s="3">
        <f>-2.17681138332343E-10*E142 ^ 6 + 2.75587450889337E-07*E142 ^ 5 + -0.0000473934493236498*E142 ^ 4 + 0.00168653722631295*E142 ^ 3 + -0.0284388914956162*E142 ^ 2 + -0.490966165120225*E142 ^ 1 + 129.500592576103</f>
        <v>3.5537286095177478E-5</v>
      </c>
      <c r="G142" s="3">
        <f>-1.87177355870851E-09*E142 ^ 6 + 3.84742797849776E-07*E142 ^ 5 + -0.0000275788032416861*E142 ^ 4 + 0.000745438909771154*E142 ^ 3 + -0.00788904882205929*E142 ^ 2 + 0.279757020185225*E142 ^ 1 + 5.89308816745453</f>
        <v>11.010939103467965</v>
      </c>
      <c r="H142" s="4">
        <f>-8.67245393231397E-06*E142 ^ 6 + 0.00148757602279216*E142 ^ 5 + -0.0930075359582649*E142 ^ 4 + 2.54378329390697*E142 ^ 3 + -27.9751446708583*E142 ^ 2 + 71.6368056596652*E142 ^ 1 + 2957.99044642336</f>
        <v>3001.9084832803383</v>
      </c>
    </row>
    <row r="143" spans="3:8" x14ac:dyDescent="0.2">
      <c r="C143" s="26" t="s">
        <v>80</v>
      </c>
      <c r="D143" s="1" t="s">
        <v>167</v>
      </c>
      <c r="E143" s="2">
        <v>55.005662320208735</v>
      </c>
      <c r="F143" s="3">
        <f>2.53171753004109E-08*E143 ^ 6 + -3.16333889769361E-06*E143 ^ 5 + 0.000119116861975058*E143 ^ 4 + -0.002058267092879*E143 ^ 3 + 0.0135401116493246*E143 ^ 2 + -0.788985609339868*E143 ^ 1 + 146.188803819163</f>
        <v>3.3113349786617619E-6</v>
      </c>
      <c r="G143" s="3">
        <f>-2.05286603595607E-09*E143 ^ 6 + 3.74538867208137E-07*E143 ^ 5 + -0.0000244022009170106*E143 ^ 4 + 0.000568893078693519*E143 ^ 3 + -0.00453223300757218*E143 ^ 2 + 0.29224168099166*E143 ^ 1 + 6.61583945604223</f>
        <v>12.006276454535683</v>
      </c>
      <c r="H143" s="4">
        <f>9.02941125453316E-09*E143 ^ 6 + -2.45129577477203E-06*E143 ^ 5 + 0.00021296529896511*E143 ^ 4 + -0.00702149666929613*E143 ^ 3 + 0.0979945603322784*E143 ^ 2 + -2.27901959327198*E143 ^ 1 + 2962.0162353354</f>
        <v>2929.9179835626524</v>
      </c>
    </row>
    <row r="144" spans="3:8" x14ac:dyDescent="0.2">
      <c r="C144" s="26" t="s">
        <v>81</v>
      </c>
      <c r="D144" s="1" t="s">
        <v>168</v>
      </c>
      <c r="E144" s="2">
        <v>55.4989229736113</v>
      </c>
      <c r="F144" s="3">
        <f>1.70141191460772E-08*E144 ^ 6 + -1.79118703197097E-06*E144 ^ 5 + 0.0000398229426232253*E144 ^ 4 + -0.0000308814618253676*E144 ^ 3 + -0.017964743809308*E144 ^ 2 + -0.653492393644428*E144 ^ 1 + 165.001257223324</f>
        <v>-6.0655308658397189E-4</v>
      </c>
      <c r="G144" s="3">
        <f>-3.54489216412889E-09*E144 ^ 6 + 5.08476573527272E-07*E144 ^ 5 + -0.0000233847889811802*E144 ^ 4 + 0.000156023421310754*E144 ^ 3 + 0.00730742440474968*E144 ^ 2 + 0.246797039315395*E144 ^ 1 + 7.24832499313844</f>
        <v>12.407856987171041</v>
      </c>
      <c r="H144" s="4">
        <f>5.2261537531057E-08*E144 ^ 6 + -9.83784253417393E-06*E144 ^ 5 + 0.000665772386764085*E144 ^ 4 + -0.0190780469030314*E144 ^ 3 + 0.230981982767832*E144 ^ 2 + -2.62904795637546*E144 ^ 1 + 2962.03308480212</f>
        <v>2929.8827757204594</v>
      </c>
    </row>
    <row r="145" spans="3:8" x14ac:dyDescent="0.2">
      <c r="C145" s="26" t="s">
        <v>81</v>
      </c>
      <c r="D145" s="1" t="s">
        <v>169</v>
      </c>
      <c r="E145" s="2">
        <v>54.501048424418485</v>
      </c>
      <c r="F145" s="3">
        <f>5.61684832158924E-08*E145 ^ 6 + -8.17854965795094E-06*E145 ^ 5 + 0.00041271014903019*E145 ^ 4 + -0.00967712103181582*E145 ^ 3 + 0.0884216537450001*E145 ^ 2 + -1.09685689738899*E145 ^ 1 + 183.117592017838</f>
        <v>3.3953649278828379E-6</v>
      </c>
      <c r="G145" s="3">
        <f>-8.04736511211673E-09*E145 ^ 6 + 1.26066721279029E-06*E145 ^ 5 + -0.0000731039351725279*E145 ^ 4 + 0.00174782083122149*E145 ^ 3 + -0.0168174570353506*E145 ^ 2 + 0.422702597401612*E145 ^ 1 + 7.6672253968487</f>
        <v>14.010706892946004</v>
      </c>
      <c r="H145" s="4">
        <f>8.3920224241207E-08*E145 ^ 6 + -0.0000153493136766972*E145 ^ 5 + 0.00104071236357611*E145 ^ 4 + -0.0316469306615272*E145 ^ 3 + 0.436233262699027*E145 ^ 2 + -4.06174360717819*E145 ^ 1 + 2960.02802851563</f>
        <v>2911.8354511175694</v>
      </c>
    </row>
    <row r="146" spans="3:8" x14ac:dyDescent="0.2">
      <c r="C146" s="26" t="s">
        <v>82</v>
      </c>
      <c r="D146" s="1" t="s">
        <v>170</v>
      </c>
      <c r="E146" s="2">
        <v>55.000203516674169</v>
      </c>
      <c r="F146" s="3">
        <f>3.46454321853458E-08*E146 ^ 6 + -4.50853025856921E-06*E146 ^ 5 + 0.000185115441001883*E146 ^ 4 + -0.00359528829802969*E146 ^ 3 + 0.0215713799181113*E146 ^ 2 + -1.00601297743892*E146 ^ 1 + 204.388455825614</f>
        <v>2.8375142449021951E-6</v>
      </c>
      <c r="G146" s="3">
        <f>-6.52658079020719E-09*E146 ^ 6 + 1.11182768009029E-06*E146 ^ 5 + -0.0000704608608650751*E146 ^ 4 + 0.00185831007123838*E146 ^ 3 + -0.0207437787375782*E146 ^ 2 + 0.470796266602269*E146 ^ 1 + 9.54082010117291</f>
        <v>16.005531101697613</v>
      </c>
      <c r="H146" s="4">
        <f>6.13546954764802E-08*E146 ^ 6 + -9.89969225232716E-06*E146 ^ 5 + 0.000597211572629243*E146 ^ 4 + -0.016110937691493*E146 ^ 3 + 0.195751231957521*E146 ^ 2 + -1.95658088033322*E146 ^ 1 + 2975.01941992491</f>
        <v>2959.934324834896</v>
      </c>
    </row>
    <row r="147" spans="3:8" x14ac:dyDescent="0.2">
      <c r="C147" s="26" t="s">
        <v>82</v>
      </c>
      <c r="D147" s="1" t="s">
        <v>171</v>
      </c>
      <c r="E147" s="2">
        <v>54.000636357969128</v>
      </c>
      <c r="F147" s="3">
        <f>9.32209958622746E-09*E147 ^ 6 + -1.45585298801252E-06*E147 ^ 5 + 0.0000511053967997623*E147 ^ 4 + -0.00102343431573631*E147 ^ 3 + -0.00280885092732132*E147 ^ 2 + -0.919599611709826*E147 ^ 1 + 221.796571121869</f>
        <v>3.9590203721218131E-4</v>
      </c>
      <c r="G147" s="3">
        <f>-4.0938375335278E-09*E147 ^ 6 + 7.79228754496522E-07*E147 ^ 5 + -0.0000542946740941634*E147 ^ 4 + 0.00153965754604999*E147 ^ 3 + -0.0195830148964662*E147 ^ 2 + 0.522179584515584*E147 ^ 1 + 10.3572789443093</f>
        <v>18.508838075535891</v>
      </c>
      <c r="H147" s="4">
        <f>-2.67773153559053E-08*E147 ^ 6 + 2.75228386954924E-06*E147 ^ 5 + -0.0000668743427297889*E147 ^ 4 + -0.00053766995286903*E147 ^ 3 + 0.0389007014717095*E147 ^ 2 + -1.57769223024258*E147 ^ 1 + 2973.02672260129</f>
        <v>2947.7765650978963</v>
      </c>
    </row>
    <row r="148" spans="3:8" x14ac:dyDescent="0.2">
      <c r="C148" s="26" t="s">
        <v>83</v>
      </c>
      <c r="D148" s="1" t="s">
        <v>172</v>
      </c>
      <c r="E148" s="2">
        <v>54.186618825619398</v>
      </c>
      <c r="F148" s="3">
        <f>5.1403673788554E-22*E148 ^ 6 + -6.40571819294851E-20*E148 ^ 5 + -0.0000321465839999975*E148 ^ 4 + 0.00100689977999998*E148 ^ 3 + -0.0182586967000007*E148 ^ 2 + -1.22127417999999*E148 ^ 1 + 236.730939</f>
        <v>7.4169360334508383E-4</v>
      </c>
      <c r="G148" s="3">
        <f>1.02158078982656E-22*E148 ^ 6 + -1.7081915181196E-20*E148 ^ 5 + 3.38812508000113E-06*E148 ^ 4 + -0.000530801127000038*E148 ^ 3 + 0.0146535299000007*E148 ^ 2 + 0.393479258999994*E148 ^ 1 + 10.2292599</f>
        <v>19.334228656868476</v>
      </c>
      <c r="H148" s="4">
        <f>-7.29191316474803E-10*E148 ^ 6 + 7.16688450076681E-08*E148 ^ 5 + -4.63836929197854E-06*E148 ^ 4 + 0.000510477381687054*E148 ^ 3 + -0.0133777151032515*E148 ^ 2 + -0.518046782467318*E148 ^ 1 + 2986.59604460611</f>
        <v>2975.4970601447067</v>
      </c>
    </row>
    <row r="149" spans="3:8" x14ac:dyDescent="0.2">
      <c r="C149" s="26" t="s">
        <v>76</v>
      </c>
      <c r="D149" s="1" t="s">
        <v>173</v>
      </c>
      <c r="E149" s="2">
        <v>81.377021993433829</v>
      </c>
      <c r="F149" s="3">
        <f>5.34133610780509E-23*E149 ^ 6 + 9.54431494998789E-09*E149 ^ 5 + -2.49399278999897E-06*E149 ^ 4 + 0.000174540110999959*E149 ^ 3 + -0.00738163395999927*E149 ^ 2 + -0.147626909000005*E149 ^ 1 + 42.1475957</f>
        <v>8.0364686880329828E-5</v>
      </c>
      <c r="G149" s="3">
        <f>4.48611585824174E-24*E149 ^ 6 + 6.11501106999941E-09*E149 ^ 5 + -0.00000122510004*E149 ^ 4 + 0.0000774807739000026*E149 ^ 3 + -0.00230647269000013*E149 ^ 2 + 0.0798296018000018*E149 ^ 1 + 2.97492175</f>
        <v>4.0486686944652392</v>
      </c>
      <c r="H149" s="4">
        <f>-3.2325540897956E-12*E149 ^ 6 + -1.1057515231199E-07*E149 ^ 5 + 0.0000222365323385258*E149 ^ 4 + -0.00140786824281214*E149 ^ 3 + 0.0419286133965283*E149 ^ 2 + -1.45123747995252*E149 ^ 1 + 2945.90825415658</f>
        <v>2926.3850387209359</v>
      </c>
    </row>
    <row r="150" spans="3:8" x14ac:dyDescent="0.2">
      <c r="C150" s="26" t="s">
        <v>77</v>
      </c>
      <c r="D150" s="1" t="s">
        <v>174</v>
      </c>
      <c r="E150" s="2">
        <v>80.899891128301078</v>
      </c>
      <c r="F150" s="3">
        <f>-3.14447921664869E-09*E150 ^ 6 + 8.4896355720787E-07*E150 ^ 5 + -0.0000874883829758576*E150 ^ 4 + 0.00421509619864121*E150 ^ 3 + -0.0996917470537697*E150 ^ 2 + 0.5711818536991*E150 ^ 1 + 61.6008180246411</f>
        <v>5.7795188226350547E-6</v>
      </c>
      <c r="G150" s="3">
        <f>-2.49743037683623E-10*E150 ^ 6 + 7.4498411870309E-08*E150 ^ 5 + -8.30829203919847E-06*E150 ^ 4 + 0.000417604586183546*E150 ^ 3 + -0.0102123767703228*E150 ^ 2 + 0.179370933087699*E150 ^ 1 + 4.21415111344289</f>
        <v>5.2630554843390946</v>
      </c>
      <c r="H150" s="4">
        <f>1.48459791902309E-10*E150 ^ 6 + -5.3504419451575E-07*E150 ^ 5 + 0.0000979178039932216*E150 ^ 4 + -0.00617014991682308*E150 ^ 3 + 0.164360414666492*E150 ^ 2 + -2.71962148283832*E150 ^ 1 + 2951.00161687926</f>
        <v>2921.5386405936979</v>
      </c>
    </row>
    <row r="151" spans="3:8" x14ac:dyDescent="0.2">
      <c r="C151" s="26" t="s">
        <v>79</v>
      </c>
      <c r="D151" s="1" t="s">
        <v>175</v>
      </c>
      <c r="E151" s="2">
        <v>80.795447567539654</v>
      </c>
      <c r="F151" s="3">
        <f>-6.79525242061714E-09*E151 ^ 6 + 1.76115571667962E-06*E151 ^ 5 + -0.000174539586201821*E151 ^ 4 + 0.00812344055353456*E151 ^ 3 + -0.183153869055581*E151 ^ 2 + 1.15395369137833*E151 ^ 1 + 82.2804494186523</f>
        <v>-2.2876193355614305E-5</v>
      </c>
      <c r="G151" s="3">
        <f>-7.63975298907809E-10*E151 ^ 6 + 2.05432715015401E-07*E151 ^ 5 + -0.0000210391884141861*E151 ^ 4 + 0.000995296474848772*E151 ^ 3 + -0.0224972284070874*E151 ^ 2 + 0.307267082578934*E151 ^ 1 + 5.55452766768866</f>
        <v>6.6907929868872671</v>
      </c>
      <c r="H151" s="4">
        <f>5.47723683040214E-09*E151 ^ 6 + -1.47344708814292E-06*E151 ^ 5 + 0.000150948036481373*E151 ^ 4 + -0.00714166631783085*E151 ^ 3 + 0.161393229997383*E151 ^ 2 + -2.20375272928731*E151 ^ 1 + 2960.15943517317</f>
        <v>2951.9956727539966</v>
      </c>
    </row>
    <row r="152" spans="3:8" x14ac:dyDescent="0.2">
      <c r="C152" s="26" t="s">
        <v>80</v>
      </c>
      <c r="D152" s="1" t="s">
        <v>176</v>
      </c>
      <c r="E152" s="2">
        <v>80.741100755750168</v>
      </c>
      <c r="F152" s="3">
        <f>-9.46023695062094E-09*E152 ^ 6 + 0.0000024616177537211*E152 ^ 5 + -0.000245077893569053*E152 ^ 4 + 0.0114882715185627*E152 ^ 3 + -0.260696696905813*E152 ^ 2 + 1.73270207010468*E152 ^ 1 + 102.380527553263</f>
        <v>-3.6064293794879632E-5</v>
      </c>
      <c r="G152" s="3">
        <f>-1.33561229375385E-09*E152 ^ 6 + 3.54824499700193E-07*E152 ^ 5 + -0.0000360143680851883*E152 ^ 4 + 0.00170450069138788*E152 ^ 3 + -0.0385361152492637*E152 ^ 2 + 0.472297766830387*E152 ^ 1 + 6.79720832671529</f>
        <v>7.8286948187043182</v>
      </c>
      <c r="H152" s="4">
        <f>9.82084873616296E-09*E152 ^ 6 + -2.57724005785822E-06*E152 ^ 5 + 0.000259844679579573*E152 ^ 4 + -0.0123446997789878*E152 ^ 3 + 0.284289263341685*E152 ^ 2 + -3.50794833800569*E152 ^ 1 + 2960.15971719623</f>
        <v>2952.9522431582732</v>
      </c>
    </row>
    <row r="153" spans="3:8" x14ac:dyDescent="0.2">
      <c r="C153" s="26" t="s">
        <v>80</v>
      </c>
      <c r="D153" s="1" t="s">
        <v>177</v>
      </c>
      <c r="E153" s="2">
        <v>80.600254185565703</v>
      </c>
      <c r="F153" s="3">
        <f>-9.64406131821927E-09*E153 ^ 6 + 2.51899804710794E-06*E153 ^ 5 + -0.000251673733776025*E153 ^ 4 + 0.0118347246689168*E153 ^ 3 + -0.271522706033567*E153 ^ 2 + 1.76100207689589*E153 ^ 1 + 122.13078204342</f>
        <v>-1.4937986634322442E-6</v>
      </c>
      <c r="G153" s="3">
        <f>-1.56137402179895E-09*E153 ^ 6 + 4.13520640743849E-07*E153 ^ 5 + -0.0000418359835173601*E153 ^ 4 + 0.00197348407773619*E153 ^ 3 + -0.0446409531424772*E153 ^ 2 + 0.552639295809218*E153 ^ 1 + 7.96405971220138</f>
        <v>8.7745384530034407</v>
      </c>
      <c r="H153" s="4">
        <f>3.90484115065626E-08*E153 ^ 6 + -0.0000100493815750244*E153 ^ 5 + 0.000988544885716691*E153 ^ 4 + -0.0458047856889909*E153 ^ 3 + 0.997292846888419*E153 ^ 2 + -9.25260967250184*E153 ^ 1 + 2958.00224473464</f>
        <v>2948.904756908229</v>
      </c>
    </row>
    <row r="154" spans="3:8" x14ac:dyDescent="0.2">
      <c r="C154" s="26" t="s">
        <v>81</v>
      </c>
      <c r="D154" s="1" t="s">
        <v>178</v>
      </c>
      <c r="E154" s="2">
        <v>-13.202039452573736</v>
      </c>
      <c r="F154" s="3">
        <f>-1.24357307877457E-08*E154 ^ 6 + 3.28360974344575E-06*E154 ^ 5 + -0.000330807229104577*E154 ^ 4 + 0.015646866348206*E154 ^ 3 + -0.358776064624894*E154 ^ 2 + 2.45961955247086*E154 ^ 1 + 142.440562434841</f>
        <v>1.052183279171004E-6</v>
      </c>
      <c r="G154" s="3">
        <f>-1.47588576070478E-09*E154 ^ 6 + 4.11411684654453E-07*E154 ^ 5 + -0.0000434804296965161*E154 ^ 4 + 0.00212022350322954*E154 ^ 3 + -0.0492738519914172*E154 ^ 2 + 0.637041563957479*E154 ^ 1 + 9.32201465029807</f>
        <v>-14.048746322242126</v>
      </c>
      <c r="H154" s="4">
        <f>5.61273209164456E-09*E154 ^ 6 + -1.56434324261845E-06*E154 ^ 5 + 0.000165314677459379*E154 ^ 4 + -0.00806168216519684*E154 ^ 3 + 0.187340140548317*E154 ^ 2 + -2.41701966884484*E154 ^ 1 + 2964.76975622258</f>
        <v>3053.5608791080881</v>
      </c>
    </row>
    <row r="155" spans="3:8" x14ac:dyDescent="0.2">
      <c r="C155" s="26" t="s">
        <v>82</v>
      </c>
      <c r="D155" s="1" t="s">
        <v>179</v>
      </c>
      <c r="E155" s="2">
        <v>81.600537713883824</v>
      </c>
      <c r="F155" s="3">
        <f>-6.51727224315348E-09*E155 ^ 6 + 0.0000018964447423263*E155 ^ 5 + -0.000206839376977961*E155 ^ 4 + 0.0103645462165141*E155 ^ 3 + -0.25448022899316*E155 ^ 2 + 1.63987364152082*E155 ^ 1 + 162.671903097623</f>
        <v>-3.223529990066254E-4</v>
      </c>
      <c r="G155" s="3">
        <f>-7.21102051065362E-10*E155 ^ 6 + 2.39114603582957E-07*E155 ^ 5 + -0.0000286136232287951*E155 ^ 4 + 0.00150995567166062*E155 ^ 3 + -0.0377116264718222*E155 ^ 2 + 0.591420949536379*E155 ^ 1 + 10.6819526383793</f>
        <v>11.827896691406352</v>
      </c>
      <c r="H155" s="4">
        <f>1.96767117763164E-09*E155 ^ 6 + -6.53255301887155E-07*E155 ^ 5 + 0.0000782417876615385*E155 ^ 4 + -0.00413255839691201*E155 ^ 3 + 0.103285709297711*E155 ^ 2 + -1.61708730256056*E155 ^ 1 + 2970.91963883434</f>
        <v>2967.7909915908367</v>
      </c>
    </row>
    <row r="156" spans="3:8" x14ac:dyDescent="0.2">
      <c r="C156" s="26" t="s">
        <v>82</v>
      </c>
      <c r="D156" s="1" t="s">
        <v>180</v>
      </c>
      <c r="E156" s="2">
        <v>81.105794841224977</v>
      </c>
      <c r="F156" s="3">
        <f>-1.06313589927362E-08*E156 ^ 6 + 0.0000028880564288329*E156 ^ 5 + -0.000296483421287242*E156 ^ 4 + 0.0141306782490177*E156 ^ 3 + -0.330527936676058*E156 ^ 2 + 2.13000828320939*E156 ^ 1 + 182.121299723967</f>
        <v>6.3802757080111405E-4</v>
      </c>
      <c r="G156" s="3">
        <f>-1.36121092127657E-09*E156 ^ 6 + 3.91470671879766E-07*E156 ^ 5 + -0.0000422553443168062*E156 ^ 4 + 0.0020779140622317*E156 ^ 3 + -0.0491273148197843*E156 ^ 2 + 0.708222189800924*E156 ^ 1 + 11.975060097381</f>
        <v>12.837199965251511</v>
      </c>
      <c r="H156" s="4">
        <f>1.62552230664034E-08*E156 ^ 6 + -4.57325714202285E-06*E156 ^ 5 + 0.00048788758300347*E156 ^ 4 + -0.0241555082694114*E156 ^ 3 + 0.554436517473719*E156 ^ 2 + -5.60667322253489*E156 ^ 1 + 2971.00473375154</f>
        <v>2964.4238229150683</v>
      </c>
    </row>
    <row r="157" spans="3:8" x14ac:dyDescent="0.2">
      <c r="C157" s="26" t="s">
        <v>83</v>
      </c>
      <c r="D157" s="1" t="s">
        <v>181</v>
      </c>
      <c r="E157" s="2">
        <v>81.608111798273328</v>
      </c>
      <c r="F157" s="3">
        <f>1.93072749912706E-22*E157 ^ 6 + -4.84099039427852E-20*E157 ^ 5 + 5.75283213000466E-06*E157 ^ 4 + -0.000984812060000213*E157 ^ 3 + 0.0267514282000044*E157 ^ 2 + -1.18805754000003*E157 ^ 1 + 198.878152</f>
        <v>-4.6025422420825635E-5</v>
      </c>
      <c r="G157" s="3">
        <f>8.23725717158597E-24*E157 ^ 6 + -2.48722564117067E-21*E157 ^ 5 + 5.8196961800029E-07*E157 ^ 4 + -0.000142049016000016*E157 ^ 3 + 0.00437659688000037*E157 ^ 2 + 0.273989828999998*E157 ^ 1 + 12.967385</f>
        <v>13.083798003331729</v>
      </c>
      <c r="H157" s="4">
        <f>3.75866126173657E-10*E157 ^ 6 + -9.80418595831986E-08*E157 ^ 5 + 9.06447408607321E-06*E157 ^ 4 + -0.000288524881205502*E157 ^ 3 + 0.00485216113641869*E157 ^ 2 + -0.41447554138995*E157 ^ 1 + 2983.2108604221</f>
        <v>2983.0847550471417</v>
      </c>
    </row>
    <row r="158" spans="3:8" x14ac:dyDescent="0.2">
      <c r="C158" s="26" t="s">
        <v>83</v>
      </c>
      <c r="D158" s="1" t="s">
        <v>182</v>
      </c>
      <c r="E158" s="2">
        <v>81.955561091845269</v>
      </c>
      <c r="F158" s="3">
        <f>1.88394273112221E-22*E158 ^ 6 + -4.92592005031849E-20*E158 ^ 5 + 6.12813880000491E-06*E158 ^ 4 + -0.00101308500000023*E158 ^ 3 + 0.0232361351000048*E158 ^ 2 + -1.10022625000003*E158 ^ 1 + 215.307669</f>
        <v>-1.411659818870703E-4</v>
      </c>
      <c r="G158" s="3">
        <f>1.8375145543369E-23*E158 ^ 6 + -4.70146310221285E-21*E158 ^ 5 + 5.45306136000461E-07*E158 ^ 4 + -0.000138339872000021*E158 ^ 3 + 0.00361680071000043*E158 ^ 2 + 0.332335842999997*E158 ^ 1 + 13.7238515</f>
        <v>13.702478686306494</v>
      </c>
      <c r="H158" s="4">
        <f>7.43285224390306E-10*E158 ^ 6 + -1.9688575763008E-07*E158 ^ 5 + 0.0000190301423234502*E158 ^ 4 + -0.000745557666085802*E158 ^ 3 + 0.0148197904541287*E158 ^ 2 + -0.54762822055582*E158 ^ 1 + 2982.27681467103</f>
        <v>2982.3295167488518</v>
      </c>
    </row>
    <row r="159" spans="3:8" x14ac:dyDescent="0.2">
      <c r="C159" s="26" t="s">
        <v>83</v>
      </c>
      <c r="D159" s="1" t="s">
        <v>183</v>
      </c>
      <c r="E159" s="2">
        <v>82.267803687014222</v>
      </c>
      <c r="F159" s="3">
        <f>2.54805821841059E-22*E159 ^ 6 + -6.64877878712939E-20*E159 ^ 5 + 0.0000065034454600067*E159 ^ 4 + -0.00104135795000032*E159 ^ 3 + 0.0197208420000073*E159 ^ 2 + -1.01239495000006*E159 ^ 1 + 231.737185</f>
        <v>-3.0048665342974346E-4</v>
      </c>
      <c r="G159" s="3">
        <f>3.99917052724401E-23*E159 ^ 6 + -9.97923458469694E-21*E159 ^ 5 + 5.08642653000957E-07*E159 ^ 4 + -0.000134630729000044*E159 ^ 3 + 0.00285700455000093*E159 ^ 2 + 0.390681857999993*E159 ^ 1 + 14.480318</f>
        <v>14.295029312216503</v>
      </c>
      <c r="H159" s="4">
        <f>1.27827536352384E-09*E159 ^ 6 + -3.41675548836266E-07*E159 ^ 5 + 0.0000335862760582316*E159 ^ 4 + -0.00140217882399265*E159 ^ 3 + 0.0283218092765672*E159 ^ 2 + -0.703578083264414*E159 ^ 1 + 2981.3469794896</f>
        <v>2981.6076303360969</v>
      </c>
    </row>
    <row r="160" spans="3:8" x14ac:dyDescent="0.2">
      <c r="C160" s="26" t="s">
        <v>75</v>
      </c>
      <c r="D160" s="1" t="s">
        <v>184</v>
      </c>
      <c r="E160" s="2">
        <v>112.64619438831774</v>
      </c>
      <c r="F160" s="3">
        <f>-4.6493573147901E-12*E160 ^ 6 + 4.75728362309674E-09*E160 ^ 5 + -9.45639398949594E-07*E160 ^ 4 + 0.0000541939114089765*E160 ^ 3 + -0.00108243774449939*E160 ^ 2 + -0.0841159398950048*E160 ^ 1 + 21.221570812</f>
        <v>-6.4118346656982794E-5</v>
      </c>
      <c r="G160" s="3">
        <f>-3.7329980367114E-25*E160 ^ 6 + -9.33080022828579E-11*E160 ^ 5 + 8.44390886544787E-08*E160 ^ 4 + -0.0000183129570641984*E160 ^ 3 + 0.00122832709759994*E160 ^ 2 + 0.00591843373276078*E160 ^ 1 + 1.64035641022</f>
        <v>3.6207616513381455</v>
      </c>
      <c r="H160" s="4">
        <f>1.58515199983949E-22*E160 ^ 6 + 1.17347977334885E-09*E160 ^ 5 + -1.63673125409377E-06*E160 ^ 4 + 0.000389776817879647*E160 ^ 3 + -0.0271274181779908*E160 ^ 2 + -0.145953422910083*E160 ^ 1 + 2964.9596148</f>
        <v>2919.1819241909434</v>
      </c>
    </row>
    <row r="161" spans="3:8" x14ac:dyDescent="0.2">
      <c r="C161" s="26" t="s">
        <v>76</v>
      </c>
      <c r="D161" s="1" t="s">
        <v>185</v>
      </c>
      <c r="E161" s="2">
        <v>129.26273711958123</v>
      </c>
      <c r="F161" s="3">
        <f>-1.9574789193611E-13*E161 ^ 6 + 2.81808510879869E-09*E161 ^ 5 + -7.53966431009837E-07*E161 ^ 4 + 0.0000508783526259908*E161 ^ 3 + -0.000503965455609786*E161 ^ 2 + -0.155972867510001*E161 ^ 1 + 28.403368919</f>
        <v>-2.5771722178546952E-6</v>
      </c>
      <c r="G161" s="3">
        <f>4.05694456065382E-25*E161 ^ 6 + 3.96369849757873E-10*E161 ^ 5 + -9.65050864917851E-08*E161 ^ 4 + 0.0000026439733986792*E161 ^ 3 + 0.000569626932793018*E161 ^ 2 + -0.00503242892359008*E161 ^ 1 + 3.22062603622</f>
        <v>5.1599442922042096</v>
      </c>
      <c r="H161" s="4">
        <f>-1.54942258144818E-22*E161 ^ 6 + -1.34116919999446E-08*E161 ^ 5 + 4.13711562029232E-06*E161 ^ 4 + -0.000333732545529485*E161 ^ 3 + 0.000766562798143483*E161 ^ 2 + -0.0275816744828029*E161 ^ 1 + 2947.9808439</f>
        <v>2907.4361913900293</v>
      </c>
    </row>
    <row r="162" spans="3:8" x14ac:dyDescent="0.2">
      <c r="C162" s="26" t="s">
        <v>77</v>
      </c>
      <c r="D162" s="1" t="s">
        <v>186</v>
      </c>
      <c r="E162" s="2">
        <v>114.37875693029122</v>
      </c>
      <c r="F162" s="3">
        <f>2.59256560989692E-12*E162 ^ 6 + -8.26695797098872E-10*E162 ^ 5 + 3.70629533049841E-07*E162 ^ 4 + -0.0000801861451689893*E162 ^ 3 + 0.00322892661409967*E162 ^ 2 + -0.140443432709996*E162 ^ 1 + 40.753240756</f>
        <v>-1.3418665893993875E-5</v>
      </c>
      <c r="G162" s="3">
        <f>-5.73814155053631E-24*E162 ^ 6 + -9.17164556636993E-10*E162 ^ 5 + 3.53335173766732E-07*E162 ^ 4 + -0.0000525397068663832*E162 ^ 3 + 0.00299797134888951*E162 ^ 2 + -0.00453640502597512*E162 ^ 1 + 3.89310417944001</f>
        <v>6.4962955808184599</v>
      </c>
      <c r="H162" s="4">
        <f>9.59127742282879E-23*E162 ^ 6 + 2.30207896497139E-09*E162 ^ 5 + -1.60720116639688E-06*E162 ^ 4 + 0.000369195712319844*E162 ^ 3 + -0.0277530582919963*E162 ^ 2 + 0.12943308706996*E162 ^ 1 + 2961.5324133</f>
        <v>2935.6975678410722</v>
      </c>
    </row>
    <row r="163" spans="3:8" x14ac:dyDescent="0.2">
      <c r="C163" s="26" t="s">
        <v>78</v>
      </c>
      <c r="D163" s="1" t="s">
        <v>187</v>
      </c>
      <c r="E163" s="2">
        <v>123.10776485615055</v>
      </c>
      <c r="F163" s="3">
        <f>3.28798043189423E-12*E163 ^ 6 + -1.05983936299792E-09*E163 ^ 5 + 2.63463076079711E-07*E163 ^ 4 + -0.0000595544775769809*E163 ^ 3 + 0.00302630234629941*E163 ^ 2 + -0.204419162199993*E163 ^ 1 + 48.423098795</f>
        <v>2.1172647564071667E-5</v>
      </c>
      <c r="G163" s="3">
        <f>-2.92827374007007E-25*E163 ^ 6 + -4.10754324244853E-10*E163 ^ 5 + 1.64665554455974E-07*E163 ^ 4 + -0.0000307046804059979*E163 ^ 3 + 0.00232832734931993*E163 ^ 2 + -0.0156161879715993*E163 ^ 1 + 5.56063969613</f>
        <v>7.8448109926917642</v>
      </c>
      <c r="H163" s="4">
        <f>2.03748492584239E-22*E163 ^ 6 + -5.53777872587867E-10*E163 ^ 5 + -9.66521089744906E-08*E163 ^ 4 + 0.000119603155889503*E163 ^ 3 + -0.0143318955999868*E163 ^ 2 + 0.114976146489879*E163 ^ 1 + 2968.1311239</f>
        <v>2950.3703325460383</v>
      </c>
    </row>
    <row r="164" spans="3:8" x14ac:dyDescent="0.2">
      <c r="C164" s="26" t="s">
        <v>79</v>
      </c>
      <c r="D164" s="1" t="s">
        <v>188</v>
      </c>
      <c r="E164" s="2">
        <v>136.92874184422141</v>
      </c>
      <c r="F164" s="3">
        <f>-2.10033550510277E-12*E164 ^ 6 + 3.33585007710103E-09*E164 ^ 5 + -6.68261925240148E-07*E164 ^ 4 + 0.0000116638571120106*E164 ^ 3 + 0.00207708821979962*E164 ^ 2 + -0.258521220229994*E164 ^ 1 + 54.700455796</f>
        <v>-1.0870114556382759E-4</v>
      </c>
      <c r="G164" s="3">
        <f>-1.26014006987027E-24*E164 ^ 6 + 7.47224172176415E-10*E164 ^ 5 + -1.58460713717052E-07*E164 ^ 4 + -4.29541743411925E-07*E164 ^ 3 + 0.00137666736766991*E164 ^ 2 + -0.004557297475749*E164 ^ 1 + 6.33335709008</f>
        <v>10.681230854366731</v>
      </c>
      <c r="H164" s="4">
        <f>3.24120817573266E-23*E164 ^ 6 + -4.99912215790755E-09*E164 ^ 5 + 1.06090051900044E-06*E164 ^ 4 + 0.0000133393434680118*E164 ^ 3 + -0.0108077296410016*E164 ^ 2 + 0.0255295121170301*E164 ^ 1 + 2958.1987732</f>
        <v>2925.614558237552</v>
      </c>
    </row>
    <row r="165" spans="3:8" x14ac:dyDescent="0.2">
      <c r="C165" s="26" t="s">
        <v>80</v>
      </c>
      <c r="D165" s="1" t="s">
        <v>189</v>
      </c>
      <c r="E165" s="2">
        <v>120.87660878317519</v>
      </c>
      <c r="F165" s="3">
        <f>-5.70751636870884E-12*E165 ^ 6 + -6.99738709246849E-10*E165 ^ 5 + 7.85191111019571E-07*E165 ^ 4 + -0.000148086377149972*E165 ^ 3 + 0.00634955288129917*E165 ^ 2 + -0.256532880999991*E165 ^ 1 + 68.010324959</f>
        <v>3.1881269849520777E-4</v>
      </c>
      <c r="G165" s="3">
        <f>-4.11672231152178E-24*E165 ^ 6 + -1.22394674467861E-09*E165 ^ 5 + 4.32641511710821E-07*E165 ^ 4 + -0.0000652576875833892*E165 ^ 3 + 0.0041422822520297*E165 ^ 2 + -0.0268456320111973*E165 ^ 1 + 7.81881287450001</f>
        <v>10.621019334805954</v>
      </c>
      <c r="H165" s="4">
        <f>-3.25186784459373E-23*E165 ^ 6 + -3.43425022775245E-10*E165 ^ 5 + -7.74936488335148E-08*E165 ^ 4 + 0.000100215257420199*E165 ^ 3 + -0.0118192661520072*E165 ^ 2 + 0.0769151453280945*E165 ^ 1 + 2966.1714539</f>
        <v>2954.3643971507913</v>
      </c>
    </row>
    <row r="166" spans="3:8" x14ac:dyDescent="0.2">
      <c r="C166" s="26" t="s">
        <v>80</v>
      </c>
      <c r="D166" s="1" t="s">
        <v>190</v>
      </c>
      <c r="E166" s="2">
        <v>128.63700238981696</v>
      </c>
      <c r="F166" s="3">
        <f>-8.73392647300515E-12*E166 ^ 6 + 2.89344272240199E-09*E166 ^ 5 + -5.86403458012969E-08*E166 ^ 4 + -0.0000785079013779789*E166 ^ 3 + 0.00514983219509929*E166 ^ 2 + -0.301990230589991*E166 ^ 1 + 74.457618513</f>
        <v>-9.2289144504320575E-7</v>
      </c>
      <c r="G166" s="3">
        <f>-2.16725698863573E-24*E166 ^ 6 + -1.20444337294236E-10*E166 ^ 5 + 1.26243533860897E-07*E166 ^ 4 + -0.0000366136228457934*E166 ^ 3 + 0.00324114540123981*E166 ^ 2 + -0.016100131181898*E166 ^ 1 + 8.62836520543</f>
        <v>12.57909989752612</v>
      </c>
      <c r="H166" s="4">
        <f>-5.18536456549967E-23*E166 ^ 6 + -6.88047149978209E-09*E166 ^ 5 + 1.82799585959773E-06*E166 ^ 4 + -0.0000767358578168752*E166 ^ 3 + -0.00710436908960264*E166 ^ 2 + 0.0179743347400092*E166 ^ 1 + 2963.2176527</f>
        <v>2942.8165260401993</v>
      </c>
    </row>
    <row r="167" spans="3:8" x14ac:dyDescent="0.2">
      <c r="C167" s="26" t="s">
        <v>81</v>
      </c>
      <c r="D167" s="1" t="s">
        <v>191</v>
      </c>
      <c r="E167" s="2">
        <v>139.67231338666011</v>
      </c>
      <c r="F167" s="3">
        <f>-8.25653580541091E-12*E167 ^ 6 + 5.3715540609038E-09*E167 ^ 5 + -7.75675404240508E-07*E167 ^ 4 + -0.0000177242301479676*E167 ^ 3 + 0.00448841381939901*E167 ^ 2 + -0.353790313729988*E167 ^ 1 + 81.121053568</f>
        <v>-5.9260732783172898E-5</v>
      </c>
      <c r="G167" s="3">
        <f>-3.35215233713375E-24*E167 ^ 6 + 1.08306662017113E-09*E167 ^ 5 + -2.13452181317145E-07*E167 ^ 4 + -4.76661351057115E-06*E167 ^ 3 + 0.00227521244222974*E167 ^ 2 + -0.00457978628575706*E167 ^ 1 + 9.47444170233</f>
        <v>16.569106821383084</v>
      </c>
      <c r="H167" s="4">
        <f>3.34128365515775E-23*E167 ^ 6 + -5.77171074821438E-09*E167 ^ 5 + 1.52662334510238E-06*E167 ^ 4 + -0.000085253586349187*E167 ^ 3 + -0.00311510620849313*E167 ^ 2 + -0.0301215578510947*E167 ^ 1 + 2964.6799272</f>
        <v>2941.6006562538464</v>
      </c>
    </row>
    <row r="168" spans="3:8" x14ac:dyDescent="0.2">
      <c r="C168" s="26" t="s">
        <v>81</v>
      </c>
      <c r="D168" s="1" t="s">
        <v>192</v>
      </c>
      <c r="E168" s="2">
        <v>125.11248003637886</v>
      </c>
      <c r="F168" s="3">
        <f>-3.82576273181834E-12*E168 ^ 6 + -1.2553953193937E-09*E168 ^ 5 + 9.79412368319176E-07*E168 ^ 4 + -0.000192487528409949*E168 ^ 3 + 0.00905750333159855*E168 ^ 2 + -0.363620280279986*E168 ^ 1 + 93.865161795</f>
        <v>7.8336592144978567E-4</v>
      </c>
      <c r="G168" s="3">
        <f>-4.89132491542611E-24*E168 ^ 6 + -9.22259629490263E-10*E168 ^ 5 + 3.84256475470764E-07*E168 ^ 4 + -0.0000692677607839849*E168 ^ 3 + 0.00493603994055955*E168 ^ 2 + -0.0281203415605953*E168 ^ 1 + 11.0555985661</f>
        <v>15.026491105802879</v>
      </c>
      <c r="H168" s="4">
        <f>-1.89332440021775E-23*E168 ^ 6 + -2.6210270359931E-09*E168 ^ 5 + 5.69922757428962E-07*E168 ^ 4 + 0.0000392258527310815*E168 ^ 3 + -0.00981492889510324*E168 ^ 2 + 0.0332907582630489*E168 ^ 1 + 2959.8874916</f>
        <v>2946.533064400383</v>
      </c>
    </row>
    <row r="169" spans="3:8" x14ac:dyDescent="0.2">
      <c r="C169" s="26" t="s">
        <v>82</v>
      </c>
      <c r="D169" s="1" t="s">
        <v>193</v>
      </c>
      <c r="E169" s="2">
        <v>132.59005009105559</v>
      </c>
      <c r="F169" s="3">
        <f>1.46045997258804E-12*E169 ^ 6 + -1.46713648126902E-11*E169 ^ 5 + 3.37277003219401E-07*E169 ^ 4 + -0.00012944016586996*E169 ^ 3 + 0.00815317372259873*E169 ^ 2 + -0.412063852119985*E169 ^ 1 + 101.44750863</f>
        <v>2.7727548020095583E-4</v>
      </c>
      <c r="G169" s="3">
        <f>-1.98938682783633E-24*E169 ^ 6 + 2.65105157937734E-10*E169 ^ 5 + 4.31925537112954E-08*E169 ^ 4 + -0.0000366539080045929*E169 ^ 3 + 0.00392640657687977*E169 ^ 2 + -0.0176880317278973*E169 ^ 1 + 12.2757429496</f>
        <v>17.731490137477323</v>
      </c>
      <c r="H169" s="4">
        <f>4.91097214822886E-23*E169 ^ 6 + -2.28198498642402E-09*E169 ^ 5 + 4.94674488044188E-07*E169 ^ 4 + 0.0000102548678456734*E169 ^ 3 + -0.00550755332548873*E169 ^ 2 + 0.0201184327888664*E169 ^ 1 + 2975.235079</f>
        <v>2964.3551065997449</v>
      </c>
    </row>
    <row r="170" spans="3:8" x14ac:dyDescent="0.2">
      <c r="C170" s="26" t="s">
        <v>82</v>
      </c>
      <c r="D170" s="1" t="s">
        <v>194</v>
      </c>
      <c r="E170" s="2">
        <v>141.52441447856543</v>
      </c>
      <c r="F170" s="3">
        <f>-6.2198035012229E-12*E170 ^ 6 + 5.93941053110806E-09*E170 ^ 5 + -9.42970176281086E-07*E170 ^ 4 + -0.0000250861606759305*E170 ^ 3 + 0.00590164877279789*E170 ^ 2 + -0.452386399469976*E170 ^ 1 + 107.98360681</f>
        <v>-9.0076275682804408E-7</v>
      </c>
      <c r="G170" s="3">
        <f>-2.3585039887902E-24*E170 ^ 6 + 1.3917165902108E-09*E170 ^ 5 + -2.76580693459103E-07*E170 ^ 4 + -5.86053452206357E-06*E170 ^ 3 + 0.00291118816783981*E170 ^ 2 + -0.00755763404699772*E170 ^ 1 + 13.2988186306</f>
        <v>21.985060472155041</v>
      </c>
      <c r="H170" s="4">
        <f>3.91623693168771E-22*E170 ^ 6 + -5.00412760893285E-09*E170 ^ 5 + 0.000001266994807717*E170 ^ 4 + -0.0000624067188830154*E170 ^ 3 + -0.00330380833287219*E170 ^ 2 + -0.004139834345872*E170 ^ 1 + 2973.4195197</f>
        <v>2953.9297722874803</v>
      </c>
    </row>
    <row r="171" spans="3:8" x14ac:dyDescent="0.2">
      <c r="C171" s="26" t="s">
        <v>83</v>
      </c>
      <c r="D171" s="1" t="s">
        <v>195</v>
      </c>
      <c r="E171" s="2">
        <v>128.99757622569999</v>
      </c>
      <c r="F171" s="3">
        <f>1.02669538319759E-11*E171 ^ 6 + -5.01281514649184E-09*E171 ^ 5 + 1.38970052299895E-06*E171 ^ 4 + -0.000237646218339936*E171 ^ 3 + 0.0118067999529982*E171 ^ 2 + -0.473686376399982*E171 ^ 1 + 121.69626879</f>
        <v>-6.0522984313138295E-7</v>
      </c>
      <c r="G171" s="3">
        <f>-6.97727580235682E-24*E171 ^ 6 + -5.17148985229525E-10*E171 ^ 5 + 2.91760183965665E-07*E171 ^ 4 + -0.0000680788002523785*E171 ^ 3 + 0.00557725017802936*E171 ^ 2 + -0.0310502886047932*E171 ^ 1 + 15.0571266097</f>
        <v>20.040067359917675</v>
      </c>
      <c r="H171" s="4">
        <f>-1.24843951569688E-22*E171 ^ 6 + 4.50344121417176E-10*E171 ^ 5 + -2.85426785326809E-07*E171 ^ 4 + 0.0000736634801804649*E171 ^ 3 + -0.00631584683291488*E171 ^ 2 + 0.0311358191831769*E171 ^ 1 + 2980.6478233</f>
        <v>2974.7407677187398</v>
      </c>
    </row>
    <row r="172" spans="3:8" x14ac:dyDescent="0.2">
      <c r="C172" s="26" t="s">
        <v>83</v>
      </c>
      <c r="D172" s="1" t="s">
        <v>196</v>
      </c>
      <c r="E172" s="2">
        <v>134.24823149872486</v>
      </c>
      <c r="F172" s="3">
        <f>-5.36676513781716E-12*E172 ^ 6 + 3.81187653320633E-09*E172 ^ 5 + -2.77948543070896E-07*E172 ^ 4 + -0.000110232613709939*E172 ^ 3 + 0.00903792832669803*E172 ^ 2 + -0.513573011429975*E172 ^ 1 + 128.24615025</f>
        <v>-1.7192811907307259E-4</v>
      </c>
      <c r="G172" s="3">
        <f>3.42112666505831E-24*E172 ^ 6 + 5.98868360247875E-10*E172 ^ 5 + -3.02060531394605E-08*E172 ^ 4 + -0.0000363255313378081*E172 ^ 3 + 0.00448786840167022*E172 ^ 2 + -0.0220443647283021*E172 ^ 1 + 16.2918693319</f>
        <v>22.628523434156062</v>
      </c>
      <c r="H172" s="4">
        <f>-6.48208193048145E-23*E172 ^ 6 + -1.18119836127456E-09*E172 ^ 5 + 2.06619315876261E-07*E172 ^ 4 + 0.0000233735178202515*E172 ^ 3 + -0.00453279599790745*E172 ^ 2 + 0.0156367218880735*E172 ^ 1 + 2979.1511492</f>
        <v>2971.7157198236782</v>
      </c>
    </row>
    <row r="173" spans="3:8" x14ac:dyDescent="0.2">
      <c r="C173" s="26" t="s">
        <v>83</v>
      </c>
      <c r="D173" s="1" t="s">
        <v>197</v>
      </c>
      <c r="E173" s="2">
        <v>142.17898416109568</v>
      </c>
      <c r="F173" s="3">
        <f>-3.95548287999557E-12*E173 ^ 6 + 6.64559323019884E-09*E173 ^ 5 + -1.15720238059991E-06*E173 ^ 4 + -0.0000304457486070013*E173 ^ 3 + 0.00754479161259986*E173 ^ 2 + -0.565176829619994*E173 ^ 1 + 134.78928527</f>
        <v>-7.8194937032094458E-6</v>
      </c>
      <c r="G173" s="3">
        <f>-4.41393896094216E-24*E173 ^ 6 + 1.71927900273156E-09*E173 ^ 5 + -3.52569394803211E-07*E173 ^ 4 + -0.0000046112657669163*E173 ^ 3 + 0.00340061666996957*E173 ^ 2 + -0.0130294310340948*E173 ^ 1 + 17.5231873887</f>
        <v>26.976417042265982</v>
      </c>
      <c r="H173" s="4">
        <f>1.40334749569085E-22*E173 ^ 6 + -2.96931636224882E-09*E173 ^ 5 + 7.51383938186408E-07*E173 ^ 4 + -0.0000327936701303915*E173 ^ 3 + -0.0025273313621891*E173 ^ 2 + -0.00324234837910653*E173 ^ 1 + 2977.6794483</f>
        <v>2966.403990577287</v>
      </c>
    </row>
    <row r="174" spans="3:8" x14ac:dyDescent="0.2">
      <c r="C174" s="26" t="s">
        <v>83</v>
      </c>
      <c r="D174" s="1" t="s">
        <v>198</v>
      </c>
      <c r="E174" s="2">
        <v>130.22646605670673</v>
      </c>
      <c r="F174" s="3">
        <f>-3.04128375725198E-13*E174 ^ 6 + 1.53057339372175E-10*E174 ^ 5 + 6.15297471419648E-07*E174 ^ 4 + -0.000211083416809973*E174 ^ 3 + 0.012555468869999*E174 ^ 2 + -0.581607215649987*E174 ^ 1 + 147.77934505</f>
        <v>-3.3769444485187705E-7</v>
      </c>
      <c r="G174" s="3">
        <f>-8.38686024939697E-24*E174 ^ 6 + -2.5733476101113E-10*E174 ^ 5 + 2.39944358543626E-07*E174 ^ 4 + -0.000069183969259477*E174 ^ 3 + 0.00610397613165934*E174 ^ 2 + -0.0371178247543933*E174 ^ 1 + 19.1426147054</f>
        <v>24.404004496671575</v>
      </c>
      <c r="H174" s="4">
        <f>-3.46098128581181E-22*E174 ^ 6 + -1.85981952568003E-09*E174 ^ 5 + 4.24629828614214E-07*E174 ^ 4 + 8.12471239537696E-06*E174 ^ 3 + -0.00464172578542802*E174 ^ 2 + 0.014869137172291*E174 ^ 1 + 2975.7554042</f>
        <v>2969.3849441245079</v>
      </c>
    </row>
    <row r="175" spans="3:8" x14ac:dyDescent="0.2">
      <c r="C175" s="26" t="s">
        <v>84</v>
      </c>
      <c r="D175" s="1" t="s">
        <v>199</v>
      </c>
      <c r="E175" s="2">
        <v>143.05924997333514</v>
      </c>
      <c r="F175" s="3">
        <f>6.20319794198498E-12*E175 ^ 6 + 5.47343710460541E-09*E175 ^ 5 + -1.28583835580076E-06*E175 ^ 4 + -0.0000289592026089483*E175 ^ 3 + 0.00868367743079827*E175 ^ 2 + -0.678807380689976*E175 ^ 1 + 161.6080163</f>
        <v>-8.5635383612725491E-5</v>
      </c>
      <c r="G175" s="3">
        <f>-2.72511299236499E-24*E175 ^ 6 + 1.98339673872098E-09*E175 ^ 5 + -4.17245138770134E-07*E175 ^ 4 + -3.09007206214121E-06*E175 ^ 3 + 0.00377730170395972*E175 ^ 2 + -0.0210447578662965*E175 ^ 1 + 22.1728525685</f>
        <v>31.503079661776852</v>
      </c>
      <c r="H175" s="4">
        <f>-2.31468229911546E-22*E175 ^ 6 + -3.79648731711792E-09*E175 ^ 5 + 1.03381007488891E-06*E175 ^ 4 + -0.0000672334943482903*E175 ^ 3 + -0.000865828387781322*E175 ^ 2 + -0.00394898795616006*E175 ^ 1 + 2980.9022828</f>
        <v>2971.2951311579527</v>
      </c>
    </row>
    <row r="176" spans="3:8" x14ac:dyDescent="0.2">
      <c r="C176" s="26" t="s">
        <v>84</v>
      </c>
      <c r="D176" s="1" t="s">
        <v>200</v>
      </c>
      <c r="E176" s="2">
        <v>143.05924997333514</v>
      </c>
      <c r="F176" s="3">
        <f>6.20319794198498E-12*E176 ^ 6 + 5.47343710460541E-09*E176 ^ 5 + -1.28583835580076E-06*E176 ^ 4 + -0.0000289592026089483*E176 ^ 3 + 0.00868367743079827*E176 ^ 2 + -0.678807380689976*E176 ^ 1 + 161.6080163</f>
        <v>-8.5635383612725491E-5</v>
      </c>
      <c r="G176" s="3">
        <f>-2.72511299236499E-24*E176 ^ 6 + 1.98339673872098E-09*E176 ^ 5 + -4.17245138770134E-07*E176 ^ 4 + -3.09007206214121E-06*E176 ^ 3 + 0.00377730170395972*E176 ^ 2 + -0.0210447578662965*E176 ^ 1 + 22.1728525685</f>
        <v>31.503079661776852</v>
      </c>
      <c r="H176" s="4">
        <f>-2.31468229911546E-22*E176 ^ 6 + -3.79648731711792E-09*E176 ^ 5 + 1.03381007488891E-06*E176 ^ 4 + -0.0000672334943482903*E176 ^ 3 + -0.000865828387781322*E176 ^ 2 + -0.00394898795616006*E176 ^ 1 + 2980.9022828</f>
        <v>2971.2951311579527</v>
      </c>
    </row>
    <row r="177" spans="3:8" x14ac:dyDescent="0.2">
      <c r="C177" s="26" t="s">
        <v>84</v>
      </c>
      <c r="D177" s="1" t="s">
        <v>201</v>
      </c>
      <c r="E177" s="2">
        <v>131.22735772458194</v>
      </c>
      <c r="F177" s="3">
        <f>-1.7093352975016E-11*E177 ^ 6 + 8.7437870121057E-09*E177 ^ 5 + -8.40082794440783E-07*E177 ^ 4 + -0.000126145797979948*E177 ^ 3 + 0.0112955816779983*E177 ^ 2 + -0.669906554649979*E177 ^ 1 + 174.61029827</f>
        <v>9.5159899586860774E-4</v>
      </c>
      <c r="G177" s="3">
        <f>-1.16453747110453E-23*E177 ^ 6 + 2.83667979008399E-11*E177 ^ 5 + 1.68838161129465E-07*E177 ^ 4 + -0.0000669969715331664*E177 ^ 3 + 0.00645449582463902*E177 ^ 2 + -0.0448351307534898*E177 ^ 1 + 23.8029082428</f>
        <v>28.841692622137899</v>
      </c>
      <c r="H177" s="4">
        <f>1.62321257154057E-22*E177 ^ 6 + -2.23062364416026E-09*E177 ^ 5 + 5.36448493188556E-07*E177 ^ 4 + -0.000005914517715274*E177 ^ 3 + -0.00390570074708206*E177 ^ 2 + 0.0259025855337932*E177 ^ 1 + 2979.5642145</f>
        <v>2974.6169937475552</v>
      </c>
    </row>
    <row r="178" spans="3:8" x14ac:dyDescent="0.2">
      <c r="C178" s="26" t="s">
        <v>84</v>
      </c>
      <c r="D178" s="1" t="s">
        <v>202</v>
      </c>
      <c r="E178" s="2">
        <v>135.35649209425867</v>
      </c>
      <c r="F178" s="3">
        <f>-1.36942129899941E-11*E178 ^ 6 + 1.19821881059983E-08*E178 ^ 5 + -1.96474174969984E-06*E178 ^ 4 + -0.000018195755814004*E178 ^ 3 + 0.00876538630839986*E178 ^ 2 + -0.718697451969993*E178 ^ 1 + 181.12342691</f>
        <v>-4.25401960058025E-5</v>
      </c>
      <c r="G178" s="3">
        <f>-1.25198855838827E-23*E178 ^ 6 + 1.12497470664423E-09*E178 ^ 5 + -1.55790997752544E-07*E178 ^ 4 + -0.0000335928955013668*E178 ^ 3 + 0.00521350188663904*E178 ^ 2 + -0.0381145206521896*E178 ^ 1 + 25.4357620162</f>
        <v>31.306625373042699</v>
      </c>
      <c r="H178" s="4">
        <f>-4.25216280999183E-23*E178 ^ 6 + -3.41882124168259E-09*E178 ^ 5 + 8.83108453917239E-07*E178 ^ 4 + -0.0000393199281917908*E178 ^ 3 + -0.00286625609440746*E178 ^ 2 + 0.0180210702820995*E178 ^ 1 + 2978.137571</f>
        <v>2971.6526147402706</v>
      </c>
    </row>
    <row r="179" spans="3:8" x14ac:dyDescent="0.2">
      <c r="C179" s="26" t="s">
        <v>77</v>
      </c>
      <c r="D179" s="1" t="s">
        <v>203</v>
      </c>
      <c r="E179" s="2">
        <v>148.30720202309459</v>
      </c>
      <c r="F179" s="3">
        <f>3.18127200578069E-25*E179 ^ 6 + -3.96399834200122E-10*E179 ^ 5 + 1.24778342300017E-07*E179 ^ 4 + -0.000020395601530001*E179 ^ 3 + 0.00102940393800002*E179 ^ 2 + -0.0907398054100002*E179 ^ 1 + 25.42205189</f>
        <v>1.2691360353755954E-6</v>
      </c>
      <c r="G179" s="3">
        <f>-2.04735327104698E-26*E179 ^ 6 + -3.18595235899974E-10*E179 ^ 5 + 1.21017430899992E-07*E179 ^ 4 + -0.0000187092354799991*E179 ^ 3 + 0.00130036401899995*E179 ^ 2 + -0.00460965320799921*E179 ^ 1 + 3.370945462</f>
        <v>5.9462361907232859</v>
      </c>
      <c r="H179" s="4">
        <f>-4.33369566431041E-24*E179 ^ 6 + 3.33268442800253E-09*E179 ^ 5 + -1.27231376900054E-06*E179 ^ 4 + 0.000197218114900053*E179 ^ 3 + -0.0136846009600023*E179 ^ 2 + 0.0481912018100346*E179 ^ 1 + 2965.074347</f>
        <v>2938.1506498919784</v>
      </c>
    </row>
    <row r="180" spans="3:8" x14ac:dyDescent="0.2">
      <c r="C180" s="26" t="s">
        <v>78</v>
      </c>
      <c r="D180" s="1" t="s">
        <v>204</v>
      </c>
      <c r="E180" s="2">
        <v>171.88006489225612</v>
      </c>
      <c r="F180" s="3">
        <f>-1.82734734606363E-25*E180 ^ 6 + 4.93283509200068E-10*E180 ^ 5 + -1.81972764000008E-07*E180 ^ 4 + 0.0000145517741000004*E180 ^ 3 + -0.0000137581258400088*E180 ^ 2 + -0.121527621499999*E180 ^ 1 + 32.22594389</f>
        <v>-1.3787279513621797E-6</v>
      </c>
      <c r="G180" s="3">
        <f>-5.52406560475467E-26*E180 ^ 6 + 2.54497080300029E-10*E180 ^ 5 + -8.24060562100058E-08*E180 ^ 4 + 5.57351189200059E-06*E180 ^ 3 + 0.000333553621599967*E180 ^ 2 + -0.0000877426898590434*E180 ^ 1 + 5.10271297999999</f>
        <v>9.4988142684386894</v>
      </c>
      <c r="H180" s="4">
        <f>-3.3703035944042E-23*E180 ^ 6 + -1.5159503939828E-09*E180 ^ 5 + 4.8584225779664E-07*E180 ^ 4 + -0.0000317148508196879*E180 ^ 3 + -0.00210282600901368*E180 ^ 2 + 0.00182381804922238*E180 ^ 1 + 2969.357661</f>
        <v>2943.1250074480336</v>
      </c>
    </row>
    <row r="181" spans="3:8" x14ac:dyDescent="0.2">
      <c r="C181" s="26" t="s">
        <v>80</v>
      </c>
      <c r="D181" s="1" t="s">
        <v>205</v>
      </c>
      <c r="E181" s="2">
        <v>157.2615170113248</v>
      </c>
      <c r="F181" s="3">
        <f>1.42490738484828E-24*E181 ^ 6 + 5.62433508399331E-10*E181 ^ 5 + -2.0575076439988E-07*E181 ^ 4 + 0.0000149662757699897*E181 ^ 3 + -0.000793742437899591*E181 ^ 2 + -0.105132540900006*E181 ^ 1 + 49.7010676</f>
        <v>1.7211425955565574E-6</v>
      </c>
      <c r="G181" s="3">
        <f>-7.04744454886667E-25*E181 ^ 6 + -1.16328787399652E-10*E181 ^ 5 + 7.05170834499327E-08*E181 ^ 4 + -0.0000177737618399936*E181 ^ 3 + 0.00163613467299971*E181 ^ 2 + 0.00938321215700542*E181 ^ 1 + 6.64055620999999</f>
        <v>11.394135111629438</v>
      </c>
      <c r="H181" s="4">
        <f>4.32834640941589E-23*E181 ^ 6 + 6.25593590779244E-10*E181 ^ 5 + -3.74816392096203E-07*E181 ^ 4 + 0.0000926431984896728*E181 ^ 3 + -0.00840919419198693*E181 ^ 2 + -0.0465433386301903*E181 ^ 1 + 2966.733342</f>
        <v>2942.6822477608357</v>
      </c>
    </row>
    <row r="182" spans="3:8" x14ac:dyDescent="0.2">
      <c r="C182" s="26" t="s">
        <v>80</v>
      </c>
      <c r="D182" s="1" t="s">
        <v>206</v>
      </c>
      <c r="E182" s="2">
        <v>199.07161970212638</v>
      </c>
      <c r="F182" s="3">
        <f>7.99410990402218E-25*E182 ^ 6 + 1.4904698809995E-09*E182 ^ 5 + -5.2493998349988E-07*E182 ^ 4 + 0.0000514794770199863*E182 ^ 3 + -0.00194235465299925*E182 ^ 2 + -0.134897553800016*E182 ^ 1 + 56.13590889</f>
        <v>1.9579506549405323E-5</v>
      </c>
      <c r="G182" s="3">
        <f>-1.75276598238938E-26*E182 ^ 6 + 4.61665553799985E-10*E182 ^ 5 + -1.33554097099992E-07*E182 ^ 4 + 0.0000065387217319986*E182 ^ 3 + 0.000656145264200099*E182 ^ 2 + 0.0137684345299973*E182 ^ 1 + 8.28274263700001</f>
        <v>23.200466126057037</v>
      </c>
      <c r="H182" s="4">
        <f>-1.63203097044942E-23*E182 ^ 6 + -2.15861161299143E-09*E182 ^ 5 + 6.03711886298277E-07*E182 ^ 4 + -0.0000234499996998353*E182 ^ 3 + -0.00375420169400744*E182 ^ 2 + -0.0640499588598718*E182 ^ 1 + 2958.389607</f>
        <v>2885.1188329267707</v>
      </c>
    </row>
    <row r="183" spans="3:8" x14ac:dyDescent="0.2">
      <c r="C183" s="26" t="s">
        <v>81</v>
      </c>
      <c r="D183" s="1" t="s">
        <v>207</v>
      </c>
      <c r="E183" s="2">
        <v>-69.318092642489034</v>
      </c>
      <c r="F183" s="3">
        <f>2.5616908559058E-24*E183 ^ 6 + 2.48744824699855E-09*E183 ^ 5 + -8.98580118699675E-07*E183 ^ 4 + 0.0000959019252999641*E183 ^ 3 + -0.00345957694099803*E183 ^ 2 + -0.153356864800046*E183 ^ 1 + 62.6625703800002</f>
        <v>-3.0531482593687542E-5</v>
      </c>
      <c r="G183" s="3">
        <f>1.25295756682906E-24*E183 ^ 6 + 6.29374140299337E-10*E183 ^ 5 + -1.99025828499863E-07*E183 ^ 4 + 0.0000135207089699863*E183 ^ 3 + 0.00067209978940067*E183 ^ 2 + -0.00793293187901339*E183 ^ 1 + 10.15413746</f>
        <v>3.8277140347210858</v>
      </c>
      <c r="H183" s="4">
        <f>8.82383668215516E-24*E183 ^ 6 + -3.04180782400492E-09*E183 ^ 5 + 9.37572337301035E-07*E183 ^ 4 + -0.0000573728800901019*E183 ^ 3 + -0.0040122456319954*E183 ^ 2 + 0.0488694499699283*E183 ^ 1 + 2947.918426</f>
        <v>2970.8762656936719</v>
      </c>
    </row>
    <row r="184" spans="3:8" x14ac:dyDescent="0.2">
      <c r="C184" s="26" t="s">
        <v>82</v>
      </c>
      <c r="D184" s="1" t="s">
        <v>208</v>
      </c>
      <c r="E184" s="2">
        <v>-76.018705283414235</v>
      </c>
      <c r="F184" s="3">
        <f>-3.21485875560559E-24*E184 ^ 6 + 2.40844285900165E-09*E184 ^ 5 + -8.42139469300328E-07*E184 ^ 4 + 0.0000848935422500314*E184 ^ 3 + -0.00361664196900143*E184 ^ 2 + -0.148439255099975*E184 ^ 1 + 81.14701914</f>
        <v>-4.1332464235210864E-5</v>
      </c>
      <c r="G184" s="3">
        <f>5.9232522711462E-26*E184 ^ 6 + 6.70337434799987E-10*E184 ^ 5 + -1.88517695900001E-07*E184 ^ 4 + 8.06689418900041E-06*E184 ^ 3 + 0.000989832309599967*E184 ^ 2 + 0.0286924778800008*E184 ^ 1 + 11.72237357</f>
        <v>3.7202014777199128</v>
      </c>
      <c r="H184" s="4">
        <f>2.64367247466965E-23*E184 ^ 6 + -1.36661293401195E-09*E184 ^ 5 + 3.81707102102015E-07*E184 ^ 4 + -0.0000155041289501558*E184 ^ 3 + -0.00210904615599459*E184 ^ 2 + -0.0592827395000663*E184 ^ 1 + 2975.690624</f>
        <v>2991.0368095842173</v>
      </c>
    </row>
    <row r="185" spans="3:8" x14ac:dyDescent="0.2">
      <c r="C185" s="26" t="s">
        <v>83</v>
      </c>
      <c r="D185" s="1" t="s">
        <v>209</v>
      </c>
      <c r="E185" s="2">
        <v>-70.500770585607142</v>
      </c>
      <c r="F185" s="3">
        <f>3.87630100036015E-24*E185 ^ 6 + 3.23523752299815E-09*E185 ^ 5 + -1.16154682099966E-06*E185 ^ 4 + 0.000122981396499969*E185 ^ 3 + -0.00474981832599868*E185 ^ 2 + -0.176041201200021*E185 ^ 1 + 88.6216604599999</f>
        <v>-1.70877807420311E-4</v>
      </c>
      <c r="G185" s="3">
        <f>-1.43353953423298E-25*E185 ^ 6 + 8.28020640100048E-10*E185 ^ 5 + -2.53160363800003E-07*E185 ^ 4 + 0.0000150879689599996*E185 ^ 3 + 0.00103600947700005*E185 ^ 2 + 0.00607823715699912*E185 ^ 1 + 13.82219504</f>
        <v>5.5596344712617061</v>
      </c>
      <c r="H185" s="4">
        <f>2.05962577449438E-23*E185 ^ 6 + -1.09513218901102E-09*E185 ^ 5 + 3.34761722102273E-07*E185 ^ 4 + -0.0000199350822902242*E185 ^ 3 + -0.00137365405998952*E185 ^ 2 + -0.00761897847418414*E185 ^ 1 + 2981.792331</f>
        <v>2992.6649390497041</v>
      </c>
    </row>
    <row r="186" spans="3:8" x14ac:dyDescent="0.2">
      <c r="C186" s="26" t="s">
        <v>83</v>
      </c>
      <c r="D186" s="1" t="s">
        <v>210</v>
      </c>
      <c r="E186" s="2">
        <v>-65.325824162013063</v>
      </c>
      <c r="F186" s="3">
        <f>1.19463983361942E-23*E186 ^ 6 + 4.25292609299467E-09*E186 ^ 5 + -1.55094587599908E-06*E186 ^ 4 + 0.000170364707199922*E186 ^ 3 + -0.00642262742199688*E186 ^ 2 + -0.194174372100048*E186 ^ 1 + 95.52144286</f>
        <v>-6.5882303061925995E-6</v>
      </c>
      <c r="G186" s="3">
        <f>1.4650514370256E-24*E186 ^ 6 + 9.86888548999402E-10*E186 ^ 5 + -3.16834843999903E-07*E186 ^ 4 + 0.0000219647566699922*E186 ^ 3 + 0.00107005856500031*E186 ^ 2 + -0.0167771698200048*E186 ^ 1 + 15.80806884</f>
        <v>8.4032270811979579</v>
      </c>
      <c r="H186" s="4">
        <f>-1.36461284147473E-24*E186 ^ 6 + -1.30682188900038E-09*E186 ^ 5 + 4.19012620600248E-07*E186 ^ 4 + -0.000028962842800038*E186 ^ 3 + -0.00142319135199762*E186 ^ 2 + 0.0225057065799472*E186 ^ 1 + 2979.17108</f>
        <v>2988.8870121723826</v>
      </c>
    </row>
    <row r="187" spans="3:8" x14ac:dyDescent="0.2">
      <c r="C187" s="26" t="s">
        <v>83</v>
      </c>
      <c r="D187" s="1" t="s">
        <v>211</v>
      </c>
      <c r="E187" s="2">
        <v>-68.792666232460874</v>
      </c>
      <c r="F187" s="3">
        <f>-7.85085290067221E-24*E187 ^ 6 + 4.25871991400398E-09*E187 ^ 5 + -1.51833470800078E-06*E187 ^ 4 + 0.000162130397100074*E187 ^ 3 + -0.00680645243300342*E187 ^ 2 + -0.185374966699937*E187 ^ 1 + 112.806943</f>
        <v>-7.0537988804630913E-5</v>
      </c>
      <c r="G187" s="3">
        <f>-1.33281630051138E-24*E187 ^ 6 + 1.03793771100069E-09*E187 ^ 5 + -3.06103031600139E-07*E187 ^ 4 + 0.0000162863178200136*E187 ^ 3 + 0.00135630807799935*E187 ^ 2 + 0.0205086255000122*E187 ^ 1 + 17.06225883</f>
        <v>8.3133556684352818</v>
      </c>
      <c r="H187" s="4">
        <f>1.03383758522892E-23*E187 ^ 6 + -1.35727730300527E-09*E187 ^ 5 + 3.97390278501029E-07*E187 ^ 4 + -0.0000203897552400955*E187 ^ 3 + -0.00185490516599581*E187 ^ 2 + -0.0259855698100708*E187 ^ 1 + 2977.513947</f>
        <v>2988.1524068140366</v>
      </c>
    </row>
    <row r="188" spans="3:8" x14ac:dyDescent="0.2">
      <c r="C188" s="26" t="s">
        <v>84</v>
      </c>
      <c r="D188" s="1" t="s">
        <v>212</v>
      </c>
      <c r="E188" s="2">
        <v>-66.446333357456936</v>
      </c>
      <c r="F188" s="3">
        <f>5.80282506519821E-24*E188 ^ 6 + 5.06231827899698E-09*E188 ^ 5 + -1.82515992299939E-06*E188 ^ 4 + 0.00019795016029994*E188 ^ 3 + -0.00778498361499714*E188 ^ 2 + -0.216139750600056*E188 ^ 1 + 120.217464</f>
        <v>-2.5706663535629559E-6</v>
      </c>
      <c r="G188" s="3">
        <f>-1.52278569264449E-24*E188 ^ 6 + 1.19514532200076E-09*E188 ^ 5 + -3.70640159500143E-07*E188 ^ 4 + 0.0000233196453700128*E188 ^ 3 + 0.00139992454299948*E188 ^ 2 + -0.00223985636499284*E188 ^ 1 + 19.15850235</f>
        <v>9.8739221523181033</v>
      </c>
      <c r="H188" s="4">
        <f>-2.64993542290678E-23*E188 ^ 6 + -1.15307913998682E-09*E188 ^ 5 + 3.56363134797518E-07*E188 ^ 4 + -0.0000221768365197823*E188 ^ 3 + -0.00137123464100871*E188 ^ 2 + 0.00217269931512319*E188 ^ 1 + 2981.539652</f>
        <v>2990.2873080512149</v>
      </c>
    </row>
    <row r="189" spans="3:8" x14ac:dyDescent="0.2">
      <c r="C189" s="26" t="s">
        <v>84</v>
      </c>
      <c r="D189" s="1" t="s">
        <v>213</v>
      </c>
      <c r="E189" s="2">
        <v>-63.319225478906553</v>
      </c>
      <c r="F189" s="3">
        <f>5.11298652645522E-24*E189 ^ 6 + 6.06890629199708E-09*E189 ^ 5 + -2.20924634099935E-06*E189 ^ 4 + 0.000244636954499931*E189 ^ 3 + -0.00945310611499646*E189 ^ 2 + -0.231275844000068*E189 ^ 1 + 127.0512992</f>
        <v>-4.7215572740810785E-4</v>
      </c>
      <c r="G189" s="3">
        <f>2.40224404275929E-24*E189 ^ 6 + 1.35360313999875E-09*E189 ^ 5 + -4.34213906999747E-07*E189 ^ 4 + 0.0000301917577499754*E189 ^ 3 + 0.00143375408500116*E189 ^ 2 + -0.0250677180500208*E189 ^ 1 + 21.14452426</f>
        <v>12.457880769417619</v>
      </c>
      <c r="H189" s="4">
        <f>1.07917230791788E-23*E189 ^ 6 + -1.28134610000589E-09*E189 ^ 5 + 4.08121216601237E-07*E189 ^ 4 + -0.0000275225122601232*E189 ^ 3 + -0.00147061887899426*E189 ^ 2 + 0.0254645287099005*E189 ^ 1 + 2979.61107</f>
        <v>2986.9541731281261</v>
      </c>
    </row>
    <row r="190" spans="3:8" x14ac:dyDescent="0.2">
      <c r="C190" s="26" t="s">
        <v>85</v>
      </c>
      <c r="D190" s="1" t="s">
        <v>214</v>
      </c>
      <c r="E190" s="2">
        <v>-66.469239992355497</v>
      </c>
      <c r="F190" s="3">
        <f>1.75736418463436E-25*E190 ^ 6 + 5.96139753799968E-09*E190 ^ 5 + -2.13801374299989E-06*E190 ^ 4 + 0.000231582247099984*E190 ^ 3 + -0.00957111332199905*E190 ^ 2 + -0.223919321400019*E190 ^ 1 + 144.8812837</f>
        <v>-2.6153207386414579E-6</v>
      </c>
      <c r="G190" s="3">
        <f>1.89535262240773E-24*E190 ^ 6 + 1.40495826999904E-09*E190 ^ 5 + -4.25330039099809E-07*E190 ^ 4 + 0.0000247807850599818*E190 ^ 3 + 0.00172988499800082*E190 ^ 2 + 0.0124377488399866*E190 ^ 1 + 22.53491221</f>
        <v>11.948259125808207</v>
      </c>
      <c r="H190" s="4">
        <f>-2.31200700592416E-23*E190 ^ 6 + -9.66138912788962E-10*E190 ^ 5 + 2.91570189798006E-07*E190 ^ 4 + -0.0000166905394998329*E190 ^ 3 + -0.00122829448300628*E190 ^ 2 + -0.00811855139892023*E190 ^ 1 + 2984.346534</f>
        <v>2991.3059503362447</v>
      </c>
    </row>
    <row r="191" spans="3:8" x14ac:dyDescent="0.2">
      <c r="C191" s="26" t="s">
        <v>85</v>
      </c>
      <c r="D191" s="1" t="s">
        <v>215</v>
      </c>
      <c r="E191" s="2">
        <v>-64.229093004738218</v>
      </c>
      <c r="F191" s="3">
        <f>1.9074512011746E-23*E191 ^ 6 + 6.89655542599026E-09*E191 ^ 5 + -2.49441034499808E-06*E191 ^ 4 + 0.000274203425899818*E191 ^ 3 + -0.0109471851399918*E191 ^ 2 + -0.248888516000142*E191 ^ 1 + 151.8208269</f>
        <v>-3.1179684714288669E-4</v>
      </c>
      <c r="G191" s="3">
        <f>2.7421518468086E-24*E191 ^ 6 + 1.56373195499858E-09*E191 ^ 5 + -4.89142335399717E-07*E191 ^ 4 + 0.0000316908550199728*E191 ^ 3 + 0.00176392313000126*E191 ^ 2 + -0.0105577707800224*E191 ^ 1 + 24.53351756</f>
        <v>14.057487271187227</v>
      </c>
      <c r="H191" s="4">
        <f>-2.41967814673803E-23*E191 ^ 6 + -1.09518720398771E-09*E191 ^ 5 + 3.43234097597586E-07*E191 ^ 4 + -0.0000225242279697717*E191 ^ 3 + -0.00118885918501032*E191 ^ 2 + 0.00641730165817639*E191 ^ 1 + 2982.96061</f>
        <v>2990.6507222949417</v>
      </c>
    </row>
    <row r="192" spans="3:8" x14ac:dyDescent="0.2">
      <c r="C192" s="26" t="s">
        <v>85</v>
      </c>
      <c r="D192" s="1" t="s">
        <v>216</v>
      </c>
      <c r="E192" s="2">
        <v>-62.96788116766011</v>
      </c>
      <c r="F192" s="3">
        <f>7.69491247236516E-24*E192 ^ 6 + 7.75914912199582E-09*E192 ^ 5 + -2.81856614599911E-06*E192 ^ 4 + 0.000311471607399907*E192 ^ 3 + -0.0119168392699953*E192 ^ 2 + -0.287493282200091*E192 ^ 1 + 158.9007568</f>
        <v>-7.4296645584581711E-4</v>
      </c>
      <c r="G192" s="3">
        <f>5.65622862854975E-24*E192 ^ 6 + 1.71978152299716E-09*E192 ^ 5 + -5.51856861799449E-07*E192 ^ 4 + 0.0000384539165199486*E192 ^ 3 + 0.0018041799440023*E192 ^ 2 + -0.0335253035500394*E192 ^ 1 + 26.52653643</f>
        <v>15.812364119899186</v>
      </c>
      <c r="H192" s="4">
        <f>-3.05209995065814E-23*E192 ^ 6 + -1.17475491698457E-09*E192 ^ 5 + 3.75085293697016E-07*E192 ^ 4 + -0.0000255534618197264*E192 ^ 3 + -0.00131390169901185*E192 ^ 2 + 0.0244128929001945*E192 ^ 1 + 2981.574195</f>
        <v>2988.2667702482986</v>
      </c>
    </row>
    <row r="193" spans="3:8" x14ac:dyDescent="0.2">
      <c r="C193" s="27" t="s">
        <v>70</v>
      </c>
      <c r="D193" s="1" t="s">
        <v>217</v>
      </c>
      <c r="E193" s="2">
        <v>4.4510629658968464</v>
      </c>
      <c r="F193" s="3">
        <f>0.008926168051563*E193 ^ 6 + -0.115225164751239*E193 ^ 5 + 0.559434136392526*E193 ^ 4 + -1.33489862944714*E193 ^ 3 + 0.849452951403777*E193 ^ 2 + -0.37152149363016*E193 ^ 1 + 14.8520394200271</f>
        <v>-1.0480788166233879E-6</v>
      </c>
      <c r="G193" s="3">
        <f>0.000235599915909406*E193 ^ 6 + -0.00327930142944273*E193 ^ 5 + 0.0175927177395664*E193 ^ 4 + -0.046297833764332*E193 ^ 3 + 0.0565506818731478*E193 ^ 2 + 0.00948825376331682*E193 ^ 1 + 0.0835244338207973</f>
        <v>0.17163612553090588</v>
      </c>
      <c r="H193" s="4">
        <f>-0.0790092068879844*E193 ^ 6 + 1.10156660325846*E193 ^ 5 + -5.91322499795882*E193 ^ 4 + 15.5099427788826*E193 ^ 3 + -18.6913171104037*E193 ^ 2 + -3.54810588766398*E193 ^ 1 + 2960.70501194362</f>
        <v>2931.4497415617516</v>
      </c>
    </row>
    <row r="194" spans="3:8" x14ac:dyDescent="0.2">
      <c r="C194" s="24" t="s">
        <v>70</v>
      </c>
      <c r="D194" s="1" t="s">
        <v>218</v>
      </c>
      <c r="E194" s="2">
        <v>4.4366291200581829</v>
      </c>
      <c r="F194" s="3">
        <f>0.00984974284549774*E194 ^ 6 + -0.126972660876654*E194 ^ 5 + 0.623767756547501*E194 ^ 4 + -1.54246233798191*E194 ^ 3 + 0.803767088327845*E194 ^ 2 + -0.401876449827948*E194 ^ 1 + 22.1299029034461</f>
        <v>1.8897196430955887E-4</v>
      </c>
      <c r="G194" s="3">
        <f>0.000277344609408776*E194 ^ 6 + -0.00383382231280891*E194 ^ 5 + 0.0204102570836716*E194 ^ 4 + -0.0532804484198626*E194 ^ 3 + 0.0626662061631477*E194 ^ 2 + 0.0254803580943733*E194 ^ 1 + 0.117772961351698</f>
        <v>0.24423185451948093</v>
      </c>
      <c r="H194" s="4">
        <f>-0.0955757260894623*E194 ^ 6 + 1.30655270533694*E194 ^ 5 + -6.83942415401738*E194 ^ 4 + 17.477885916551*E194 ^ 3 + -20.1806402201043*E194 ^ 2 + -8.62001391537993*E194 ^ 1 + 2949.09147501224</f>
        <v>2907.0460524428195</v>
      </c>
    </row>
    <row r="195" spans="3:8" x14ac:dyDescent="0.2">
      <c r="C195" s="24" t="s">
        <v>70</v>
      </c>
      <c r="D195" s="1" t="s">
        <v>219</v>
      </c>
      <c r="E195" s="2">
        <v>4.4078430140572316</v>
      </c>
      <c r="F195" s="3">
        <f>0.0106085732572876*E195 ^ 6 + -0.136574927070602*E195 ^ 5 + 0.678402250407155*E195 ^ 4 + -1.7270652140271*E195 ^ 3 + 0.721985887852923*E195 ^ 2 + -0.470214967569683*E195 ^ 1 + 29.3037533386352</f>
        <v>-9.8956827787688439E-4</v>
      </c>
      <c r="G195" s="3">
        <f>0.000319379401418009*E195 ^ 6 + -0.00438790747074139*E195 ^ 5 + 0.0232189547767001*E195 ^ 4 + -0.0601923528902993*E195 ^ 3 + 0.0684109758183725*E195 ^ 2 + 0.0409613122313121*E195 ^ 1 + 0.151291454382259</f>
        <v>0.31233295244468573</v>
      </c>
      <c r="H195" s="4">
        <f>-0.119028367222262*E195 ^ 6 + 1.58670071814201*E195 ^ 5 + -8.06245611884221*E195 ^ 4 + 20.1379355100853*E195 ^ 3 + -23.0809593752985*E195 ^ 2 + -12.979604579149*E195 ^ 1 + 2938.06818414559</f>
        <v>2880.6901430130297</v>
      </c>
    </row>
    <row r="196" spans="3:8" x14ac:dyDescent="0.2">
      <c r="C196" s="24" t="s">
        <v>9</v>
      </c>
      <c r="D196" s="1" t="s">
        <v>220</v>
      </c>
      <c r="E196" s="2">
        <v>4.4594172517147026</v>
      </c>
      <c r="F196" s="3">
        <f>0.011750294274902*E196 ^ 6 + -0.153965266304956*E196 ^ 5 + 0.783741487592652*E196 ^ 4 + -2.0611357215641*E196 ^ 3 + 0.842122333330792*E196 ^ 2 + -0.409377975628683*E196 ^ 1 + 37.0354785699021</f>
        <v>-5.3368203289494431E-4</v>
      </c>
      <c r="G196" s="3">
        <f>0.000354650557457718*E196 ^ 6 + -0.00491153731976211*E196 ^ 5 + 0.0261558978723523*E196 ^ 4 + -0.0682348905432083*E196 ^ 3 + 0.0769608924022888*E196 ^ 2 + 0.058144627473642*E196 ^ 1 + 0.189125604775573</f>
        <v>0.39888469980440699</v>
      </c>
      <c r="H196" s="4">
        <f>-0.0748426251268076*E196 ^ 6 + 1.00611979776282*E196 ^ 5 + -5.16048554666136*E196 ^ 4 + 13.1082362496344*E196 ^ 3 + -15.2877575554236*E196 ^ 2 + -10.6048203984404*E196 ^ 1 + 2953.77271251279</f>
        <v>2909.8697989176753</v>
      </c>
    </row>
    <row r="197" spans="3:8" x14ac:dyDescent="0.2">
      <c r="C197" s="24" t="s">
        <v>9</v>
      </c>
      <c r="D197" s="1" t="s">
        <v>221</v>
      </c>
      <c r="E197" s="2">
        <v>4.4364907443430255</v>
      </c>
      <c r="F197" s="3">
        <f>0.0124702904901813*E197 ^ 6 + -0.163134508517056*E197 ^ 5 + 0.835587789981506*E197 ^ 4 + -2.23238665908343*E197 ^ 3 + 0.72901384783147*E197 ^ 2 + -0.470672570612315*E197 ^ 1 + 44.260424368189</f>
        <v>1.3122445480462375E-4</v>
      </c>
      <c r="G197" s="3">
        <f>0.00039667833528468*E197 ^ 6 + -0.00546967904700765*E197 ^ 5 + 0.0289975673996927*E197 ^ 4 + -0.0752060399361942*E197 ^ 3 + 0.0826328522834418*E197 ^ 2 + 0.0737195057662723*E197 ^ 1 + 0.223063158626822</f>
        <v>0.46705848670642369</v>
      </c>
      <c r="H197" s="4">
        <f>-0.0913257010903971*E197 ^ 6 + 1.21847905718889*E197 ^ 5 + -6.21607977395277*E197 ^ 4 + 15.8740460226941*E197 ^ 3 + -18.9982901478242*E197 ^ 2 + -12.930204854075*E197 ^ 1 + 2947.36380892383</f>
        <v>2891.9365426661157</v>
      </c>
    </row>
    <row r="198" spans="3:8" x14ac:dyDescent="0.2">
      <c r="C198" s="24" t="s">
        <v>9</v>
      </c>
      <c r="D198" s="1" t="s">
        <v>222</v>
      </c>
      <c r="E198" s="2">
        <v>4.410215647197127</v>
      </c>
      <c r="F198" s="3">
        <f>0.0129566990696145*E198 ^ 6 + -0.168946554600262*E198 ^ 5 + 0.869363657179637*E198 ^ 4 + -2.35516403944039*E198 ^ 3 + 0.552885727556828*E198 ^ 2 + -0.566794594987206*E198 ^ 1 + 51.4210061639485</f>
        <v>6.2148462234290491E-6</v>
      </c>
      <c r="G198" s="3">
        <f>0.000438629180996577*E198 ^ 6 + -0.00601974437826278*E198 ^ 5 + 0.0317656909895251*E198 ^ 4 + -0.0818742220992277*E198 ^ 3 + 0.0876583061649219*E198 ^ 2 + 0.0889280600150078*E198 ^ 1 + 0.256544329956076</f>
        <v>0.53177889671015088</v>
      </c>
      <c r="H198" s="4">
        <f>-0.112847643508524*E198 ^ 6 + 1.49723072310364*E198 ^ 5 + -7.60780376677993*E198 ^ 4 + 19.4674795899167*E198 ^ 3 + -23.6045015386517*E198 ^ 2 + -15.5633208202514*E198 ^ 1 + 2940.93934623264</f>
        <v>2872.6798163940302</v>
      </c>
    </row>
    <row r="199" spans="3:8" x14ac:dyDescent="0.2">
      <c r="C199" s="24" t="s">
        <v>14</v>
      </c>
      <c r="D199" s="1" t="s">
        <v>223</v>
      </c>
      <c r="E199" s="2">
        <v>4.434330542776884</v>
      </c>
      <c r="F199" s="3">
        <f>0.013903105330832*E199 ^ 6 + -0.1826109809047*E199 ^ 5 + 0.951417456676349*E199 ^ 4 + -2.63387140865836*E199 ^ 3 + 0.654355225127885*E199 ^ 2 + -0.620586160660326*E199 ^ 1 + 59.0682433462116</f>
        <v>7.3360533647814918E-6</v>
      </c>
      <c r="G199" s="3">
        <f>0.000473749957320866*E199 ^ 6 + -0.00651914721900407*E199 ^ 5 + 0.0344639566393558*E199 ^ 4 + -0.0890945691004453*E199 ^ 3 + 0.0952311679245439*E199 ^ 2 + 0.105322901254194*E199 ^ 1 + 0.29366944720478</f>
        <v>0.61473966344434428</v>
      </c>
      <c r="H199" s="4">
        <f>-0.0970681391389109*E199 ^ 6 + 1.30162898962526*E199 ^ 5 + -6.65839371052075*E199 ^ 4 + 16.8799918678797*E199 ^ 3 + -19.2678252663914*E199 ^ 2 + -16.6233981713127*E199 ^ 1 + 2948.2839133858</f>
        <v>2886.770142983396</v>
      </c>
    </row>
    <row r="200" spans="3:8" x14ac:dyDescent="0.2">
      <c r="C200" s="24" t="s">
        <v>14</v>
      </c>
      <c r="D200" s="1" t="s">
        <v>224</v>
      </c>
      <c r="E200" s="2">
        <v>4.4123259263668873</v>
      </c>
      <c r="F200" s="3">
        <f>0.0142153331710438*E200 ^ 6 + -0.186590053644561*E200 ^ 5 + 0.980154280374873*E200 ^ 4 + -2.76030674875527*E200 ^ 3 + 0.507862165645542*E200 ^ 2 + -0.754305809138747*E200 ^ 1 + 66.2061071659278</f>
        <v>2.9028595548652447E-5</v>
      </c>
      <c r="G200" s="3">
        <f>0.000513062698374592*E200 ^ 6 + -0.00703686372146887*E200 ^ 5 + 0.0371016584828292*E200 ^ 4 + -0.0955925588520413*E200 ^ 3 + 0.1003001574712*E200 ^ 2 + 0.1202279913188*E200 ^ 1 + 0.326998055167372</f>
        <v>0.67871220339891813</v>
      </c>
      <c r="H200" s="4">
        <f>-0.116072458634034*E200 ^ 6 + 1.53863796167725*E200 ^ 5 + -7.75669139998689*E200 ^ 4 + 19.3951098123063*E200 ^ 3 + -22.0796008480678*E200 ^ 2 + -19.1254313489231*E200 ^ 1 + 2942.68380228017</f>
        <v>2871.2072039595905</v>
      </c>
    </row>
    <row r="201" spans="3:8" x14ac:dyDescent="0.2">
      <c r="C201" s="24" t="s">
        <v>14</v>
      </c>
      <c r="D201" s="1" t="s">
        <v>225</v>
      </c>
      <c r="E201" s="2">
        <v>4.3880942951014976</v>
      </c>
      <c r="F201" s="3">
        <f>0.0142351128136108*E201 ^ 6 + -0.187055666610216*E201 ^ 5 + 0.994400947936151*E201 ^ 4 + -2.85863596014618*E201 ^ 3 + 0.326969506357599*E201 ^ 2 + -0.918626521637714*E201 ^ 1 + 73.2858718744491</f>
        <v>1.0971270347681639E-4</v>
      </c>
      <c r="G201" s="3">
        <f>0.000550813089474879*E201 ^ 6 + -0.00753339591918771*E201 ^ 5 + 0.0396516270092123*E201 ^ 4 + -0.101915110955291*E201 ^ 3 + 0.105005311436359*E201 ^ 2 + 0.134792396103327*E201 ^ 1 + 0.359915628089189</f>
        <v>0.7394716734280965</v>
      </c>
      <c r="H201" s="4">
        <f>-0.139019058166964*E201 ^ 6 + 1.81658464811185*E201 ^ 5 + -8.99130365895281*E201 ^ 4 + 22.0937404588407*E201 ^ 3 + -25.1007740517158*E201 ^ 2 + -21.7359110204845*E201 ^ 1 + 2937.03288708628</f>
        <v>2854.4575344747782</v>
      </c>
    </row>
    <row r="202" spans="3:8" x14ac:dyDescent="0.2">
      <c r="C202" s="24" t="s">
        <v>16</v>
      </c>
      <c r="D202" s="1" t="s">
        <v>226</v>
      </c>
      <c r="E202" s="2">
        <v>4.462179788859439</v>
      </c>
      <c r="F202" s="3">
        <f>0.0172183765015628*E202 ^ 6 + -0.23075829729074*E202 ^ 5 + 1.23908284290256*E202 ^ 4 + -3.55408495036211*E202 ^ 3 + 0.891735790847443*E202 ^ 2 + -0.534676016113278*E202 ^ 1 + 81.4660785182217</f>
        <v>3.8048289781045241E-6</v>
      </c>
      <c r="G202" s="3">
        <f>0.000588731292429059*E202 ^ 6 + -0.00814407241852587*E202 ^ 5 + 0.0432521661446732*E202 ^ 4 + -0.112393082509156*E202 ^ 3 + 0.118450438922649*E202 ^ 2 + 0.155088277632366*E202 ^ 1 + 0.400943442451274</f>
        <v>0.8531850149856921</v>
      </c>
      <c r="H202" s="4">
        <f>-0.0681839419785022*E202 ^ 6 + 0.894936337052841*E202 ^ 5 + -4.43352424870194*E202 ^ 4 + 10.9690166419934*E202 ^ 3 + -12.5241819265215*E202 ^ 2 + -14.1349487343098*E202 ^ 1 + 2952.41059017078</f>
        <v>2901.8028850935561</v>
      </c>
    </row>
    <row r="203" spans="3:8" x14ac:dyDescent="0.2">
      <c r="C203" s="24" t="s">
        <v>16</v>
      </c>
      <c r="D203" s="1" t="s">
        <v>227</v>
      </c>
      <c r="E203" s="2">
        <v>4.4476786326094127</v>
      </c>
      <c r="F203" s="3">
        <f>0.0178473300290525*E203 ^ 6 + -0.239343339687184*E203 ^ 5 + 1.29190250080579*E203 ^ 4 + -3.7340571106311*E203 ^ 3 + 0.780095230169718*E203 ^ 2 + -0.610783197632357*E203 ^ 1 + 88.6835444098004</f>
        <v>6.5853139261662363E-5</v>
      </c>
      <c r="G203" s="3">
        <f>0.000629999864353525*E203 ^ 6 + -0.00869894110393056*E203 ^ 5 + 0.0461274368192188*E203 ^ 4 + -0.119553811248655*E203 ^ 3 + 0.124264686596586*E203 ^ 2 + 0.170465525723495*E203 ^ 1 + 0.434867685114658</f>
        <v>0.91974825140974237</v>
      </c>
      <c r="H203" s="4">
        <f>-0.0771111392021801*E203 ^ 6 + 1.00499735444131*E203 ^ 5 + -4.95009617296532*E203 ^ 4 + 12.3050218403381*E203 ^ 3 + -14.5309037759825*E203 ^ 2 + -15.2577526161159*E203 ^ 1 + 2949.19777276988</f>
        <v>2891.6935242364316</v>
      </c>
    </row>
    <row r="204" spans="3:8" x14ac:dyDescent="0.2">
      <c r="C204" s="24" t="s">
        <v>16</v>
      </c>
      <c r="D204" s="1" t="s">
        <v>228</v>
      </c>
      <c r="E204" s="2">
        <v>4.4320553102207141</v>
      </c>
      <c r="F204" s="3">
        <f>0.018373880808047*E204 ^ 6 + -0.246485297612366*E204 ^ 5 + 1.33687951463752*E204 ^ 4 + -3.89036731974254*E204 ^ 3 + 0.629229689837743*E204 ^ 2 + -0.703274486561675*E204 ^ 1 + 95.869403086881</f>
        <v>1.5470345317680767E-4</v>
      </c>
      <c r="G204" s="3">
        <f>0.00067180757718479*E204 ^ 6 + -0.00925810939044283*E204 ^ 5 + 0.0490107542079163*E204 ^ 4 + -0.126653720027631*E204 ^ 3 + 0.129758652001686*E204 ^ 2 + 0.185652344858877*E204 ^ 1 + 0.468567833307949</f>
        <v>0.98415723677591416</v>
      </c>
      <c r="H204" s="4">
        <f>-0.0871570443485139*E204 ^ 6 + 1.12964068083045*E204 ^ 5 + -5.54480179887725*E204 ^ 4 + 13.873226932637*E204 ^ 3 + -16.8846346019977*E204 ^ 2 + -16.4500362443013*E204 ^ 1 + 2945.99118854291</f>
        <v>2880.9643276652641</v>
      </c>
    </row>
    <row r="205" spans="3:8" x14ac:dyDescent="0.2">
      <c r="C205" s="24" t="s">
        <v>16</v>
      </c>
      <c r="D205" s="1" t="s">
        <v>229</v>
      </c>
      <c r="E205" s="2">
        <v>4.4153944277017922</v>
      </c>
      <c r="F205" s="3">
        <f>0.0187890506613677*E205 ^ 6 + -0.252047316281122*E205 ^ 5 + 1.37313668233488*E205 ^ 4 + -4.02020688896089*E205 ^ 3 + 0.435970241569401*E205 ^ 2 + -0.815223700929605*E205 ^ 1 + 103.02223394279</f>
        <v>2.2458694101601395E-4</v>
      </c>
      <c r="G205" s="3">
        <f>0.000714269358899692*E205 ^ 6 + -0.00982259241167519*E205 ^ 5 + 0.0519031626969085*E205 ^ 4 + -0.133679661396644*E205 ^ 3 + 0.134900370184679*E205 ^ 2 + 0.200625261966962*E205 ^ 1 + 0.502033841913304</f>
        <v>1.0463336176691089</v>
      </c>
      <c r="H205" s="4">
        <f>-0.0983007581592432*E205 ^ 6 + 1.26864181875622*E205 ^ 5 + -6.21722130448688*E205 ^ 4 + 15.67152226464*E205 ^ 3 + -19.5634889365132*E205 ^ 2 + -17.7404033370849*E205 ^ 1 + 2942.7684795618</f>
        <v>2869.6465226187452</v>
      </c>
    </row>
    <row r="206" spans="3:8" x14ac:dyDescent="0.2">
      <c r="C206" s="24" t="s">
        <v>13</v>
      </c>
      <c r="D206" s="1" t="s">
        <v>230</v>
      </c>
      <c r="E206" s="2">
        <v>4.46941617523769</v>
      </c>
      <c r="F206" s="3">
        <f>0.0216358370939064*E206 ^ 6 + -0.291422123801901*E206 ^ 5 + 1.58494832704174*E206 ^ 4 + -4.63734182220437*E206 ^ 3 + 0.592802914379862*E206 ^ 2 + -0.451129078281331*E206 ^ 1 + 119.028909165685</f>
        <v>1.9514187623315138E-4</v>
      </c>
      <c r="G206" s="3">
        <f>0.000786508493230463*E206 ^ 6 + -0.0108821476814828*E206 ^ 5 + 0.0576890435527729*E206 ^ 4 + -0.149165801803038*E206 ^ 3 + 0.151536548644357*E206 ^ 2 + 0.238276431321249*E206 ^ 1 + 0.581400911145985</f>
        <v>1.2371570394453246</v>
      </c>
      <c r="H206" s="4">
        <f>-0.0658827400914465*E206 ^ 6 + 0.88690978098588*E206 ^ 5 + -4.60829345021618*E206 ^ 4 + 12.4001960451739*E206 ^ 3 + -16.1764281602444*E206 ^ 2 + -12.6442192442188*E206 ^ 1 + 2958.74198883782</f>
        <v>2903.9344480646191</v>
      </c>
    </row>
    <row r="207" spans="3:8" x14ac:dyDescent="0.2">
      <c r="C207" s="24" t="s">
        <v>13</v>
      </c>
      <c r="D207" s="1" t="s">
        <v>231</v>
      </c>
      <c r="E207" s="2">
        <v>4.4478713139396264</v>
      </c>
      <c r="F207" s="3">
        <f>0.0225245843800881*E207 ^ 6 + -0.302024200557122*E207 ^ 5 + 1.64583325613074*E207 ^ 4 + -4.86079600491344*E207 ^ 3 + 0.224592480194217*E207 ^ 2 + -0.683843540900265*E207 ^ 1 + 133.530814458201</f>
        <v>3.6751888950448119E-4</v>
      </c>
      <c r="G207" s="3">
        <f>0.000868536865304156*E207 ^ 6 + -0.0119661742934234*E207 ^ 5 + 0.0631596023122349*E207 ^ 4 + -0.162336905260443*E207 ^ 3 + 0.16149935323267*E207 ^ 2 + 0.268726221118974*E207 ^ 1 + 0.649750998918725</f>
        <v>1.3690807609058613</v>
      </c>
      <c r="H207" s="4">
        <f>-0.0820053159749478*E207 ^ 6 + 1.10773824507436*E207 ^ 5 + -5.78503125616677*E207 ^ 4 + 15.5751323009354*E207 ^ 3 + -20.0888147023538*E207 ^ 2 + -15.1810823836444*E207 ^ 1 + 2954.50443098234</f>
        <v>2889.3151442292819</v>
      </c>
    </row>
    <row r="208" spans="3:8" x14ac:dyDescent="0.2">
      <c r="C208" s="24" t="s">
        <v>36</v>
      </c>
      <c r="D208" s="1" t="s">
        <v>232</v>
      </c>
      <c r="E208" s="2">
        <v>4.4859723654130725</v>
      </c>
      <c r="F208" s="3">
        <f>0.0259245763382226*E208 ^ 6 + -0.353233985902691*E208 ^ 5 + 1.95780277646079*E208 ^ 4 + -5.88782977345612*E208 ^ 3 + 1.14171001673682*E208 ^ 2 + -0.601057192226868*E208 ^ 1 + 148.833032059056</f>
        <v>3.1387001135385617E-4</v>
      </c>
      <c r="G208" s="3">
        <f>0.000934745497789154*E208 ^ 6 + -0.0129590391450793*E208 ^ 5 + 0.0688362795312364*E208 ^ 4 + -0.178912209946623*E208 ^ 3 + 0.182608407238325*E208 ^ 2 + 0.30290299866795*E208 ^ 1 + 0.723943326235335</f>
        <v>1.5582157157356509</v>
      </c>
      <c r="H208" s="4">
        <f>-0.0534581329031544*E208 ^ 6 + 0.707902824793188*E208 ^ 5 + -3.53171647173933*E208 ^ 4 + 8.74582316912717*E208 ^ 3 + -9.49619351790099*E208 ^ 2 + -14.2863224931445*E208 ^ 1 + 2959.07686746864</f>
        <v>2913.5510816600799</v>
      </c>
    </row>
    <row r="209" spans="3:8" x14ac:dyDescent="0.2">
      <c r="C209" s="24" t="s">
        <v>36</v>
      </c>
      <c r="D209" s="1" t="s">
        <v>233</v>
      </c>
      <c r="E209" s="2">
        <v>4.4716233324131069</v>
      </c>
      <c r="F209" s="3">
        <f>0.0273793541647783*E209 ^ 6 + -0.373515189362363*E209 ^ 5 + 2.08182682596316*E209 ^ 4 + -6.30477479254883*E209 ^ 3 + 1.0161358183709*E209 ^ 2 + -0.761217581568235*E209 ^ 1 + 163.35683003948</f>
        <v>4.9830241383119755E-4</v>
      </c>
      <c r="G209" s="3">
        <f>0.00101628697970454*E209 ^ 6 + -0.0140651907227352*E209 ^ 5 + 0.0746122350941553*E209 ^ 4 + -0.193478144232378*E209 ^ 3 + 0.195050492467134*E209 ^ 2 + 0.333745713504808*E209 ^ 1 + 0.7924611652549</f>
        <v>1.6954578493460524</v>
      </c>
      <c r="H209" s="4">
        <f>-0.0606286654725527*E209 ^ 6 + 0.795012879393006*E209 ^ 5 + -3.92816821332656*E209 ^ 4 + 9.74190921268701*E209 ^ 3 + -10.9726748722344*E209 ^ 2 + -15.5870354063632*E209 ^ 1 + 2955.77846924003</f>
        <v>2903.8237374206537</v>
      </c>
    </row>
    <row r="210" spans="3:8" x14ac:dyDescent="0.2">
      <c r="C210" s="24" t="s">
        <v>36</v>
      </c>
      <c r="D210" s="1" t="s">
        <v>234</v>
      </c>
      <c r="E210" s="2">
        <v>4.4562233128299411</v>
      </c>
      <c r="F210" s="3">
        <f>0.0287282388687051*E210 ^ 6 + -0.392286580560875*E210 ^ 5 + 2.19734526839241*E210 ^ 4 + -6.69183876782888*E210 ^ 3 + 0.830266389724589*E210 ^ 2 + -0.952139778727115*E210 ^ 1 + 177.815694066412</f>
        <v>6.1749242451014652E-4</v>
      </c>
      <c r="G210" s="3">
        <f>0.00109964062889205*E210 ^ 6 + -0.0151910421236322*E210 ^ 5 + 0.0804662164582135*E210 ^ 4 + -0.208085326666293*E210 ^ 3 + 0.207050074587168*E210 ^ 2 + 0.364200020765123*E210 ^ 1 + 0.860517251930152</f>
        <v>1.8285781589183636</v>
      </c>
      <c r="H210" s="4">
        <f>-0.0683003627175438*E210 ^ 6 + 0.888537373421881*E210 ^ 5 + -4.36328428991748*E210 ^ 4 + 10.8902469516983*E210 ^ 3 + -12.7529770359758*E210 ^ 2 + -16.9176591761788*E210 ^ 1 + 2952.48812910477</f>
        <v>2893.4843698798099</v>
      </c>
    </row>
    <row r="211" spans="3:8" x14ac:dyDescent="0.2">
      <c r="C211" s="24" t="s">
        <v>36</v>
      </c>
      <c r="D211" s="1" t="s">
        <v>235</v>
      </c>
      <c r="E211" s="2">
        <v>4.4398618889967105</v>
      </c>
      <c r="F211" s="3">
        <f>0.0299721115111742*E211 ^ 6 + -0.409442378208334*E211 ^ 5 + 2.30275896274569*E211 ^ 4 + -7.04138325901475*E211 ^ 3 + 0.572574844017614*E211 ^ 2 + -1.17762282027233*E211 ^ 1 + 192.207727506027</f>
        <v>6.4923676671924113E-4</v>
      </c>
      <c r="G211" s="3">
        <f>0.00118534364153908*E211 ^ 6 + -0.0163421469861349*E211 ^ 5 + 0.0864118584230856*E211 ^ 4 + -0.222710134667656*E211 ^ 3 + 0.218512045373254*E211 ^ 2 + 0.394238184881822*E211 ^ 1 + 0.92809858305581</f>
        <v>1.9574318866990661</v>
      </c>
      <c r="H211" s="4">
        <f>-0.0764519404422345*E211 ^ 6 + 0.988962393206216*E211 ^ 5 + -4.84546548841137*E211 ^ 4 + 12.2248120665526*E211 ^ 3 + -14.8652783809869*E211 ^ 2 + -18.2990846268368*E211 ^ 1 + 2949.18860865786</f>
        <v>2882.5748732926504</v>
      </c>
    </row>
    <row r="212" spans="3:8" x14ac:dyDescent="0.2">
      <c r="C212" s="24" t="s">
        <v>36</v>
      </c>
      <c r="D212" s="1" t="s">
        <v>236</v>
      </c>
      <c r="E212" s="2">
        <v>4.4138091084098248</v>
      </c>
      <c r="F212" s="3">
        <f>0.0316427075923207*E212 ^ 6 + -0.431814845713382*E212 ^ 5 + 2.43740061508549*E212 ^ 4 + -7.47606129704835*E212 ^ 3 + 0.0277612948852578*E212 ^ 2 + -1.5910248765776*E212 ^ 1 + 213.664864689576</f>
        <v>5.4634816612519899E-4</v>
      </c>
      <c r="G212" s="3">
        <f>0.00131943543756866*E212 ^ 6 + -0.0181262662040453*E212 ^ 5 + 0.0955123464801236*E212 ^ 4 + -0.244568309767052*E212 ^ 3 + 0.234462186312603*E212 ^ 2 + 0.438447728784919*E212 ^ 1 + 1.02854172198183</f>
        <v>2.1426416973927398</v>
      </c>
      <c r="H212" s="4">
        <f>-0.0895354402099456*E212 ^ 6 + 1.15384570434745*E212 ^ 5 + -5.67631445534031*E212 ^ 4 + 14.6438160224093*E212 ^ 3 + -18.6876011082432*E212 ^ 2 + -20.5130323394849*E212 ^ 1 + 2944.18592162019</f>
        <v>2865.306972702128</v>
      </c>
    </row>
    <row r="213" spans="3:8" x14ac:dyDescent="0.2">
      <c r="C213" s="24" t="s">
        <v>73</v>
      </c>
      <c r="D213" s="1" t="s">
        <v>237</v>
      </c>
      <c r="E213" s="2">
        <v>4.482416229279786</v>
      </c>
      <c r="F213" s="3">
        <f>0.0360459463702359*E213 ^ 6 + -0.491793347021932*E213 ^ 5 + 2.74744908617557*E213 ^ 4 + -8.3853871376955*E213 ^ 3 + 0.811192993920376*E213 ^ 2 + -0.873273515744499*E213 ^ 1 + 231.230159225464</f>
        <v>9.1971189507944473E-4</v>
      </c>
      <c r="G213" s="3">
        <f>0.00137422795863626*E213 ^ 6 + -0.0190147905512227*E213 ^ 5 + 0.100611167392553*E213 ^ 4 + -0.259659296168245*E213 ^ 3 + 0.256159502260035*E213 ^ 2 + 0.482341920990976*E213 ^ 1 + 1.11909524051472</f>
        <v>2.3974321922752493</v>
      </c>
      <c r="H213" s="4">
        <f>-0.0551013001089328*E213 ^ 6 + 0.749706632344652*E213 ^ 5 + -3.93033490754326*E213 ^ 4 + 10.5187346215109*E213 ^ 3 + -12.6261592485754*E213 ^ 2 + -15.4803987977366*E213 ^ 1 + 2962.3447845321</f>
        <v>2909.6335042818855</v>
      </c>
    </row>
    <row r="214" spans="3:8" x14ac:dyDescent="0.2">
      <c r="C214" s="24" t="s">
        <v>73</v>
      </c>
      <c r="D214" s="1" t="s">
        <v>238</v>
      </c>
      <c r="E214" s="2">
        <v>4.4725463757318886</v>
      </c>
      <c r="F214" s="3">
        <f>0.0375373957723923*E214 ^ 6 + -0.511029971710961*E214 ^ 5 + 2.85444797688146*E214 ^ 4 + -8.73011803465158*E214 ^ 3 + 0.609274278627008*E214 ^ 2 + -1.11226516915749*E214 ^ 1 + 245.762241497748</f>
        <v>1.5706083900113299E-7</v>
      </c>
      <c r="G214" s="3">
        <f>0.00145928759204506*E214 ^ 6 + -0.0201503916300348*E214 ^ 5 + 0.106381576208204*E214 ^ 4 + -0.273699332080046*E214 ^ 3 + 0.26764452412575*E214 ^ 2 + 0.512712512581336*E214 ^ 1 + 1.18768115769682</f>
        <v>2.5338558441249828</v>
      </c>
      <c r="H214" s="4">
        <f>-0.0598023320914116*E214 ^ 6 + 0.815516978548469*E214 ^ 5 + -4.29555485156189*E214 ^ 4 + 11.5622388341026*E214 ^ 3 + -13.9231258146463*E214 ^ 2 + -16.7377083321036*E214 ^ 1 + 2960.00066964659</f>
        <v>2903.0454223035367</v>
      </c>
    </row>
    <row r="215" spans="3:8" x14ac:dyDescent="0.2">
      <c r="C215" s="24" t="s">
        <v>73</v>
      </c>
      <c r="D215" s="1" t="s">
        <v>239</v>
      </c>
      <c r="E215" s="2">
        <v>4.4577017686572313</v>
      </c>
      <c r="F215" s="3">
        <f>0.0396669740811995*E215 ^ 6 + -0.537838350864942*E215 ^ 5 + 3.0007612549094*E215 ^ 4 + -9.2027803130176*E215 ^ 3 + 0.259012162066416*E215 ^ 2 + -1.53997413024081*E215 ^ 1 + 267.460235074417</f>
        <v>1.5014472865004791E-7</v>
      </c>
      <c r="G215" s="3">
        <f>0.0015886691714733*E215 ^ 6 + -0.0218652451208362*E215 ^ 5 + 0.115016077179613*E215 ^ 4 + -0.294451554672268*E215 ^ 3 + 0.28421995449106*E215 ^ 2 + 0.557594009158707*E215 ^ 1 + 1.28984556579627</f>
        <v>2.7348012423603962</v>
      </c>
      <c r="H215" s="4">
        <f>-0.067064832601281*E215 ^ 6 + 0.91837969472462*E215 ^ 5 + -4.87351251511759*E215 ^ 4 + 13.2115447084564*E215 ^ 3 + -15.8973485220037*E215 ^ 2 + -18.7409543697794*E215 ^ 1 + 2956.41685631687</f>
        <v>2893.1835709039542</v>
      </c>
    </row>
    <row r="216" spans="3:8" x14ac:dyDescent="0.2">
      <c r="C216" s="24" t="s">
        <v>73</v>
      </c>
      <c r="D216" s="1" t="s">
        <v>240</v>
      </c>
      <c r="E216" s="2">
        <v>4.442978401069257</v>
      </c>
      <c r="F216" s="3">
        <f>0.0416527512715816*E216 ^ 6 + -0.561970756311961*E216 ^ 5 + 3.12894878801356*E216 ^ 4 + -9.62139222070449*E216 ^ 3 + -0.140772523482609*E216 ^ 2 + -2.05529658440087*E216 ^ 1 + 289.033964514654</f>
        <v>1.2902069101983216E-7</v>
      </c>
      <c r="G216" s="3">
        <f>0.0017198356013858*E216 ^ 6 + -0.0235881452664444*E216 ^ 5 + 0.123591811390941*E216 ^ 4 + -0.314760058214267*E216 ^ 3 + 0.300011440329166*E216 ^ 2 + 0.601640248127931*E216 ^ 1 + 1.39112465147918</f>
        <v>2.931649789969708</v>
      </c>
      <c r="H216" s="4">
        <f>-0.0745978569904067*E216 ^ 6 + 1.02630215513956*E216 ^ 5 + -5.48588347534872*E216 ^ 4 + 14.9447866103623*E216 ^ 3 + -17.8619075425273*E216 ^ 2 + -20.8813692348486*E216 ^ 1 + 2952.74643911753</f>
        <v>2883.436685907332</v>
      </c>
    </row>
    <row r="217" spans="3:8" x14ac:dyDescent="0.2">
      <c r="C217" s="24" t="s">
        <v>70</v>
      </c>
      <c r="D217" s="1" t="s">
        <v>241</v>
      </c>
      <c r="E217" s="2">
        <v>7.3764263979738569</v>
      </c>
      <c r="F217" s="3">
        <f>-0.000289402434197252*E217 ^ 6 + 0.00715595828377961*E217 ^ 5 + -0.0601143956626071*E217 ^ 4 + 0.179249062505073*E217 ^ 3 + -0.326646313702522*E217 ^ 2 + -0.221012280569959*E217 ^ 1 + 15.7786768604566</f>
        <v>-4.4034821122806989E-7</v>
      </c>
      <c r="G217" s="3">
        <f>-1.20356466792144E-06*E217 ^ 6 + 0.0000308626485147661*E217 ^ 5 + -0.000228984888842088*E217 ^ 4 + 0.0000468919591197286*E217 ^ 3 + 0.00150743205841523*E217 ^ 2 + 0.0343085288553291*E217 ^ 1 + 0.129890670722428</f>
        <v>0.28598786290550682</v>
      </c>
      <c r="H217" s="4">
        <f>0.000343970934259403*E217 ^ 6 + -0.0108712879159333*E217 ^ 5 + 0.105200791650818*E217 ^ 4 + -0.242266025433516*E217 ^ 3 + -0.0186600552795447*E217 ^ 2 + -11.4910309530791*E217 ^ 1 + 2945.07838440067</f>
        <v>2891.5187433897495</v>
      </c>
    </row>
    <row r="218" spans="3:8" x14ac:dyDescent="0.2">
      <c r="C218" s="24" t="s">
        <v>70</v>
      </c>
      <c r="D218" s="1" t="s">
        <v>242</v>
      </c>
      <c r="E218" s="2">
        <v>7.3447504245016395</v>
      </c>
      <c r="F218" s="3">
        <f>-0.000303409450105814*E218 ^ 6 + 0.0076374065639466*E218 ^ 5 + -0.0627741687344439*E218 ^ 4 + 0.162975032401407*E218 ^ 3 + -0.327574741190923*E218 ^ 2 + -0.442224024996156*E218 ^ 1 + 23.4147454505209</f>
        <v>7.440834234984095E-5</v>
      </c>
      <c r="G218" s="3">
        <f>-2.63361891744954E-06*E218 ^ 6 + 0.0000638399820358899*E218 ^ 5 + -0.000474655216935733*E218 ^ 4 + 0.000552896547527685*E218 ^ 3 + 0.00113669682847404*E218 ^ 2 + 0.0493556889826879*E218 ^ 1 + 0.168543419657809</f>
        <v>0.38121055183529839</v>
      </c>
      <c r="H218" s="4">
        <f>0.00158973264531233*E218 ^ 6 + -0.0450839538914889*E218 ^ 5 + 0.437382183103598*E218 ^ 4 + -1.48090358185074*E218 ^ 3 + 1.25787607320609*E218 ^ 2 + -16.9071185622633*E218 ^ 1 + 2932.45316883776</f>
        <v>2848.1447391810079</v>
      </c>
    </row>
    <row r="219" spans="3:8" x14ac:dyDescent="0.2">
      <c r="C219" s="24" t="s">
        <v>9</v>
      </c>
      <c r="D219" s="1" t="s">
        <v>243</v>
      </c>
      <c r="E219" s="2">
        <v>7.4669503768238989</v>
      </c>
      <c r="F219" s="3">
        <f>-0.000285897661633858*E219 ^ 6 + 0.00761126043637473*E219 ^ 5 + -0.0636733434490043*E219 ^ 4 + 0.149094572923648*E219 ^ 3 + -0.336655514640359*E219 ^ 2 + -0.536984271228151*E219 ^ 1 + 31.5260769957845</f>
        <v>-1.1049814777308598E-4</v>
      </c>
      <c r="G219" s="3">
        <f>-3.82179270907914E-06*E219 ^ 6 + 0.0000951387850001564*E219 ^ 5 + -0.000748969201969397*E219 ^ 4 + 0.00128836762759958*E219 ^ 3 + 0.000701189837545227*E219 ^ 2 + 0.0669048510463757*E219 ^ 1 + 0.217542681733099</f>
        <v>0.51027043675323358</v>
      </c>
      <c r="H219" s="4">
        <f>0.0013537043360399*E219 ^ 6 + -0.0374598457011217*E219 ^ 5 + 0.353984632773879*E219 ^ 4 + -1.13544226367198*E219 ^ 3 + 0.647210262898804*E219 ^ 2 + -13.1113438411571*E219 ^ 1 + 2948.40930430009</f>
        <v>2879.4048247105197</v>
      </c>
    </row>
    <row r="220" spans="3:8" x14ac:dyDescent="0.2">
      <c r="C220" s="24" t="s">
        <v>14</v>
      </c>
      <c r="D220" s="1" t="s">
        <v>244</v>
      </c>
      <c r="E220" s="2">
        <v>7.500422890663212</v>
      </c>
      <c r="F220" s="3">
        <f>-0.000288847810768017*E220 ^ 6 + 0.0080005332588841*E220 ^ 5 + -0.0673686161352754*E220 ^ 4 + 0.142364167891273*E220 ^ 3 + -0.346149180247657*E220 ^ 2 + -0.714209228569108*E220 ^ 1 + 39.4830377571378</f>
        <v>3.6745519939529458E-4</v>
      </c>
      <c r="G220" s="3">
        <f>-5.21876842070145E-06*E220 ^ 6 + 0.000130459125203069*E220 ^ 5 + -0.00104918823364475*E220 ^ 4 + 0.0021101662129021*E220 ^ 3 + 0.0000362219631458949*E220 ^ 2 + 0.0831844739894139*E220 ^ 1 + 0.270066903540457</f>
        <v>0.63354054201130727</v>
      </c>
      <c r="H220" s="4">
        <f>0.0010919670740306*E220 ^ 6 + -0.0304536402827178*E220 ^ 5 + 0.285150434105704*E220 ^ 4 + -0.857972168599842*E220 ^ 3 + 0.420208036382878*E220 ^ 2 + -14.0439516720204*E220 ^ 1 + 2952.19220865682</f>
        <v>2882.4445775503013</v>
      </c>
    </row>
    <row r="221" spans="3:8" x14ac:dyDescent="0.2">
      <c r="C221" s="24" t="s">
        <v>14</v>
      </c>
      <c r="D221" s="1" t="s">
        <v>245</v>
      </c>
      <c r="E221" s="2">
        <v>7.4489830088217968</v>
      </c>
      <c r="F221" s="3">
        <f>-0.000303438435086442*E221 ^ 6 + 0.00852013582015183*E221 ^ 5 + -0.0703698838329064*E221 ^ 4 + 0.127531502153357*E221 ^ 3 + -0.352218415970155*E221 ^ 2 + -0.962835451472218*E221 ^ 1 + 47.0973734022185</f>
        <v>-1.2150689343570775E-7</v>
      </c>
      <c r="G221" s="3">
        <f>-6.90219806884902E-06*E221 ^ 6 + 0.000168139189915798*E221 ^ 5 + -0.00132209661219011*E221 ^ 4 + 0.00267573186719564*E221 ^ 3 + -0.000460599503860721*E221 ^ 2 + 0.0978252735051726*E221 ^ 1 + 0.319090627231575</f>
        <v>0.73464428417261707</v>
      </c>
      <c r="H221" s="4">
        <f>0.00146811054765856*E221 ^ 6 + -0.0424039696963031*E221 ^ 5 + 0.41335981075666*E221 ^ 4 + -1.35392387065482*E221 ^ 3 + 0.884406255254941*E221 ^ 2 + -17.2422248256748*E221 ^ 1 + 2944.0252425792</f>
        <v>2856.0265128523301</v>
      </c>
    </row>
    <row r="222" spans="3:8" x14ac:dyDescent="0.2">
      <c r="C222" s="24" t="s">
        <v>16</v>
      </c>
      <c r="D222" s="1" t="s">
        <v>246</v>
      </c>
      <c r="E222" s="2">
        <v>7.5670294860047429</v>
      </c>
      <c r="F222" s="3">
        <f>-0.000273046209133544*E222 ^ 6 + 0.00817357254001683*E222 ^ 5 + -0.0685014273919983*E222 ^ 4 + 0.0992840114051373*E222 ^ 3 + -0.316913679565264*E222 ^ 2 + -0.943449611822913*E222 ^ 1 + 55.3373634534755</f>
        <v>-9.5246745246413411E-7</v>
      </c>
      <c r="G222" s="3">
        <f>-7.79544425390895E-06*E222 ^ 6 + 0.000195389036360982*E222 ^ 5 + -0.0015883143835438*E222 ^ 4 + 0.00340054611422395*E222 ^ 3 + -0.000321460944166247*E222 ^ 2 + 0.116786855121596*E222 ^ 1 + 0.374476670364495</f>
        <v>0.88971100593989361</v>
      </c>
      <c r="H222" s="4">
        <f>0.00121894731734203*E222 ^ 6 + -0.0351076471431345*E222 ^ 5 + 0.352210224066508*E222 ^ 4 + -1.31108901896142*E222 ^ 3 + 1.50830933372247*E222 ^ 2 + -11.8108870280195*E222 ^ 1 + 2954.92528513908</f>
        <v>2896.452202489857</v>
      </c>
    </row>
    <row r="223" spans="3:8" x14ac:dyDescent="0.2">
      <c r="C223" s="24" t="s">
        <v>16</v>
      </c>
      <c r="D223" s="1" t="s">
        <v>247</v>
      </c>
      <c r="E223" s="2">
        <v>7.5313357302908521</v>
      </c>
      <c r="F223" s="3">
        <f>-0.000266975478549256*E223 ^ 6 + 0.00822450314201831*E223 ^ 5 + -0.0677406188462275*E223 ^ 4 + 0.0718659721438027*E223 ^ 3 + -0.311482660834052*E223 ^ 2 + -1.15273384302158*E223 ^ 1 + 63.0261089071146</f>
        <v>-1.6528536050941511E-6</v>
      </c>
      <c r="G223" s="3">
        <f>-9.14724334191083E-06*E223 ^ 6 + 0.000225525155364498*E223 ^ 5 + -0.00179852679029755*E223 ^ 4 + 0.00372930425041252*E223 ^ 3 + -0.000433473556874247*E223 ^ 2 + 0.131901321657465*E223 ^ 1 + 0.424267494577059</f>
        <v>0.99512770502141334</v>
      </c>
      <c r="H223" s="4">
        <f>0.00180261281201184*E223 ^ 6 + -0.0509601820985473*E223 ^ 5 + 0.504253226026698*E223 ^ 4 + -1.86213166812328*E223 ^ 3 + 1.93380581384196*E223 ^ 2 + -13.5128194703543*E223 ^ 1 + 2950.20489845652</f>
        <v>2879.1381527039134</v>
      </c>
    </row>
    <row r="224" spans="3:8" x14ac:dyDescent="0.2">
      <c r="C224" s="24" t="s">
        <v>16</v>
      </c>
      <c r="D224" s="1" t="s">
        <v>248</v>
      </c>
      <c r="E224" s="2">
        <v>7.489430638870072</v>
      </c>
      <c r="F224" s="3">
        <f>-0.00025428761817824*E224 ^ 6 + 0.00810862988457234*E224 ^ 5 + -0.0653978153501069*E224 ^ 4 + 0.0393671093361545*E224 ^ 3 + -0.307484435575533*E224 ^ 2 + -1.38745043097131*E224 ^ 1 + 70.6662762075087</f>
        <v>-2.1854367417972753E-6</v>
      </c>
      <c r="G224" s="3">
        <f>-0.0000104315563966646*E224 ^ 6 + 0.000252732782026214*E224 ^ 5 + -0.00197102443922373*E224 ^ 4 + 0.00389235863859299*E224 ^ 3 + -0.000443009410092202*E224 ^ 2 + 0.14656863817646*E224 ^ 1 + 0.473584731896154</f>
        <v>1.0946205709050512</v>
      </c>
      <c r="H224" s="4">
        <f>0.0025252835823406*E224 ^ 6 + -0.0699780711029627*E224 ^ 5 + 0.680144743432444*E224 ^ 4 + -2.46640076377598*E224 ^ 3 + 2.31253589325198*E224 ^ 2 + -15.4164344102372*E224 ^ 1 + 2945.51455770794</f>
        <v>2860.2782021968064</v>
      </c>
    </row>
    <row r="225" spans="3:8" x14ac:dyDescent="0.2">
      <c r="C225" s="24" t="s">
        <v>13</v>
      </c>
      <c r="D225" s="1" t="s">
        <v>249</v>
      </c>
      <c r="E225" s="2">
        <v>7.601738968623434</v>
      </c>
      <c r="F225" s="3">
        <f>-0.000245306890275726*E225 ^ 6 + 0.00843719251261999*E225 ^ 5 + -0.0720482394392305*E225 ^ 4 + 0.058484805925102*E225 ^ 3 + -0.372076605742845*E225 ^ 2 + -1.28937008124913*E225 ^ 1 + 79.363590323899</f>
        <v>-7.8333276576358912E-6</v>
      </c>
      <c r="G225" s="3">
        <f>-0.0000111842240604001*E225 ^ 6 + 0.000281481685353144*E225 ^ 5 + -0.00230923331033133*E225 ^ 4 + 0.0051822073188189*E225 ^ 3 + -0.00162396362429199*E225 ^ 2 + 0.167572285718986*E225 ^ 1 + 0.533535192673496</f>
        <v>1.2658498619903984</v>
      </c>
      <c r="H225" s="4">
        <f>0.00163398005452311*E225 ^ 6 + -0.0437006721201739*E225 ^ 5 + 0.403119707065198*E225 ^ 4 + -1.28544540635615*E225 ^ 3 + 0.498913068389417*E225 ^ 2 + -10.1236331831118*E225 ^ 1 + 2961.54536270518</f>
        <v>2900.8683199817133</v>
      </c>
    </row>
    <row r="226" spans="3:8" x14ac:dyDescent="0.2">
      <c r="C226" s="24" t="s">
        <v>13</v>
      </c>
      <c r="D226" s="1" t="s">
        <v>250</v>
      </c>
      <c r="E226" s="2">
        <v>7.5753663852801125</v>
      </c>
      <c r="F226" s="3">
        <f>-0.0002431855441913*E226 ^ 6 + 0.00867889342705422*E226 ^ 5 + -0.0741265657984485*E226 ^ 4 + 0.0478933908859514*E226 ^ 3 + -0.401021469823673*E226 ^ 2 + -1.50031753541142*E226 ^ 1 + 87.1154182750531</f>
        <v>-9.2892187666393511E-6</v>
      </c>
      <c r="G226" s="3">
        <f>-0.0000124965272491187*E226 ^ 6 + 0.000312221117494841*E226 ^ 5 + -0.00254431145249534*E226 ^ 4 + 0.00571242154961995*E226 ^ 3 + -0.00223839274444719*E226 ^ 2 + 0.182888775707264*E226 ^ 1 + 0.583962668503807</f>
        <v>1.3727642393618604</v>
      </c>
      <c r="H226" s="4">
        <f>0.00185245863097152*E226 ^ 6 + -0.0489546772740662*E226 ^ 5 + 0.442912966978945*E226 ^ 4 + -1.34027429688921*E226 ^ 3 + 0.21849232599092*E226 ^ 2 + -11.4807862704895*E226 ^ 1 + 2958.5893494803</f>
        <v>2888.9104007818182</v>
      </c>
    </row>
    <row r="227" spans="3:8" x14ac:dyDescent="0.2">
      <c r="C227" s="24" t="s">
        <v>13</v>
      </c>
      <c r="D227" s="1" t="s">
        <v>251</v>
      </c>
      <c r="E227" s="2">
        <v>7.547219567636839</v>
      </c>
      <c r="F227" s="3">
        <f>-0.000245788321399211*E227 ^ 6 + 0.00903686788649584*E227 ^ 5 + -0.0771909635523217*E227 ^ 4 + 0.0412519071776303*E227 ^ 3 + -0.437051958079888*E227 ^ 2 + -1.73342704802891*E227 ^ 1 + 94.8278151874258</f>
        <v>-1.0097225057847936E-5</v>
      </c>
      <c r="G227" s="3">
        <f>-0.0000139199220556966*E227 ^ 6 + 0.000345120202048761*E227 ^ 5 + -0.00279382591996014*E227 ^ 4 + 0.00629269873604025*E227 ^ 3 + -0.00299261955105158*E227 ^ 2 + 0.197906676011414*E227 ^ 1 + 0.634001904085494</f>
        <v>1.4762309510951928</v>
      </c>
      <c r="H227" s="4">
        <f>0.002004630107305*E227 ^ 6 + -0.0526381869828564*E227 ^ 5 + 0.469242615283702*E227 ^ 4 + -1.34713361442368*E227 ^ 3 + -0.102089281446741*E227 ^ 2 + -12.9785514727481*E227 ^ 1 + 2955.50886942354</f>
        <v>2876.599296827299</v>
      </c>
    </row>
    <row r="228" spans="3:8" x14ac:dyDescent="0.2">
      <c r="C228" s="24" t="s">
        <v>36</v>
      </c>
      <c r="D228" s="1" t="s">
        <v>252</v>
      </c>
      <c r="E228" s="2">
        <v>7.6312863654875249</v>
      </c>
      <c r="F228" s="3">
        <f>-0.000260121196841901*E228 ^ 6 + 0.00964137114766045*E228 ^ 5 + -0.0820638219852176*E228 ^ 4 + 0.0215509161654993*E228 ^ 3 + -0.327238660689415*E228 ^ 2 + -1.76160365328483*E228 ^ 1 + 103.085281676498</f>
        <v>-2.2532108602035805E-5</v>
      </c>
      <c r="G228" s="3">
        <f>-0.000015560150894077*E228 ^ 6 + 0.000393216564161689*E228 ^ 5 + -0.00326704486245282*E228 ^ 4 + 0.00777604010750344*E228 ^ 3 + -0.00300129218464564*E228 ^ 2 + 0.216821246976701*E228 ^ 1 + 0.689505025113817</f>
        <v>1.6487596916379634</v>
      </c>
      <c r="H228" s="4">
        <f>0.00107263523386901*E228 ^ 6 + -0.0306105284420348*E228 ^ 5 + 0.3036525245037*E228 ^ 4 + -1.10978982169443*E228 ^ 3 + 1.28016507548878*E228 ^ 2 + -11.0365450856207*E228 ^ 1 + 2960.73711533568</f>
        <v>2907.2994356322524</v>
      </c>
    </row>
    <row r="229" spans="3:8" x14ac:dyDescent="0.2">
      <c r="C229" s="24" t="s">
        <v>36</v>
      </c>
      <c r="D229" s="1" t="s">
        <v>253</v>
      </c>
      <c r="E229" s="2">
        <v>7.6128151650077189</v>
      </c>
      <c r="F229" s="3">
        <f>-0.000252198650468874*E229 ^ 6 + 0.00967788665801345*E229 ^ 5 + -0.0814613561828002*E229 ^ 4 + -0.00529947786560147*E229 ^ 3 + -0.315674625605642*E229 ^ 2 + -1.96386909040788*E229 ^ 1 + 110.82541179809</f>
        <v>-2.430984690704463E-5</v>
      </c>
      <c r="G229" s="3">
        <f>-0.0000169073557028361*E229 ^ 6 + 0.000424136094867078*E229 ^ 5 + -0.00349279478769333*E229 ^ 4 + 0.00818119746497135*E229 ^ 3 + -0.00311460110343662*E229 ^ 2 + 0.232162827300837*E229 ^ 1 + 0.73982361407701</f>
        <v>1.7586635970772124</v>
      </c>
      <c r="H229" s="4">
        <f>0.00133372548774383*E229 ^ 6 + -0.0378317098486305*E229 ^ 5 + 0.374785967390886*E229 ^ 4 + -1.38300030977309*E229 ^ 3 + 1.56601059077506*E229 ^ 2 + -11.9384773927054*E229 ^ 1 + 2958.31528841361</f>
        <v>2899.1028806788213</v>
      </c>
    </row>
    <row r="230" spans="3:8" x14ac:dyDescent="0.2">
      <c r="C230" s="24" t="s">
        <v>36</v>
      </c>
      <c r="D230" s="1" t="s">
        <v>254</v>
      </c>
      <c r="E230" s="2">
        <v>7.5716340107116871</v>
      </c>
      <c r="F230" s="3">
        <f>-0.000222477182449919*E230 ^ 6 + 0.0094060882502952*E230 ^ 5 + -0.0770259642477815*E230 ^ 4 + -0.0703790861774314*E230 ^ 3 + -0.28746605914488*E230 ^ 2 + -2.40318874257574*E230 ^ 1 + 126.230809818737</f>
        <v>-2.5700420295038384E-5</v>
      </c>
      <c r="G230" s="3">
        <f>-0.0000194447169459709*E230 ^ 6 + 0.00048032623736946*E230 ^ 5 + -0.00387664153010546*E230 ^ 4 + 0.00869196961134478*E230 ^ 3 + -0.00306747901333445*E230 ^ 2 + 0.262183709406324*E230 ^ 1 + 0.839728460518544</f>
        <v>1.9700632522272994</v>
      </c>
      <c r="H230" s="4">
        <f>0.0020053715568078*E230 ^ 6 + -0.0557688081010551*E230 ^ 5 + 0.545047712925272*E230 ^ 4 + -2.00744744053155*E230 ^ 3 + 2.14289018770058*E230 ^ 2 + -13.8466604299458*E230 ^ 1 + 2953.49922444691</f>
        <v>2881.5405793641835</v>
      </c>
    </row>
    <row r="231" spans="3:8" x14ac:dyDescent="0.2">
      <c r="C231" s="24" t="s">
        <v>36</v>
      </c>
      <c r="D231" s="1" t="s">
        <v>255</v>
      </c>
      <c r="E231" s="2">
        <v>7.5258863168429162</v>
      </c>
      <c r="F231" s="3">
        <f>-0.000170052318507986*E231 ^ 6 + 0.00861285411700894*E231 ^ 5 + -0.0682135527132493*E231 ^ 4 + -0.148232395844169*E231 ^ 3 + -0.261271849051908*E231 ^ 2 + -2.89180896059457*E231 ^ 1 + 141.533212005467</f>
        <v>-2.4925546313170344E-5</v>
      </c>
      <c r="G231" s="3">
        <f>-0.0000216561080084388*E231 ^ 6 + 0.000526633563363626*E231 ^ 5 + -0.00415635324972282*E231 ^ 4 + 0.00879327255902621*E231 ^ 3 + -0.002738275240614*E231 ^ 2 + 0.291287717822628*E231 ^ 1 + 0.938626916298042</f>
        <v>2.170066276286339</v>
      </c>
      <c r="H231" s="4">
        <f>0.00286441789155102*E231 ^ 6 + -0.0776954425245979*E231 ^ 5 + 0.742434965279565*E231 ^ 4 + -2.67739259705764*E231 ^ 3 + 2.6200192436761*E231 ^ 2 + -15.8802304806825*E231 ^ 1 + 2948.67448601646</f>
        <v>2862.672254074424</v>
      </c>
    </row>
    <row r="232" spans="3:8" x14ac:dyDescent="0.2">
      <c r="C232" s="24" t="s">
        <v>73</v>
      </c>
      <c r="D232" s="1" t="s">
        <v>256</v>
      </c>
      <c r="E232" s="2">
        <v>7.6376416804201623</v>
      </c>
      <c r="F232" s="3">
        <f>-0.000207190465444629*E232 ^ 6 + 0.0105607467377193*E232 ^ 5 + -0.0927317165272722*E232 ^ 4 + -0.0705523264966881*E232 ^ 3 + -0.410065710006909*E232 ^ 2 + -2.79755627924274*E232 ^ 1 + 158.927774406956</f>
        <v>-7.358885116559577E-5</v>
      </c>
      <c r="G232" s="3">
        <f>-0.0000236462366955351*E232 ^ 6 + 0.000598770983585251*E232 ^ 5 + -0.00499573400046097*E232 ^ 4 + 0.012138499868776*E232 ^ 3 + -0.00618664454170258*E232 ^ 2 + 0.332576266346534*E232 ^ 1 + 1.05835833772814</f>
        <v>2.5141117125639134</v>
      </c>
      <c r="H232" s="4">
        <f>0.00151981631711555*E232 ^ 6 + -0.0397595755289175*E232 ^ 5 + 0.356776503290867*E232 ^ 4 + -1.09210469389475*E232 ^ 3 + 0.536833790261249*E232 ^ 2 + -11.4594234025268*E232 ^ 1 + 2964.38367975607</f>
        <v>2904.0030958782022</v>
      </c>
    </row>
    <row r="233" spans="3:8" x14ac:dyDescent="0.2">
      <c r="C233" s="24" t="s">
        <v>73</v>
      </c>
      <c r="D233" s="1" t="s">
        <v>257</v>
      </c>
      <c r="E233" s="2">
        <v>7.6119937574244201</v>
      </c>
      <c r="F233" s="3">
        <f>-0.000187889352722414*E233 ^ 6 + 0.0107560205956937*E233 ^ 5 + -0.0950356992618671*E233 ^ 4 + -0.0982008395739993*E233 ^ 3 + -0.444189913883956*E233 ^ 2 + -3.2349091836957*E233 ^ 1 + 174.409731137022</f>
        <v>-7.6426586758771009E-5</v>
      </c>
      <c r="G233" s="3">
        <f>-0.0000260270861430642*E233 ^ 6 + 0.000655912598785612*E233 ^ 5 + -0.00544418097207562*E233 ^ 4 + 0.0131614981256923*E233 ^ 3 + -0.00718488097856653*E233 ^ 2 + 0.363021514530088*E233 ^ 1 + 1.1590241560497</f>
        <v>2.7324901949606293</v>
      </c>
      <c r="H233" s="4">
        <f>0.00176270053005293*E233 ^ 6 + -0.0453093444385089*E233 ^ 5 + 0.397203549533835*E233 ^ 4 + -1.15732785584555*E233 ^ 3 + 0.372579299418343*E233 ^ 2 + -12.7908808132532*E233 ^ 1 + 2960.98646377483</f>
        <v>2893.2823545941374</v>
      </c>
    </row>
    <row r="234" spans="3:8" x14ac:dyDescent="0.2">
      <c r="C234" s="24" t="s">
        <v>73</v>
      </c>
      <c r="D234" s="1" t="s">
        <v>258</v>
      </c>
      <c r="E234" s="2">
        <v>7.5862564979175895</v>
      </c>
      <c r="F234" s="3">
        <f>-0.000168181775684669*E234 ^ 6 + 0.0109918774029359*E234 ^ 5 + -0.0981726510725516*E234 ^ 4 + -0.119982671747595*E234 ^ 3 + -0.491450589168845*E234 ^ 2 + -3.70563609519639*E234 ^ 1 + 189.809938740335</f>
        <v>-7.7460351946001538E-5</v>
      </c>
      <c r="G234" s="3">
        <f>-0.0000283816598602765*E234 ^ 6 + 0.000712450049691719*E234 ^ 5 + -0.00589004870541473*E234 ^ 4 + 0.0142128382080835*E234 ^ 3 + -0.00837609245083006*E234 ^ 2 + 0.392957695234846*E234 ^ 1 + 1.258886990605</f>
        <v>2.9460265764718567</v>
      </c>
      <c r="H234" s="4">
        <f>0.00197647646826908*E234 ^ 6 + -0.0498766585274373*E234 ^ 5 + 0.425818671489905*E234 ^ 4 + -1.1640421652523*E234 ^ 3 + 0.120870461054754*E234 ^ 2 + -14.1631127066742*E234 ^ 1 + 2957.51531419792</f>
        <v>2882.6937194936695</v>
      </c>
    </row>
    <row r="235" spans="3:8" x14ac:dyDescent="0.2">
      <c r="C235" s="24" t="s">
        <v>75</v>
      </c>
      <c r="D235" s="1" t="s">
        <v>259</v>
      </c>
      <c r="E235" s="2">
        <v>7.7123482733651256</v>
      </c>
      <c r="F235" s="3">
        <f>-0.000213560309613567*E235 ^ 6 + 0.0126656433362539*E235 ^ 5 + -0.115690334626282*E235 ^ 4 + -0.0973851926181594*E235 ^ 3 + -0.490670887764807*E235 ^ 2 + -3.30576803351558*E235 ^ 1 + 208.007181459989</f>
        <v>-2.1038774087855927E-4</v>
      </c>
      <c r="G235" s="3">
        <f>-0.0000308168374410504*E235 ^ 6 + 0.000795214831968287*E235 ^ 5 + -0.00680591732929864*E235 ^ 4 + 0.0175194097867816*E235 ^ 3 + -0.0100338201895586*E235 ^ 2 + 0.439272955499651*E235 ^ 1 + 1.386620100468</f>
        <v>3.3485802460412843</v>
      </c>
      <c r="H235" s="4">
        <f>0.000922973706527855*E235 ^ 6 + -0.0233984421925713*E235 ^ 5 + 0.197454368588045*E235 ^ 4 + -0.493492242037753*E235 ^ 3 + -0.0900298297503547*E235 ^ 2 + -8.73261108511047*E235 ^ 1 + 2974.64176437424</f>
        <v>2929.9188336319366</v>
      </c>
    </row>
    <row r="236" spans="3:8" x14ac:dyDescent="0.2">
      <c r="C236" s="24" t="s">
        <v>75</v>
      </c>
      <c r="D236" s="1" t="s">
        <v>260</v>
      </c>
      <c r="E236" s="2">
        <v>7.6928708981814733</v>
      </c>
      <c r="F236" s="3">
        <f>-0.000211136648330706*E236 ^ 6 + 0.0136288999130003*E236 ^ 5 + -0.12571704124495*E236 ^ 4 + -0.114760806380865*E236 ^ 3 + -0.551541445888398*E236 ^ 2 + -3.86923478656341*E236 ^ 1 + 231.513017861455</f>
        <v>-2.2668371514100727E-4</v>
      </c>
      <c r="G236" s="3">
        <f>-0.0000346578410698877*E236 ^ 6 + 0.000892030178592339*E236 ^ 5 + -0.00762277819514862*E236 ^ 4 + 0.0197227792140261*E236 ^ 3 + -0.01212223292642*E236 ^ 2 + 0.486847574567152*E236 ^ 1 + 1.54042015939934</f>
        <v>3.7004368764403628</v>
      </c>
      <c r="H236" s="4">
        <f>0.000965199507702078*E236 ^ 6 + -0.0239234988489684*E236 ^ 5 + 0.193365609146848*E236 ^ 4 + -0.408851987555398*E236 ^ 3 + -0.345876876969623*E236 ^ 2 + -9.87842816946217*E236 ^ 1 + 2971.54406819964</f>
        <v>2921.659045623966</v>
      </c>
    </row>
    <row r="237" spans="3:8" x14ac:dyDescent="0.2">
      <c r="C237" s="24" t="s">
        <v>75</v>
      </c>
      <c r="D237" s="1" t="s">
        <v>261</v>
      </c>
      <c r="E237" s="2">
        <v>7.6800809717480929</v>
      </c>
      <c r="F237" s="3">
        <f>-0.000216395718247036*E237 ^ 6 + 0.0144569050913517*E237 ^ 5 + -0.134169026075461*E237 ^ 4 + -0.119197704895524*E237 ^ 3 + -0.601093294399893*E237 ^ 2 + -4.2659119841981*E237 ^ 1 + 247.121227575397</f>
        <v>-2.3400735310019627E-4</v>
      </c>
      <c r="G237" s="3">
        <f>-0.0000373488215894592*E237 ^ 6 + 0.00095973814183654*E237 ^ 5 + -0.00819611076319128*E237 ^ 4 + 0.0213143194660139*E237 ^ 3 + -0.0137405621750077*E237 ^ 2 + 0.518265950635574*E237 ^ 1 + 1.64233806427973</f>
        <v>3.9321947596555495</v>
      </c>
      <c r="H237" s="4">
        <f>0.000949991571135288*E237 ^ 6 + -0.0231962546200876*E237 ^ 5 + 0.181059168459677*E237 ^ 4 + -0.318431774460332*E237 ^ 3 + -0.544973305589349*E237 ^ 2 + -10.6498352174123*E237 ^ 1 + 2969.43592103759</f>
        <v>2916.3208686502867</v>
      </c>
    </row>
    <row r="238" spans="3:8" x14ac:dyDescent="0.2">
      <c r="C238" s="24" t="s">
        <v>70</v>
      </c>
      <c r="D238" s="1" t="s">
        <v>262</v>
      </c>
      <c r="E238" s="2">
        <v>10.741265740355363</v>
      </c>
      <c r="F238" s="3">
        <f>0.0000157601916074112*E238 ^ 6 + -0.000461926224839727*E238 ^ 5 + 0.00487955504143593*E238 ^ 4 + -0.0269990251852486*E238 ^ 3 + 0.0209887181134445*E238 ^ 2 + -0.0361825143400275*E238 ^ 1 + 8.31530536437702</f>
        <v>4.1714919822410934E-4</v>
      </c>
      <c r="G238" s="3">
        <f>1.71183925721119E-08*E238 ^ 6 + -4.74218054114396E-07*E238 ^ 5 + 0.0000168977164808524*E238 ^ 4 + -0.000391729836088894*E238 ^ 3 + 0.00259121574179746*E238 ^ 2 + 0.0136619339411812*E238 ^ 1 + 0.0964303585067777</f>
        <v>0.24009584458894914</v>
      </c>
      <c r="H238" s="4">
        <f>-0.0000229894437459658*E238 ^ 6 + 0.000734328384071075*E238 ^ 5 + -0.01206452821394*E238 ^ 4 + 0.153941280927348*E238 ^ 3 + -0.845570699117884*E238 ^ 2 + -4.66023690230798*E238 ^ 1 + 2956.27667847647</f>
        <v>2908.5299647520119</v>
      </c>
    </row>
    <row r="239" spans="3:8" x14ac:dyDescent="0.2">
      <c r="C239" s="24" t="s">
        <v>9</v>
      </c>
      <c r="D239" s="1" t="s">
        <v>263</v>
      </c>
      <c r="E239" s="2">
        <v>11.114258980977871</v>
      </c>
      <c r="F239" s="3">
        <f>0.0000418011921513741*E239 ^ 6 + -0.00125708911946727*E239 ^ 5 + 0.0136610706594044*E239 ^ 4 + -0.073328002568392*E239 ^ 3 + 0.100673796564331*E239 ^ 2 + -0.259596976797905*E239 ^ 1 + 17.0700960585208</f>
        <v>-2.7075176386048838E-4</v>
      </c>
      <c r="G239" s="3">
        <f>3.71150088282772E-07*E239 ^ 6 + -0.0000113940664195783*E239 ^ 5 + 0.000138826455577152*E239 ^ 4 + -0.00106444204067692*E239 ^ 3 + 0.00412342939770064*E239 ^ 2 + 0.0277545751007999*E239 ^ 1 + 0.187090871943373</f>
        <v>0.42911048298944299</v>
      </c>
      <c r="H239" s="4">
        <f>-0.0000982846856492251*E239 ^ 6 + 0.00274805575254908*E239 ^ 5 + -0.0270788865508883*E239 ^ 4 + 0.165505775040101*E239 ^ 3 + -0.713734153176922*E239 ^ 2 + -5.27084989020445*E239 ^ 1 + 2954.15799427193</f>
        <v>2902.2331929503953</v>
      </c>
    </row>
    <row r="240" spans="3:8" x14ac:dyDescent="0.2">
      <c r="C240" s="24" t="s">
        <v>9</v>
      </c>
      <c r="D240" s="1" t="s">
        <v>264</v>
      </c>
      <c r="E240" s="2">
        <v>11.078271683118945</v>
      </c>
      <c r="F240" s="3">
        <f>0.0000709411397356344*E240 ^ 6 + -0.00211247300848821*E240 ^ 5 + 0.0227455674585541*E240 ^ 4 + -0.118964082011466*E240 ^ 3 + 0.169260093119171*E240 ^ 2 + -0.525295464006882*E240 ^ 1 + 25.5486395010565</f>
        <v>-2.2607852289269204E-4</v>
      </c>
      <c r="G240" s="3">
        <f>7.03631975191451E-07*E240 ^ 6 + -0.0000214080630639988*E240 ^ 5 + 0.000250022386025028*E240 ^ 4 + -0.00167439391595083*E240 ^ 3 + 0.00525664325524193*E240 ^ 2 + 0.040739347286247*E240 ^ 1 + 0.273322189103719</f>
        <v>0.58762186370432867</v>
      </c>
      <c r="H240" s="4">
        <f>-0.000247869624523145*E240 ^ 6 + 0.00698472759752543*E240 ^ 5 + -0.0691207838438487*E240 ^ 4 + 0.387714566523665*E240 ^ 3 + -1.53877268552308*E240 ^ 2 + -7.9544602686683*E240 ^ 1 + 2937.6359998307</f>
        <v>2853.9884418915144</v>
      </c>
    </row>
    <row r="241" spans="3:8" x14ac:dyDescent="0.2">
      <c r="C241" s="24" t="s">
        <v>14</v>
      </c>
      <c r="D241" s="1" t="s">
        <v>265</v>
      </c>
      <c r="E241" s="2">
        <v>11.134000703178154</v>
      </c>
      <c r="F241" s="3">
        <f>0.0000966661086097661*E241 ^ 6 + -0.00287374908945805*E241 ^ 5 + 0.0309192579345639*E241 ^ 4 + -0.161486879091377*E241 ^ 3 + 0.24103171508641*E241 ^ 2 + -0.789096814281351*E241 ^ 1 + 34.1939182228825</f>
        <v>-9.9801462383197759E-6</v>
      </c>
      <c r="G241" s="3">
        <f>9.97859710560998E-07*E241 ^ 6 + -0.0000301138066699304*E241 ^ 5 + 0.000344193727824222*E241 ^ 4 + -0.00219839025164263*E241 ^ 3 + 0.00640100542155063*E241 ^ 2 + 0.0541044371136342*E241 ^ 1 + 0.36229778676689</f>
        <v>0.76175331777368371</v>
      </c>
      <c r="H241" s="4">
        <f>-0.000380562993641116*E241 ^ 6 + 0.0111681886405706*E241 ^ 5 + -0.115105639162832*E241 ^ 4 + 0.591983893848061*E241 ^ 3 + -1.78326331853156*E241 ^ 2 + -9.15070719339516*E241 ^ 1 + 2936.61837766544</f>
        <v>2847.766631702013</v>
      </c>
    </row>
    <row r="242" spans="3:8" x14ac:dyDescent="0.2">
      <c r="C242" s="24" t="s">
        <v>16</v>
      </c>
      <c r="D242" s="1" t="s">
        <v>266</v>
      </c>
      <c r="E242" s="2">
        <v>11.322549764226492</v>
      </c>
      <c r="F242" s="3">
        <f>0.000120454720605274*E242 ^ 6 + -0.00363666616322562*E242 ^ 5 + 0.0397434098701551*E242 ^ 4 + -0.210166348981121*E242 ^ 3 + 0.331318830624955*E242 ^ 2 + -0.955663136402294*E242 ^ 1 + 43.1647648215903</f>
        <v>-2.1743629474713089E-6</v>
      </c>
      <c r="G242" s="3">
        <f>0.0000013868211812716*E242 ^ 6 + -0.0000424430841663293*E242 ^ 5 + 0.000484313079806973*E242 ^ 4 + -0.00298004565818263*E242 ^ 3 + 0.00838189665981687*E242 ^ 2 + 0.0694049869881149*E242 ^ 1 + 0.456431843060417</f>
        <v>0.97479764085782628</v>
      </c>
      <c r="H242" s="4">
        <f>-0.000246123089454604*E242 ^ 6 + 0.0070158919160684*E242 ^ 5 + -0.0677276322496492*E242 ^ 4 + 0.321905140889932*E242 ^ 3 + -1.02772576567403*E242 ^ 2 + -6.52747824055306*E242 ^ 1 + 2947.15077644482</f>
        <v>2882.6278355491854</v>
      </c>
    </row>
    <row r="243" spans="3:8" x14ac:dyDescent="0.2">
      <c r="C243" s="24" t="s">
        <v>16</v>
      </c>
      <c r="D243" s="1" t="s">
        <v>267</v>
      </c>
      <c r="E243" s="2">
        <v>11.243492573712947</v>
      </c>
      <c r="F243" s="3">
        <f>0.00015053765713033*E243 ^ 6 + -0.00451328760304819*E243 ^ 5 + 0.0490472978944102*E243 ^ 4 + -0.256875323148384*E243 ^ 3 + 0.398827872554963*E243 ^ 2 + -1.2359642362881*E243 ^ 1 + 51.5977620285823</f>
        <v>-7.9826749463052238E-5</v>
      </c>
      <c r="G243" s="3">
        <f>1.69599481560809E-06*E243 ^ 6 + -0.0000517128932096742*E243 ^ 5 + 0.000589292103837013*E243 ^ 4 + -0.00357685342827424*E243 ^ 3 + 0.00942663287538941*E243 ^ 2 + 0.0821041595367938*E243 ^ 1 + 0.542046532910949</f>
        <v>1.1248103565406624</v>
      </c>
      <c r="H243" s="4">
        <f>-0.000350579240945617*E243 ^ 6 + 0.00977835901542593*E243 ^ 5 + -0.091875262367342*E243 ^ 4 + 0.433579570066286*E243 ^ 3 + -1.51326152855755*E243 ^ 2 + -8.03543339494396*E243 ^ 1 + 2938.83834773329</f>
        <v>2853.9416906815277</v>
      </c>
    </row>
    <row r="244" spans="3:8" x14ac:dyDescent="0.2">
      <c r="C244" s="24" t="s">
        <v>13</v>
      </c>
      <c r="D244" s="1" t="s">
        <v>268</v>
      </c>
      <c r="E244" s="2">
        <v>11.4161504038064</v>
      </c>
      <c r="F244" s="3">
        <f>0.000172008908402142*E244 ^ 6 + -0.00521134832307122*E244 ^ 5 + 0.0570228212133918*E244 ^ 4 + -0.299431783077212*E244 ^ 3 + 0.473452243360427*E244 ^ 2 + -1.39649798508812*E244 ^ 1 + 60.9386162019382</f>
        <v>-9.6100949562583082E-6</v>
      </c>
      <c r="G244" s="3">
        <f>2.12504163396233E-06*E244 ^ 6 + -0.0000652912415067761*E244 ^ 5 + 0.000738450328500975*E244 ^ 4 + -0.0043436180104182*E244 ^ 3 + 0.0112729872949953*E244 ^ 2 + 0.0981280841146402*E244 ^ 1 + 0.641984122486748</f>
        <v>1.3553544719274999</v>
      </c>
      <c r="H244" s="4">
        <f>-0.000218155983574953*E244 ^ 6 + 0.00631389986248527*E244 ^ 5 + -0.0644469472072307*E244 ^ 4 + 0.359063711262634*E244 ^ 3 + -1.34635138636416*E244 ^ 2 + -6.09987311852802*E244 ^ 1 + 2955.00377998481</f>
        <v>2890.859078397717</v>
      </c>
    </row>
    <row r="245" spans="3:8" x14ac:dyDescent="0.2">
      <c r="C245" s="24" t="s">
        <v>13</v>
      </c>
      <c r="D245" s="1" t="s">
        <v>269</v>
      </c>
      <c r="E245" s="2">
        <v>11.361129707406244</v>
      </c>
      <c r="F245" s="3">
        <f>0.000200678037561312*E245 ^ 6 + -0.00603870742545854*E245 ^ 5 + 0.0656130258275628*E245 ^ 4 + -0.341518945914629*E245 ^ 3 + 0.53359672746269*E245 ^ 2 + -1.68726593034971*E245 ^ 1 + 69.4377075278896</f>
        <v>-8.0345063594222665E-5</v>
      </c>
      <c r="G245" s="3">
        <f>2.44714665801264E-06*E245 ^ 6 + -0.0000746996714025001*E245 ^ 5 + 0.000838934199270412*E245 ^ 4 + -0.00487313336259214*E245 ^ 3 + 0.0121627304446065*E245 ^ 2 + 0.110803781995809*E245 ^ 1 + 0.728635929633804</f>
        <v>1.5114546533799333</v>
      </c>
      <c r="H245" s="4">
        <f>-0.000298911221985576*E245 ^ 6 + 0.00880715494313121*E245 ^ 5 + -0.0927782202819013*E245 ^ 4 + 0.520583323849717*E245 ^ 3 + -1.8118688941024*E245 ^ 2 + -7.4918218457962*E245 ^ 1 + 2949.2167212898</f>
        <v>2872.1497859796023</v>
      </c>
    </row>
    <row r="246" spans="3:8" x14ac:dyDescent="0.2">
      <c r="C246" s="24" t="s">
        <v>36</v>
      </c>
      <c r="D246" s="1" t="s">
        <v>270</v>
      </c>
      <c r="E246" s="2">
        <v>11.48862286208389</v>
      </c>
      <c r="F246" s="3">
        <f>0.000220382471050259*E246 ^ 6 + -0.00670006445422008*E246 ^ 5 + 0.0736502897158279*E246 ^ 4 + -0.389914578052274*E246 ^ 3 + 0.644937791753053*E246 ^ 2 + -1.8404329862315*E246 ^ 1 + 78.4442301187998</f>
        <v>-1.2156318689449108E-5</v>
      </c>
      <c r="G246" s="3">
        <f>2.78705246559149E-06*E246 ^ 6 + -0.0000855643043666551*E246 ^ 5 + 0.000962226283524449*E246 ^ 4 + -0.00559683794077696*E246 ^ 3 + 0.0144651066413313*E246 ^ 2 + 0.126411660301019*E246 ^ 1 + 0.823277736929897</f>
        <v>1.7442209459681264</v>
      </c>
      <c r="H246" s="4">
        <f>-0.000226624915440027*E246 ^ 6 + 0.00665232192604163*E246 ^ 5 + -0.0670423700598436*E246 ^ 4 + 0.322605808017719*E246 ^ 3 + -0.881398530958214*E246 ^ 2 + -6.03612872350012*E246 ^ 1 + 2954.29261589013</f>
        <v>2900.1784978905134</v>
      </c>
    </row>
    <row r="247" spans="3:8" x14ac:dyDescent="0.2">
      <c r="C247" s="24" t="s">
        <v>36</v>
      </c>
      <c r="D247" s="1" t="s">
        <v>271</v>
      </c>
      <c r="E247" s="2">
        <v>11.448734157991519</v>
      </c>
      <c r="F247" s="3">
        <f>0.000248996727693098*E247 ^ 6 + -0.00754602988554489*E247 ^ 5 + 0.0827552405363807*E247 ^ 4 + -0.436629246933416*E247 ^ 3 + 0.718295827997476*E247 ^ 2 + -2.10646208958144*E247 ^ 1 + 86.9625317322848</f>
        <v>-5.6924773460309552E-5</v>
      </c>
      <c r="G247" s="3">
        <f>3.11025147465333E-06*E247 ^ 6 + -0.0000952925918493934*E247 ^ 5 + 0.00107132597273311*E247 ^ 4 + -0.00621263246350739*E247 ^ 3 + 0.0156815725246603*E247 ^ 2 + 0.139467573130758*E247 ^ 1 + 0.910244367528266</f>
        <v>1.905826348656801</v>
      </c>
      <c r="H247" s="4">
        <f>-0.000270552612702183*E247 ^ 6 + 0.00780987111252595*E247 ^ 5 + -0.0767480905058976*E247 ^ 4 + 0.361918341042718*E247 ^ 3 + -1.04674076271469*E247 ^ 2 + -6.74482578728733*E247 ^ 1 + 2950.06694386424</f>
        <v>2887.0886981941803</v>
      </c>
    </row>
    <row r="248" spans="3:8" x14ac:dyDescent="0.2">
      <c r="C248" s="24" t="s">
        <v>36</v>
      </c>
      <c r="D248" s="1" t="s">
        <v>272</v>
      </c>
      <c r="E248" s="2">
        <v>11.403350222709081</v>
      </c>
      <c r="F248" s="3">
        <f>0.000278903074692504*E248 ^ 6 + -0.00842389933611307*E248 ^ 5 + 0.0921369105672455*E248 ^ 4 + -0.484119803610986*E248 ^ 3 + 0.790076719798289*E248 ^ 2 + -2.3858425323652*E248 ^ 1 + 95.4288699541888</f>
        <v>-2.1193828196430786E-4</v>
      </c>
      <c r="G248" s="3">
        <f>3.44032394328224E-06*E248 ^ 6 + -0.000105228831063337*E248 ^ 5 + 0.00118336847839937*E248 ^ 4 + -0.0068426199752214*E248 ^ 3 + 0.0168499704889451*E248 ^ 2 + 0.152213947247696*E248 ^ 1 + 0.996410666624156</f>
        <v>2.0608537453754834</v>
      </c>
      <c r="H248" s="4">
        <f>-0.000313002400839163*E248 ^ 6 + 0.0088863991168328*E248 ^ 5 + -0.0853668200264307*E248 ^ 4 + 0.399136172790286*E248 ^ 3 + -1.23346061745938*E248 ^ 2 + -7.52786421473294*E248 ^ 1 + 2945.80624434515</f>
        <v>2873.1925404271219</v>
      </c>
    </row>
    <row r="249" spans="3:8" x14ac:dyDescent="0.2">
      <c r="C249" s="24" t="s">
        <v>73</v>
      </c>
      <c r="D249" s="1" t="s">
        <v>273</v>
      </c>
      <c r="E249" s="2">
        <v>11.569687613694159</v>
      </c>
      <c r="F249" s="3">
        <f>0.000295546721212008*E249 ^ 6 + -0.00902617096713829*E249 ^ 5 + 0.099505973472734*E249 ^ 4 + -0.525814639317193*E249 ^ 3 + 0.875691344137537*E249 ^ 2 + -2.49529385690325*E249 ^ 1 + 105.351487098722</f>
        <v>-1.2129348519351879E-5</v>
      </c>
      <c r="G249" s="3">
        <f>3.91782880486816E-06*E249 ^ 6 + -0.00012090865812769*E249 ^ 5 + 0.00135737842172242*E249 ^ 4 + -0.00772557455275618*E249 ^ 3 + 0.0192506415459576*E249 ^ 2 + 0.169967080610172*E249 ^ 1 + 1.10542452185958</f>
        <v>2.337365239477454</v>
      </c>
      <c r="H249" s="4">
        <f>-0.000170154407243585*E249 ^ 6 + 0.00502042755905858*E249 ^ 5 + -0.0522154889852936*E249 ^ 4 + 0.282151459076543*E249 ^ 3 + -0.885579981054399*E249 ^ 2 + -5.68768877737746*E249 ^ 1 + 2962.8085780802</f>
        <v>2912.4868565758793</v>
      </c>
    </row>
    <row r="250" spans="3:8" x14ac:dyDescent="0.2">
      <c r="C250" s="24" t="s">
        <v>73</v>
      </c>
      <c r="D250" s="1" t="s">
        <v>274</v>
      </c>
      <c r="E250" s="2">
        <v>11.544633094340512</v>
      </c>
      <c r="F250" s="3">
        <f>0.000324019424137706*E250 ^ 6 + -0.00987119770327549*E250 ^ 5 + 0.108546481067126*E250 ^ 4 + -0.571533148826063*E250 ^ 3 + 0.948444591547957*E250 ^ 2 + -2.76361471944901*E250 ^ 1 + 113.938233379719</f>
        <v>-3.4081350676729016E-5</v>
      </c>
      <c r="G250" s="3">
        <f>4.28738919669291E-06*E250 ^ 6 + -0.000132066446552974*E250 ^ 5 + 0.00147965217059118*E250 ^ 4 + -0.00837683709248907*E250 ^ 3 + 0.0205424377572626*E250 ^ 2 + 0.183062874757354*E250 ^ 1 + 1.19345775196635</f>
        <v>2.5064019383120715</v>
      </c>
      <c r="H250" s="4">
        <f>-0.000186277723871874*E250 ^ 6 + 0.00548316708874722*E250 ^ 5 + -0.0571715706884056*E250 ^ 4 + 0.313695226131973*E250 ^ 3 + -1.00100848434094*E250 ^ 2 + -6.2862758503345*E250 ^ 1 + 2959.80362157745</f>
        <v>2904.3633214637107</v>
      </c>
    </row>
    <row r="251" spans="3:8" x14ac:dyDescent="0.2">
      <c r="C251" s="24" t="s">
        <v>73</v>
      </c>
      <c r="D251" s="1" t="s">
        <v>275</v>
      </c>
      <c r="E251" s="2">
        <v>11.518524494494084</v>
      </c>
      <c r="F251" s="3">
        <f>0.000353106965274521*E251 ^ 6 + -0.0107295402384035*E251 ^ 5 + 0.117664601483189*E251 ^ 4 + -0.617199620127182*E251 ^ 3 + 1.02029485172718*E251 ^ 2 + -3.04139399140081*E251 ^ 1 + 122.484595439244</f>
        <v>-8.2919691408278595E-5</v>
      </c>
      <c r="G251" s="3">
        <f>4.66497620087371E-06*E251 ^ 6 + -0.000143417384338791*E251 ^ 5 + 0.00160333600772652*E251 ^ 4 + -0.00902806047096211*E251 ^ 3 + 0.0218004778400631*E251 ^ 2 + 0.195936593374421*E251 ^ 1 + 1.28086549778757</f>
        <v>2.6723761424208643</v>
      </c>
      <c r="H251" s="4">
        <f>-0.000201373396454249*E251 ^ 6 + 0.00592231718161603*E251 ^ 5 + -0.062086218801709*E251 ^ 4 + 0.346836277348261*E251 ^ 3 + -1.11911803742217*E251 ^ 2 + -6.91661395297886*E251 ^ 1 + 2956.73954307505</f>
        <v>2896.2377080226238</v>
      </c>
    </row>
    <row r="252" spans="3:8" x14ac:dyDescent="0.2">
      <c r="C252" s="24" t="s">
        <v>73</v>
      </c>
      <c r="D252" s="1" t="s">
        <v>276</v>
      </c>
      <c r="E252" s="2">
        <v>11.491807905120575</v>
      </c>
      <c r="F252" s="3">
        <f>0.000382793995902044*E252 ^ 6 + -0.0116005048080126*E252 ^ 5 + 0.126848689354662*E252 ^ 4 + -0.662745686688754*E252 ^ 3 + 1.09129945202632*E252 ^ 2 + -3.3288874518761*E252 ^ 1 + 130.989227123764</f>
        <v>-1.8219917700434962E-4</v>
      </c>
      <c r="G252" s="3">
        <f>5.05116150258727E-06*E252 ^ 6 + -0.00015497283929692*E252 ^ 5 + 0.00172840777119443*E252 ^ 4 + -0.00967819579070485*E252 ^ 3 + 0.0230253416680977*E252 ^ 2 + 0.208582465745123*E252 ^ 1 + 1.36762783618564</f>
        <v>2.8354898995554501</v>
      </c>
      <c r="H252" s="4">
        <f>-0.000215488509145703*E252 ^ 6 + 0.00634131135087971*E252 ^ 5 + -0.0670154368060476*E252 ^ 4 + 0.381707901869756*E252 ^ 3 + -1.23818782007336*E252 ^ 2 + -7.57625186521685*E252 ^ 1 + 2953.61226346452</f>
        <v>2888.1689871445446</v>
      </c>
    </row>
    <row r="253" spans="3:8" x14ac:dyDescent="0.2">
      <c r="C253" s="24" t="s">
        <v>75</v>
      </c>
      <c r="D253" s="1" t="s">
        <v>277</v>
      </c>
      <c r="E253" s="2">
        <v>11.681340165421851</v>
      </c>
      <c r="F253" s="3">
        <f>0.000389259424320707*E253 ^ 6 + -0.0119704810235477*E253 ^ 5 + 0.132719426131263*E253 ^ 4 + -0.70428087136049*E253 ^ 3 + 1.19395786791346*E253 ^ 2 + -3.29234759812943*E253 ^ 1 + 141.558316854813</f>
        <v>-2.7171255112534709E-6</v>
      </c>
      <c r="G253" s="3">
        <f>5.37539830437513E-06*E253 ^ 6 + -0.000166805986844288*E253 ^ 5 + 0.00187160090371495*E253 ^ 4 + -0.0105236367025937*E253 ^ 3 + 0.0259846290466794*E253 ^ 2 + 0.229856941018562*E253 ^ 1 + 1.48679107972553</f>
        <v>3.1684488266103155</v>
      </c>
      <c r="H253" s="4">
        <f>-0.00011484649768971*E253 ^ 6 + 0.00348956596877841*E253 ^ 5 + -0.0383943099608322*E253 ^ 4 + 0.224286370274847*E253 ^ 3 + -0.689768113586935*E253 ^ 2 + -4.63311281742322*E253 ^ 1 + 2972.63735895881</f>
        <v>2934.2072017618357</v>
      </c>
    </row>
    <row r="254" spans="3:8" x14ac:dyDescent="0.2">
      <c r="C254" s="24" t="s">
        <v>75</v>
      </c>
      <c r="D254" s="1" t="s">
        <v>278</v>
      </c>
      <c r="E254" s="2">
        <v>11.655664044853884</v>
      </c>
      <c r="F254" s="3">
        <f>0.000443444329169583*E254 ^ 6 + -0.0135961713831782*E254 ^ 5 + 0.15025180399995*E254 ^ 4 + -0.793976617906912*E254 ^ 3 + 1.34323082265593*E254 ^ 2 + -3.80281080096864*E254 ^ 1 + 158.916628306046</f>
        <v>-1.122347521231859E-5</v>
      </c>
      <c r="G254" s="3">
        <f>6.12460850532269E-06*E254 ^ 6 + -0.000189547869572262*E254 ^ 5 + 0.00211938140410657*E254 ^ 4 + -0.0118312240931993*E254 ^ 3 + 0.0287467235997771*E254 ^ 2 + 0.256769899606896*E254 ^ 1 + 1.66574417912806</f>
        <v>3.5265952655896027</v>
      </c>
      <c r="H254" s="4">
        <f>-0.000128871143356303*E254 ^ 6 + 0.00395262883079425*E254 ^ 5 + -0.0444155148989727*E254 ^ 4 + 0.265925160374408*E254 ^ 3 + -0.803722661953093*E254 ^ 2 + -5.36581331491128*E254 ^ 1 + 2968.94758666697</f>
        <v>2925.7168303167546</v>
      </c>
    </row>
    <row r="255" spans="3:8" x14ac:dyDescent="0.2">
      <c r="C255" s="24" t="s">
        <v>75</v>
      </c>
      <c r="D255" s="1" t="s">
        <v>279</v>
      </c>
      <c r="E255" s="2">
        <v>11.629553743200338</v>
      </c>
      <c r="F255" s="3">
        <f>0.000498021939723171*E255 ^ 6 + -0.0152211977006362*E255 ^ 5 + 0.167620087114702*E255 ^ 4 + -0.882134162323351*E255 ^ 3 + 1.48968216503206*E255 ^ 2 + -4.33062298677687*E255 ^ 1 + 176.175538455502</f>
        <v>-3.3415069708553347E-5</v>
      </c>
      <c r="G255" s="3">
        <f>6.87149675930519E-06*E255 ^ 6 + -0.000212002537687823*E255 ^ 5 + 0.00236102387463357*E255 ^ 4 + -0.0130904551190357*E255 ^ 3 + 0.0313730574130463*E255 ^ 2 + 0.283265173425703*E255 ^ 1 + 1.84315073069486</f>
        <v>3.8793863829657411</v>
      </c>
      <c r="H255" s="4">
        <f>-0.000146560772732529*E255 ^ 6 + 0.00455880030081641*E255 ^ 5 + -0.0524366787059237*E255 ^ 4 + 0.318313513601714*E255 ^ 3 + -0.9265462224982*E255 ^ 2 + -6.10649320529013*E255 ^ 1 + 2965.1578683073</f>
        <v>2917.5295691345</v>
      </c>
    </row>
    <row r="256" spans="3:8" x14ac:dyDescent="0.2">
      <c r="C256" s="24" t="s">
        <v>76</v>
      </c>
      <c r="D256" s="1" t="s">
        <v>280</v>
      </c>
      <c r="E256" s="2">
        <v>11.760855276335056</v>
      </c>
      <c r="F256" s="3">
        <f>0.000500385548389567*E256 ^ 6 + -0.0154351059292701*E256 ^ 5 + 0.171619343369555*E256 ^ 4 + -0.916962711980043*E256 ^ 3 + 1.60634281614172*E256 ^ 2 + -4.39327521887648*E256 ^ 1 + 186.593840477745</f>
        <v>-6.136629126558546E-4</v>
      </c>
      <c r="G256" s="3">
        <f>7.01886003561432E-06*E256 ^ 6 + -0.000217574050350458*E256 ^ 5 + 0.00242684647941287*E256 ^ 4 + -0.0135575763038509*E256 ^ 3 + 0.0339019414608828*E256 ^ 2 + 0.303008245424202*E256 ^ 1 + 1.95996036267867</f>
        <v>4.2064283985974669</v>
      </c>
      <c r="H256" s="4">
        <f>-0.000127112930431858*E256 ^ 6 + 0.00418984916895217*E256 ^ 5 + -0.0497645824003323*E256 ^ 4 + 0.265396834921485*E256 ^ 3 + -0.422069132588546*E256 ^ 2 + -4.75805777827587*E256 ^ 1 + 2977.84669408435</f>
        <v>2949.520431717865</v>
      </c>
    </row>
    <row r="257" spans="3:8" x14ac:dyDescent="0.2">
      <c r="C257" s="24" t="s">
        <v>76</v>
      </c>
      <c r="D257" s="1" t="s">
        <v>281</v>
      </c>
      <c r="E257" s="2">
        <v>11.746987522554214</v>
      </c>
      <c r="F257" s="3">
        <f>0.000549208898702626*E257 ^ 6 + -0.0169216522080557*E257 ^ 5 + 0.188112699377083*E257 ^ 4 + -1.00647730752656*E257 ^ 3 + 1.77220410877713*E257 ^ 2 + -4.86043792543619*E257 ^ 1 + 204.025930434869</f>
        <v>-1.6323855618338712E-6</v>
      </c>
      <c r="G257" s="3">
        <f>0.000007625084129198*E257 ^ 6 + -0.000235909616795219*E257 ^ 5 + 0.00262923174439844*E257 ^ 4 + -0.0147173155573256*E257 ^ 3 + 0.0367945988878829*E257 ^ 2 + 0.330884273389258*E257 ^ 1 + 2.140061177269</f>
        <v>4.5795500304130403</v>
      </c>
      <c r="H257" s="4">
        <f>-0.000155951852389144*E257 ^ 6 + 0.00502376259111321*E257 ^ 5 + -0.0570805173201285*E257 ^ 4 + 0.280451631623454*E257 ^ 3 + -0.383697450232486*E257 ^ 2 + -5.01470553873033*E257 ^ 1 + 2975.05120352404</f>
        <v>2944.8442786990299</v>
      </c>
    </row>
    <row r="258" spans="3:8" x14ac:dyDescent="0.2">
      <c r="C258" s="24" t="s">
        <v>76</v>
      </c>
      <c r="D258" s="1" t="s">
        <v>282</v>
      </c>
      <c r="E258" s="2">
        <v>11.730305284054774</v>
      </c>
      <c r="F258" s="3">
        <f>0.000599068173206432*E258 ^ 6 + -0.0184440667217583*E258 ^ 5 + 0.205142231947342*E258 ^ 4 + -1.09968201372269*E258 ^ 3 + 1.94491131135625*E258 ^ 2 + -5.32786499978458*E258 ^ 1 + 221.409663386008</f>
        <v>-4.5479026482553309E-6</v>
      </c>
      <c r="G258" s="3">
        <f>8.21929484400047E-06*E258 ^ 6 + -0.000254016535637041*E258 ^ 5 + 0.00283351344287524*E258 ^ 4 + -0.0159242248557033*E258 ^ 3 + 0.0398048741224333*E258 ^ 2 + 0.358650955866288*E258 ^ 1 + 2.31941310385375</f>
        <v>4.9464423434864617</v>
      </c>
      <c r="H258" s="4">
        <f>-0.000182296394385287*E258 ^ 6 + 0.00570237417700002*E258 ^ 5 + -0.061392258895416*E258 ^ 4 + 0.274224723472264*E258 ^ 3 + -0.313442629799347*E258 ^ 2 + -5.23147869059643*E258 ^ 1 + 2972.37717710811</f>
        <v>2939.6735964741697</v>
      </c>
    </row>
    <row r="259" spans="3:8" x14ac:dyDescent="0.2">
      <c r="C259" s="24" t="s">
        <v>76</v>
      </c>
      <c r="D259" s="1" t="s">
        <v>283</v>
      </c>
      <c r="E259" s="2">
        <v>11.710741444844185</v>
      </c>
      <c r="F259" s="3">
        <f>0.000651395544206953*E259 ^ 6 + -0.0200503489463729*E259 ^ 5 + 0.223274441532552*E259 ^ 4 + -1.19921635611267*E259 ^ 3 + 2.12788887401211*E259 ^ 2 + -5.79855622057415*E259 ^ 1 + 238.750917023327</f>
        <v>-1.1474032504565912E-5</v>
      </c>
      <c r="G259" s="3">
        <f>8.83984573591069E-06*E259 ^ 6 + -0.000273253762997304*E259 ^ 5 + 0.00305685799923919*E259 ^ 4 + -0.0172673335931459*E259 ^ 3 + 0.043084391697529*E259 ^ 2 + 0.386203201400873*E259 ^ 1 + 2.49811058671054</f>
        <v>5.3062560003861172</v>
      </c>
      <c r="H259" s="4">
        <f>-0.000198818995424205*E259 ^ 6 + 0.00598561898446169*E259 ^ 5 + -0.060039164752772*E259 ^ 4 + 0.235811364503548*E259 ^ 3 + -0.199091693852168*E259 ^ 2 + -5.4337478729382*E259 ^ 1 + 2969.83373567028</f>
        <v>2933.9448010344963</v>
      </c>
    </row>
    <row r="260" spans="3:8" x14ac:dyDescent="0.2">
      <c r="C260" s="24" t="s">
        <v>76</v>
      </c>
      <c r="D260" s="1" t="s">
        <v>284</v>
      </c>
      <c r="E260" s="2">
        <v>11.699983489744527</v>
      </c>
      <c r="F260" s="3">
        <f>0.000679035989720617*E260 ^ 6 + -0.0209029668855127*E260 ^ 5 + 0.232956057893647*E260 ^ 4 + -1.25221142794491*E260 ^ 3 + 2.22418898586946*E260 ^ 2 + -6.03629891521882*E260 ^ 1 + 247.407155712892</f>
        <v>-1.7769033405556911E-5</v>
      </c>
      <c r="G260" s="3">
        <f>9.17670886171259E-06*E260 ^ 6 + -0.000283868150196204*E260 ^ 5 + 0.00318252363532815*E260 ^ 4 + -0.0180227865839792*E260 ^ 3 + 0.0448777102377519*E260 ^ 2 + 0.39985770701201*E260 ^ 1 + 2.58723872412362</f>
        <v>5.4834074030854998</v>
      </c>
      <c r="H260" s="4">
        <f>-0.000200793472360782*E260 ^ 6 + 0.00589777416115609*E260 ^ 5 + -0.0564054344435521*E260 ^ 4 + 0.201583482203942*E260 ^ 3 + -0.122852363975208*E260 ^ 2 + -5.53701724101478*E260 ^ 1 + 2968.61138045402</f>
        <v>2930.8836085654334</v>
      </c>
    </row>
    <row r="261" spans="3:8" x14ac:dyDescent="0.2">
      <c r="C261" s="24" t="s">
        <v>77</v>
      </c>
      <c r="D261" s="1" t="s">
        <v>285</v>
      </c>
      <c r="E261" s="2">
        <v>11.729065017108132</v>
      </c>
      <c r="F261" s="3">
        <f>0.000725873682098658*E261 ^ 6 + -0.0223169075577968*E261 ^ 5 + 0.247526245476679*E261 ^ 4 + -1.31935355538184*E261 ^ 3 + 2.31662449220556*E261 ^ 2 + -6.50432925961959*E261 ^ 1 + 265.876868545389</f>
        <v>-9.8351320048095658E-6</v>
      </c>
      <c r="G261" s="3">
        <f>0.0000100947819934914*E261 ^ 6 + -0.000311861216976446*E261 ^ 5 + 0.00346868438633475*E261 ^ 4 + -0.019276328714748*E261 ^ 3 + 0.0471852196909376*E261 ^ 2 + 0.429347646631402*E261 ^ 1 + 2.78364641876191</f>
        <v>5.9101521214980064</v>
      </c>
      <c r="H261" s="4">
        <f>-0.000168392889055661*E261 ^ 6 + 0.0053851945711121*E261 ^ 5 + -0.0611304451592056*E261 ^ 4 + 0.309665755643117*E261 ^ 3 + -0.503862792964623*E261 ^ 2 + -5.62569171963598*E261 ^ 1 + 2972.88754328578</f>
        <v>2937.2960579350479</v>
      </c>
    </row>
    <row r="262" spans="3:8" x14ac:dyDescent="0.2">
      <c r="C262" s="24" t="s">
        <v>77</v>
      </c>
      <c r="D262" s="1" t="s">
        <v>286</v>
      </c>
      <c r="E262" s="2">
        <v>11.705338296517699</v>
      </c>
      <c r="F262" s="3">
        <f>0.00080244506886025*E262 ^ 6 + -0.0246379305729102*E262 ^ 5 + 0.273247198865426*E262 ^ 4 + -1.45843107192233*E262 ^ 3 + 2.57094467175241*E262 ^ 2 + -7.23737856947486*E262 ^ 1 + 291.831123881283</f>
        <v>-2.5562249732047349E-5</v>
      </c>
      <c r="G262" s="3">
        <f>0.000011012399030603*E262 ^ 6 + -0.000339654312908226*E262 ^ 5 + 0.0037793818498284*E262 ^ 4 + -0.0210801249771626*E262 ^ 3 + 0.0515557042823245*E262 ^ 2 + 0.470274304043631*E262 ^ 1 + 3.05079135653015</f>
        <v>6.4502216325910275</v>
      </c>
      <c r="H262" s="4">
        <f>-0.000199100586711951*E262 ^ 6 + 0.00619607923068881*E262 ^ 5 + -0.0669040962774575*E262 ^ 4 + 0.311230080374614*E262 ^ 3 + -0.448840382929557*E262 ^ 2 + -5.98143018405817*E262 ^ 1 + 2969.42770404668</f>
        <v>2930.5056336579069</v>
      </c>
    </row>
    <row r="263" spans="3:8" x14ac:dyDescent="0.2">
      <c r="C263" s="24" t="s">
        <v>9</v>
      </c>
      <c r="D263" s="1" t="s">
        <v>287</v>
      </c>
      <c r="E263" s="2">
        <v>-11.905417929924777</v>
      </c>
      <c r="F263" s="3">
        <f>4.29225311658681E-07*E263 ^ 6 + -8.24625127762098E-06*E263 ^ 5 + -0.000132550123113195*E263 ^ 4 + 0.00277847756650375*E263 ^ 3 + -0.0388258713541606*E263 ^ 2 + 0.0402297462436688*E263 ^ 1 + 10.1390246093811</f>
        <v>-3.1726644937890569E-6</v>
      </c>
      <c r="G263" s="3">
        <f>-5.14524754836774E-08*E263 ^ 6 + 3.20337384621669E-06*E263 ^ 5 + -0.0000734834511663842*E263 ^ 4 + 0.000712251763250331*E263 ^ 3 + -0.0028742362521341*E263 ^ 2 + 0.0240502915922326*E263 ^ 1 + 0.17111582156424</f>
        <v>-4.113472184169237</v>
      </c>
      <c r="H263" s="4">
        <f>9.14573476578977E-06*E263 ^ 6 + -0.00060978824114261*E263 ^ 5 + 0.0148406801175328*E263 ^ 4 + -0.1465087733922*E263 ^ 3 + 0.477646353809083*E263 ^ 2 + -3.8936088481913*E263 ^ 1 + 2965.54199108282</f>
        <v>3796.8657521008431</v>
      </c>
    </row>
    <row r="264" spans="3:8" x14ac:dyDescent="0.2">
      <c r="C264" s="24" t="s">
        <v>14</v>
      </c>
      <c r="D264" s="1" t="s">
        <v>288</v>
      </c>
      <c r="E264" s="2">
        <v>17.506536657158986</v>
      </c>
      <c r="F264" s="3">
        <f>-1.28381915886282E-07*E264 ^ 6 + 0.0000310165428371503*E264 ^ 5 + -0.00103589493467696*E264 ^ 4 + 0.00992283994817884*E264 ^ 3 + -0.0743165408485915*E264 ^ 2 + -0.0386420943780966*E264 ^ 1 + 20.2068589817159</f>
        <v>-4.7881764011492578E-6</v>
      </c>
      <c r="G264" s="3">
        <f>-7.09623988525292E-08*E264 ^ 6 + 4.19674376111266E-06*E264 ^ 5 + -0.0000871151576578936*E264 ^ 4 + 0.000680422116650407*E264 ^ 3 + -0.00202854516970928*E264 ^ 2 + 0.0403370829264607*E264 ^ 1 + 0.305633796749846</f>
        <v>0.71635964101645877</v>
      </c>
      <c r="H264" s="4">
        <f>0.0000149541834280312*E264 ^ 6 + -0.000971772433304471*E264 ^ 5 + 0.0223662110262553*E264 ^ 4 + -0.200091515117704*E264 ^ 3 + 0.611834343606951*E264 ^ 2 + -7.78437208785539*E264 ^ 1 + 2941.13076629023</f>
        <v>2852.1735289248682</v>
      </c>
    </row>
    <row r="265" spans="3:8" x14ac:dyDescent="0.2">
      <c r="C265" s="24" t="s">
        <v>16</v>
      </c>
      <c r="D265" s="1" t="s">
        <v>289</v>
      </c>
      <c r="E265" s="2">
        <v>17.647743404584201</v>
      </c>
      <c r="F265" s="3">
        <f>-8.94744654979654E-07*E265 ^ 6 + 0.000080972029518445*E265 ^ 5 + -0.0021713635636477*E265 ^ 4 + 0.0196735346836263*E265 ^ 3 + -0.12410879045984*E265 ^ 2 + -0.0636028247250227*E265 ^ 1 + 30.6828457919819</f>
        <v>-6.5763492862913608E-5</v>
      </c>
      <c r="G265" s="3">
        <f>-8.80283198037964E-08*E265 ^ 6 + 5.15936430062814E-06*E265 ^ 5 + -0.000102836139406614*E265 ^ 4 + 0.000696653608814555*E265 ^ 3 + -0.00147483899917514*E265 ^ 2 + 0.0588113287773568*E265 ^ 1 + 0.449651679031664</f>
        <v>1.0548571792699837</v>
      </c>
      <c r="H265" s="4">
        <f>6.87535510595477E-06*E265 ^ 6 + -0.000488440191627105*E265 ^ 5 + 0.0110737790718442*E265 ^ 4 + -0.0715774033920216*E265 ^ 3 + -0.0903513274131115*E265 ^ 2 + -6.38804347443458*E265 ^ 1 + 2952.7948271968</f>
        <v>2864.2309578734621</v>
      </c>
    </row>
    <row r="266" spans="3:8" x14ac:dyDescent="0.2">
      <c r="C266" s="24" t="s">
        <v>13</v>
      </c>
      <c r="D266" s="1" t="s">
        <v>290</v>
      </c>
      <c r="E266" s="2">
        <v>17.549257851782116</v>
      </c>
      <c r="F266" s="3">
        <f>-0.0000013019894464879*E266 ^ 6 + 0.000109653165115037*E266 ^ 5 + -0.00281045791941239*E266 ^ 4 + 0.0239868914205093*E266 ^ 3 + -0.148107135626306*E266 ^ 2 + -0.145276182347751*E266 ^ 1 + 40.60122792849</f>
        <v>3.6753630894281741E-7</v>
      </c>
      <c r="G266" s="3">
        <f>-9.58188275429293E-08*E266 ^ 6 + 5.46206265968826E-06*E266 ^ 5 + -0.000101249135963773*E266 ^ 4 + 0.00051477705774008*E266 ^ 3 + -0.0000163389445786537*E266 ^ 2 + 0.0743950209563541*E266 ^ 1 + 0.581471364052953</f>
        <v>1.3536419161232924</v>
      </c>
      <c r="H266" s="4">
        <f>0.0000198861493962492*E266 ^ 6 + -0.00125769825967389*E266 ^ 5 + 0.0279017853129576*E266 ^ 4 + -0.234355906620751*E266 ^ 3 + 0.568747618464749*E266 ^ 2 + -7.86202650232773*E266 ^ 1 + 2938.46278658406</f>
        <v>2842.8997991405595</v>
      </c>
    </row>
    <row r="267" spans="3:8" x14ac:dyDescent="0.2">
      <c r="C267" s="24" t="s">
        <v>36</v>
      </c>
      <c r="D267" s="1" t="s">
        <v>291</v>
      </c>
      <c r="E267" s="2">
        <v>17.884068337345798</v>
      </c>
      <c r="F267" s="3">
        <f>-2.07549953431717E-06*E267 ^ 6 + 0.000160921997239147*E267 ^ 5 + -0.00400313684348916*E267 ^ 4 + 0.0340296991757046*E267 ^ 3 + -0.189170949685338*E267 ^ 2 + -0.147692493963413*E267 ^ 1 + 51.507408999342</f>
        <v>7.2576108038902021E-6</v>
      </c>
      <c r="G267" s="3">
        <f>-1.15136131648179E-07*E267 ^ 6 + 6.78542892784185E-06*E267 ^ 5 + -0.000130026473128856*E267 ^ 4 + 0.000684587490324637*E267 ^ 3 + 0.000230946855894297*E267 ^ 2 + 0.0949431015455623*E267 ^ 1 + 0.7345222303974</f>
        <v>1.7676310492468597</v>
      </c>
      <c r="H267" s="4">
        <f>5.33191967014994E-06*E267 ^ 6 + -0.000377564909290639*E267 ^ 5 + 0.00881931486421666*E267 ^ 4 + -0.0703519217486678*E267 ^ 3 + 0.190215413710768*E267 ^ 2 + -6.08240737316992*E267 ^ 1 + 2958.36602379134</f>
        <v>2893.9055352277524</v>
      </c>
    </row>
    <row r="268" spans="3:8" x14ac:dyDescent="0.2">
      <c r="C268" s="24" t="s">
        <v>36</v>
      </c>
      <c r="D268" s="1" t="s">
        <v>292</v>
      </c>
      <c r="E268" s="2">
        <v>17.750882717270049</v>
      </c>
      <c r="F268" s="3">
        <f>-2.63948977223393E-06*E268 ^ 6 + 0.000197178145520818*E268 ^ 5 + -0.00476802486861874*E268 ^ 4 + 0.0392396902298171*E268 ^ 3 + -0.21648940029056*E268 ^ 2 + -0.243597554109003*E268 ^ 1 + 61.5229154831613</f>
        <v>5.5653085475171338E-5</v>
      </c>
      <c r="G268" s="3">
        <f>-1.29344723006052E-07*E268 ^ 6 + 7.38183352439757E-06*E268 ^ 5 + -0.000132776997869744*E268 ^ 4 + 0.000527038774605055*E268 ^ 3 + 0.00158685585837175*E268 ^ 2 + 0.110377169528911*E268 ^ 1 + 0.868504462194225</f>
        <v>2.056192626542058</v>
      </c>
      <c r="H268" s="4">
        <f>0.0000114754585743998*E268 ^ 6 + -0.000787147983271359*E268 ^ 5 + 0.0186568508964377*E268 ^ 4 + -0.168385547414539*E268 ^ 3 + 0.542250067727288*E268 ^ 2 + -7.50024146205291*E268 ^ 1 + 2950.25206506005</f>
        <v>2870.2335438812115</v>
      </c>
    </row>
    <row r="269" spans="3:8" x14ac:dyDescent="0.2">
      <c r="C269" s="24" t="s">
        <v>73</v>
      </c>
      <c r="D269" s="1" t="s">
        <v>293</v>
      </c>
      <c r="E269" s="2">
        <v>17.980196381134604</v>
      </c>
      <c r="F269" s="3">
        <f>-3.00179264202458E-06*E269 ^ 6 + 0.000228195366137204*E269 ^ 5 + -0.00563140587583124*E269 ^ 4 + 0.0478441872163261*E269 ^ 3 + -0.267604307666506*E269 ^ 2 + -0.166456519511304*E269 ^ 1 + 72.5655558398933</f>
        <v>7.4525720393125994E-5</v>
      </c>
      <c r="G269" s="3">
        <f>-1.32632639515369E-07*E269 ^ 6 + 7.83008590704592E-06*E269 ^ 5 + -0.000144474803905918*E269 ^ 4 + 0.000562479233553759*E269 ^ 3 + 0.00206897047473462*E269 ^ 2 + 0.132470967108016*E269 ^ 1 + 1.02423380756494</f>
        <v>2.4776055348415236</v>
      </c>
      <c r="H269" s="4">
        <f>0.0000106080160465002*E269 ^ 6 + -0.000644662081820597*E269 ^ 5 + 0.0133946833260531*E269 ^ 4 + -0.0951545889800393*E269 ^ 3 + 0.0944393713498158*E269 ^ 2 + -4.67614169915196*E269 ^ 1 + 2965.51522758866</f>
        <v>2905.7792475906203</v>
      </c>
    </row>
    <row r="270" spans="3:8" x14ac:dyDescent="0.2">
      <c r="C270" s="24" t="s">
        <v>73</v>
      </c>
      <c r="D270" s="1" t="s">
        <v>294</v>
      </c>
      <c r="E270" s="2">
        <v>17.895829686156652</v>
      </c>
      <c r="F270" s="3">
        <f>-3.61469028768442E-06*E270 ^ 6 + 0.000270392144016905*E270 ^ 5 + -0.00661618702457387*E270 ^ 4 + 0.056320396938691*E270 ^ 3 + -0.313057259401097*E270 ^ 2 + -0.235597380493418*E270 ^ 1 + 82.7130584828684</f>
        <v>1.2178245965799306E-4</v>
      </c>
      <c r="G270" s="3">
        <f>-1.42490039883846E-07*E270 ^ 6 + 0.000008331538579338*E270 ^ 5 + -0.000149394542617922*E270 ^ 4 + 0.000474451314477066*E270 ^ 3 + 0.00294763079251887*E270 ^ 2 + 0.148937807385068*E270 ^ 1 + 1.16101098281273</f>
        <v>2.7788579199547794</v>
      </c>
      <c r="H270" s="4">
        <f>0.000012681583731883*E270 ^ 6 + -0.00074934550946971*E270 ^ 5 + 0.0149405681965022*E270 ^ 4 + -0.095673598695079*E270 ^ 3 + 0.00302263829120888*E270 ^ 2 + -5.36876100199794*E270 ^ 1 + 2960.91925037349</f>
        <v>2891.0077398965091</v>
      </c>
    </row>
    <row r="271" spans="3:8" x14ac:dyDescent="0.2">
      <c r="C271" s="24" t="s">
        <v>75</v>
      </c>
      <c r="D271" s="1" t="s">
        <v>295</v>
      </c>
      <c r="E271" s="2">
        <v>18.156397576605798</v>
      </c>
      <c r="F271" s="3">
        <f>-4.14165268043138E-06*E271 ^ 6 + 0.000308669950671134*E271 ^ 5 + -0.00756596024577415*E271 ^ 4 + 0.0643388694612564*E271 ^ 3 + -0.347752340852802*E271 ^ 2 + -0.16167100838628*E271 ^ 1 + 94.0298962988781</f>
        <v>2.4387321732888267E-4</v>
      </c>
      <c r="G271" s="3">
        <f>-1.63476518170033E-07*E271 ^ 6 + 9.81603974236603E-06*E271 ^ 5 + -0.000183261439884687*E271 ^ 4 + 0.000697120124352746*E271 ^ 3 + 0.00313179926356868*E271 ^ 2 + 0.17236176556824*E271 ^ 1 + 1.32240156581943</f>
        <v>3.2529102213334538</v>
      </c>
      <c r="H271" s="4">
        <f>5.85597496153692E-06*E271 ^ 6 + -0.000343590894237132*E271 ^ 5 + 0.0065639422987659*E271 ^ 4 + -0.0332574655658522*E271 ^ 3 + -0.0849318254444322*E271 ^ 2 + -3.40417232785353*E271 ^ 1 + 2975.90600217553</f>
        <v>2932.2097320305879</v>
      </c>
    </row>
    <row r="272" spans="3:8" x14ac:dyDescent="0.2">
      <c r="C272" s="24" t="s">
        <v>75</v>
      </c>
      <c r="D272" s="1" t="s">
        <v>296</v>
      </c>
      <c r="E272" s="2">
        <v>18.113255573915506</v>
      </c>
      <c r="F272" s="3">
        <f>-4.79392442643509E-06*E272 ^ 6 + 0.000353399332020611*E272 ^ 5 + -0.00861269293951397*E272 ^ 4 + 0.0733348635866232*E272 ^ 3 + -0.392948578489275*E272 ^ 2 + -0.212403811725136*E272 ^ 1 + 104.312992463674</f>
        <v>2.7565372246840525E-4</v>
      </c>
      <c r="G272" s="3">
        <f>-1.77262030799154E-07*E272 ^ 6 + 0.0000106031252687811*E272 ^ 5 + -0.000195645706475738*E272 ^ 4 + 0.000686466877569093*E272 ^ 3 + 0.0037940119254869*E272 ^ 2 + 0.189831935956271*E272 ^ 1 + 1.46200115525889</f>
        <v>3.5781917717678269</v>
      </c>
      <c r="H272" s="4">
        <f>5.85641231378576E-06*E272 ^ 6 + -0.000334389536270018*E272 ^ 5 + 0.0059887259446842*E272 ^ 4 + -0.0208804245864347*E272 ^ 3 + -0.169324127051888*E272 ^ 2 + -3.77941733893285*E272 ^ 1 + 2973.13682198086</f>
        <v>2924.529992920799</v>
      </c>
    </row>
    <row r="273" spans="3:8" x14ac:dyDescent="0.2">
      <c r="C273" s="24" t="s">
        <v>75</v>
      </c>
      <c r="D273" s="1" t="s">
        <v>297</v>
      </c>
      <c r="E273" s="2">
        <v>18.070849237966314</v>
      </c>
      <c r="F273" s="3">
        <f>-5.50402995313508E-06*E273 ^ 6 + 0.000401489381940282*E273 ^ 5 + -0.00973146194841261*E273 ^ 4 + 0.0830174101652849*E273 ^ 3 + -0.440590757812143*E273 ^ 2 + -0.268026163398822*E273 ^ 1 + 114.552342365794</f>
        <v>2.5230524269659327E-4</v>
      </c>
      <c r="G273" s="3">
        <f>-1.92266101323227E-07*E273 ^ 6 + 0.0000114620757114061*E273 ^ 5 + -0.000209646236485482*E273 ^ 4 + 0.000693478117077371*E273 ^ 3 + 0.00436774301595397*E273 ^ 2 + 0.207158550088009*E273 ^ 1 + 1.60070382880239</f>
        <v>3.8991051313676217</v>
      </c>
      <c r="H273" s="4">
        <f>5.28447081529908E-06*E273 ^ 6 + -0.000292261225752396*E273 ^ 5 + 0.00472248249991571*E273 ^ 4 + -0.00242703917469587*E273 ^ 3 + -0.270409851283113*E273 ^ 2 + -4.1500657704556*E273 ^ 1 + 2970.30325632827</f>
        <v>2917.1021655977943</v>
      </c>
    </row>
    <row r="274" spans="3:8" x14ac:dyDescent="0.2">
      <c r="C274" s="24" t="s">
        <v>76</v>
      </c>
      <c r="D274" s="1" t="s">
        <v>298</v>
      </c>
      <c r="E274" s="2">
        <v>18.261231332059868</v>
      </c>
      <c r="F274" s="3">
        <f>-6.30777809755363E-06*E274 ^ 6 + 0.000452827665049132*E274 ^ 5 + -0.010858444388789*E274 ^ 4 + 0.0908934656024553*E274 ^ 3 + -0.457734800826711*E274 ^ 2 + -0.268806823002893*E274 ^ 1 + 125.893332919205</f>
        <v>-3.0460388262554261E-4</v>
      </c>
      <c r="G274" s="3">
        <f>-2.3288501527243E-07*E274 ^ 6 + 0.0000140083704599087*E274 ^ 5 + -0.000264012810262851*E274 ^ 4 + 0.00107269985835457*E274 ^ 3 + 0.00431876354909318*E274 ^ 2 + 0.229667630837624*E274 ^ 1 + 1.76249192416309</f>
        <v>4.3806703888465721</v>
      </c>
      <c r="H274" s="4">
        <f>-2.94609200476849E-06*E274 ^ 6 + 0.000148890531323419*E274 ^ 5 + -0.00311521719677501*E274 ^ 4 + 0.0366056119238034*E274 ^ 3 + -0.108644188054735*E274 ^ 2 + -3.6708317744709*E274 ^ 1 + 2981.01363937918</f>
        <v>2947.3434989739449</v>
      </c>
    </row>
    <row r="275" spans="3:8" x14ac:dyDescent="0.2">
      <c r="C275" s="24" t="s">
        <v>76</v>
      </c>
      <c r="D275" s="1" t="s">
        <v>299</v>
      </c>
      <c r="E275" s="2">
        <v>18.236213524043521</v>
      </c>
      <c r="F275" s="3">
        <f>-6.92296069048263E-06*E275 ^ 6 + 0.000492633732354898*E275 ^ 5 + -0.0117161888239688*E275 ^ 4 + 0.0968414658369781*E275 ^ 3 + -0.482982003929554*E275 ^ 2 + -0.332880566680647*E275 ^ 1 + 136.200629812712</f>
        <v>-8.0526874356223743E-4</v>
      </c>
      <c r="G275" s="3">
        <f>-2.52340708033239E-07*E275 ^ 6 + 0.0000150437700758831*E275 ^ 5 + -0.000279182527383368*E275 ^ 4 + 0.00104776749367864*E275 ^ 3 + 0.00533555337549486*E275 ^ 2 + 0.246947291039585*E275 ^ 1 + 1.90259857889942</f>
        <v>4.7182687809120525</v>
      </c>
      <c r="H275" s="4">
        <f>-2.26812406603987E-06*E275 ^ 6 + 0.0000844821065135538*E275 ^ 5 + -0.00104973289481933*E275 ^ 4 + 0.00849133222010761*E275 ^ 3 + 0.0493447034500729*E275 ^ 2 + -4.09337652146869*E275 ^ 1 + 2978.75974481297</f>
        <v>2942.8895437576848</v>
      </c>
    </row>
    <row r="276" spans="3:8" x14ac:dyDescent="0.2">
      <c r="C276" s="24" t="s">
        <v>76</v>
      </c>
      <c r="D276" s="1" t="s">
        <v>300</v>
      </c>
      <c r="E276" s="2">
        <v>18.176757275535635</v>
      </c>
      <c r="F276" s="3">
        <f>-7.81066088476603E-06*E276 ^ 6 + 0.000550591260343693*E276 ^ 5 + -0.0129172653795416*E276 ^ 4 + 0.103367602555293*E276 ^ 3 + -0.512809923213521*E276 ^ 2 + -0.484322658377715*E276 ^ 1 + 156.739294563524</f>
        <v>1.4206941045813437E-7</v>
      </c>
      <c r="G276" s="3">
        <f>-2.79455973278698E-07*E276 ^ 6 + 0.0000163105818036324*E276 ^ 5 + -0.000289030564682547*E276 ^ 4 + 0.000768408152438274*E276 ^ 3 + 0.00834256947459621*E276 ^ 2 + 0.28006739783864*E276 ^ 1 + 2.18126864805516</f>
        <v>5.3766038519622175</v>
      </c>
      <c r="H276" s="4">
        <f>3.05071788730349E-06*E276 ^ 6 + -0.000278850008716342*E276 ^ 5 + 0.00820086536446243*E276 ^ 4 + -0.0960389390892623*E276 ^ 3 + 0.527968519427089*E276 ^ 2 + -5.02888958313386*E276 ^ 1 + 2974.43095402237</f>
        <v>2932.6462913378423</v>
      </c>
    </row>
    <row r="277" spans="3:8" x14ac:dyDescent="0.2">
      <c r="C277" s="24" t="s">
        <v>77</v>
      </c>
      <c r="D277" s="1" t="s">
        <v>301</v>
      </c>
      <c r="E277" s="2">
        <v>18.194134676828263</v>
      </c>
      <c r="F277" s="3">
        <f>-9.39718201669179E-06*E277 ^ 6 + 0.000661462276044164*E277 ^ 5 + -0.0156311829166023*E277 ^ 4 + 0.129218872082249*E277 ^ 3 + -0.641136040271848*E277 ^ 2 + -0.496878122945532*E277 ^ 1 + 177.983085100971</f>
        <v>4.4417561184673104E-7</v>
      </c>
      <c r="G277" s="3">
        <f>-3.13857539196141E-07*E277 ^ 6 + 0.0000185894898912114*E277 ^ 5 + -0.000337362422615884*E277 ^ 4 + 0.0010612749267652*E277 ^ 3 + 0.00819198382824983*E277 ^ 2 + 0.319382537239098*E277 ^ 1 + 2.47466301032133</f>
        <v>6.0983532888080907</v>
      </c>
      <c r="H277" s="4">
        <f>-1.23229634606457E-06*E277 ^ 6 + 0.000031330168173233*E277 ^ 5 + -0.000285677187249378*E277 ^ 4 + 0.0096298377415278*E277 ^ 3 + -0.0163548233900073*E277 ^ 2 + -4.45837212827495*E277 ^ 1 + 2977.02133066901</f>
        <v>2934.9481130934378</v>
      </c>
    </row>
    <row r="278" spans="3:8" x14ac:dyDescent="0.2">
      <c r="C278" s="24" t="s">
        <v>77</v>
      </c>
      <c r="D278" s="1" t="s">
        <v>302</v>
      </c>
      <c r="E278" s="2">
        <v>18.143249089561209</v>
      </c>
      <c r="F278" s="3">
        <f>-0.0000104474258902806*E278 ^ 6 + 0.000729537817396936*E278 ^ 5 + -0.0170708378040379*E278 ^ 4 + 0.138329122770773*E278 ^ 3 + -0.682233345865341*E278 ^ 2 + -0.654158157701807*E278 ^ 1 + 198.457818709473</f>
        <v>6.4375186070719792E-7</v>
      </c>
      <c r="G278" s="3">
        <f>-3.43445720746721E-07*E278 ^ 6 + 0.0000200294850086789*E278 ^ 5 + -0.000351925322536763*E278 ^ 4 + 0.000843673355788009*E278 ^ 3 + 0.0108453166224572*E278 ^ 2 + 0.352415483633503*E278 ^ 1 + 2.75204336104433</f>
        <v>6.7477654881442453</v>
      </c>
      <c r="H278" s="4">
        <f>1.83387833557391E-06*E278 ^ 6 + -0.000183408647097955*E278 ^ 5 + 0.00527874231479154*E278 ^ 4 + -0.0539590593390616*E278 ^ 3 + 0.281928618345691*E278 ^ 2 + -5.19950370808583*E278 ^ 1 + 2973.3082216833</f>
        <v>2926.3454724927246</v>
      </c>
    </row>
    <row r="279" spans="3:8" x14ac:dyDescent="0.2">
      <c r="C279" s="24" t="s">
        <v>77</v>
      </c>
      <c r="D279" s="1" t="s">
        <v>303</v>
      </c>
      <c r="E279" s="2">
        <v>18.086711927447368</v>
      </c>
      <c r="F279" s="3">
        <f>-0.0000110656688114581*E279 ^ 6 + 0.000772201418567706*E279 ^ 5 + -0.0179556608826411*E279 ^ 4 + 0.142221966271582*E279 ^ 3 + -0.70627313578095*E279 ^ 2 + -0.830749894333126*E279 ^ 1 + 218.848012288668</f>
        <v>3.6882926224279799E-7</v>
      </c>
      <c r="G279" s="3">
        <f>-3.55353088676723E-07*E279 ^ 6 + 0.0000203733912937862*E279 ^ 5 + -0.000341129670095887*E279 ^ 4 + 0.000369014070087082*E279 ^ 3 + 0.0144731816130832*E279 ^ 2 + 0.38400607696523*E279 ^ 1 + 3.02770688812539</f>
        <v>7.378802720137152</v>
      </c>
      <c r="H279" s="4">
        <f>8.03994751689566E-06*E279 ^ 6 + -0.000572662396319148*E279 ^ 5 + 0.0143565297449345*E279 ^ 4 + -0.147078409565053*E279 ^ 3 + 0.659453493544857*E279 ^ 2 + -5.95601415372365*E279 ^ 1 + 2969.7261633151</f>
        <v>2916.9082863314875</v>
      </c>
    </row>
    <row r="280" spans="3:8" x14ac:dyDescent="0.2">
      <c r="C280" s="24" t="s">
        <v>78</v>
      </c>
      <c r="D280" s="1" t="s">
        <v>304</v>
      </c>
      <c r="E280" s="2">
        <v>18.240279807610534</v>
      </c>
      <c r="F280" s="3">
        <f>-0.0000108039833848171*E280 ^ 6 + 0.000773434101070308*E280 ^ 5 + -0.0182539034024914*E280 ^ 4 + 0.143879662459882*E280 ^ 3 + -0.738791102120427*E280 ^ 2 + -0.641156362917246*E280 ^ 1 + 241.20167974955</f>
        <v>-5.5622398789978433E-4</v>
      </c>
      <c r="G280" s="3">
        <f>-3.52407834382805E-07*E280 ^ 6 + 0.0000205092421790129*E280 ^ 5 + -0.000341988127036724*E280 ^ 4 + 0.000123628885926475*E280 ^ 3 + 0.0174020442662945*E280 ^ 2 + 0.428761317451262*E280 ^ 1 + 3.34412144883338</f>
        <v>8.2800867330613919</v>
      </c>
      <c r="H280" s="4">
        <f>0.0000127858963253198*E280 ^ 6 + -0.000829592749141633*E280 ^ 5 + 0.019664212716986*E280 ^ 4 + -0.198605485024588*E280 ^ 3 + 0.815822284184361*E280 ^ 2 + -4.18011517179976*E280 ^ 1 + 2978.91498913755</f>
        <v>2941.4064024737118</v>
      </c>
    </row>
    <row r="281" spans="3:8" x14ac:dyDescent="0.2">
      <c r="C281" s="24" t="s">
        <v>14</v>
      </c>
      <c r="D281" s="1" t="s">
        <v>305</v>
      </c>
      <c r="E281" s="2">
        <v>29.412669382617043</v>
      </c>
      <c r="F281" s="3">
        <f>-2.53819536804307E-08*E281 ^ 6 + 2.02177304808833E-06*E281 ^ 5 + -0.0000565171730464024*E281 ^ 4 + 0.000549024937343591*E281 ^ 3 + -0.0139156200777389*E281 ^ 2 + -0.000761609974034399*E281 ^ 1 + 12.3176185714932</f>
        <v>-1.2119872548410626E-4</v>
      </c>
      <c r="G281" s="3">
        <f>1.79726107384694E-10*E281 ^ 6 + -3.20503835757894E-08*E281 ^ 5 + 3.45717690863411E-06*E281 ^ 4 + -0.00015793498949002*E281 ^ 3 + 0.00227105494752809*E281 ^ 2 + 0.0155478729224092*E281 ^ 1 + 0.286153697521495</f>
        <v>0.68772061025897369</v>
      </c>
      <c r="H281" s="4">
        <f>1.13501234267649E-08*E281 ^ 6 + -0.0000349640649272438*E281 ^ 5 + 0.00217418260350704*E281 ^ 4 + -0.0319062605356122*E281 ^ 3 + -0.0903569642711927*E281 ^ 2 + -2.37949038343401*E281 ^ 1 + 2938.25948990993</f>
        <v>2843.1179629729531</v>
      </c>
    </row>
    <row r="282" spans="3:8" x14ac:dyDescent="0.2">
      <c r="C282" s="24" t="s">
        <v>13</v>
      </c>
      <c r="D282" s="1" t="s">
        <v>306</v>
      </c>
      <c r="E282" s="2">
        <v>31.015726115333621</v>
      </c>
      <c r="F282" s="3">
        <f>5.82226202300493E-08*E282 ^ 6 + -4.04723512401594E-06*E282 ^ 5 + 0.000108249805890508*E282 ^ 4 + -0.00191573474096125*E282 ^ 3 + -0.00290835787520376*E282 ^ 2 + -0.0499209483540511*E282 ^ 1 + 25.6626880834606</f>
        <v>-8.1937465446557667E-4</v>
      </c>
      <c r="G282" s="3">
        <f>-2.64181983888551E-09*E282 ^ 6 + 2.42029855542888E-07*E282 ^ 5 + -4.71604100411004E-06*E282 ^ 4 + -0.000109799698823116*E282 ^ 3 + 0.00254880520515548*E282 ^ 2 + 0.0440526185004511*E282 ^ 1 + 0.575387158400272</f>
        <v>1.3482999770869104</v>
      </c>
      <c r="H282" s="4">
        <f>8.54661294669694E-07*E282 ^ 6 + -0.0000864491725833247*E282 ^ 5 + 0.00294311705841063*E282 ^ 4 + -0.0321739501872501*E282 ^ 3 + -0.0285435721338697*E282 ^ 2 + -2.30530376511989*E282 ^ 1 + 2971.24331862553</f>
        <v>2915.4570517013044</v>
      </c>
    </row>
    <row r="283" spans="3:8" x14ac:dyDescent="0.2">
      <c r="C283" s="24" t="s">
        <v>36</v>
      </c>
      <c r="D283" s="1" t="s">
        <v>307</v>
      </c>
      <c r="E283" s="2">
        <v>31.44858095285398</v>
      </c>
      <c r="F283" s="3">
        <f>1.3605427540061E-07*E283 ^ 6 + -9.84235337060649E-06*E283 ^ 5 + 0.000272487490111518*E283 ^ 4 + -0.00446479440370124*E283 ^ 3 + 0.00821065184922555*E283 ^ 2 + -0.106850226371023*E283 ^ 1 + 38.7207673052709</f>
        <v>2.598430853595346E-6</v>
      </c>
      <c r="G283" s="3">
        <f>-6.31623170060018E-09*E283 ^ 6 + 5.78054417729571E-07*E283 ^ 5 + -0.0000142840380028167*E283 ^ 4 + -0.0000494711682501366*E283 ^ 3 + 0.00269933161575874*E283 ^ 2 + 0.072126190883342*E283 ^ 1 + 0.854559616279768</f>
        <v>1.9533074163311992</v>
      </c>
      <c r="H283" s="4">
        <f>1.07670576477926E-06*E283 ^ 6 + -0.000105871336059302*E283 ^ 5 + 0.00353167377801673*E283 ^ 4 + -0.0392843466330948*E283 ^ 3 + 0.0108042638490481*E283 ^ 2 + -2.60073169368083*E283 ^ 1 + 2970.89971929986</f>
        <v>2917.2906803404471</v>
      </c>
    </row>
    <row r="284" spans="3:8" x14ac:dyDescent="0.2">
      <c r="C284" s="24" t="s">
        <v>73</v>
      </c>
      <c r="D284" s="1" t="s">
        <v>308</v>
      </c>
      <c r="E284" s="2">
        <v>31.917505727720027</v>
      </c>
      <c r="F284" s="3">
        <f>2.02843795908471E-07*E284 ^ 6 + -0.0000147656102665176*E284 ^ 5 + 0.000411984037489345*E284 ^ 4 + -0.00678301350117349*E284 ^ 3 + 0.0198481211092228*E284 ^ 2 + -0.143469433117362*E284 ^ 1 + 51.995142826029</f>
        <v>-7.9942376061126197E-6</v>
      </c>
      <c r="G284" s="3">
        <f>-1.01635423810334E-08*E284 ^ 6 + 9.48318591747044E-07*E284 ^ 5 + -0.0000256411273148211*E284 ^ 4 + 0.0000407793543366353*E284 ^ 3 + 0.00278696677199285*E284 ^ 2 + 0.101545019739203*E284 ^ 1 + 1.14083548295047</f>
        <v>2.6034570538789081</v>
      </c>
      <c r="H284" s="4">
        <f>9.02049519009534E-07*E284 ^ 6 + -0.0000891365152589463*E284 ^ 5 + 0.00300580671993534*E284 ^ 4 + -0.0348211283010033*E284 ^ 3 + 0.0387704294113741*E284 ^ 2 + -2.15032134272965*E284 ^ 1 + 2976.93179341197</f>
        <v>2936.1316135774255</v>
      </c>
    </row>
    <row r="285" spans="3:8" x14ac:dyDescent="0.2">
      <c r="C285" s="24" t="s">
        <v>75</v>
      </c>
      <c r="D285" s="1" t="s">
        <v>309</v>
      </c>
      <c r="E285" s="2">
        <v>31.97407603869722</v>
      </c>
      <c r="F285" s="3">
        <f>2.85662689521757E-07*E285 ^ 6 + -0.0000210063791806003*E285 ^ 5 + 0.000591968289854112*E285 ^ 4 + -0.00956646762855836*E285 ^ 3 + 0.0321250487613969*E285 ^ 2 + -0.21660007875717*E285 ^ 1 + 64.8474158993959</f>
        <v>-6.1144382357269933E-6</v>
      </c>
      <c r="G285" s="3">
        <f>-1.39751054910427E-08*E285 ^ 6 + 1.28211831075138E-06*E285 ^ 5 + -0.0000345796085826065*E285 ^ 4 + 0.0000859421235240244*E285 ^ 3 + 0.00299901441248924*E285 ^ 2 + 0.128550274902351*E285 ^ 1 + 1.41325406192887</f>
        <v>3.1707768986040366</v>
      </c>
      <c r="H285" s="4">
        <f>1.13755376211456E-06*E285 ^ 6 + -0.000112215092013855*E285 ^ 5 + 0.00379298780460008*E285 ^ 4 + -0.0450500688711966*E285 ^ 3 + 0.0816599437876116*E285 ^ 2 + -2.74489727778232*E285 ^ 1 + 2970.86970062107</f>
        <v>2923.7635183336561</v>
      </c>
    </row>
    <row r="286" spans="3:8" x14ac:dyDescent="0.2">
      <c r="C286" s="24" t="s">
        <v>75</v>
      </c>
      <c r="D286" s="1" t="s">
        <v>310</v>
      </c>
      <c r="E286" s="2">
        <v>31.915235789713979</v>
      </c>
      <c r="F286" s="3">
        <f>3.84721351862206E-07*E286 ^ 6 + -0.0000282919955687241*E286 ^ 5 + 0.000789024819817791*E286 ^ 4 + -0.0121658233240561*E286 ^ 3 + 0.0385273165251655*E286 ^ 2 + -0.30577293634317*E286 ^ 1 + 77.6308378696664</f>
        <v>4.1244149947772257E-4</v>
      </c>
      <c r="G286" s="3">
        <f>-1.69311019976364E-08*E286 ^ 6 + 1.52828841178647E-06*E286 ^ 5 + -0.0000404454587665201*E286 ^ 4 + 0.0000958566451500807*E286 ^ 3 + 0.00315025839740664*E286 ^ 2 + 0.154574287773273*E286 ^ 1 + 1.68351294927392</f>
        <v>3.6918080960623119</v>
      </c>
      <c r="H286" s="4">
        <f>9.12626901605466E-07*E287 ^ 6 + -0.0000902199836035118*E287 ^ 5 + 0.00306301542853214*E287 ^ 4 + -0.0369002743898398*E287 ^ 3 + 0.0755395027993281*E287 ^ 2 + -2.14836273898206*E287 ^ 1 + 2978.01620527331</f>
        <v>2942.6428831809362</v>
      </c>
    </row>
    <row r="287" spans="3:8" x14ac:dyDescent="0.2">
      <c r="C287" s="24" t="s">
        <v>76</v>
      </c>
      <c r="D287" s="1" t="s">
        <v>311</v>
      </c>
      <c r="E287" s="2">
        <v>32.450565961911465</v>
      </c>
      <c r="F287" s="3">
        <f>4.17597773193115E-07*E287 ^ 6 + -0.0000307242177679579*E287 ^ 5 + 0.000866463241384183*E287 ^ 4 + -0.014110450082725*E287 ^ 3 + 0.0543504043313007*E287 ^ 2 + -0.287445279203426*E287 ^ 1 + 91.41285820223</f>
        <v>9.2071932115800337E-5</v>
      </c>
      <c r="G287" s="3">
        <f>-2.16576335612112E-08*E287 ^ 6 + 2.02481699379594E-06*E287 ^ 5 + -0.0000574784464102916*E287 ^ 4 + 0.00027131834738337*E287 ^ 3 + 0.00311136399684763*E287 ^ 2 + 0.187616127866094*E287 ^ 1 + 1.98620051734611</f>
        <v>4.4564682908537101</v>
      </c>
      <c r="H287" s="4">
        <f>1.14440096466938E-06*E288 ^ 6 + -0.000109595046908548*E288 ^ 5 + 0.00356568258316927*E288 ^ 4 + -0.0391630351515539*E288 ^ 3 + 0.029033264803465*E288 ^ 2 + -2.52786428331113*E288 ^ 1 + 2975.13664755674</f>
        <v>2931.9835541010025</v>
      </c>
    </row>
    <row r="288" spans="3:8" x14ac:dyDescent="0.2">
      <c r="C288" s="24" t="s">
        <v>76</v>
      </c>
      <c r="D288" s="1" t="s">
        <v>312</v>
      </c>
      <c r="E288" s="2">
        <v>32.441808373602868</v>
      </c>
      <c r="F288" s="3">
        <f>5.07753960135411E-07*E288 ^ 6 + -0.0000373740535930657*E288 ^ 5 + 0.00104844768409833*E288 ^ 4 + -0.0166369811004729*E288 ^ 3 + 0.0619495527494157*E288 ^ 2 + -0.361645858743695*E288 ^ 1 + 104.337630720669</f>
        <v>-5.4779576480257219E-4</v>
      </c>
      <c r="G288" s="3">
        <f>-2.48410572881902E-08*E288 ^ 6 + 2.30289782094498E-06*E288 ^ 5 + -0.0000647405927653573*E288 ^ 4 + 0.000301220445283821*E288 ^ 3 + 0.00324619269363941*E288 ^ 2 + 0.214587743029681*E288 ^ 1 + 2.26103245413392</f>
        <v>5.0071874465379294</v>
      </c>
      <c r="H288" s="4">
        <f>8.38733264657405E-07*E289 ^ 6 + -0.000083543890690875*E289 ^ 5 + 0.00286794822273912*E289 ^ 4 + -0.0355454293699546*E289 ^ 3 + 0.0907659044498327*E289 ^ 2 + -2.03607658142542*E289 ^ 1 + 2979.16939438577</f>
        <v>2947.7748828613571</v>
      </c>
    </row>
    <row r="289" spans="3:8" x14ac:dyDescent="0.2">
      <c r="C289" s="24" t="s">
        <v>77</v>
      </c>
      <c r="D289" s="1" t="s">
        <v>313</v>
      </c>
      <c r="E289" s="2">
        <v>32.694610786398002</v>
      </c>
      <c r="F289" s="3">
        <f>5.54115172257638E-07*E289 ^ 6 + -0.0000408352747807269*E289 ^ 5 + 0.00115465323862914*E289 ^ 4 + -0.0188651838945083*E289 ^ 3 + 0.0778239316657678*E289 ^ 2 + -0.374835578506775*E289 ^ 1 + 117.757148194442</f>
        <v>1.0519303594946905E-4</v>
      </c>
      <c r="G289" s="3">
        <f>-2.95110507130849E-08*E289 ^ 6 + 2.76983642750418E-06*E289 ^ 5 + -0.0000799510403107967*E289 ^ 4 + 0.000444885811261904*E289 ^ 3 + 0.00327388599422307*E289 ^ 2 + 0.245595446007603*E289 ^ 1 + 2.5518941389855</f>
        <v>5.7051198716544445</v>
      </c>
      <c r="H289" s="4">
        <f>1.02655980344079E-06*E290 ^ 6 + -0.000100195291224307*E290 ^ 5 + 0.00335291583117973*E290 ^ 4 + -0.0395385387620741*E290 ^ 3 + 0.0737156337613663*E290 ^ 2 + -2.31539741437507*E290 ^ 1 + 2977.12038156919</f>
        <v>2940.3041013842872</v>
      </c>
    </row>
    <row r="290" spans="3:8" x14ac:dyDescent="0.2">
      <c r="C290" s="24" t="s">
        <v>77</v>
      </c>
      <c r="D290" s="1" t="s">
        <v>314</v>
      </c>
      <c r="E290" s="2">
        <v>32.694718012624783</v>
      </c>
      <c r="F290" s="3">
        <f>6.42844601022964E-07*E290 ^ 6 + -0.0000474781821086201*E290 ^ 5 + 0.00134126267783512*E290 ^ 4 + -0.0215586098236965*E290 ^ 3 + 0.0872360563238373*E290 ^ 2 + -0.445837922533407*E290 ^ 1 + 130.714137501296</f>
        <v>-6.2997326125469044E-5</v>
      </c>
      <c r="G290" s="3">
        <f>-3.28047768937035E-08*E290 ^ 6 + 3.05600275435152E-06*E290 ^ 5 + -0.0000873655386570569*E290 ^ 4 + 0.000473011360329238*E290 ^ 3 + 0.00347668848074603*E290 ^ 2 + 0.272730212813581*E290 ^ 1 + 2.8277823186774</f>
        <v>6.263462703581788</v>
      </c>
      <c r="H290" s="4">
        <f>1.18367546264947E-06*E291 ^ 6 + -0.00011290544857535*E291 ^ 5 + 0.00365784800289235*E291 ^ 4 + -0.0400276290604773*E291 ^ 3 + 0.0317060291677497*E291 ^ 2 + -2.59239267939813*E291 ^ 1 + 2974.98605657654</f>
        <v>2932.5978082136999</v>
      </c>
    </row>
    <row r="291" spans="3:8" x14ac:dyDescent="0.2">
      <c r="C291" s="24" t="s">
        <v>77</v>
      </c>
      <c r="D291" s="1" t="s">
        <v>315</v>
      </c>
      <c r="E291" s="2">
        <v>32.687880708236598</v>
      </c>
      <c r="F291" s="3">
        <f>7.33441862810277E-07*E291 ^ 6 + -0.0000541072334987866*E291 ^ 5 + 0.00152030644312718*E291 ^ 4 + -0.0239998885090502*E291 ^ 3 + 0.0940373905378291*E291 ^ 2 + -0.521605381012056*E291 ^ 1 + 143.626936747893</f>
        <v>-8.8918690153150237E-6</v>
      </c>
      <c r="G291" s="3">
        <f>-3.59657556175217E-08*E291 ^ 6 + 3.33233267446004E-06*E291 ^ 5 + -0.0000946072585534126*E291 ^ 4 + 0.00050420112897845*E291 ^ 3 + 0.00358343470495281*E291 ^ 2 + 0.299614737975283*E291 ^ 1 + 3.10225278169833</f>
        <v>6.8093908771575018</v>
      </c>
      <c r="H291" s="4">
        <f>6.18122659793332E-07*E292 ^ 6 + -0.0000624757592020589*E292 ^ 5 + 0.00218356161963608*E292 ^ 4 + -0.0280444772821124*E292 ^ 3 + 0.0875346916887305*E292 ^ 2 + -1.62535247448431*E292 ^ 1 + 2983.05995368415</f>
        <v>2963.6963049430692</v>
      </c>
    </row>
    <row r="292" spans="3:8" x14ac:dyDescent="0.2">
      <c r="C292" s="24" t="s">
        <v>78</v>
      </c>
      <c r="D292" s="1" t="s">
        <v>316</v>
      </c>
      <c r="E292" s="2">
        <v>35.502500650175293</v>
      </c>
      <c r="F292" s="3">
        <f>7.40836143181962E-07*E292 ^ 6 + -0.0000544816198762505*E292 ^ 5 + 0.00153912371558015*E292 ^ 4 + -0.0254180920104353*E292 ^ 3 + 0.111795908488463*E292 ^ 2 + -0.474010666755386*E292 ^ 1 + 157.577928693321</f>
        <v>3.3139595265652133E-4</v>
      </c>
      <c r="G292" s="3">
        <f>-4.15392850651946E-08*E292 ^ 6 + 3.94495240357502E-06*E292 ^ 5 + -0.000116844221189711*E292 ^ 4 + 0.00076306684642899*E292 ^ 3 + 0.00329178633391054*E292 ^ 2 + 0.3347900815277*E292 ^ 1 + 3.4102540312823</f>
        <v>7.2878758848263736</v>
      </c>
      <c r="H292" s="4">
        <f>7.36645765390647E-07*E293 ^ 6 + -0.0000735874867482243*E293 ^ 5 + 0.00253828179091089*E293 ^ 4 + -0.0318890211177627*E293 ^ 3 + 0.0891367607768529*E293 ^ 2 + -1.79198965143248*E293 ^ 1 + 2981.86903309495</f>
        <v>2960.1945877488993</v>
      </c>
    </row>
    <row r="293" spans="3:8" x14ac:dyDescent="0.2">
      <c r="C293" s="24" t="s">
        <v>78</v>
      </c>
      <c r="D293" s="1" t="s">
        <v>317</v>
      </c>
      <c r="E293" s="2">
        <v>35.326269601378016</v>
      </c>
      <c r="F293" s="3">
        <f>8.23570366727561E-07*E293 ^ 6 + -0.0000607337800022059*E293 ^ 5 + 0.001718609895422*E293 ^ 4 + -0.0281466414359307*E293 ^ 3 + 0.122907271527942*E293 ^ 2 + -0.536077621702914*E293 ^ 1 + 170.612860953415</f>
        <v>3.4414237885016519E-4</v>
      </c>
      <c r="G293" s="3">
        <f>-4.50523343616013E-08*E293 ^ 6 + 4.25666397457635E-06*E293 ^ 5 + -0.000125250217331104*E293 ^ 4 + 0.000803528487154383*E293 ^ 3 + 0.0035116308907278*E293 ^ 2 + 0.362493401642179*E293 ^ 1 + 3.68865993715834</f>
        <v>7.864579228903823</v>
      </c>
      <c r="H293" s="4">
        <f>1.04861042025155E-06*E294 ^ 6 + -0.000100428302125814*E294 ^ 5 + 0.00327349467506982*E294 ^ 4 + -0.0364090648043713*E294 ^ 3 + 0.0384962929209888*E294 ^ 2 + -2.29309429657647*E294 ^ 1 + 2978.12096680051</f>
        <v>2948.2634903108215</v>
      </c>
    </row>
    <row r="294" spans="3:8" x14ac:dyDescent="0.2">
      <c r="C294" s="24" t="s">
        <v>79</v>
      </c>
      <c r="D294" s="1" t="s">
        <v>318</v>
      </c>
      <c r="E294" s="2">
        <v>34.8010848000702</v>
      </c>
      <c r="F294" s="3">
        <f>1.08263923358267E-06*E294 ^ 6 + -0.000079931479711953*E294 ^ 5 + 0.00225037282738189*E294 ^ 4 + -0.0357763466906525*E294 ^ 3 + 0.148772124819115*E294 ^ 2 + -0.740128635111626*E294 ^ 1 + 209.567378035194</f>
        <v>6.2219114252570762E-4</v>
      </c>
      <c r="G294" s="3">
        <f>-5.50144214152302E-08*E294 ^ 6 + 5.13787950760589E-06*E294 ^ 5 + -0.00014884610667201*E294 ^ 4 + 0.000915447944997339*E294 ^ 3 + 0.00396065579990311*E294 ^ 2 + 0.444553205923948*E294 ^ 1 + 4.51905821000509</f>
        <v>9.5819624013859119</v>
      </c>
      <c r="H294" s="4">
        <f>6.64895328914156E-07*E295 ^ 6 + -0.0000663891357365901*E295 ^ 5 + 0.00228993917880422*E295 ^ 4 + -0.0288146899164419*E295 ^ 3 + 0.081281631465451*E295 ^ 2 + -1.5908438772897*E295 ^ 1 + 2984.08908106745</f>
        <v>2964.3153172471702</v>
      </c>
    </row>
    <row r="295" spans="3:8" x14ac:dyDescent="0.2">
      <c r="C295" s="24" t="s">
        <v>80</v>
      </c>
      <c r="D295" s="1" t="s">
        <v>319</v>
      </c>
      <c r="E295" s="2">
        <v>35.022755197933378</v>
      </c>
      <c r="F295" s="3">
        <f>1.15837559743266E-06*E295 ^ 6 + -0.0000854320640493277*E295 ^ 5 + 0.00241708132499788*E295 ^ 4 + -0.0396310546083927*E295 ^ 3 + 0.178268708005668*E295 ^ 2 + -0.730150218951936*E295 ^ 1 + 236.767752017449</f>
        <v>5.8121382807030386E-4</v>
      </c>
      <c r="G295" s="3">
        <f>-6.44038924836559E-08*E295 ^ 6 + 6.11451079042312E-06*E295 ^ 5 + -0.000182090130614516*E295 ^ 4 + 0.0012583030014196*E295 ^ 3 + 0.00375828647525534*E295 ^ 2 + 0.509137790032251*E295 ^ 1 + 5.11233007088318</f>
        <v>10.985204105858623</v>
      </c>
      <c r="H295" s="4">
        <f>7.3739019001841E-07*E296 ^ 6 + -0.0000729649836307213*E296 ^ 5 + 0.0024883603839962*E296 ^ 4 + -0.0306269950474631*E296 ^ 3 + 0.0766955068674743*E296 ^ 2 + -1.69770674637314*E296 ^ 1 + 2983.31997640974</f>
        <v>2961.8206701505405</v>
      </c>
    </row>
    <row r="296" spans="3:8" x14ac:dyDescent="0.2">
      <c r="C296" s="24" t="s">
        <v>80</v>
      </c>
      <c r="D296" s="1" t="s">
        <v>320</v>
      </c>
      <c r="E296" s="2">
        <v>34.906372932550973</v>
      </c>
      <c r="F296" s="3">
        <f>0.0000012404847274194*E296 ^ 6 + -0.0000915818849258654*E296 ^ 5 + 0.00259116515989715*E296 ^ 4 + -0.0422430863526566*E296 ^ 3 + 0.188444935912846*E296 ^ 2 + -0.790871634126348*E296 ^ 1 + 249.819256476738</f>
        <v>4.8545189201831818E-6</v>
      </c>
      <c r="G296" s="3">
        <f>-6.78737710199067E-08*E296 ^ 6 + 6.42546188380439E-06*E296 ^ 5 + -0.000190608441555892*E296 ^ 4 + 0.00130295510730535*E296 ^ 3 + 0.00393654919426859*E296 ^ 2 + 0.536947205369308*E296 ^ 1 + 5.39127795190598</f>
        <v>11.571069611484887</v>
      </c>
      <c r="H296" s="4">
        <f>8.67111336830871E-07*E297 ^ 6 + -0.0000840574190150159*E297 ^ 5 + 0.00278744336683589*E297 ^ 4 + -0.0322749712782378*E297 ^ 3 + 0.0526643865601052*E297 ^ 2 + -1.90902227085721*E297 ^ 1 + 2981.73545735579</f>
        <v>2956.4808161921219</v>
      </c>
    </row>
    <row r="297" spans="3:8" x14ac:dyDescent="0.2">
      <c r="C297" s="24" t="s">
        <v>80</v>
      </c>
      <c r="D297" s="1" t="s">
        <v>321</v>
      </c>
      <c r="E297" s="2">
        <v>34.664408316348045</v>
      </c>
      <c r="F297" s="3">
        <f>1.40752238804482E-06*E297 ^ 6 + -0.000103937205397119*E297 ^ 5 + 0.00293331978528907*E297 ^ 4 + -0.0472164564402706*E297 ^ 3 + 0.205913731960319*E297 ^ 2 + -0.917629752450186*E297 ^ 1 + 275.87309848303</f>
        <v>4.0447503124596551E-5</v>
      </c>
      <c r="G297" s="3">
        <f>-7.4639290848754E-08*E297 ^ 6 + 7.03301091218183E-06*E297 ^ 5 + -0.000207300609439669*E297 ^ 4 + 0.00139308535435262*E297 ^ 3 + 0.00419572184824055*E297 ^ 2 + 0.592268966421008*E297 ^ 1 + 5.94759390061038</f>
        <v>12.74088255558115</v>
      </c>
      <c r="H297" s="4">
        <f>5.0854240237805E-08*E298 ^ 6 + -0.0000101890375258503*E298 ^ 5 + 0.000666228728957462*E298 ^ 4 + -0.0168524113075496*E298 ^ 3 + 0.145309268378624*E298 ^ 2 + -2.10713062170695*E298 ^ 1 + 2978.96516380136</f>
        <v>2904.3415159075585</v>
      </c>
    </row>
    <row r="298" spans="3:8" x14ac:dyDescent="0.2">
      <c r="C298" s="24" t="s">
        <v>13</v>
      </c>
      <c r="D298" s="1" t="s">
        <v>322</v>
      </c>
      <c r="E298" s="2">
        <v>50.111802163117034</v>
      </c>
      <c r="F298" s="3">
        <f>3.11849623887746E-08*E298 ^ 6 + -3.21852937053432E-06*E298 ^ 5 + 0.000116645751260663*E298 ^ 4 + -0.00194073135326933*E298 ^ 3 + 0.00819974524352377*E298 ^ 2 + -0.132758940591522*E298 ^ 1 + 17.9525021050656</f>
        <v>1.1065497043816208E-4</v>
      </c>
      <c r="G298" s="3">
        <f>-1.2278096732093E-09*E298 ^ 6 + 1.8285491470508E-07*E298 ^ 5 + -9.85222283302286E-06*E298 ^ 4 + 0.000223022393777042*E298 ^ 3 + -0.00227070168945365*E298 ^ 2 + 0.0447259776136981*E298 ^ 1 + 0.404612060250834</f>
        <v>1.2205069950159613</v>
      </c>
      <c r="H298" s="4">
        <f>8.84555523190536E-08*E299 ^ 6 + -0.0000132886516165543*E299 ^ 5 + 0.000718302141193969*E299 ^ 4 + -0.0156647450753695*E299 ^ 3 + 0.114780883506119*E299 ^ 2 + -1.60385519546978*E299 ^ 1 + 2983.09383598052</f>
        <v>2940.575342169052</v>
      </c>
    </row>
    <row r="299" spans="3:8" x14ac:dyDescent="0.2">
      <c r="C299" s="24" t="s">
        <v>73</v>
      </c>
      <c r="D299" s="1" t="s">
        <v>323</v>
      </c>
      <c r="E299" s="2">
        <v>40.227042685127721</v>
      </c>
      <c r="F299" s="3">
        <f>-2.86987836285393E-09*E299 ^ 6 + 9.2239174117638E-07*E299 ^ 5 + -0.0000681000194502314*E299 ^ 4 + 0.00149970407848292*E299 ^ 3 + -0.0220365724622226*E299 ^ 2 + -0.116927588053438*E299 ^ 1 + 36.0648161974422</f>
        <v>9.8785919191612948E-4</v>
      </c>
      <c r="G299" s="3">
        <f>-2.64449401394375E-09*E299 ^ 6 + 3.60173850510514E-07*E299 ^ 5 + -0.0000174776950877391*E299 ^ 4 + 0.000333660807671803*E299 ^ 3 + -0.00261950233759595*E299 ^ 2 + 0.0801365085245073*E299 ^ 1 + 0.799287837123951</f>
        <v>2.4710280001811364</v>
      </c>
      <c r="H299" s="4">
        <f>1.99268557689376E-07*E300 ^ 6 + -0.0000275160301414354*E300 ^ 5 + 0.00137206009846358*E300 ^ 4 + -0.0274614084686526*E300 ^ 3 + 0.17469034014548*E300 ^ 2 + -2.44406188233299*E300 ^ 1 + 2974.42716915802</f>
        <v>2909.6230839825234</v>
      </c>
    </row>
    <row r="300" spans="3:8" x14ac:dyDescent="0.2">
      <c r="C300" s="24" t="s">
        <v>75</v>
      </c>
      <c r="D300" s="1" t="s">
        <v>324</v>
      </c>
      <c r="E300" s="2">
        <v>39.955793471074443</v>
      </c>
      <c r="F300" s="3">
        <f>-3.45291955617405E-08*E300 ^ 6 + 4.74816905696714E-06*E300 ^ 5 + -0.000236994549064111*E300 ^ 4 + 0.00460653925741185*E300 ^ 3 + -0.0508654226927351*E300 ^ 2 + -0.13659287860114*E300 ^ 1 + 53.8135162603328</f>
        <v>3.4314846928396037E-6</v>
      </c>
      <c r="G300" s="3">
        <f>-4.14892367279468E-09*E300 ^ 6 + 5.37332929423317E-07*E300 ^ 5 + -0.0000244914779511186*E300 ^ 4 + 0.000421357780157924*E300 ^ 3 + -0.00282473562703852*E300 ^ 2 + 0.113134302658243*E300 ^ 1 + 1.22177033872054</f>
        <v>3.526562284780133</v>
      </c>
      <c r="H300" s="4">
        <f>1.43745788071755E-07*E301 ^ 6 + -0.0000198606558445748*E301 ^ 5 + 0.000991599110148636*E301 ^ 4 + -0.0198662248388329*E301 ^ 3 + 0.125693029109154*E301 ^ 2 + -1.73323814708797*E301 ^ 1 + 2981.21320490054</f>
        <v>2935.459201600308</v>
      </c>
    </row>
    <row r="301" spans="3:8" x14ac:dyDescent="0.2">
      <c r="C301" s="24" t="s">
        <v>76</v>
      </c>
      <c r="D301" s="1" t="s">
        <v>325</v>
      </c>
      <c r="E301" s="2">
        <v>40.38180639974982</v>
      </c>
      <c r="F301" s="3">
        <f>-6.74995616527647E-08*E301 ^ 6 + 8.82033917852556E-06*E301 ^ 5 + -0.000421467900325021*E301 ^ 4 + 0.00808215469039042*E301 ^ 3 + -0.0820293134786484*E301 ^ 2 + -0.105097235683815*E301 ^ 1 + 72.0990222016696</f>
        <v>8.718541309349348E-5</v>
      </c>
      <c r="G301" s="3">
        <f>-5.53764459904546E-09*E301 ^ 6 + 7.16946064999134E-07*E301 ^ 5 + -0.0000325237036955842*E301 ^ 4 + 0.000545342433943607*E301 ^ 3 + -0.00326658363679506*E301 ^ 2 + 0.149795197484422*E301 ^ 1 + 1.66246691132625</f>
        <v>4.7841580531978316</v>
      </c>
      <c r="H301" s="4">
        <f>1.19449865697869E-07*E302 ^ 6 + -0.0000166222510523512*E302 ^ 5 + 0.000836297688270574*E302 ^ 4 + -0.0169153446852867*E302 ^ 3 + 0.110522285485661*E302 ^ 2 + -1.54845641351618*E302 ^ 1 + 2982.40494018332</f>
        <v>2943.2406522465926</v>
      </c>
    </row>
    <row r="302" spans="3:8" x14ac:dyDescent="0.2">
      <c r="C302" s="24" t="s">
        <v>77</v>
      </c>
      <c r="D302" s="1" t="s">
        <v>326</v>
      </c>
      <c r="E302" s="2">
        <v>40.530311045374972</v>
      </c>
      <c r="F302" s="3">
        <f>-1.00303639464813E-07*E302 ^ 6 + 0.0000128648760460804*E302 ^ 5 + -0.000603980423497955*E302 ^ 4 + 0.0114985670534858*E302 ^ 3 + -0.112500650276452*E302 ^ 2 + -0.087592202953837*E302 ^ 1 + 90.2108275254063</f>
        <v>3.9666667929338928E-4</v>
      </c>
      <c r="G302" s="3">
        <f>-7.00880333480057E-09*E302 ^ 6 + 9.03306431498979E-07*E302 ^ 5 + -0.0000406740579678873*E302 ^ 4 + 0.000668139587532477*E302 ^ 3 + -0.0036989785453498*E302 ^ 2 + 0.185559886413847*E302 ^ 1 + 2.09730283695978</f>
        <v>5.9940544620270249</v>
      </c>
      <c r="H302" s="4">
        <f>1.93256420996994E-07*E303 ^ 6 + -0.0000257780643338546*E303 ^ 5 + 0.00123890442329989*E303 ^ 4 + -0.0236545843868102*E303 ^ 3 + 0.13432328958061*E303 ^ 2 + -1.92490639056302*E303 ^ 1 + 2979.3866139598</f>
        <v>2927.3376593526577</v>
      </c>
    </row>
    <row r="303" spans="3:8" x14ac:dyDescent="0.2">
      <c r="C303" s="24" t="s">
        <v>77</v>
      </c>
      <c r="D303" s="1" t="s">
        <v>327</v>
      </c>
      <c r="E303" s="2">
        <v>40.337522905628084</v>
      </c>
      <c r="F303" s="3">
        <f>-1.31955517603877E-07*E303 ^ 6 + 0.0000166560174205357*E303 ^ 5 + -0.000770664855159577*E303 ^ 4 + 0.0145849743409833*E303 ^ 3 + -0.14203859624538*E303 ^ 2 + -0.103701318879317*E303 ^ 1 + 108.046304185355</f>
        <v>-5.5403090470917959E-7</v>
      </c>
      <c r="G303" s="3">
        <f>-8.34856177763851E-09*E303 ^ 6 + 1.05970561669523E-06*E303 ^ 5 + -0.0000467462564656751*E303 ^ 4 + 0.000738431388445449*E303 ^ 3 + -0.00381122709774825*E303 ^ 2 + 0.218576253829732*E303 ^ 1 + 2.52253596050259</f>
        <v>7.0492381261456334</v>
      </c>
      <c r="H303" s="4">
        <f>9.70358883422261E-08*E304 ^ 6 + -0.0000135004077403782*E304 ^ 5 + 0.000679146279948108*E304 ^ 4 + -0.0137309420771283*E304 ^ 3 + 0.0901177580892747*E304 ^ 2 + -1.27915008158436*E304 ^ 1 + 2984.90582304812</f>
        <v>2953.3038904976256</v>
      </c>
    </row>
    <row r="304" spans="3:8" x14ac:dyDescent="0.2">
      <c r="C304" s="24" t="s">
        <v>78</v>
      </c>
      <c r="D304" s="1" t="s">
        <v>328</v>
      </c>
      <c r="E304" s="2">
        <v>40.715215737249892</v>
      </c>
      <c r="F304" s="3">
        <f>-1.64501752059541E-07*E304 ^ 6 + 0.0000208161531356141*E304 ^ 5 + -0.000964509101380897*E304 ^ 4 + 0.0182832423781367*E304 ^ 3 + -0.173586167572877*E304 ^ 2 + -0.0477900305571184*E304 ^ 1 + 126.531052585666</f>
        <v>-1.2078366893319981E-6</v>
      </c>
      <c r="G304" s="3">
        <f>-9.90197126560623E-09*E304 ^ 6 + 1.27103955253991E-06*E304 ^ 5 + -0.0000568091602699593*E304 ^ 4 + 0.000911863485710446*E304 ^ 3 + -0.00456453170010529*E304 ^ 2 + 0.257476319439271*E304 ^ 1 + 2.97044030813479</f>
        <v>8.4229178241376541</v>
      </c>
      <c r="H304" s="4">
        <f>1.3851791360635E-07*E305 ^ 6 + -0.0000187891410108579*E305 ^ 5 + 0.00092028565868057*E305 ^ 4 + -0.018015860606352*E305 ^ 3 + 0.108846284860186*E305 ^ 2 + -1.50395643009854*E305 ^ 1 + 2983.11381716624</f>
        <v>2943.970999392202</v>
      </c>
    </row>
    <row r="305" spans="3:8" x14ac:dyDescent="0.2">
      <c r="C305" s="24" t="s">
        <v>79</v>
      </c>
      <c r="D305" s="1" t="s">
        <v>329</v>
      </c>
      <c r="E305" s="2">
        <v>40.60015071719684</v>
      </c>
      <c r="F305" s="3">
        <f>-1.96476905179727E-07*E305 ^ 6 + 0.0000246621758532268*E305 ^ 5 + -0.00113401063211361*E305 ^ 4 + 0.0214116947370769*E305 ^ 3 + -0.202943442381289*E305 ^ 2 + -0.0557054290894721*E305 ^ 1 + 144.442182566839</f>
        <v>-2.5904232643370051E-6</v>
      </c>
      <c r="G305" s="3">
        <f>-1.12890685462949E-08*E305 ^ 6 + 0.0000014358202157813*E305 ^ 5 + -0.000063380912907094*E305 ^ 4 + 0.000993263293655612*E305 ^ 3 + -0.00472859887718442*E305 ^ 2 + 0.291136547115406*E305 ^ 1 + 3.39829780046496</f>
        <v>9.5149337505636318</v>
      </c>
      <c r="H305" s="4">
        <f>1.85013795986751E-07*E306 ^ 6 + -0.0000244300418585949*E306 ^ 5 + 0.00116056515315192*E306 ^ 4 + -0.0217996662443035*E306 ^ 3 + 0.11838690430544*E306 ^ 2 + -1.72993691485642*E306 ^ 1 + 2981.28126698062</f>
        <v>2934.1356589616285</v>
      </c>
    </row>
    <row r="306" spans="3:8" x14ac:dyDescent="0.2">
      <c r="C306" s="24" t="s">
        <v>79</v>
      </c>
      <c r="D306" s="1" t="s">
        <v>330</v>
      </c>
      <c r="E306" s="2">
        <v>40.474681118767478</v>
      </c>
      <c r="F306" s="3">
        <f>-2.28326718494951E-07*E306 ^ 6 + 0.0000284824432717418*E306 ^ 5 + -0.00130254905266904*E306 ^ 4 + 0.0245529077193917*E306 ^ 3 + -0.233093215313517*E306 ^ 2 + -0.0689581318938736*E306 ^ 1 + 162.305682281903</f>
        <v>-4.6365853449970018E-6</v>
      </c>
      <c r="G306" s="3">
        <f>-1.25782467162223E-08*E306 ^ 6 + 1.58742876773255E-06*E306 ^ 5 + -0.0000693250672066446*E306 ^ 4 + 0.00106321272703594*E306 ^ 3 + -0.00485330002022477*E306 ^ 2 + 0.324310509064664*E306 ^ 1 + 3.82445526808556</f>
        <v>10.579535170573054</v>
      </c>
      <c r="H306" s="4">
        <f>9.71080330976063E-08*E307 ^ 6 + -0.0000133602156184109*E307 ^ 5 + 0.000664459633582955*E307 ^ 4 + -0.0132535341907257*E307 ^ 3 + 0.0839031924064859*E307 ^ 2 + -1.16219923568403*E307 ^ 1 + 2986.31920937869</f>
        <v>2957.1205725832633</v>
      </c>
    </row>
    <row r="307" spans="3:8" x14ac:dyDescent="0.2">
      <c r="C307" s="24" t="s">
        <v>80</v>
      </c>
      <c r="D307" s="1" t="s">
        <v>331</v>
      </c>
      <c r="E307" s="2">
        <v>40.801497772281813</v>
      </c>
      <c r="F307" s="3">
        <f>-2.59921583338069E-07*E307 ^ 6 + 0.0000326079730372849*E307 ^ 5 + -0.00149798008682264*E307 ^ 4 + 0.0283089756119876*E307 ^ 3 + -0.264561801447332*E307 ^ 2 + 0.00251944799244664*E307 ^ 1 + 180.955709065616</f>
        <v>-5.9452899563439132E-6</v>
      </c>
      <c r="G307" s="3">
        <f>-1.42129086818948E-08*E307 ^ 6 + 1.81454084283319E-06*E307 ^ 5 + -0.0000803948484773091*E307 ^ 4 + 0.00126078456668495*E307 ^ 3 + -0.00575156949894841*E307 ^ 2 + 0.364594396448486*E307 ^ 1 + 4.27831804639686</f>
        <v>12.019484891300889</v>
      </c>
      <c r="H307" s="4">
        <f>1.24255802962525E-07*E308 ^ 6 + -0.0000167960558988146*E308 ^ 5 + 0.000819555854286307*E308 ^ 4 + -0.015960983172099*E308 ^ 3 + 0.0949236683810281*E308 ^ 2 + -1.30574162396309*E308 ^ 1 + 2985.18385887832</f>
        <v>2951.0714667872121</v>
      </c>
    </row>
    <row r="308" spans="3:8" x14ac:dyDescent="0.2">
      <c r="C308" s="24" t="s">
        <v>80</v>
      </c>
      <c r="D308" s="1" t="s">
        <v>332</v>
      </c>
      <c r="E308" s="2">
        <v>40.724683151361454</v>
      </c>
      <c r="F308" s="3">
        <f>-2.91888460282492E-07*E308 ^ 6 + 0.0000364653211512111*E308 ^ 5 + -0.00166862432517304*E308 ^ 4 + 0.0314712242858553*E308 ^ 3 + -0.294194745341536*E308 ^ 2 + -0.0016605514548841*E308 ^ 1 + 198.906210999769</f>
        <v>-8.8334457757355267E-6</v>
      </c>
      <c r="G308" s="3">
        <f>-1.55844049724142E-08*E308 ^ 6 + 1.97888178688705E-06*E308 ^ 5 + -0.0000870286507472476*E308 ^ 4 + 0.00134499248611411*E308 ^ 3 + -0.00593792018500309*E308 ^ 2 + 0.398525595248719*E308 ^ 1 + 4.70754195570639</f>
        <v>13.125944145573383</v>
      </c>
      <c r="H308" s="4">
        <f>1.53806963106885E-07*E309 ^ 6 + -0.000020399201463129*E309 ^ 5 + 0.000974078478834016*E309 ^ 4 + -0.0184239166505556*E309 ^ 3 + 0.101527697266565*E309 ^ 2 + -1.44973088195802*E309 ^ 1 + 2984.02777238471</f>
        <v>2944.7861929701535</v>
      </c>
    </row>
    <row r="309" spans="3:8" x14ac:dyDescent="0.2">
      <c r="C309" s="24" t="s">
        <v>80</v>
      </c>
      <c r="D309" s="1" t="s">
        <v>333</v>
      </c>
      <c r="E309" s="2">
        <v>40.643308198972996</v>
      </c>
      <c r="F309" s="3">
        <f>-3.23744540801743E-07*E309 ^ 6 + 0.0000403032793213548*E309 ^ 5 + -0.00183857316758066*E309 ^ 4 + 0.0346414375943498*E309 ^ 3 + -0.324346569726581*E309 ^ 2 + -0.00927626561321089*E309 ^ 1 + 216.826294126357</f>
        <v>-1.2280148297350024E-5</v>
      </c>
      <c r="G309" s="3">
        <f>-1.68883898186962E-08*E309 ^ 6 + 2.13428202358734E-06*E309 ^ 5 + -0.0000932424852359791*E309 ^ 4 + 0.00142162396635462*E309 ^ 3 + -0.00609827729209781*E309 ^ 2 + 0.4321419991014*E309 ^ 1 + 5.13567861989489</f>
        <v>14.214631641561395</v>
      </c>
      <c r="H309" s="4">
        <f>1.31655311454025E-07*E310 ^ 6 + -0.0000178327494741901*E310 ^ 5 + 0.000872190989356321*E310 ^ 4 + -0.0170497070900927*E310 ^ 3 + 0.103363076573782*E310 ^ 2 + -1.4328430759951*E310 ^ 1 + 2983.48841672014</f>
        <v>2947.022617738287</v>
      </c>
    </row>
    <row r="310" spans="3:8" x14ac:dyDescent="0.2">
      <c r="C310" s="24" t="s">
        <v>81</v>
      </c>
      <c r="D310" s="1" t="s">
        <v>334</v>
      </c>
      <c r="E310" s="2">
        <v>40.679392494117948</v>
      </c>
      <c r="F310" s="3">
        <f>-3.57732486024614E-07*E310 ^ 6 + 0.0000444809645235*E310 ^ 5 + -0.0020256171787925*E310 ^ 4 + 0.0380798788157475*E310 ^ 3 + -0.353721389397282*E310 ^ 2 + 0.00307268639940943*E310 ^ 1 + 234.81512088411</f>
        <v>-1.6471641998805353E-5</v>
      </c>
      <c r="G310" s="3">
        <f>-1.85526768271329E-08*E310 ^ 6 + 0.0000023436924059821*E310 ^ 5 + -0.000102370335855074*E310 ^ 4 + 0.00156094992981698*E310 ^ 3 + -0.00660135090043116*E310 ^ 2 + 0.467736618308423*E310 ^ 1 + 5.56619986557535</f>
        <v>15.423235941588917</v>
      </c>
      <c r="H310" s="4">
        <f>1.58173220930331E-07*E311 ^ 6 + -0.0000211211786370676*E311 ^ 5 + 0.00101670539248087*E311 ^ 4 + -0.0194613257758223*E311 ^ 3 + 0.111615351297195*E311 ^ 2 + -1.56689639018086*E311 ^ 1 + 2982.41115769676</f>
        <v>2941.3028412774934</v>
      </c>
    </row>
    <row r="311" spans="3:8" x14ac:dyDescent="0.2">
      <c r="C311" s="24" t="s">
        <v>81</v>
      </c>
      <c r="D311" s="1" t="s">
        <v>335</v>
      </c>
      <c r="E311" s="2">
        <v>40.604206755424478</v>
      </c>
      <c r="F311" s="3">
        <f>-3.8994670870795E-07*E311 ^ 6 + 0.0000483377349128645*E311 ^ 5 + -0.00219518088895029*E311 ^ 4 + 0.0412184567725878*E311 ^ 3 + -0.383502871449804*E311 ^ 2 + -0.00755532955151342*E311 ^ 1 + 252.700141229213</f>
        <v>-2.1323931264305429E-5</v>
      </c>
      <c r="G311" s="3">
        <f>-1.98795601162024E-08*E311 ^ 6 + 2.50016461914316E-06*E311 ^ 5 + -0.000108535297346523*E311 ^ 4 + 0.00163458873221013*E311 ^ 3 + -0.00673076036452903*E311 ^ 2 + 0.501104666075578*E311 ^ 1 + 5.9930789053408</f>
        <v>16.50176230000438</v>
      </c>
      <c r="H311" s="4">
        <f>1.8594704533994E-07*E312 ^ 6 + -0.0000244581661871908*E312 ^ 5 + 0.00115684710357059*E312 ^ 4 + -0.021603767174535*E312 ^ 3 + 0.11589643225551*E312 ^ 2 + -1.69978331574482*E312 ^ 1 + 2981.31577968306</f>
        <v>2935.4387934310648</v>
      </c>
    </row>
    <row r="312" spans="3:8" x14ac:dyDescent="0.2">
      <c r="C312" s="24" t="s">
        <v>81</v>
      </c>
      <c r="D312" s="1" t="s">
        <v>336</v>
      </c>
      <c r="E312" s="2">
        <v>40.526401657825119</v>
      </c>
      <c r="F312" s="3">
        <f>-4.22137091651906E-07*E312 ^ 6 + 0.0000521886236423966*E312 ^ 5 + -0.00236480103540853*E312 ^ 4 + 0.0443821984070144*E312 ^ 3 + -0.413929507721879*E312 ^ 2 + -0.0211359878858473*E312 ^ 1 + 270.55590168209</f>
        <v>-2.6693188885928976E-5</v>
      </c>
      <c r="G312" s="3">
        <f>-2.11441523286663E-08*E312 ^ 6 + 2.64864250628454E-06*E312 ^ 5 + -0.000114340300336213*E312 ^ 4 + 0.00170220333514685*E312 ^ 3 + -0.00684730834292374*E312 ^ 2 + 0.534204945119979*E312 ^ 1 + 6.41891227334921</f>
        <v>17.564309485604355</v>
      </c>
      <c r="H312" s="4">
        <f>-8.07733386073145E-07*E313 ^ 6 + 0.0000958794663896498*E313 ^ 5 + -0.00422840487149586*E313 ^ 4 + 0.0856517345854776*E313 ^ 3 + -0.781865775829303*E313 ^ 2 + 1.30685689580046*E313 ^ 1 + 2986.3225932519</f>
        <v>2620.1238044918709</v>
      </c>
    </row>
    <row r="313" spans="3:8" x14ac:dyDescent="0.2">
      <c r="C313" s="24" t="s">
        <v>82</v>
      </c>
      <c r="D313" s="1" t="s">
        <v>337</v>
      </c>
      <c r="E313" s="2">
        <v>-11.747319034538531</v>
      </c>
      <c r="F313" s="3">
        <f>-6.34611707977173E-07*E313 ^ 6 + 0.0000783056467034939*E313 ^ 5 + -0.00355099732345913*E313 ^ 4 + 0.0681865105357652*E313 ^ 3 + -0.619053215398864*E313 ^ 2 + 0.57777726815615*E313 ^ 1 + 289.56576484326</f>
        <v>6.6613034732654341E-7</v>
      </c>
      <c r="G313" s="3">
        <f>-3.73827686203255E-08*E313 ^ 6 + 4.64882808702039E-06*E313 ^ 5 + -0.000205265123786187*E313 ^ 4 + 0.00351535958267911*E313 ^ 3 + -0.0216691983840122*E313 ^ 2 + 0.616337975013348*E313 ^ 1 + 6.88529303176874</f>
        <v>-14.091492934846375</v>
      </c>
      <c r="H313" s="4">
        <f>1.63074347522589E-08*E314 ^ 6 + -3.24092208671138E-06*E314 ^ 5 + 0.00022788823574397*E314 ^ 4 + -0.00606659792844618*E314 ^ 3 + 0.0280824606981397*E314 ^ 2 + -0.640270196198276*E314 ^ 1 + 2966.39674063114</f>
        <v>2912.4135401398885</v>
      </c>
    </row>
    <row r="314" spans="3:8" x14ac:dyDescent="0.2">
      <c r="C314" s="24" t="s">
        <v>36</v>
      </c>
      <c r="D314" s="1" t="s">
        <v>338</v>
      </c>
      <c r="E314" s="2">
        <v>54.846924626978087</v>
      </c>
      <c r="F314" s="3">
        <f>1.11959165484477E-09*E314 ^ 6 + -2.33921599248093E-07*E314 ^ 5 + 0.0000199922890270355*E314 ^ 4 + -0.000903884591855165*E314 ^ 3 + 0.0134020034879333*E314 ^ 2 + -0.0844427150525862*E314 ^ 1 + 18.1563763112629</f>
        <v>-1.2042728165795324E-6</v>
      </c>
      <c r="G314" s="3">
        <f>-1.97511710961315E-10*E314 ^ 6 + 3.61054357885251E-08*E314 ^ 5 + -2.15320160100222E-06*E314 ^ 4 + 0.0000321288649893353*E314 ^ 3 + 0.000671371447482318*E314 ^ 2 + 0.0119510084067878*E314 ^ 1 + 0.986066515730765</f>
        <v>2.0206291795222899</v>
      </c>
      <c r="H314" s="4">
        <f>-6.5518593907869E-09*E315 ^ 6 + 0.0000011084428302697*E315 ^ 5 + -0.0000715187422801941*E315 ^ 4 + 0.00262322842487081*E315 ^ 3 + -0.059485437737913*E315 ^ 2 + -0.319226832936514*E315 ^ 1 + 2971.23864395292</f>
        <v>2934.355804852034</v>
      </c>
    </row>
    <row r="315" spans="3:8" x14ac:dyDescent="0.2">
      <c r="C315" s="24" t="s">
        <v>73</v>
      </c>
      <c r="D315" s="1" t="s">
        <v>339</v>
      </c>
      <c r="E315" s="2">
        <v>-17.731533102207948</v>
      </c>
      <c r="F315" s="3">
        <f>-2.34496173649546E-09*E315 ^ 6 + 4.95054667385233E-07*E315 ^ 5 + -0.0000398048672414304*E315 ^ 4 + 0.00145609542303526*E315 ^ 3 + -0.029512602525633*E315 ^ 2 + 0.151672954349623*E315 ^ 1 + 24.9613996970863</f>
        <v>1.0632030178925334E-5</v>
      </c>
      <c r="G315" s="3">
        <f>2.20153335022393E-10*E315 ^ 6 + -4.08383558890866E-08*E315 ^ 5 + 2.97541441633365E-06*E315 ^ 4 + -0.000115525037805916*E315 ^ 3 + 0.00225795899016742*E315 ^ 2 + 0.0162962969390698*E315 ^ 1 + 1.4200172788087</f>
        <v>2.857569921731157</v>
      </c>
      <c r="H315" s="4">
        <f>2.37155592136244E-08*E316 ^ 6 + -4.48014632155406E-06*E316 ^ 5 + 0.000298007702663761*E316 ^ 4 + -0.00725590959723208*E316 ^ 3 + 0.0172389202009896*E316 ^ 2 + -0.749687784561597*E316 ^ 1 + 2960.36565854734</f>
        <v>4031.8994151217425</v>
      </c>
    </row>
    <row r="316" spans="3:8" x14ac:dyDescent="0.2">
      <c r="C316" s="24" t="s">
        <v>75</v>
      </c>
      <c r="D316" s="1" t="s">
        <v>340</v>
      </c>
      <c r="E316" s="2">
        <v>-34.891717613292464</v>
      </c>
      <c r="F316" s="3">
        <f>-1.48388752252502E-09*E316 ^ 6 + 2.59822624413102E-07*E316 ^ 5 + -0.0000129050341014241*E316 ^ 4 + -0.000010957603895093*E316 ^ 3 + -0.00154626745571944*E316 ^ 2 + 0.00603210903778805*E316 ^ 1 + 36.8680163448253</f>
        <v>-6.5756044533316071E-4</v>
      </c>
      <c r="G316" s="3">
        <f>-4.00797529038458E-10*E316 ^ 6 + 6.84937654115182E-08*E316 ^ 5 + -0.0000036723425627243*E316 ^ 4 + 0.0000302619762125907*E316 ^ 3 + 0.00197411237196467*E316 ^ 2 + 0.0224978813424663*E316 ^ 1 + 1.91986886335033</f>
        <v>-7.4554955853345968</v>
      </c>
      <c r="H316" s="4">
        <f>2.04508011320472E-09*E317 ^ 6 + -4.50287192321763E-07*E317 ^ 5 + 0.0000310748561056119*E317 ^ 4 + -0.000265405059580938*E317 ^ 3 + -0.0293625361546381*E317 ^ 2 + -0.34866918559711*E317 ^ 1 + 2973.85775413898</f>
        <v>2976.4699732494541</v>
      </c>
    </row>
    <row r="317" spans="3:8" x14ac:dyDescent="0.2">
      <c r="C317" s="24" t="s">
        <v>76</v>
      </c>
      <c r="D317" s="1" t="s">
        <v>341</v>
      </c>
      <c r="E317" s="2">
        <v>-18.216680054406627</v>
      </c>
      <c r="F317" s="3">
        <f>-4.97469325138772E-09*E317 ^ 6 + 9.99999238079346E-07*E317 ^ 5 + -0.0000738611647166467*E317 ^ 4 + 0.00238285295561128*E317 ^ 3 + -0.044325222649074*E317 ^ 2 + 0.248486477760954*E317 ^ 1 + 43.9623665924123</f>
        <v>1.7688649812441781E-4</v>
      </c>
      <c r="G317" s="3">
        <f>1.09788095692851E-11*E317 ^ 6 + -6.1003526395251E-09*E317 ^ 5 + 1.20797337447233E-06*E317 ^ 4 + -0.000108516477910876*E317 ^ 3 + 0.00351011259478536*E317 ^ 2 + 0.027803665080917*E317 ^ 1 + 2.37647806009711</f>
        <v>3.8364730060286965</v>
      </c>
      <c r="H317" s="4">
        <f>-5.45369995166276E-09*E318 ^ 6 + 8.72754574213938E-07*E318 ^ 5 + -0.0000510895943845008*E318 ^ 4 + 0.00180817440311352*E318 ^ 3 + -0.0436026979022614*E318 ^ 2 + -0.628130127528359*E318 ^ 1 + 2968.53225377687</f>
        <v>2953.3088654594926</v>
      </c>
    </row>
    <row r="318" spans="3:8" x14ac:dyDescent="0.2">
      <c r="C318" s="24" t="s">
        <v>76</v>
      </c>
      <c r="D318" s="1" t="s">
        <v>342</v>
      </c>
      <c r="E318" s="2">
        <v>-16.674271385351286</v>
      </c>
      <c r="F318" s="3">
        <f>-5.84240990182787E-09*E318 ^ 6 + 1.22485254832959E-06*E318 ^ 5 + -0.0000973510773044235*E318 ^ 4 + 0.00352326269733443*E318 ^ 3 + -0.0677837091707539*E318 ^ 2 + 0.356046290476725*E318 ^ 1 + 50.3462573167388</f>
        <v>8.2102361886882136E-7</v>
      </c>
      <c r="G318" s="3">
        <f>2.84560163230005E-10*E318 ^ 6 + -4.97324429411048E-08*E318 ^ 5 + 3.32123849231303E-06*E318 ^ 4 + -0.00012286526413133*E318 ^ 3 + 0.00225479136912182*E318 ^ 2 + 0.0526057023980006*E318 ^ 1 + 2.82262222956923</f>
        <v>3.4689174082879846</v>
      </c>
      <c r="H318" s="4">
        <f>6.09912663937251E-09*E319 ^ 6 + -1.19067382230416E-06*E319 ^ 5 + 0.0000793848814123216*E319 ^ 4 + -0.00152203316227381*E319 ^ 3 + -0.0206432561751284*E319 ^ 2 + -0.397722710775636*E319 ^ 1 + 2973.14545800109</f>
        <v>2994.7702479199988</v>
      </c>
    </row>
    <row r="319" spans="3:8" x14ac:dyDescent="0.2">
      <c r="C319" s="24" t="s">
        <v>77</v>
      </c>
      <c r="D319" s="1" t="s">
        <v>343</v>
      </c>
      <c r="E319" s="2">
        <v>-18.391566092870661</v>
      </c>
      <c r="F319" s="3">
        <f>-7.64780649830469E-09*E319 ^ 6 + 1.51085708193223E-06*E319 ^ 5 + -0.000108187016429112*E319 ^ 4 + 0.00331709854853455*E319 ^ 3 + -0.0593617347149411*E319 ^ 2 + 0.343697575095644*E319 ^ 1 + 62.8892120540683</f>
        <v>3.5875080704528273E-4</v>
      </c>
      <c r="G319" s="3">
        <f>-1.95426728477538E-10*E319 ^ 6 + 2.79870115497449E-08*E319 ^ 5 + -5.03646262124845E-07*E319 ^ 4 + -0.000103247427252143*E319 ^ 3 + 0.00476428284436529*E319 ^ 2 + 0.0390531082226698*E319 ^ 1 + 3.32679155525043</f>
        <v>4.7382794218379658</v>
      </c>
      <c r="H319" s="4">
        <f>7.0301707003822E-10*E320 ^ 6 + -2.28850695569626E-07*E320 ^ 5 + 0.0000186144180106384*E320 ^ 4 + 0.000067362230805125*E320 ^ 3 + -0.0330789688726714*E320 ^ 2 + -0.591168176689929*E320 ^ 1 + 2969.23814034492</f>
        <v>2971.2708747092829</v>
      </c>
    </row>
    <row r="320" spans="3:8" x14ac:dyDescent="0.2">
      <c r="C320" s="24" t="s">
        <v>77</v>
      </c>
      <c r="D320" s="1" t="s">
        <v>344</v>
      </c>
      <c r="E320" s="2">
        <v>-17.186576801135317</v>
      </c>
      <c r="F320" s="3">
        <f>-8.52552142997582E-09*E320 ^ 6 + 1.73753478777853E-06*E320 ^ 5 + -0.000131818074841648*E320 ^ 4 + 0.00446405943836836*E320 ^ 3 + -0.0829858697848745*E320 ^ 2 + 0.451981618188718*E320 ^ 1 + 69.2683241439578</f>
        <v>1.0613259362912686E-5</v>
      </c>
      <c r="G320" s="3">
        <f>7.86627070433218E-11*E320 ^ 6 + -1.57832296246939E-08*E320 ^ 5 + 1.61884359879486E-06*E320 ^ 4 + -0.000117623664669658*E320 ^ 3 + 0.00349763238957533*E320 ^ 2 + 0.0639536052123317*E320 ^ 1 + 3.77290373184987</f>
        <v>4.4709427733057403</v>
      </c>
      <c r="H320" s="4">
        <f>-3.39849752381932E-09*E321 ^ 6 + 5.47937348289147E-07*E321 ^ 5 + -0.000030819403968067*E321 ^ 4 + 0.000935592700291554*E321 ^ 3 + -0.0193799202978302*E321 ^ 2 + -0.389815518311224*E321 ^ 1 + 2979.24679301253</f>
        <v>2973.0703593296716</v>
      </c>
    </row>
    <row r="321" spans="3:8" x14ac:dyDescent="0.2">
      <c r="C321" s="24" t="s">
        <v>78</v>
      </c>
      <c r="D321" s="1" t="s">
        <v>345</v>
      </c>
      <c r="E321" s="2">
        <v>-16.558960276143385</v>
      </c>
      <c r="F321" s="3">
        <f>-8.76395734164287E-09*E321 ^ 6 + 1.85781573755597E-06*E321 ^ 5 + -0.000149034759736276*E321 ^ 4 + 0.00542735692325109*E321 ^ 3 + -0.103787809361166*E321 ^ 2 + 0.575198875952457*E321 ^ 1 + 76.3247262363766</f>
        <v>7.343421373207093E-7</v>
      </c>
      <c r="G321" s="3">
        <f>3.59617699894853E-10*E321 ^ 6 + -6.10357359222231E-08*E321 ^ 5 + 3.84065586038982E-06*E321 ^ 4 + -0.000136806586134376*E321 ^ 3 + 0.00244483743442523*E321 ^ 2 + 0.0906362442591646*E321 ^ 1 + 4.27511621890865</f>
        <v>4.4379734941816311</v>
      </c>
      <c r="H321" s="4">
        <f>2.35834231296185E-09*E322 ^ 6 + -5.10209729015878E-07*E322 ^ 5 + 0.0000371691012696789*E322 ^ 4 + -0.000662426310904313*E322 ^ 3 + -0.0164803056494954*E322 ^ 2 + -0.403526589224338*E322 ^ 1 + 2976.95983863433</f>
        <v>2987.0706245772881</v>
      </c>
    </row>
    <row r="322" spans="3:8" x14ac:dyDescent="0.2">
      <c r="C322" s="24" t="s">
        <v>79</v>
      </c>
      <c r="D322" s="1" t="s">
        <v>346</v>
      </c>
      <c r="E322" s="2">
        <v>-17.602718777780947</v>
      </c>
      <c r="F322" s="3">
        <f>-1.09026918969014E-08*E322 ^ 6 + 2.20312633407835E-06*E322 ^ 5 + -0.000163708316206993*E322 ^ 4 + 0.00533196884539616*E322 ^ 3 + -0.0967600978138726*E322 ^ 2 + 0.556513837059346*E322 ^ 1 + 88.6255243223436</f>
        <v>6.3304895562055208E-5</v>
      </c>
      <c r="G322" s="3">
        <f>-1.29711538085617E-10*E322 ^ 6 + 1.91689829048079E-08*E322 ^ 5 + -1.94090190542934E-07*E322 ^ 4 + -0.000109377303564431*E322 ^ 3 + 0.00480677092532184*E322 ^ 2 + 0.0764415969798757*E322 ^ 1 + 4.75811897942616</f>
        <v>5.4436313676845254</v>
      </c>
      <c r="H322" s="4">
        <f>-4.00684532657783E-09*E323 ^ 6 + 6.12358787583283E-07*E323 ^ 5 + -0.0000321969321703053*E323 ^ 4 + 0.0010578532025755*E323 ^ 3 + -0.0270478926614987*E323 ^ 2 + -0.66943251721719*E323 ^ 1 + 2972.26407710249</f>
        <v>2968.3545639170788</v>
      </c>
    </row>
    <row r="323" spans="3:8" x14ac:dyDescent="0.2">
      <c r="C323" s="24" t="s">
        <v>79</v>
      </c>
      <c r="D323" s="1" t="s">
        <v>347</v>
      </c>
      <c r="E323" s="2">
        <v>-16.300561445688842</v>
      </c>
      <c r="F323" s="3">
        <f>-1.25385652242697E-08*E323 ^ 6 + 2.63415157710777E-06*E323 ^ 5 + -0.000209383684392451*E323 ^ 4 + 0.00757228376588474*E323 ^ 3 + -0.143158774015589*E323 ^ 2 + 0.771489235137595*E323 ^ 1 + 101.461547362307</f>
        <v>9.6747224496596118E-4</v>
      </c>
      <c r="G323" s="3">
        <f>4.20020878811246E-10*E323 ^ 6 + -6.89911098018105E-08*E323 ^ 5 + 4.12046008805774E-06*E323 ^ 4 + -0.00014158495527411*E323 ^ 3 + 0.00235512456915685*E323 ^ 2 + 0.126024543481124*E323 ^ 1 + 5.65688730569931</f>
        <v>5.219809443066028</v>
      </c>
      <c r="H323" s="4">
        <f>6.21926416712559E-10*E324 ^ 6 + -1.82291202365862E-07*E324 ^ 5 + 0.0000160475299477989*E324 ^ 4 + -0.000245405528997431*E324 ^ 3 + -0.0126839644264376*E324 ^ 2 + -0.35189116652283*E324 ^ 1 + 2980.9754512169</f>
        <v>2986.2432995553036</v>
      </c>
    </row>
    <row r="324" spans="3:8" x14ac:dyDescent="0.2">
      <c r="C324" s="24" t="s">
        <v>80</v>
      </c>
      <c r="D324" s="1" t="s">
        <v>348</v>
      </c>
      <c r="E324" s="2">
        <v>-17.243855060314548</v>
      </c>
      <c r="F324" s="3">
        <f>-1.40043551214774E-08*E324 ^ 6 + 2.86934404842368E-06*E324 ^ 5 + -0.000217658312121262*E324 ^ 4 + 0.00730522807055991*E324 ^ 3 + -0.133652438052779*E324 ^ 2 + 0.7725678899608*E324 ^ 1 + 114.508748587514</f>
        <v>2.1689279847691978E-5</v>
      </c>
      <c r="G324" s="3">
        <f>-5.84319136396882E-11*E324 ^ 6 + 9.21613388193364E-09*E324 ^ 5 + 1.93878105731845E-07*E324 ^ 4 + -0.000118035495711*E324 ^ 3 + 0.00490076337430371*E324 ^ 2 + 0.114194879078721*E324 ^ 1 + 6.20167514432177</f>
        <v>6.2965377601409926</v>
      </c>
      <c r="H324" s="4">
        <f>-3.31661271051749E-09*E325 ^ 6 + 5.12361029526591E-07*E325 ^ 5 + -0.0000267471824977843*E325 ^ 4 + 0.000809940560408326*E325 ^ 3 + -0.019306342164486*E325 ^ 2 + -0.508641922815605*E325 ^ 1 + 2978.13193857445</f>
        <v>2975.2470030444269</v>
      </c>
    </row>
    <row r="325" spans="3:8" x14ac:dyDescent="0.2">
      <c r="C325" s="24" t="s">
        <v>80</v>
      </c>
      <c r="D325" s="1" t="s">
        <v>349</v>
      </c>
      <c r="E325" s="2">
        <v>-16.299154864064654</v>
      </c>
      <c r="F325" s="3">
        <f>-1.5486932767387E-08*E325 ^ 6 + 3.27196744249317E-06*E325 ^ 5 + -0.000261419159699252*E325 ^ 4 + 0.00949073713005613*E325 ^ 3 + -0.179517891617293*E325 ^ 2 + 0.991875311794436*E325 ^ 1 + 127.457780931949</f>
        <v>4.6593950742135348E-7</v>
      </c>
      <c r="G325" s="3">
        <f>4.95303155556366E-10*E325 ^ 6 + -8.03029166458629E-08*E325 ^ 5 + 4.63948883133672E-06*E325 ^ 4 + -0.000155255362834299*E325 ^ 3 + 0.00252208676321752*E325 ^ 2 + 0.164198822712272*E325 ^ 1 + 7.1106856521211</f>
        <v>6.2057757243606471</v>
      </c>
      <c r="H325" s="4">
        <f>1.04465365306636E-09*E326 ^ 6 + -2.7589285337795E-07*E326 ^ 5 + 0.0000226261880908402*E326 ^ 4 + -0.000300943967307754*E326 ^ 3 + -0.0180875550158075*E326 ^ 2 + -0.522026585635541*E326 ^ 1 + 2976.51452072154</f>
        <v>2983.8980387669908</v>
      </c>
    </row>
    <row r="326" spans="3:8" x14ac:dyDescent="0.2">
      <c r="C326" s="24" t="s">
        <v>80</v>
      </c>
      <c r="D326" s="1" t="s">
        <v>350</v>
      </c>
      <c r="E326" s="2">
        <v>-16.933352690056285</v>
      </c>
      <c r="F326" s="3">
        <f>-1.76146350743382E-08*E326 ^ 6 + 3.61499600703775E-06*E326 ^ 5 + -0.000275974831609521*E326 ^ 4 + 0.00939684414388642*E326 ^ 3 + -0.17266213077547*E326 ^ 2 + 0.9720640648059*E326 ^ 1 + 139.733598232141</f>
        <v>8.7617861481703585E-6</v>
      </c>
      <c r="G326" s="3">
        <f>1.37470656280704E-11*E326 ^ 6 + -1.55621586607045E-09*E326 ^ 5 + 6.98997123697465E-07*E326 ^ 4 + -0.000130053351446776*E326 ^ 3 + 0.00488998770912676*E326 ^ 2 + 0.149846159474814*E326 ^ 1 + 7.59172112089947</f>
        <v>7.1478988214762129</v>
      </c>
      <c r="H326" s="4">
        <f>-3.72891981092222E-09*E327 ^ 6 + 5.73696977986572E-07*E327 ^ 5 + -0.0000295537845742556*E327 ^ 4 + 0.00086564354156034*E327 ^ 3 + -0.0200753804061989*E327 ^ 2 + -0.574632620992911*E327 ^ 1 + 2975.45531454678</f>
        <v>2973.0531009609967</v>
      </c>
    </row>
    <row r="327" spans="3:8" x14ac:dyDescent="0.2">
      <c r="C327" s="24" t="s">
        <v>81</v>
      </c>
      <c r="D327" s="1" t="s">
        <v>351</v>
      </c>
      <c r="E327" s="2">
        <v>-16.213033657686559</v>
      </c>
      <c r="F327" s="3">
        <f>-1.9013272571397E-08*E327 ^ 6 + 4.00657044457726E-06*E327 ^ 5 + -0.000319209984288238*E327 ^ 4 + 0.0115601355118906*E327 ^ 3 + -0.217694668395008*E327 ^ 2 + 1.19638288669198*E327 ^ 1 + 152.777825914329</f>
        <v>4.0601364048598043E-7</v>
      </c>
      <c r="G327" s="3">
        <f>5.56055748323703E-10*E327 ^ 6 + -8.85215716496398E-08*E327 ^ 5 + 4.94302199086004E-06*E327 ^ 4 + -0.000161681621900206*E327 ^ 3 + 0.00251890177001207*E327 ^ 2 + 0.200471136211237*E327 ^ 1 + 8.50787469697544</f>
        <v>7.059622273611307</v>
      </c>
      <c r="H327" s="4">
        <f>1.75913046662171E-10*E328 ^ 6 + -1.33888671026856E-07*E328 ^ 5 + 0.0000149681715911735*E328 ^ 4 + -0.000143705562198813*E328 ^ 3 + -0.0188675374530181*E328 ^ 2 + -0.586906830618707*E328 ^ 1 + 2973.97309900273</f>
        <v>2980.54024023698</v>
      </c>
    </row>
    <row r="328" spans="3:8" x14ac:dyDescent="0.2">
      <c r="C328" s="24" t="s">
        <v>81</v>
      </c>
      <c r="D328" s="1" t="s">
        <v>352</v>
      </c>
      <c r="E328" s="2">
        <v>-16.740276735816302</v>
      </c>
      <c r="F328" s="3">
        <f>-2.11734045305583E-08*E328 ^ 6 + 4.35389266501984E-06*E328 ^ 5 + -0.00033393184231247*E328 ^ 4 + 0.0114690086910932*E328 ^ 3 + -0.210927524789897*E328 ^ 2 + 1.17624633124283*E328 ^ 1 + 165.018698775952</f>
        <v>4.9933630350551539E-6</v>
      </c>
      <c r="G328" s="3">
        <f>7.29186612252419E-11*E328 ^ 6 + -9.69631865877421E-09*E328 ^ 5 + 1.01296882157706E-06*E328 ^ 4 + -0.000137092693050118*E328 ^ 3 + 0.00488558139846937*E328 ^ 2 + 0.18608554247903*E328 ^ 1 + 8.98651948454998</f>
        <v>7.9775544221063894</v>
      </c>
      <c r="H328" s="4">
        <f>-2.89234784589614E-09*E329 ^ 6 + 4.46974942677759E-07*E329 ^ 5 + -0.0000229779803268869*E329 ^ 4 + 0.000659475771377678*E329 ^ 3 + -0.0151056904132241*E329 ^ 2 + -0.446638618868538*E329 ^ 1 + 2980.786741364</f>
        <v>2979.0716235121126</v>
      </c>
    </row>
    <row r="329" spans="3:8" x14ac:dyDescent="0.2">
      <c r="C329" s="24" t="s">
        <v>82</v>
      </c>
      <c r="D329" s="1" t="s">
        <v>353</v>
      </c>
      <c r="E329" s="2">
        <v>-16.243286953394946</v>
      </c>
      <c r="F329" s="3">
        <f>-2.18017942373075E-08*E329 ^ 6 + 0.0000046174593084509*E329 ^ 5 + -0.000369679381585438*E329 ^ 4 + 0.0134416482229517*E329 ^ 3 + -0.253720957071991*E329 ^ 2 + 1.41969848455833*E329 ^ 1 + 178.966758469159</f>
        <v>5.0866188416875957E-7</v>
      </c>
      <c r="G329" s="3">
        <f>6.41026515008222E-10*E329 ^ 6 + -1.01672614228724E-07*E329 ^ 5 + 5.58118553041235E-06*E329 ^ 4 + -0.000178619181544894*E329 ^ 3 + 0.00273157273903242*E329 ^ 2 + 0.239032835634401*E329 ^ 1 + 9.97773864758738</f>
        <v>8.09654679477012</v>
      </c>
      <c r="H329" s="4">
        <f>-3.62978560776816E-10*E330 ^ 6 + -1.48555491300073E-08*E330 ^ 5 + 6.38267104936941E-06*E330 ^ 4 + -0.000018099636558822*E330 ^ 3 + -0.0140456688548518*E330 ^ 2 + -0.456160217876036*E330 ^ 1 + 2979.8110708845</f>
        <v>2984.1036709346281</v>
      </c>
    </row>
    <row r="330" spans="3:8" x14ac:dyDescent="0.2">
      <c r="C330" s="24" t="s">
        <v>82</v>
      </c>
      <c r="D330" s="1" t="s">
        <v>354</v>
      </c>
      <c r="E330" s="2">
        <v>-16.698051859189615</v>
      </c>
      <c r="F330" s="3">
        <f>-2.39500344036509E-08*E330 ^ 6 + 4.96624903727759E-06*E330 ^ 5 + -0.000384722895241219*E330 ^ 4 + 0.0133603781800125*E330 ^ 3 + -0.246826811415521*E330 ^ 2 + 1.40077906743908*E330 ^ 1 + 191.291250877739</f>
        <v>4.4590481138584437E-6</v>
      </c>
      <c r="G330" s="3">
        <f>1.53279064893549E-10*E330 ^ 6 + -2.1405514424655E-08*E330 ^ 5 + 1.51498256673966E-06*E330 ^ 4 + -0.00014945769927559*E330 ^ 3 + 0.00507068489390656*E330 ^ 2 + 0.224861237975463*E330 ^ 1 + 10.462188026615</f>
        <v>8.9660171716792352</v>
      </c>
      <c r="H330" s="4">
        <f>-2.82394951354612E-09*E331 ^ 6 + 4.18630545577343E-07*E331 ^ 5 + -0.0000202027114901388*E331 ^ 4 + 0.000621675651349952*E331 ^ 3 + -0.0170579277633429*E331 ^ 2 + -0.57798706623954*E331 ^ 1 + 2977.88762145273</f>
        <v>2978.247489970794</v>
      </c>
    </row>
    <row r="331" spans="3:8" x14ac:dyDescent="0.2">
      <c r="C331" s="24" t="s">
        <v>82</v>
      </c>
      <c r="D331" s="1" t="s">
        <v>355</v>
      </c>
      <c r="E331" s="2">
        <v>-16.17332074472149</v>
      </c>
      <c r="F331" s="3">
        <f>-2.54550506361872E-08*E331 ^ 6 + 0.0000053732363574287*E331 ^ 5 + -0.000428777839518116*E331 ^ 4 + 0.0155522594639395*E331 ^ 3 + -0.292614647509286*E331 ^ 2 + 1.6158816657898*E331 ^ 1 + 204.209546422734</f>
        <v>4.529503598860174E-7</v>
      </c>
      <c r="G331" s="3">
        <f>7.08453495446418E-10*E331 ^ 6 + -1.10961415783317E-07*E331 ^ 5 + 5.94827930442759E-06*E331 ^ 4 + -0.000186013685206417*E331 ^ 3 + 0.00269008641293646*E331 ^ 2 + 0.27444976112162*E331 ^ 1 + 11.3684448382138</f>
        <v>8.9627504421826565</v>
      </c>
      <c r="H331" s="4">
        <f>-8.86932433227074E-10*E332 ^ 6 + 1.04890628893046E-07*E332 ^ 5 + -2.62474264541851E-06*E332 ^ 4 + 0.000129992012471312*E332 ^ 3 + -0.00937212234604572*E332 ^ 2 + -0.313684617496467*E332 ^ 1 + 2984.55992990521</f>
        <v>2986.2235587780297</v>
      </c>
    </row>
    <row r="332" spans="3:8" x14ac:dyDescent="0.2">
      <c r="C332" s="24" t="s">
        <v>83</v>
      </c>
      <c r="D332" s="1" t="s">
        <v>356</v>
      </c>
      <c r="E332" s="2">
        <v>-16.680630319460374</v>
      </c>
      <c r="F332" s="3">
        <f>-2.6593927115888E-08*E332 ^ 6 + 5.55592120686253E-06*E332 ^ 5 + -0.000434125718538604*E332 ^ 4 + 0.0152107244677679*E332 ^ 3 + -0.28201641895073*E332 ^ 2 + 1.62963734103736*E332 ^ 1 + 217.607332157977</f>
        <v>4.3409899888047221E-6</v>
      </c>
      <c r="G332" s="3">
        <f>2.35211069626132E-10*E332 ^ 6 + -3.34860018563886E-08*E332 ^ 5 + 2.03951957635094E-06*E332 ^ 4 + -0.000162755797537276*E332 ^ 3 + 0.00530565907561285*E332 ^ 2 + 0.26409465346807*E332 ^ 1 + 11.9417735170015</f>
        <v>9.9743766894927965</v>
      </c>
      <c r="H332" s="4">
        <f>-2.49027422278056E-09*E333 ^ 6 + 3.87463232531292E-07*E333 ^ 5 + -0.0000199415194616768*E333 ^ 4 + 0.000551202206033452*E333 ^ 3 + -0.0119290127420905*E333 ^ 2 + -0.375498585933196*E333 ^ 1 + 2983.41908677894</f>
        <v>2982.1496608553521</v>
      </c>
    </row>
    <row r="333" spans="3:8" x14ac:dyDescent="0.2">
      <c r="C333" s="24" t="s">
        <v>83</v>
      </c>
      <c r="D333" s="1" t="s">
        <v>357</v>
      </c>
      <c r="E333" s="2">
        <v>-16.229461851388844</v>
      </c>
      <c r="F333" s="3">
        <f>-2.79360083101671E-08*E333 ^ 6 + 5.93244679551953E-06*E333 ^ 5 + -0.000476125033817461*E333 ^ 4 + 0.017345421094221*E333 ^ 3 + -0.327355553740497*E333 ^ 2 + 1.85227323125998*E333 ^ 1 + 230.655327347923</f>
        <v>6.0175815974616853E-7</v>
      </c>
      <c r="G333" s="3">
        <f>7.93448085679623E-10*E333 ^ 6 + -1.24377942365437E-07*E333 ^ 5 + 6.61164608846166E-06*E333 ^ 4 + -0.000204707271669076*E333 ^ 3 + 0.00299737772506053*E333 ^ 2 + 0.314419205760171*E333 ^ 1 + 12.8597933724957</f>
        <v>10.034750360916441</v>
      </c>
      <c r="H333" s="4">
        <f>-9.54557173801431E-10*E334 ^ 6 + 1.04680607146419E-07*E334 ^ 5 + -1.75188389187037E-06*E334 ^ 4 + 0.0001245345217748*E334 ^ 3 + -0.0112084788141421*E334 ^ 2 + -0.381373525393021*E334 ^ 1 + 2982.79286390112</f>
        <v>2985.1832024412165</v>
      </c>
    </row>
    <row r="334" spans="3:8" x14ac:dyDescent="0.2">
      <c r="C334" s="24" t="s">
        <v>83</v>
      </c>
      <c r="D334" s="1" t="s">
        <v>358</v>
      </c>
      <c r="E334" s="2">
        <v>-16.584021491261936</v>
      </c>
      <c r="F334" s="3">
        <f>-3.00926461806531E-08*E334 ^ 6 + 6.28479840001284E-06*E334 ^ 5 + -0.00049152393850133*E334 ^ 4 + 0.0172741186778441*E334 ^ 3 + -0.320423770851597*E334 ^ 2 + 1.83432249835494*E334 ^ 1 + 243.024971635393</f>
        <v>3.3542010271503386E-6</v>
      </c>
      <c r="G334" s="3">
        <f>3.00854008882869E-10*E334 ^ 6 + -4.28731193066071E-08*E334 ^ 5 + 2.43980363729034E-06*E334 ^ 4 + -0.000172136927886742*E334 ^ 3 + 0.00531212640372456*E334 ^ 2 + 0.300419035827637*E334 ^ 1 + 13.3474199667431</f>
        <v>10.855981420709119</v>
      </c>
      <c r="H334" s="4">
        <f>-2.60801924472085E-09*E335 ^ 6 + 3.96242424941159E-07*E335 ^ 5 + -0.0000196469627725919*E335 ^ 4 + 0.000558713047568791*E335 ^ 3 + -0.0135942921632374*E335 ^ 2 + -0.454120947319307*E335 ^ 1 + 2981.57477207631</f>
        <v>2981.1623496940952</v>
      </c>
    </row>
    <row r="335" spans="3:8" x14ac:dyDescent="0.2">
      <c r="C335" s="24" t="s">
        <v>83</v>
      </c>
      <c r="D335" s="1" t="s">
        <v>359</v>
      </c>
      <c r="E335" s="2">
        <v>-16.18211174677128</v>
      </c>
      <c r="F335" s="3">
        <f>-3.15024947039278E-08*E335 ^ 6 + 6.67403458505494E-06*E335 ^ 5 + -0.000534382733825396*E335 ^ 4 + 0.0194328108146144*E335 ^ 3 + -0.365954855704068*E335 ^ 2 + 2.0538079148716*E335 ^ 1 + 256.024429215996</f>
        <v>5.6447890983690741E-7</v>
      </c>
      <c r="G335" s="3">
        <f>8.57358960906833E-10*E335 ^ 6 + -1.33136563248624E-07*E335 ^ 5 + 6.95010412372317E-06*E335 ^ 4 + -0.000211746332531391*E335 ^ 3 + 0.00297266041597695*E335 ^ 2 + 0.350442829597077*E335 ^ 1 + 14.2610421165282</f>
        <v>10.905528995899786</v>
      </c>
      <c r="H335" s="4">
        <f>-8.43202808565743E-10*E336 ^ 6 + 7.50035291555669E-08*E336 ^ 5 + 6.7902561803325E-07*E336 ^ 4 + 0.0000928668171536173*E336 ^ 3 + -0.0128813200413109*E336 ^ 2 + -0.461478853004465*E336 ^ 1 + 2980.9041926017</f>
        <v>2984.535927662469</v>
      </c>
    </row>
    <row r="336" spans="3:8" x14ac:dyDescent="0.2">
      <c r="C336" s="24" t="s">
        <v>83</v>
      </c>
      <c r="D336" s="1" t="s">
        <v>360</v>
      </c>
      <c r="E336" s="2">
        <v>-16.502344175844968</v>
      </c>
      <c r="F336" s="3">
        <f>-3.36439921309845E-08*E336 ^ 6 + 7.02233702670261E-06*E336 ^ 5 + -0.000549452558042814*E336 ^ 4 + 0.019353594365443*E336 ^ 3 + -0.359063912908016*E336 ^ 2 + 2.03479438188348*E336 ^ 1 + 268.360014701955</f>
        <v>2.7098993200525001E-6</v>
      </c>
      <c r="G336" s="3">
        <f>3.70704460995775E-10*E336 ^ 6 + -5.29443769831689E-08*E336 ^ 5 + 0.0000028789768748119*E336 ^ 4 + -0.000182167304912719*E336 ^ 3 + 0.00530789438196321*E336 ^ 2 + 0.336273375344733*E336 ^ 1 + 14.7462071357921</f>
        <v>11.746854282015052</v>
      </c>
      <c r="H336" s="4">
        <f>-2.2107249357819E-09*E337 ^ 6 + 3.44022620531871E-07*E337 ^ 5 + -0.0000176203861104287*E337 ^ 4 + 0.000479822081560817*E337 ^ 3 + -0.0102811131828402*E337 ^ 2 + -0.337427970273655*E337 ^ 1 + 2985.10126504851</f>
        <v>2984.1769993661414</v>
      </c>
    </row>
    <row r="337" spans="3:8" x14ac:dyDescent="0.2">
      <c r="C337" s="24" t="s">
        <v>84</v>
      </c>
      <c r="D337" s="1" t="s">
        <v>361</v>
      </c>
      <c r="E337" s="2">
        <v>-16.21861300400338</v>
      </c>
      <c r="F337" s="3">
        <f>-3.40961076151974E-08*E337 ^ 6 + 7.25172454798198E-06*E337 ^ 5 + -0.000582838631492383*E337 ^ 4 + 0.0212581847405746*E337 ^ 3 + -0.401172056863849*E337 ^ 2 + 2.28394192520802*E337 ^ 1 + 282.3457793263</f>
        <v>6.9252774892447633E-7</v>
      </c>
      <c r="G337" s="3">
        <f>9.46517694962686E-10*E337 ^ 6 + -1.47189592041886E-07*E337 ^ 5 + 7.64909174526597E-06*E337 ^ 4 + -0.000230845894014066*E337 ^ 3 + 0.00325241601361607*E337 ^ 2 + 0.38972678867895*E337 ^ 1 + 15.741984505351</f>
        <v>11.973174963414131</v>
      </c>
      <c r="H337" s="4">
        <f>2.18581165651464E-09*E338 ^ 6 + -5.99954287514914E-07*E338 ^ 5 + 0.0000574732809252067*E338 ^ 4 + -0.00205158537670371*E338 ^ 3 + 0.0118258804000708*E338 ^ 2 + -0.380147648201699*E338 ^ 1 + 2974.21944909933</f>
        <v>2930.3507084529811</v>
      </c>
    </row>
    <row r="338" spans="3:8" x14ac:dyDescent="0.2">
      <c r="C338" s="24" t="s">
        <v>73</v>
      </c>
      <c r="D338" s="1" t="s">
        <v>362</v>
      </c>
      <c r="E338" s="2">
        <v>78.513484280642828</v>
      </c>
      <c r="F338" s="3">
        <f>1.56958390167017E-10*E338 ^ 6 + -4.68801707884295E-08*E338 ^ 5 + 0.0000057902145090161*E338 ^ 4 + -0.000370064857154781*E338 ^ 3 + 0.00814696622882561*E338 ^ 2 + -0.0903291517703232*E338 ^ 1 + 19.0519907062844</f>
        <v>3.0816475352679618E-4</v>
      </c>
      <c r="G338" s="3">
        <f>-4.77635830777761E-11*E338 ^ 6 + 1.22500315427731E-08*E338 ^ 5 + -1.02528737329063E-06*E338 ^ 4 + 0.0000234316813705423*E338 ^ 3 + 0.000426302337053063*E338 ^ 2 + 0.0139633119604911*E338 ^ 1 + 1.2783370645636</f>
        <v>2.7421152541746716</v>
      </c>
      <c r="H338" s="4">
        <f>7.78612167932383E-10*E339 ^ 6 + -2.56163073814776E-07*E339 ^ 5 + 0.000029853195001314*E339 ^ 4 + -0.00135077837148451*E339 ^ 3 + 0.0141755074575329*E339 ^ 2 + -0.36924727516833*E339 ^ 1 + 2947.58069479074</f>
        <v>2904.335098660486</v>
      </c>
    </row>
    <row r="339" spans="3:8" x14ac:dyDescent="0.2">
      <c r="C339" s="24" t="s">
        <v>75</v>
      </c>
      <c r="D339" s="1" t="s">
        <v>363</v>
      </c>
      <c r="E339" s="2">
        <v>88.78323672571166</v>
      </c>
      <c r="F339" s="3">
        <f>2.3815760579975E-10*E339 ^ 6 + -5.73964914074754E-08*E339 ^ 5 + 4.92021423694351E-06*E339 ^ 4 + -0.000185274094489881*E339 ^ 3 + 0.000637715206276546*E339 ^ 2 + -0.100885500905852*E339 ^ 1 + 27.8624716701516</f>
        <v>-1.8562805003341509E-5</v>
      </c>
      <c r="G339" s="3">
        <f>-2.47537655122662E-11*E339 ^ 6 + 7.62195658570611E-09*E339 ^ 5 + -8.29498014011075E-07*E339 ^ 4 + 0.0000343628668321822*E339 ^ 3 + -0.000283955510171066*E339 ^ 2 + 0.0117522862393748*E339 ^ 1 + 2.42320836131586</f>
        <v>3.6593454413671251</v>
      </c>
      <c r="H339" s="4">
        <f>2.31601667178797E-09*E340 ^ 6 + -6.36060685135792E-07*E340 ^ 5 + 0.0000613252517679538*E340 ^ 4 + -0.00221804018506493*E340 ^ 3 + 0.0150591923924425*E340 ^ 2 + -0.495419902427083*E340 ^ 1 + 2970.21680520027</f>
        <v>2926.3705280079698</v>
      </c>
    </row>
    <row r="340" spans="3:8" x14ac:dyDescent="0.2">
      <c r="C340" s="24" t="s">
        <v>76</v>
      </c>
      <c r="D340" s="1" t="s">
        <v>364</v>
      </c>
      <c r="E340" s="2">
        <v>81.398551417065505</v>
      </c>
      <c r="F340" s="3">
        <f>-4.37279442942208E-11*E340 ^ 6 + -4.52018989443532E-09*E340 ^ 5 + 3.37815223154591E-06*E340 ^ 4 + -0.0004047870386467*E340 ^ 3 + 0.0111227316248556*E340 ^ 2 + -0.165109574375185*E340 ^ 1 + 38.6252061727151</f>
        <v>1.0857623533411243E-4</v>
      </c>
      <c r="G340" s="3">
        <f>-9.12002821460501E-11*E340 ^ 6 + 2.3860846896354E-08*E340 ^ 5 + -2.10229616738137E-06*E340 ^ 4 + 0.0000589832350478142*E340 ^ 3 + 0.000234015397877461*E340 ^ 2 + 0.0333825657791367*E340 ^ 1 + 2.68754036630082</f>
        <v>5.2123818572109055</v>
      </c>
      <c r="H340" s="4">
        <f>3.56510313850792E-10*E341 ^ 6 + -1.3233174166291E-07*E341 ^ 5 + 0.0000172053188958762*E341 ^ 4 + -0.000821899932134465*E341 ^ 3 + 0.00746492895988305*E341 ^ 2 + -0.280263438598558*E341 ^ 1 + 2956.1170919</f>
        <v>2929.1911310736605</v>
      </c>
    </row>
    <row r="341" spans="3:8" x14ac:dyDescent="0.2">
      <c r="C341" s="24" t="s">
        <v>77</v>
      </c>
      <c r="D341" s="1" t="s">
        <v>365</v>
      </c>
      <c r="E341" s="2">
        <v>90.201638773961008</v>
      </c>
      <c r="F341" s="3">
        <f>1.57835604537457E-10*E341 ^ 6 + -2.49621526942646E-08*E341 ^ 5 + 1.47036865011488E-07*E341 ^ 4 + 0.000108202381809773*E341 ^ 3 + -0.00860275379415801*E341 ^ 2 + -0.127038544228566*E341 ^ 1 + 56.352500192966</f>
        <v>-1.4830253265785132E-4</v>
      </c>
      <c r="G341" s="3">
        <f>-2.67591186747824E-11*E341 ^ 6 + 9.09562675246924E-09*E341 ^ 5 + -1.09206635219229E-06*E341 ^ 4 + 0.0000470641673779244*E341 ^ 3 + -0.000260469964098672*E341 ^ 2 + 0.02092400641799*E341 ^ 1 + 5.01583131276744</f>
        <v>6.9300848053697797</v>
      </c>
      <c r="H341" s="4">
        <f>9.11495523674025E-10*E342 ^ 6 + -2.66789860354704E-07*E342 ^ 5 + 0.0000279102106271813*E342 ^ 4 + -0.00113421271507319*E342 ^ 3 + 0.0114678838646225*E342 ^ 2 + -0.320096305887119*E342 ^ 1 + 2974.05634373171</f>
        <v>2950.5876098774906</v>
      </c>
    </row>
    <row r="342" spans="3:8" x14ac:dyDescent="0.2">
      <c r="C342" s="24" t="s">
        <v>79</v>
      </c>
      <c r="D342" s="1" t="s">
        <v>366</v>
      </c>
      <c r="E342" s="2">
        <v>86.928689480957999</v>
      </c>
      <c r="F342" s="3">
        <f>-1.99374653118512E-10*E342 ^ 6 + 3.77688890100516E-08*E342 ^ 5 + -9.77661230447918E-07*E342 ^ 4 + -0.000212239983339139*E342 ^ 3 + 0.00624090671628541*E342 ^ 2 + -0.242487250850506*E342 ^ 1 + 67.7154814625154</f>
        <v>5.9912012029883499E-4</v>
      </c>
      <c r="G342" s="3">
        <f>-1.12429841469468E-10*E342 ^ 6 + 3.14804122672118E-08*E342 ^ 5 + -3.09111189075259E-06*E342 ^ 4 + 0.000111365421942528*E342 ^ 3 + -0.000727153363835787*E342 ^ 2 + 0.0521191673119106*E342 ^ 1 + 5.32879075727227</f>
        <v>8.7594748077828797</v>
      </c>
      <c r="H342" s="4">
        <f>2.39965768967133E-10*E343 ^ 6 + -9.70390717014922E-08*E343 ^ 5 + 0.00001344964299046*E343 ^ 4 + -0.000660112399620135*E343 ^ 3 + 0.00548854642749098*E343 ^ 2 + -0.24842932569511*E343 ^ 1 + 2959.61299858837</f>
        <v>2937.8304989303892</v>
      </c>
    </row>
    <row r="343" spans="3:8" x14ac:dyDescent="0.2">
      <c r="C343" s="24" t="s">
        <v>79</v>
      </c>
      <c r="D343" s="1" t="s">
        <v>367</v>
      </c>
      <c r="E343" s="2">
        <v>90.655243870054875</v>
      </c>
      <c r="F343" s="3">
        <f>8.54599096689222E-11*E343 ^ 6 + 5.68462592543901E-09*E343 ^ 5 + -4.48568801947403E-06*E343 ^ 4 + 0.000397225906128445*E343 ^ 3 + -0.017792494333675*E343 ^ 2 + -0.15308121586848*E343 ^ 1 + 84.8812708365649</f>
        <v>4.3378653231229691E-4</v>
      </c>
      <c r="G343" s="3">
        <f>-2.90949387252565E-11*E343 ^ 6 + 1.06426522965112E-08*E343 ^ 5 + -1.36114408324621E-06*E343 ^ 4 + 0.0000600502337400964*E343 ^ 3 + -0.000241936072519839*E343 ^ 2 + 0.0301719651159105*E343 ^ 1 + 7.61426926222543</f>
        <v>10.181935836992327</v>
      </c>
      <c r="H343" s="4">
        <f>5.83352647530507E-10*E344 ^ 6 + -1.77278050896188E-07*E344 ^ 5 + 0.000019369831821402*E344 ^ 4 + -0.000813597924905409*E344 ^ 3 + 0.00788580312857425*E344 ^ 2 + -0.25398163707077*E344 ^ 1 + 2975.23492064397</f>
        <v>2956.5986772576707</v>
      </c>
    </row>
    <row r="344" spans="3:8" x14ac:dyDescent="0.2">
      <c r="C344" s="24" t="s">
        <v>80</v>
      </c>
      <c r="D344" s="1" t="s">
        <v>368</v>
      </c>
      <c r="E344" s="2">
        <v>88.37717516969505</v>
      </c>
      <c r="F344" s="3">
        <f>-2.69913405389048E-10*E344 ^ 6 + 6.83550750639461E-08*E344 ^ 5 + -5.65073164102841E-06*E344 ^ 4 + 0.0000800406865569475*E344 ^ 3 + -0.00298647854849106*E344 ^ 2 + -0.266937452578611*E344 ^ 1 + 96.4650963383694</f>
        <v>4.3237820523245318E-4</v>
      </c>
      <c r="G344" s="3">
        <f>-1.14618577546629E-10*E344 ^ 6 + 3.3045902020703E-08*E344 ^ 5 + -3.36995772819024E-06*E344 ^ 4 + 0.000125076318404185*E344 ^ 3 + -0.000715384717380196*E344 ^ 2 + 0.061665518808876*E344 ^ 1 + 7.95683154735763</f>
        <v>12.124221521943872</v>
      </c>
      <c r="H344" s="4">
        <f>1.49555956886682E-10*E345 ^ 6 + -6.74488362456033E-08*E345 ^ 5 + 0.0000100114762212811*E345 ^ 4 + -0.000507681664192415*E345 ^ 3 + 0.0040397000549049*E345 ^ 2 + -0.203638963955081*E345 ^ 1 + 2965.84170856</f>
        <v>2948.798886913255</v>
      </c>
    </row>
    <row r="345" spans="3:8" x14ac:dyDescent="0.2">
      <c r="C345" s="24" t="s">
        <v>80</v>
      </c>
      <c r="D345" s="1" t="s">
        <v>369</v>
      </c>
      <c r="E345" s="2">
        <v>91.082984956044896</v>
      </c>
      <c r="F345" s="3">
        <f>1.29776700768425E-11*E345 ^ 6 + 3.62717453365588E-08*E345 ^ 5 + -9.11698680718463E-06*E345 ^ 4 + 0.000686418351539423*E345 ^ 3 + -0.0269494854751307*E345 ^ 2 + -0.17753222791307*E345 ^ 1 + 113.754047200162</f>
        <v>1.7833193183491858E-5</v>
      </c>
      <c r="G345" s="3">
        <f>-3.14831856823085E-11*E345 ^ 6 + 1.22326487449306E-08*E345 ^ 5 + -1.64087027675353E-06*E345 ^ 4 + 0.0000738045639342927*E345 ^ 3 + -0.000230856429977813*E345 ^ 2 + 0.0398744987608493*E345 ^ 1 + 10.2593666994143</f>
        <v>13.519671495322136</v>
      </c>
      <c r="H345" s="4">
        <f>5.76523179374104E-10*E346 ^ 6 + -0.0000001800309855309*E346 ^ 5 + 0.0000202621330857672*E346 ^ 4 + -0.000866801934440668*E346 ^ 3 + 0.00800282699085022*E346 ^ 2 + -0.289074441049917*E346 ^ 1 + 2968.8163921638</f>
        <v>2947.8268294219379</v>
      </c>
    </row>
    <row r="346" spans="3:8" x14ac:dyDescent="0.2">
      <c r="C346" s="24" t="s">
        <v>81</v>
      </c>
      <c r="D346" s="1" t="s">
        <v>370</v>
      </c>
      <c r="E346" s="2">
        <v>88.817775039065111</v>
      </c>
      <c r="F346" s="3">
        <f>-3.34985494494162E-10*E346 ^ 6 + 9.66838182886364E-08*E346 ^ 5 + -0.00001001943125629*E346 ^ 4 + 0.000357571630749525*E346 ^ 3 + -0.0120743073309522*E346 ^ 2 + -0.296469564306369*E346 ^ 1 + 124.621623624039</f>
        <v>3.5442796941254073E-4</v>
      </c>
      <c r="G346" s="3">
        <f>-1.17677777540869E-10*E346 ^ 6 + 3.46273271672487E-08*E346 ^ 5 + -3.62342965132749E-06*E346 ^ 4 + 0.00013670069415691*E346 ^ 3 + -0.000681951833023688*E346 ^ 2 + 0.0700997334700997*E346 ^ 1 + 10.5102333422888</f>
        <v>15.270588140831247</v>
      </c>
      <c r="H346" s="4">
        <f>1.52493430910879E-10*E347 ^ 6 + -7.2922944363703E-08*E347 ^ 5 + 0.000011146149673996*E347 ^ 4 + -0.000568998085346327*E347 ^ 3 + 0.00428241144556923*E347 ^ 2 + -0.236447539252847*E347 ^ 1 + 2959.73928855709</f>
        <v>2940.7031621383962</v>
      </c>
    </row>
    <row r="347" spans="3:8" x14ac:dyDescent="0.2">
      <c r="C347" s="24" t="s">
        <v>81</v>
      </c>
      <c r="D347" s="1" t="s">
        <v>371</v>
      </c>
      <c r="E347" s="2">
        <v>90.88438656204616</v>
      </c>
      <c r="F347" s="3">
        <f>-5.54872023546793E-11*E347 ^ 6 + 6.62011569850377E-08*E347 ^ 5 + -0.0000136865973411052*E347 ^ 4 + 0.000972804760678056*E347 ^ 3 + -0.0361606023893104*E347 ^ 2 + -0.205952745593285*E347 ^ 1 + 141.684079745278</f>
        <v>-8.886672080450353E-4</v>
      </c>
      <c r="G347" s="3">
        <f>-3.44503509235354E-11*E347 ^ 6 + 1.38739756547571E-08*E347 ^ 5 + -1.90553660255044E-06*E347 ^ 4 + 0.0000859414201318771*E347 ^ 3 + -0.000205332296130974*E347 ^ 2 + 0.0484259594120748*E347 ^ 1 + 12.7771498598456</f>
        <v>16.604258062699941</v>
      </c>
      <c r="H347" s="4">
        <f>3.9445999960605E-10*E348 ^ 6 + -1.27285189940148E-07*E348 ^ 5 + 0.0000148196384432959*E348 ^ 4 + -0.000649119113256841*E348 ^ 3 + 0.00580783554544017*E348 ^ 2 + -0.22793304816486*E348 ^ 1 + 2973.64192956866</f>
        <v>2957.0912534067143</v>
      </c>
    </row>
    <row r="348" spans="3:8" x14ac:dyDescent="0.2">
      <c r="C348" s="24" t="s">
        <v>82</v>
      </c>
      <c r="D348" s="1" t="s">
        <v>372</v>
      </c>
      <c r="E348" s="2">
        <v>89.545594935280988</v>
      </c>
      <c r="F348" s="3">
        <f>-4.05191612541294E-10*E348 ^ 6 + 1.27375073108107E-07*E348 ^ 5 + -0.0000147301703036999*E348 ^ 4 + 0.000652264906821861*E348 ^ 3 + -0.0213057652058092*E348 ^ 2 + -0.318937235646261*E348 ^ 1 + 153.692290074321</f>
        <v>2.7775617991210311E-4</v>
      </c>
      <c r="G348" s="3">
        <f>-1.19534643621062E-10*E348 ^ 6 + 3.61745271734001E-08*E348 ^ 5 + -3.91060731637824E-06*E348 ^ 4 + 0.000151195462928885*E348 ^ 3 + -0.000679277369123217*E348 ^ 2 + 0.0802083112204777*E348 ^ 1 + 13.1790316267789</f>
        <v>18.686060123258923</v>
      </c>
      <c r="H348" s="4">
        <f>1.14431215010736E-10*E349 ^ 6 + -5.61650930772101E-08*E349 ^ 5 + 8.73704674047427E-06*E349 ^ 4 + -0.000449792077516353*E349 ^ 3 + 0.00331742274929187*E349 ^ 2 + -0.191344917869681*E349 ^ 1 + 2967.3833533264</f>
        <v>2952.2955422207424</v>
      </c>
    </row>
    <row r="349" spans="3:8" x14ac:dyDescent="0.2">
      <c r="C349" s="24" t="s">
        <v>82</v>
      </c>
      <c r="D349" s="1" t="s">
        <v>373</v>
      </c>
      <c r="E349" s="2">
        <v>91.276488136973313</v>
      </c>
      <c r="F349" s="3">
        <f>-1.24019663047032E-10*E349 ^ 6 + 9.57335804124517E-08*E349 ^ 5 + -0.0000182356363776662*E349 ^ 4 + 0.00125984472817303*E349 ^ 3 + -0.0452697629008425*E349 ^ 2 + -0.229052031040424*E349 ^ 1 + 170.961721041303</f>
        <v>4.8222648274531821E-7</v>
      </c>
      <c r="G349" s="3">
        <f>-3.63234889354127E-11*E349 ^ 6 + 1.53604665044581E-08*E349 ^ 5 + -0.0000021832989314096*E349 ^ 4 + 0.000100054974998634*E349 ^ 3 + -0.000196976719391142*E349 ^ 2 + 0.0585542133009485*E349 ^ 1 + 15.477351208818</f>
        <v>20.034636590660384</v>
      </c>
      <c r="H349" s="4">
        <f>2.07423206245091E-10*E350 ^ 6 + -7.18595730353497E-08*E350 ^ 5 + 8.92288047316863E-06*E350 ^ 4 + -0.000409296662928793*E350 ^ 3 + 0.00365975524175215*E350 ^ 2 + -0.153567914402504*E350 ^ 1 + 2979.26339028755</f>
        <v>2968.1169328144797</v>
      </c>
    </row>
    <row r="350" spans="3:8" x14ac:dyDescent="0.2">
      <c r="C350" s="24" t="s">
        <v>83</v>
      </c>
      <c r="D350" s="1" t="s">
        <v>374</v>
      </c>
      <c r="E350" s="2">
        <v>90.191812793895124</v>
      </c>
      <c r="F350" s="3">
        <f>-4.78634639757711E-10*E350 ^ 6 + 1.58992318893207E-07*E350 ^ 5 + -0.0000195492640282924*E350 ^ 4 + 0.000951619177936522*E350 ^ 3 + -0.030534456956787*E350 ^ 2 + -0.338018380445266*E350 ^ 1 + 183.04765880798</f>
        <v>2.3380480448054186E-4</v>
      </c>
      <c r="G350" s="3">
        <f>-1.21937899266007E-10*E350 ^ 6 + 3.79198394010147E-08*E350 ^ 5 + -4.22676206185107E-06*E350 ^ 4 + 0.000167307806239399*E350 ^ 3 + -0.000692426730652446*E350 ^ 2 + 0.091030201633271*E350 ^ 1 + 15.886209393653</f>
        <v>22.196350758513482</v>
      </c>
      <c r="H350" s="4">
        <f>2.84283080381561E-11*E351 ^ 6 + -2.66691275781246E-08*E351 ^ 5 + 5.10265474642398E-06*E351 ^ 4 + -0.000286384037951738*E351 ^ 3 + 0.0021105861317879*E351 ^ 2 + -0.131229101634102*E351 ^ 1 + 2975.53782083155</f>
        <v>2965.2072550377438</v>
      </c>
    </row>
    <row r="351" spans="3:8" x14ac:dyDescent="0.2">
      <c r="C351" s="24" t="s">
        <v>83</v>
      </c>
      <c r="D351" s="1" t="s">
        <v>375</v>
      </c>
      <c r="E351" s="2">
        <v>91.699916189723012</v>
      </c>
      <c r="F351" s="3">
        <f>-1.96597448558672E-10*E351 ^ 6 + 1.2616449028228E-07*E351 ^ 5 + -0.0000228676119084356*E351 ^ 4 + 0.00154979810317091*E351 ^ 3 + -0.054348364719435*E351 ^ 2 + -0.249124653097453*E351 ^ 1 + 200.604665639037</f>
        <v>1.5032470344067406E-6</v>
      </c>
      <c r="G351" s="3">
        <f>-3.92650915668243E-11*E351 ^ 6 + 1.71478649661808E-08*E351 ^ 5 + -2.49644504655533E-06*E351 ^ 4 + 0.000115938393550461*E351 ^ 3 + -0.000206525191121607*E351 ^ 2 + 0.0694069743120587*E351 ^ 1 + 18.2276988219712</f>
        <v>23.574170761451892</v>
      </c>
      <c r="H351" s="4">
        <f>2.61732759097132E-10*E352 ^ 6 + -9.01642134899368E-08*E352 ^ 5 + 0.0000111578770570629*E352 ^ 4 + -0.000508382481461074*E352 ^ 3 + 0.00434442797515085*E352 ^ 2 + -0.191981993488898*E352 ^ 1 + 2975.17219177132</f>
        <v>2961.3266950002808</v>
      </c>
    </row>
    <row r="352" spans="3:8" x14ac:dyDescent="0.2">
      <c r="C352" s="24" t="s">
        <v>83</v>
      </c>
      <c r="D352" s="1" t="s">
        <v>376</v>
      </c>
      <c r="E352" s="2">
        <v>90.214468084410669</v>
      </c>
      <c r="F352" s="3">
        <f>-5.42311942939556E-10*E352 ^ 6 + 1.8707841224923E-07*E352 ^ 5 + -0.0000239025178900763*E352 ^ 4 + 0.0012288629620469*E352 ^ 3 + -0.0396372391396349*E352 ^ 2 + -0.36815512463593*E352 ^ 1 + 211.240000633642</f>
        <v>2.1310521890427481E-4</v>
      </c>
      <c r="G352" s="3">
        <f>-1.24440369757572E-10*E352 ^ 6 + 3.93759088743938E-08*E352 ^ 5 + -4.46929690889767E-06*E352 ^ 4 + 0.000178510910158596*E352 ^ 3 + -0.000655465980274281*E352 ^ 2 + 0.0994165142764601*E352 ^ 1 + 18.4424157114019</f>
        <v>25.318442632358913</v>
      </c>
      <c r="H352" s="4">
        <f>7.43512169883759E-11*E353 ^ 6 + -4.25525548858248E-08*E353 ^ 5 + 7.08961113640952E-06*E353 ^ 4 + -0.000375488103493092*E353 ^ 3 + 0.00268181608339681*E353 ^ 2 + -0.166615884533588*E353 ^ 1 + 2970.97088735208</f>
        <v>2958.190740254649</v>
      </c>
    </row>
    <row r="353" spans="3:8" x14ac:dyDescent="0.2">
      <c r="C353" s="24" t="s">
        <v>83</v>
      </c>
      <c r="D353" s="1" t="s">
        <v>377</v>
      </c>
      <c r="E353" s="2">
        <v>91.500430717023121</v>
      </c>
      <c r="F353" s="3">
        <f>-2.61283546811339E-10*E353 ^ 6 + 1.55132805965127E-07*E353 ^ 5 + -0.0000273522004584915*E353 ^ 4 + 0.0018334362417522*E353 ^ 3 + -0.0635479639662845*E353 ^ 2 + -0.278450152236115*E353 ^ 1 + 228.602945304403</f>
        <v>2.2766653842154483E-6</v>
      </c>
      <c r="G353" s="3">
        <f>-4.13561026093801E-11*E353 ^ 6 + 1.85670421739169E-08*E353 ^ 5 + -2.74070821056934E-06*E353 ^ 4 + 0.000127304532828059*E353 ^ 3 + -0.000172277326593692*E353 ^ 2 + 0.0778173927808969*E353 ^ 1 + 20.7543871956602</f>
        <v>26.659255457090588</v>
      </c>
      <c r="H353" s="4">
        <f>1.60891537253326E-10*E354 ^ 6 + -5.93687590598588E-08*E354 ^ 5 + 7.76784986305723E-06*E354 ^ 4 + -0.000367137451681113*E354 ^ 3 + 0.00313507025748026*E354 ^ 2 + -0.144677552577334*E354 ^ 1 + 2979.50098935733</f>
        <v>2969.0538312668004</v>
      </c>
    </row>
    <row r="354" spans="3:8" x14ac:dyDescent="0.2">
      <c r="C354" s="24" t="s">
        <v>84</v>
      </c>
      <c r="D354" s="1" t="s">
        <v>378</v>
      </c>
      <c r="E354" s="2">
        <v>90.6257562195171</v>
      </c>
      <c r="F354" s="3">
        <f>-6.12470728142451E-10*E354 ^ 6 + 2.17613075005599E-07*E354 ^ 5 + -0.0000286018948354031*E354 ^ 4 + 0.00152321317029947*E354 ^ 3 + -0.0488094173149421*E354 ^ 2 + -0.388081898955537*E354 ^ 1 + 240.633499694561</f>
        <v>1.9332657294057753E-4</v>
      </c>
      <c r="G354" s="3">
        <f>-1.26825013008435E-10*E354 ^ 6 + 4.10729173144288E-08*E354 ^ 5 + -4.77680737439348E-06*E354 ^ 4 + 0.000194166078766475*E354 ^ 3 + -0.000663515455334032*E354 ^ 2 + 0.110136681844962*E354 ^ 1 + 21.1559509153859</f>
        <v>28.813769680098272</v>
      </c>
      <c r="H354" s="4">
        <f>2.6451458045675E-11*E355 ^ 6 + -2.53146893838746E-08*E355 ^ 5 + 0.0000048762918761195*E355 ^ 4 + -0.000273563481444384*E355 ^ 3 + 0.00195473336159477*E355 ^ 2 + -0.12723368078137*E355 ^ 1 + 2976.63072927906</f>
        <v>2966.8801704106731</v>
      </c>
    </row>
    <row r="355" spans="3:8" x14ac:dyDescent="0.2">
      <c r="C355" s="24" t="s">
        <v>84</v>
      </c>
      <c r="D355" s="1" t="s">
        <v>379</v>
      </c>
      <c r="E355" s="2">
        <v>91.783129544322151</v>
      </c>
      <c r="F355" s="3">
        <f>-3.30634039068577E-10*E355 ^ 6 + 1.84794349161715E-07*E355 ^ 5 + -0.0000319181831626889*E355 ^ 4 + 0.00212122791750906*E355 ^ 3 + -0.0726184395103514*E355 ^ 2 + -0.299120599690267*E355 ^ 1 + 258.19786481757</f>
        <v>3.9431062077710521E-6</v>
      </c>
      <c r="G355" s="3">
        <f>-4.40978469461745E-11*E355 ^ 6 + 2.02872683914542E-08*E355 ^ 5 + -3.04548403256972E-06*E355 ^ 4 + 0.000142776920084931*E355 ^ 3 + -0.000177443750939889*E355 ^ 2 + 0.0885340315309755*E355 ^ 1 + 23.4985240526763</f>
        <v>30.175657843558085</v>
      </c>
      <c r="H355" s="4">
        <f>2.01857592002409E-10*E356 ^ 6 + -7.28823289939606E-08*E356 ^ 5 + 0.0000093900958623148*E356 ^ 4 + -0.000437754853632706*E356 ^ 3 + 0.00358111771211861*E356 ^ 2 + -0.172953948227663*E356 ^ 1 + 2976.35269318362</f>
        <v>2963.9497070337161</v>
      </c>
    </row>
    <row r="356" spans="3:8" x14ac:dyDescent="0.2">
      <c r="C356" s="24" t="s">
        <v>84</v>
      </c>
      <c r="D356" s="1" t="s">
        <v>380</v>
      </c>
      <c r="E356" s="2">
        <v>90.608709019227732</v>
      </c>
      <c r="F356" s="3">
        <f>-6.76573295447535E-10*E356 ^ 6 + 2.45966091022804E-07*E356 ^ 5 + -0.0000329963058485529*E356 ^ 4 + 0.00180262009774961*E356 ^ 3 + -0.0579400345748253*E356 ^ 2 + -0.417747752343881*E356 ^ 1 + 268.842726263556</f>
        <v>1.8230029382948487E-4</v>
      </c>
      <c r="G356" s="3">
        <f>-1.29076921414692E-10*E356 ^ 6 + 4.24946783068871E-08*E356 ^ 5 + -0.0000050196745134442*E356 ^ 4 + 0.000205522206570516*E356 ^ 3 + -0.000628712108652984*E356 ^ 2 + 0.118604657895048*E356 ^ 1 + 23.7136434153257</f>
        <v>31.943392099138208</v>
      </c>
      <c r="H356" s="4">
        <f>6.54893100636101E-11*E357 ^ 6 + -3.81339357260323E-08*E357 ^ 5 + 6.41290005260453E-06*E357 ^ 4 + -0.000340367564951006*E357 ^ 3 + 0.00236641454440978*E357 ^ 2 + -0.153569252429515*E357 ^ 1 + 2973.19731590937</f>
        <v>2961.6506623979058</v>
      </c>
    </row>
    <row r="357" spans="3:8" x14ac:dyDescent="0.2">
      <c r="C357" s="24" t="s">
        <v>84</v>
      </c>
      <c r="D357" s="1" t="s">
        <v>381</v>
      </c>
      <c r="E357" s="2">
        <v>91.632098805734287</v>
      </c>
      <c r="F357" s="3">
        <f>-3.94938712580975E-10*E357 ^ 6 + 2.13670132982462E-07*E357 ^ 5 + -0.0000363992010512925*E357 ^ 4 + 0.0024049962967569*E357 ^ 3 + -0.0818137897579805*E357 ^ 2 + -0.328155435834136*E357 ^ 1 + 286.259092735782</f>
        <v>5.0146788339588966E-6</v>
      </c>
      <c r="G357" s="3">
        <f>-4.59332663806156E-11*E357 ^ 6 + 2.1654936306531E-08*E357 ^ 5 + -3.28748777550895E-06*E357 ^ 4 + 0.000154184832560849*E357 ^ 3 + -0.000143603448466033*E357 ^ 2 + 0.0970254537357405*E357 ^ 1 + 26.033662317064</f>
        <v>33.279643504330458</v>
      </c>
      <c r="H357" s="4">
        <f>6.54893100636101E-11*E357 ^ 6 + -3.81339357260323E-08*E357 ^ 5 + 6.41290005260453E-06*E357 ^ 4 + -0.000340367564951006*E357 ^ 3 + 0.00236641454440978*E357 ^ 2 + -0.153569252429515*E357 ^ 1 + 2973.19731590937</f>
        <v>2961.6506623979058</v>
      </c>
    </row>
  </sheetData>
  <dataValidations count="1">
    <dataValidation type="list" allowBlank="1" showInputMessage="1" showErrorMessage="1" sqref="K10 J11">
      <formula1>liste_bis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_donnée50HZ">
                <anchor moveWithCells="1">
                  <from>
                    <xdr:col>4</xdr:col>
                    <xdr:colOff>771525</xdr:colOff>
                    <xdr:row>3</xdr:row>
                    <xdr:rowOff>9525</xdr:rowOff>
                  </from>
                  <to>
                    <xdr:col>6</xdr:col>
                    <xdr:colOff>400050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aleurs_Cibles">
                <anchor moveWithCells="1" sizeWithCells="1">
                  <from>
                    <xdr:col>3</xdr:col>
                    <xdr:colOff>857250</xdr:colOff>
                    <xdr:row>3</xdr:row>
                    <xdr:rowOff>85725</xdr:rowOff>
                  </from>
                  <to>
                    <xdr:col>4</xdr:col>
                    <xdr:colOff>552450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189"/>
  <sheetViews>
    <sheetView showGridLines="0" workbookViewId="0">
      <selection activeCell="B17" sqref="B17"/>
    </sheetView>
  </sheetViews>
  <sheetFormatPr baseColWidth="10" defaultRowHeight="12.75" x14ac:dyDescent="0.2"/>
  <cols>
    <col min="5" max="5" width="17.375" bestFit="1" customWidth="1"/>
  </cols>
  <sheetData>
    <row r="3" spans="1:10" x14ac:dyDescent="0.2">
      <c r="A3" s="11"/>
      <c r="B3" s="12"/>
      <c r="C3" s="12"/>
      <c r="D3" s="12"/>
      <c r="E3" s="13"/>
      <c r="F3" s="13"/>
      <c r="G3" s="13"/>
      <c r="H3" s="13"/>
      <c r="I3" s="14"/>
      <c r="J3" s="11"/>
    </row>
    <row r="4" spans="1:10" x14ac:dyDescent="0.2">
      <c r="A4" s="15"/>
      <c r="B4" s="16"/>
      <c r="C4" s="16"/>
      <c r="D4" s="16"/>
      <c r="E4" s="17"/>
      <c r="F4" s="17"/>
      <c r="G4" s="17"/>
      <c r="H4" s="17"/>
      <c r="I4" s="18"/>
      <c r="J4" s="15"/>
    </row>
    <row r="5" spans="1:10" ht="15.75" x14ac:dyDescent="0.2">
      <c r="B5" s="10"/>
      <c r="C5" s="10"/>
      <c r="D5" s="10"/>
    </row>
    <row r="6" spans="1:10" ht="15.75" x14ac:dyDescent="0.2">
      <c r="B6" s="10" t="s">
        <v>5</v>
      </c>
      <c r="C6" s="10"/>
      <c r="D6" s="10"/>
    </row>
    <row r="9" spans="1:10" ht="22.5" x14ac:dyDescent="0.2">
      <c r="C9" s="6" t="s">
        <v>6</v>
      </c>
      <c r="D9" s="6" t="s">
        <v>7</v>
      </c>
      <c r="E9" s="6" t="s">
        <v>0</v>
      </c>
      <c r="F9" s="6" t="s">
        <v>1</v>
      </c>
      <c r="G9" s="7" t="s">
        <v>2</v>
      </c>
      <c r="H9" s="8" t="s">
        <v>3</v>
      </c>
      <c r="I9" s="9" t="s">
        <v>4</v>
      </c>
    </row>
    <row r="10" spans="1:10" x14ac:dyDescent="0.2">
      <c r="B10" s="5"/>
      <c r="C10" s="21"/>
      <c r="D10" s="21"/>
      <c r="E10" s="1"/>
      <c r="F10" s="2"/>
      <c r="G10" s="3"/>
      <c r="H10" s="3"/>
      <c r="I10" s="4"/>
    </row>
    <row r="11" spans="1:10" x14ac:dyDescent="0.2">
      <c r="B11" s="5"/>
      <c r="C11" s="21"/>
      <c r="D11" s="21"/>
      <c r="E11" s="1"/>
      <c r="F11" s="2"/>
      <c r="G11" s="3"/>
      <c r="H11" s="3"/>
      <c r="I11" s="4"/>
    </row>
    <row r="12" spans="1:10" x14ac:dyDescent="0.2">
      <c r="C12" s="22"/>
      <c r="D12" s="22"/>
    </row>
    <row r="13" spans="1:10" x14ac:dyDescent="0.2">
      <c r="C13" s="21"/>
      <c r="D13" s="21"/>
    </row>
    <row r="14" spans="1:10" x14ac:dyDescent="0.2">
      <c r="C14" s="22"/>
      <c r="D14" s="22"/>
    </row>
    <row r="15" spans="1:10" x14ac:dyDescent="0.2">
      <c r="C15" s="21"/>
      <c r="D15" s="21"/>
    </row>
    <row r="16" spans="1:10" x14ac:dyDescent="0.2">
      <c r="C16" s="21"/>
      <c r="D16" s="21"/>
    </row>
    <row r="17" spans="3:9" x14ac:dyDescent="0.2">
      <c r="C17" s="21"/>
      <c r="D17" s="21"/>
    </row>
    <row r="18" spans="3:9" x14ac:dyDescent="0.2">
      <c r="C18" s="21"/>
      <c r="D18" s="21"/>
    </row>
    <row r="19" spans="3:9" x14ac:dyDescent="0.2">
      <c r="C19" s="21"/>
      <c r="D19" s="21"/>
    </row>
    <row r="20" spans="3:9" x14ac:dyDescent="0.2">
      <c r="C20" s="21"/>
      <c r="D20" s="21"/>
    </row>
    <row r="21" spans="3:9" x14ac:dyDescent="0.2">
      <c r="C21" s="21"/>
      <c r="D21" s="21"/>
    </row>
    <row r="22" spans="3:9" x14ac:dyDescent="0.2">
      <c r="C22" s="21"/>
      <c r="D22" s="21"/>
      <c r="E22" s="1"/>
      <c r="F22" s="2"/>
      <c r="G22" s="3"/>
      <c r="H22" s="3"/>
      <c r="I22" s="4"/>
    </row>
    <row r="23" spans="3:9" x14ac:dyDescent="0.2">
      <c r="C23" s="21"/>
      <c r="D23" s="21"/>
      <c r="E23" s="1"/>
      <c r="F23" s="2"/>
      <c r="G23" s="3"/>
      <c r="H23" s="3"/>
      <c r="I23" s="4"/>
    </row>
    <row r="24" spans="3:9" x14ac:dyDescent="0.2">
      <c r="C24" s="21"/>
      <c r="D24" s="21"/>
      <c r="E24" s="1"/>
      <c r="F24" s="2"/>
      <c r="G24" s="3"/>
      <c r="H24" s="3"/>
      <c r="I24" s="4"/>
    </row>
    <row r="25" spans="3:9" x14ac:dyDescent="0.2">
      <c r="C25" s="21"/>
      <c r="D25" s="21"/>
    </row>
    <row r="26" spans="3:9" x14ac:dyDescent="0.2">
      <c r="C26" s="21"/>
      <c r="D26" s="21"/>
    </row>
    <row r="27" spans="3:9" x14ac:dyDescent="0.2">
      <c r="C27" s="21"/>
      <c r="D27" s="21"/>
    </row>
    <row r="28" spans="3:9" x14ac:dyDescent="0.2">
      <c r="C28" s="21"/>
      <c r="D28" s="21"/>
    </row>
    <row r="29" spans="3:9" x14ac:dyDescent="0.2">
      <c r="C29" s="21"/>
      <c r="D29" s="21"/>
    </row>
    <row r="30" spans="3:9" x14ac:dyDescent="0.2">
      <c r="C30" s="21"/>
      <c r="D30" s="21"/>
    </row>
    <row r="31" spans="3:9" x14ac:dyDescent="0.2">
      <c r="C31" s="21"/>
      <c r="D31" s="21"/>
    </row>
    <row r="32" spans="3:9" x14ac:dyDescent="0.2">
      <c r="C32" s="21"/>
      <c r="D32" s="21"/>
    </row>
    <row r="33" spans="3:9" x14ac:dyDescent="0.2">
      <c r="C33" s="21"/>
      <c r="D33" s="21"/>
    </row>
    <row r="34" spans="3:9" x14ac:dyDescent="0.2">
      <c r="C34" s="21"/>
      <c r="D34" s="21"/>
      <c r="E34" s="1"/>
      <c r="F34" s="2"/>
      <c r="G34" s="3"/>
      <c r="H34" s="3"/>
      <c r="I34" s="4"/>
    </row>
    <row r="35" spans="3:9" x14ac:dyDescent="0.2">
      <c r="C35" s="21"/>
      <c r="D35" s="21"/>
      <c r="E35" s="1"/>
      <c r="F35" s="2"/>
      <c r="G35" s="3"/>
      <c r="H35" s="3"/>
      <c r="I35" s="4"/>
    </row>
    <row r="36" spans="3:9" x14ac:dyDescent="0.2">
      <c r="C36" s="21"/>
      <c r="D36" s="21"/>
      <c r="E36" s="1"/>
      <c r="F36" s="2"/>
      <c r="G36" s="3"/>
      <c r="H36" s="3"/>
      <c r="I36" s="4"/>
    </row>
    <row r="37" spans="3:9" x14ac:dyDescent="0.2">
      <c r="C37" s="21"/>
      <c r="D37" s="21"/>
      <c r="E37" s="1"/>
      <c r="F37" s="2"/>
      <c r="G37" s="3"/>
      <c r="H37" s="3"/>
      <c r="I37" s="4"/>
    </row>
    <row r="38" spans="3:9" x14ac:dyDescent="0.2">
      <c r="C38" s="21"/>
      <c r="D38" s="21"/>
      <c r="E38" s="1"/>
      <c r="F38" s="2"/>
      <c r="G38" s="3"/>
      <c r="H38" s="3"/>
      <c r="I38" s="4"/>
    </row>
    <row r="39" spans="3:9" x14ac:dyDescent="0.2">
      <c r="C39" s="21"/>
      <c r="D39" s="21"/>
      <c r="E39" s="1"/>
      <c r="F39" s="2"/>
      <c r="G39" s="3"/>
      <c r="H39" s="3"/>
      <c r="I39" s="4"/>
    </row>
    <row r="40" spans="3:9" x14ac:dyDescent="0.2">
      <c r="C40" s="21"/>
      <c r="D40" s="21"/>
      <c r="E40" s="1"/>
      <c r="F40" s="2"/>
      <c r="G40" s="3"/>
      <c r="H40" s="3"/>
      <c r="I40" s="4"/>
    </row>
    <row r="41" spans="3:9" x14ac:dyDescent="0.2">
      <c r="C41" s="21"/>
      <c r="D41" s="21"/>
      <c r="E41" s="1"/>
      <c r="F41" s="2"/>
      <c r="G41" s="3"/>
      <c r="H41" s="3"/>
      <c r="I41" s="4"/>
    </row>
    <row r="42" spans="3:9" x14ac:dyDescent="0.2">
      <c r="C42" s="21"/>
      <c r="D42" s="21"/>
      <c r="E42" s="1"/>
      <c r="F42" s="2"/>
      <c r="G42" s="3"/>
      <c r="H42" s="3"/>
      <c r="I42" s="4"/>
    </row>
    <row r="43" spans="3:9" x14ac:dyDescent="0.2">
      <c r="C43" s="21"/>
      <c r="D43" s="21"/>
      <c r="E43" s="1"/>
      <c r="F43" s="2"/>
      <c r="G43" s="3"/>
      <c r="H43" s="3"/>
      <c r="I43" s="4"/>
    </row>
    <row r="44" spans="3:9" x14ac:dyDescent="0.2">
      <c r="C44" s="21"/>
      <c r="D44" s="21"/>
      <c r="E44" s="1"/>
      <c r="F44" s="2"/>
      <c r="G44" s="3"/>
      <c r="H44" s="3"/>
      <c r="I44" s="4"/>
    </row>
    <row r="45" spans="3:9" x14ac:dyDescent="0.2">
      <c r="C45" s="21"/>
      <c r="D45" s="21"/>
      <c r="E45" s="20"/>
      <c r="F45" s="2"/>
      <c r="G45" s="3"/>
      <c r="H45" s="3"/>
      <c r="I45" s="4"/>
    </row>
    <row r="46" spans="3:9" x14ac:dyDescent="0.2">
      <c r="C46" s="21"/>
      <c r="D46" s="21"/>
      <c r="E46" s="19"/>
      <c r="F46" s="2"/>
      <c r="G46" s="3"/>
      <c r="H46" s="3"/>
      <c r="I46" s="4"/>
    </row>
    <row r="47" spans="3:9" x14ac:dyDescent="0.2">
      <c r="C47" s="21"/>
      <c r="D47" s="21"/>
      <c r="E47" s="20"/>
      <c r="F47" s="2"/>
      <c r="G47" s="3"/>
      <c r="H47" s="3"/>
      <c r="I47" s="4"/>
    </row>
    <row r="48" spans="3:9" x14ac:dyDescent="0.2">
      <c r="C48" s="21"/>
      <c r="D48" s="21"/>
      <c r="E48" s="19"/>
      <c r="F48" s="2"/>
      <c r="G48" s="3"/>
      <c r="H48" s="3"/>
      <c r="I48" s="4"/>
    </row>
    <row r="49" spans="3:9" x14ac:dyDescent="0.2">
      <c r="C49" s="21"/>
      <c r="D49" s="21"/>
      <c r="E49" s="20"/>
      <c r="F49" s="2"/>
      <c r="G49" s="3"/>
      <c r="H49" s="3"/>
      <c r="I49" s="4"/>
    </row>
    <row r="50" spans="3:9" x14ac:dyDescent="0.2">
      <c r="C50" s="21"/>
      <c r="D50" s="21"/>
      <c r="E50" s="19"/>
      <c r="F50" s="2"/>
      <c r="G50" s="3"/>
      <c r="H50" s="3"/>
      <c r="I50" s="4"/>
    </row>
    <row r="51" spans="3:9" x14ac:dyDescent="0.2">
      <c r="C51" s="21"/>
      <c r="D51" s="21"/>
      <c r="E51" s="20"/>
      <c r="F51" s="2"/>
      <c r="G51" s="3"/>
      <c r="H51" s="3"/>
      <c r="I51" s="4"/>
    </row>
    <row r="52" spans="3:9" x14ac:dyDescent="0.2">
      <c r="C52" s="21"/>
      <c r="D52" s="21"/>
      <c r="E52" s="19"/>
      <c r="F52" s="2"/>
      <c r="G52" s="3"/>
      <c r="H52" s="3"/>
      <c r="I52" s="4"/>
    </row>
    <row r="53" spans="3:9" x14ac:dyDescent="0.2">
      <c r="C53" s="21"/>
      <c r="D53" s="21"/>
      <c r="E53" s="20"/>
      <c r="F53" s="2"/>
      <c r="G53" s="3"/>
      <c r="H53" s="3"/>
      <c r="I53" s="4"/>
    </row>
    <row r="54" spans="3:9" x14ac:dyDescent="0.2">
      <c r="C54" s="21"/>
      <c r="D54" s="21"/>
      <c r="E54" s="19"/>
      <c r="F54" s="2"/>
      <c r="G54" s="3"/>
      <c r="H54" s="3"/>
      <c r="I54" s="4"/>
    </row>
    <row r="55" spans="3:9" x14ac:dyDescent="0.2">
      <c r="C55" s="21"/>
      <c r="D55" s="21"/>
      <c r="E55" s="20"/>
      <c r="F55" s="2"/>
      <c r="G55" s="3"/>
      <c r="H55" s="3"/>
      <c r="I55" s="4"/>
    </row>
    <row r="56" spans="3:9" x14ac:dyDescent="0.2">
      <c r="C56" s="21"/>
      <c r="D56" s="21"/>
      <c r="E56" s="19"/>
      <c r="F56" s="2"/>
      <c r="G56" s="3"/>
      <c r="H56" s="3"/>
      <c r="I56" s="4"/>
    </row>
    <row r="57" spans="3:9" x14ac:dyDescent="0.2">
      <c r="C57" s="21"/>
      <c r="D57" s="21"/>
      <c r="E57" s="20"/>
      <c r="F57" s="2"/>
      <c r="G57" s="3"/>
      <c r="H57" s="3"/>
      <c r="I57" s="4"/>
    </row>
    <row r="58" spans="3:9" x14ac:dyDescent="0.2">
      <c r="C58" s="21"/>
      <c r="D58" s="21"/>
      <c r="E58" s="19"/>
      <c r="F58" s="2"/>
      <c r="G58" s="3"/>
      <c r="H58" s="3"/>
      <c r="I58" s="4"/>
    </row>
    <row r="59" spans="3:9" x14ac:dyDescent="0.2">
      <c r="C59" s="21"/>
      <c r="D59" s="21"/>
      <c r="E59" s="20"/>
      <c r="F59" s="2"/>
      <c r="G59" s="3"/>
      <c r="H59" s="3"/>
      <c r="I59" s="4"/>
    </row>
    <row r="60" spans="3:9" x14ac:dyDescent="0.2">
      <c r="C60" s="21"/>
      <c r="D60" s="21"/>
      <c r="E60" s="19"/>
      <c r="F60" s="2"/>
      <c r="G60" s="3"/>
      <c r="H60" s="3"/>
      <c r="I60" s="4"/>
    </row>
    <row r="61" spans="3:9" x14ac:dyDescent="0.2">
      <c r="C61" s="21"/>
      <c r="D61" s="21"/>
      <c r="E61" s="20"/>
      <c r="F61" s="2"/>
      <c r="G61" s="3"/>
      <c r="H61" s="3"/>
      <c r="I61" s="4"/>
    </row>
    <row r="62" spans="3:9" x14ac:dyDescent="0.2">
      <c r="C62" s="21"/>
      <c r="D62" s="21"/>
      <c r="E62" s="19"/>
      <c r="F62" s="2"/>
      <c r="G62" s="3"/>
      <c r="H62" s="3"/>
      <c r="I62" s="4"/>
    </row>
    <row r="63" spans="3:9" x14ac:dyDescent="0.2">
      <c r="C63" s="21"/>
      <c r="D63" s="21"/>
      <c r="E63" s="20"/>
      <c r="F63" s="2"/>
      <c r="G63" s="3"/>
      <c r="H63" s="3"/>
      <c r="I63" s="4"/>
    </row>
    <row r="64" spans="3:9" x14ac:dyDescent="0.2">
      <c r="C64" s="21"/>
      <c r="D64" s="21"/>
      <c r="E64" s="19"/>
      <c r="F64" s="2"/>
      <c r="G64" s="3"/>
      <c r="H64" s="3"/>
      <c r="I64" s="4"/>
    </row>
    <row r="65" spans="3:9" x14ac:dyDescent="0.2">
      <c r="C65" s="21"/>
      <c r="D65" s="21"/>
      <c r="E65" s="20"/>
      <c r="F65" s="2"/>
      <c r="G65" s="3"/>
      <c r="H65" s="3"/>
      <c r="I65" s="4"/>
    </row>
    <row r="66" spans="3:9" x14ac:dyDescent="0.2">
      <c r="C66" s="21"/>
      <c r="D66" s="21"/>
      <c r="E66" s="19"/>
      <c r="F66" s="2"/>
      <c r="G66" s="3"/>
      <c r="H66" s="3"/>
      <c r="I66" s="4"/>
    </row>
    <row r="67" spans="3:9" x14ac:dyDescent="0.2">
      <c r="C67" s="21"/>
      <c r="D67" s="21"/>
      <c r="E67" s="20"/>
      <c r="F67" s="2"/>
      <c r="G67" s="3"/>
      <c r="H67" s="3"/>
      <c r="I67" s="4"/>
    </row>
    <row r="68" spans="3:9" x14ac:dyDescent="0.2">
      <c r="C68" s="21"/>
      <c r="D68" s="21"/>
      <c r="E68" s="19"/>
      <c r="F68" s="2"/>
      <c r="G68" s="3"/>
      <c r="H68" s="3"/>
      <c r="I68" s="4"/>
    </row>
    <row r="69" spans="3:9" x14ac:dyDescent="0.2">
      <c r="C69" s="21"/>
      <c r="D69" s="21"/>
      <c r="E69" s="20"/>
      <c r="F69" s="2"/>
      <c r="G69" s="3"/>
      <c r="H69" s="3"/>
      <c r="I69" s="4"/>
    </row>
    <row r="70" spans="3:9" x14ac:dyDescent="0.2">
      <c r="C70" s="21"/>
      <c r="D70" s="21"/>
      <c r="E70" s="19"/>
      <c r="F70" s="2"/>
      <c r="G70" s="3"/>
      <c r="H70" s="3"/>
      <c r="I70" s="4"/>
    </row>
    <row r="71" spans="3:9" x14ac:dyDescent="0.2">
      <c r="C71" s="21"/>
      <c r="D71" s="21"/>
      <c r="E71" s="20"/>
      <c r="F71" s="2"/>
      <c r="G71" s="3"/>
      <c r="H71" s="3"/>
      <c r="I71" s="4"/>
    </row>
    <row r="72" spans="3:9" x14ac:dyDescent="0.2">
      <c r="C72" s="21"/>
      <c r="D72" s="21"/>
      <c r="E72" s="19"/>
      <c r="F72" s="2"/>
      <c r="G72" s="3"/>
      <c r="H72" s="3"/>
      <c r="I72" s="4"/>
    </row>
    <row r="73" spans="3:9" x14ac:dyDescent="0.2">
      <c r="C73" s="21"/>
      <c r="D73" s="21"/>
      <c r="E73" s="20"/>
      <c r="F73" s="2"/>
      <c r="G73" s="3"/>
      <c r="H73" s="3"/>
      <c r="I73" s="4"/>
    </row>
    <row r="74" spans="3:9" x14ac:dyDescent="0.2">
      <c r="C74" s="21"/>
      <c r="D74" s="21"/>
      <c r="E74" s="19"/>
      <c r="F74" s="2"/>
      <c r="G74" s="3"/>
      <c r="H74" s="3"/>
      <c r="I74" s="4"/>
    </row>
    <row r="75" spans="3:9" x14ac:dyDescent="0.2">
      <c r="C75" s="21"/>
      <c r="D75" s="21"/>
      <c r="E75" s="20"/>
      <c r="F75" s="2"/>
      <c r="G75" s="3"/>
      <c r="H75" s="3"/>
      <c r="I75" s="4"/>
    </row>
    <row r="76" spans="3:9" x14ac:dyDescent="0.2">
      <c r="C76" s="21"/>
      <c r="D76" s="21"/>
      <c r="E76" s="19"/>
      <c r="F76" s="2"/>
      <c r="G76" s="3"/>
      <c r="H76" s="3"/>
      <c r="I76" s="4"/>
    </row>
    <row r="77" spans="3:9" x14ac:dyDescent="0.2">
      <c r="C77" s="21"/>
      <c r="D77" s="21"/>
      <c r="E77" s="20"/>
      <c r="F77" s="2"/>
      <c r="G77" s="3"/>
      <c r="H77" s="3"/>
      <c r="I77" s="4"/>
    </row>
    <row r="78" spans="3:9" x14ac:dyDescent="0.2">
      <c r="C78" s="21"/>
      <c r="D78" s="21"/>
      <c r="E78" s="19"/>
      <c r="F78" s="2"/>
      <c r="G78" s="3"/>
      <c r="H78" s="3"/>
      <c r="I78" s="4"/>
    </row>
    <row r="79" spans="3:9" x14ac:dyDescent="0.2">
      <c r="C79" s="21"/>
      <c r="D79" s="21"/>
      <c r="E79" s="20"/>
      <c r="F79" s="2"/>
      <c r="G79" s="3"/>
      <c r="H79" s="3"/>
      <c r="I79" s="4"/>
    </row>
    <row r="80" spans="3:9" x14ac:dyDescent="0.2">
      <c r="C80" s="21"/>
      <c r="D80" s="21"/>
      <c r="E80" s="19"/>
      <c r="F80" s="2"/>
      <c r="G80" s="3"/>
      <c r="H80" s="3"/>
      <c r="I80" s="4"/>
    </row>
    <row r="81" spans="3:9" x14ac:dyDescent="0.2">
      <c r="C81" s="21"/>
      <c r="D81" s="21"/>
      <c r="E81" s="20"/>
      <c r="F81" s="2"/>
      <c r="G81" s="3"/>
      <c r="H81" s="3"/>
      <c r="I81" s="4"/>
    </row>
    <row r="82" spans="3:9" x14ac:dyDescent="0.2">
      <c r="C82" s="21"/>
      <c r="D82" s="21"/>
      <c r="E82" s="19"/>
      <c r="F82" s="2"/>
      <c r="G82" s="3"/>
      <c r="H82" s="3"/>
      <c r="I82" s="4"/>
    </row>
    <row r="83" spans="3:9" x14ac:dyDescent="0.2">
      <c r="C83" s="21"/>
      <c r="D83" s="21"/>
      <c r="E83" s="20"/>
      <c r="F83" s="2"/>
      <c r="G83" s="3"/>
      <c r="H83" s="3"/>
      <c r="I83" s="4"/>
    </row>
    <row r="84" spans="3:9" x14ac:dyDescent="0.2">
      <c r="C84" s="21"/>
      <c r="D84" s="21"/>
      <c r="E84" s="19"/>
      <c r="F84" s="2"/>
      <c r="G84" s="3"/>
      <c r="H84" s="3"/>
      <c r="I84" s="4"/>
    </row>
    <row r="85" spans="3:9" x14ac:dyDescent="0.2">
      <c r="C85" s="21"/>
      <c r="D85" s="21"/>
      <c r="E85" s="20"/>
      <c r="F85" s="2"/>
      <c r="G85" s="3"/>
      <c r="H85" s="3"/>
      <c r="I85" s="4"/>
    </row>
    <row r="86" spans="3:9" x14ac:dyDescent="0.2">
      <c r="C86" s="21"/>
      <c r="D86" s="21"/>
      <c r="E86" s="19"/>
      <c r="F86" s="2"/>
      <c r="G86" s="3"/>
      <c r="H86" s="3"/>
      <c r="I86" s="4"/>
    </row>
    <row r="87" spans="3:9" x14ac:dyDescent="0.2">
      <c r="C87" s="21"/>
      <c r="D87" s="21"/>
      <c r="E87" s="20"/>
      <c r="F87" s="2"/>
      <c r="G87" s="3"/>
      <c r="H87" s="3"/>
      <c r="I87" s="4"/>
    </row>
    <row r="88" spans="3:9" x14ac:dyDescent="0.2">
      <c r="C88" s="21"/>
      <c r="D88" s="21"/>
      <c r="E88" s="19"/>
      <c r="F88" s="2"/>
      <c r="G88" s="3"/>
      <c r="H88" s="3"/>
      <c r="I88" s="4"/>
    </row>
    <row r="89" spans="3:9" x14ac:dyDescent="0.2">
      <c r="C89" s="21"/>
      <c r="D89" s="21"/>
      <c r="E89" s="20"/>
      <c r="F89" s="2"/>
      <c r="G89" s="3"/>
      <c r="H89" s="3"/>
      <c r="I89" s="4"/>
    </row>
    <row r="90" spans="3:9" x14ac:dyDescent="0.2">
      <c r="C90" s="21"/>
      <c r="D90" s="21"/>
      <c r="E90" s="19"/>
      <c r="F90" s="2"/>
      <c r="G90" s="3"/>
      <c r="H90" s="3"/>
      <c r="I90" s="4"/>
    </row>
    <row r="91" spans="3:9" x14ac:dyDescent="0.2">
      <c r="C91" s="21"/>
      <c r="D91" s="21"/>
      <c r="E91" s="20"/>
      <c r="F91" s="2"/>
      <c r="G91" s="3"/>
      <c r="H91" s="3"/>
      <c r="I91" s="4"/>
    </row>
    <row r="92" spans="3:9" x14ac:dyDescent="0.2">
      <c r="C92" s="21"/>
      <c r="D92" s="21"/>
      <c r="E92" s="19"/>
      <c r="F92" s="2"/>
      <c r="G92" s="3"/>
      <c r="H92" s="3"/>
      <c r="I92" s="4"/>
    </row>
    <row r="93" spans="3:9" x14ac:dyDescent="0.2">
      <c r="C93" s="21"/>
      <c r="D93" s="21"/>
      <c r="E93" s="20"/>
      <c r="F93" s="2"/>
      <c r="G93" s="3"/>
      <c r="H93" s="3"/>
      <c r="I93" s="4"/>
    </row>
    <row r="94" spans="3:9" x14ac:dyDescent="0.2">
      <c r="C94" s="21"/>
      <c r="D94" s="21"/>
      <c r="E94" s="19"/>
      <c r="F94" s="2"/>
      <c r="G94" s="3"/>
      <c r="H94" s="3"/>
      <c r="I94" s="4"/>
    </row>
    <row r="95" spans="3:9" x14ac:dyDescent="0.2">
      <c r="C95" s="21"/>
      <c r="D95" s="21"/>
      <c r="E95" s="20"/>
      <c r="F95" s="2"/>
      <c r="G95" s="3"/>
      <c r="H95" s="3"/>
      <c r="I95" s="4"/>
    </row>
    <row r="96" spans="3:9" x14ac:dyDescent="0.2">
      <c r="C96" s="21"/>
      <c r="D96" s="21"/>
      <c r="E96" s="19"/>
      <c r="F96" s="2"/>
      <c r="G96" s="3"/>
      <c r="H96" s="3"/>
      <c r="I96" s="4"/>
    </row>
    <row r="97" spans="3:9" x14ac:dyDescent="0.2">
      <c r="C97" s="21"/>
      <c r="D97" s="21"/>
      <c r="E97" s="20"/>
      <c r="F97" s="2"/>
      <c r="G97" s="3"/>
      <c r="H97" s="3"/>
      <c r="I97" s="4"/>
    </row>
    <row r="98" spans="3:9" x14ac:dyDescent="0.2">
      <c r="C98" s="21"/>
      <c r="D98" s="21"/>
      <c r="E98" s="19"/>
      <c r="F98" s="2"/>
      <c r="G98" s="3"/>
      <c r="H98" s="3"/>
      <c r="I98" s="4"/>
    </row>
    <row r="99" spans="3:9" x14ac:dyDescent="0.2">
      <c r="C99" s="21"/>
      <c r="D99" s="21"/>
      <c r="E99" s="20"/>
      <c r="F99" s="2"/>
      <c r="G99" s="3"/>
      <c r="H99" s="3"/>
      <c r="I99" s="4"/>
    </row>
    <row r="100" spans="3:9" x14ac:dyDescent="0.2">
      <c r="C100" s="21"/>
      <c r="D100" s="21"/>
      <c r="E100" s="19"/>
      <c r="F100" s="2"/>
      <c r="G100" s="3"/>
      <c r="H100" s="3"/>
      <c r="I100" s="4"/>
    </row>
    <row r="101" spans="3:9" x14ac:dyDescent="0.2">
      <c r="C101" s="21"/>
      <c r="D101" s="21"/>
      <c r="E101" s="20"/>
      <c r="F101" s="2"/>
      <c r="G101" s="3"/>
      <c r="H101" s="3"/>
      <c r="I101" s="4"/>
    </row>
    <row r="102" spans="3:9" x14ac:dyDescent="0.2">
      <c r="C102" s="21"/>
      <c r="D102" s="21"/>
      <c r="E102" s="19"/>
      <c r="F102" s="2"/>
      <c r="G102" s="3"/>
      <c r="H102" s="3"/>
      <c r="I102" s="4"/>
    </row>
    <row r="103" spans="3:9" x14ac:dyDescent="0.2">
      <c r="C103" s="21"/>
      <c r="D103" s="21"/>
      <c r="E103" s="20"/>
      <c r="F103" s="2"/>
      <c r="G103" s="3"/>
      <c r="H103" s="3"/>
      <c r="I103" s="4"/>
    </row>
    <row r="104" spans="3:9" x14ac:dyDescent="0.2">
      <c r="C104" s="21"/>
      <c r="D104" s="21"/>
      <c r="E104" s="19"/>
      <c r="F104" s="2"/>
      <c r="G104" s="3"/>
      <c r="H104" s="3"/>
      <c r="I104" s="4"/>
    </row>
    <row r="105" spans="3:9" x14ac:dyDescent="0.2">
      <c r="C105" s="21"/>
      <c r="D105" s="21"/>
      <c r="E105" s="20"/>
      <c r="F105" s="2"/>
      <c r="G105" s="3"/>
      <c r="H105" s="3"/>
      <c r="I105" s="4"/>
    </row>
    <row r="106" spans="3:9" x14ac:dyDescent="0.2">
      <c r="C106" s="21"/>
      <c r="D106" s="21"/>
      <c r="E106" s="19"/>
      <c r="F106" s="2"/>
      <c r="G106" s="3"/>
      <c r="H106" s="3"/>
      <c r="I106" s="4"/>
    </row>
    <row r="107" spans="3:9" x14ac:dyDescent="0.2">
      <c r="C107" s="21"/>
      <c r="D107" s="21"/>
      <c r="E107" s="20"/>
      <c r="F107" s="2"/>
      <c r="G107" s="3"/>
      <c r="H107" s="3"/>
      <c r="I107" s="4"/>
    </row>
    <row r="108" spans="3:9" x14ac:dyDescent="0.2">
      <c r="C108" s="21"/>
      <c r="D108" s="21"/>
      <c r="E108" s="19"/>
      <c r="F108" s="2"/>
      <c r="G108" s="3"/>
      <c r="H108" s="3"/>
      <c r="I108" s="4"/>
    </row>
    <row r="109" spans="3:9" x14ac:dyDescent="0.2">
      <c r="C109" s="21"/>
      <c r="D109" s="21"/>
      <c r="E109" s="20"/>
      <c r="F109" s="2"/>
      <c r="G109" s="3"/>
      <c r="H109" s="3"/>
      <c r="I109" s="4"/>
    </row>
    <row r="110" spans="3:9" x14ac:dyDescent="0.2">
      <c r="C110" s="21"/>
      <c r="D110" s="21"/>
      <c r="E110" s="19"/>
      <c r="F110" s="2"/>
      <c r="G110" s="3"/>
      <c r="H110" s="3"/>
      <c r="I110" s="4"/>
    </row>
    <row r="111" spans="3:9" x14ac:dyDescent="0.2">
      <c r="C111" s="21"/>
      <c r="D111" s="21"/>
      <c r="E111" s="20"/>
      <c r="F111" s="2"/>
      <c r="G111" s="3"/>
      <c r="H111" s="3"/>
      <c r="I111" s="4"/>
    </row>
    <row r="112" spans="3:9" x14ac:dyDescent="0.2">
      <c r="C112" s="21"/>
      <c r="D112" s="21"/>
      <c r="E112" s="19"/>
      <c r="F112" s="2"/>
      <c r="G112" s="3"/>
      <c r="H112" s="3"/>
      <c r="I112" s="4"/>
    </row>
    <row r="113" spans="3:9" x14ac:dyDescent="0.2">
      <c r="C113" s="21"/>
      <c r="D113" s="21"/>
      <c r="E113" s="20"/>
      <c r="F113" s="2"/>
      <c r="G113" s="3"/>
      <c r="H113" s="3"/>
      <c r="I113" s="4"/>
    </row>
    <row r="114" spans="3:9" x14ac:dyDescent="0.2">
      <c r="C114" s="21"/>
      <c r="D114" s="21"/>
      <c r="E114" s="19"/>
      <c r="F114" s="2"/>
      <c r="G114" s="3"/>
      <c r="H114" s="3"/>
      <c r="I114" s="4"/>
    </row>
    <row r="115" spans="3:9" x14ac:dyDescent="0.2">
      <c r="C115" s="21"/>
      <c r="D115" s="21"/>
      <c r="E115" s="20"/>
      <c r="F115" s="2"/>
      <c r="G115" s="3"/>
      <c r="H115" s="3"/>
      <c r="I115" s="4"/>
    </row>
    <row r="116" spans="3:9" x14ac:dyDescent="0.2">
      <c r="C116" s="21"/>
      <c r="D116" s="21"/>
      <c r="E116" s="19"/>
      <c r="F116" s="2"/>
      <c r="G116" s="3"/>
      <c r="H116" s="3"/>
      <c r="I116" s="4"/>
    </row>
    <row r="117" spans="3:9" x14ac:dyDescent="0.2">
      <c r="C117" s="21"/>
      <c r="D117" s="21"/>
      <c r="E117" s="20"/>
      <c r="F117" s="2"/>
      <c r="G117" s="3"/>
      <c r="H117" s="3"/>
      <c r="I117" s="4"/>
    </row>
    <row r="118" spans="3:9" x14ac:dyDescent="0.2">
      <c r="C118" s="21"/>
      <c r="D118" s="21"/>
      <c r="E118" s="19"/>
      <c r="F118" s="2"/>
      <c r="G118" s="3"/>
      <c r="H118" s="3"/>
      <c r="I118" s="4"/>
    </row>
    <row r="119" spans="3:9" x14ac:dyDescent="0.2">
      <c r="C119" s="21"/>
      <c r="D119" s="21"/>
      <c r="E119" s="20"/>
      <c r="F119" s="2"/>
      <c r="G119" s="3"/>
      <c r="H119" s="3"/>
      <c r="I119" s="4"/>
    </row>
    <row r="120" spans="3:9" x14ac:dyDescent="0.2">
      <c r="C120" s="21"/>
      <c r="D120" s="21"/>
      <c r="E120" s="19"/>
      <c r="F120" s="2"/>
      <c r="G120" s="3"/>
      <c r="H120" s="3"/>
      <c r="I120" s="4"/>
    </row>
    <row r="121" spans="3:9" x14ac:dyDescent="0.2">
      <c r="C121" s="21"/>
      <c r="D121" s="21"/>
      <c r="E121" s="20"/>
      <c r="F121" s="2"/>
      <c r="G121" s="3"/>
      <c r="H121" s="3"/>
      <c r="I121" s="4"/>
    </row>
    <row r="122" spans="3:9" x14ac:dyDescent="0.2">
      <c r="C122" s="21"/>
      <c r="D122" s="21"/>
      <c r="E122" s="19"/>
      <c r="F122" s="2"/>
      <c r="G122" s="3"/>
      <c r="H122" s="3"/>
      <c r="I122" s="4"/>
    </row>
    <row r="123" spans="3:9" x14ac:dyDescent="0.2">
      <c r="C123" s="21"/>
      <c r="D123" s="21"/>
      <c r="E123" s="20"/>
      <c r="F123" s="2"/>
      <c r="G123" s="3"/>
      <c r="H123" s="3"/>
      <c r="I123" s="4"/>
    </row>
    <row r="124" spans="3:9" x14ac:dyDescent="0.2">
      <c r="C124" s="21"/>
      <c r="D124" s="21"/>
      <c r="E124" s="19"/>
      <c r="F124" s="2"/>
      <c r="G124" s="3"/>
      <c r="H124" s="3"/>
      <c r="I124" s="4"/>
    </row>
    <row r="125" spans="3:9" x14ac:dyDescent="0.2">
      <c r="C125" s="21"/>
      <c r="D125" s="21"/>
      <c r="E125" s="20"/>
      <c r="F125" s="2"/>
      <c r="G125" s="3"/>
      <c r="H125" s="3"/>
      <c r="I125" s="4"/>
    </row>
    <row r="126" spans="3:9" x14ac:dyDescent="0.2">
      <c r="C126" s="21"/>
      <c r="D126" s="21"/>
      <c r="E126" s="19"/>
      <c r="F126" s="2"/>
      <c r="G126" s="3"/>
      <c r="H126" s="3"/>
      <c r="I126" s="4"/>
    </row>
    <row r="127" spans="3:9" x14ac:dyDescent="0.2">
      <c r="C127" s="21"/>
      <c r="D127" s="21"/>
      <c r="E127" s="20"/>
      <c r="F127" s="2"/>
      <c r="G127" s="3"/>
      <c r="H127" s="3"/>
      <c r="I127" s="4"/>
    </row>
    <row r="128" spans="3:9" x14ac:dyDescent="0.2">
      <c r="C128" s="21"/>
      <c r="D128" s="21"/>
      <c r="E128" s="19"/>
      <c r="F128" s="2"/>
      <c r="G128" s="3"/>
      <c r="H128" s="3"/>
      <c r="I128" s="4"/>
    </row>
    <row r="129" spans="3:9" x14ac:dyDescent="0.2">
      <c r="C129" s="21"/>
      <c r="D129" s="21"/>
      <c r="E129" s="20"/>
      <c r="F129" s="2"/>
      <c r="G129" s="3"/>
      <c r="H129" s="3"/>
      <c r="I129" s="4"/>
    </row>
    <row r="130" spans="3:9" x14ac:dyDescent="0.2">
      <c r="C130" s="21"/>
      <c r="D130" s="21"/>
      <c r="E130" s="19"/>
      <c r="F130" s="2"/>
      <c r="G130" s="3"/>
      <c r="H130" s="3"/>
      <c r="I130" s="4"/>
    </row>
    <row r="131" spans="3:9" x14ac:dyDescent="0.2">
      <c r="C131" s="21"/>
      <c r="D131" s="21"/>
      <c r="E131" s="20"/>
      <c r="F131" s="2"/>
      <c r="G131" s="3"/>
      <c r="H131" s="3"/>
      <c r="I131" s="4"/>
    </row>
    <row r="132" spans="3:9" x14ac:dyDescent="0.2">
      <c r="C132" s="21"/>
      <c r="D132" s="21"/>
      <c r="E132" s="19"/>
      <c r="F132" s="2"/>
      <c r="G132" s="3"/>
      <c r="H132" s="3"/>
      <c r="I132" s="4"/>
    </row>
    <row r="133" spans="3:9" x14ac:dyDescent="0.2">
      <c r="C133" s="21"/>
      <c r="D133" s="21"/>
      <c r="E133" s="20"/>
      <c r="F133" s="2"/>
      <c r="G133" s="3"/>
      <c r="H133" s="3"/>
      <c r="I133" s="4"/>
    </row>
    <row r="134" spans="3:9" x14ac:dyDescent="0.2">
      <c r="C134" s="21"/>
      <c r="D134" s="21"/>
      <c r="E134" s="19"/>
      <c r="F134" s="2"/>
      <c r="G134" s="3"/>
      <c r="H134" s="3"/>
      <c r="I134" s="4"/>
    </row>
    <row r="135" spans="3:9" x14ac:dyDescent="0.2">
      <c r="C135" s="21"/>
      <c r="D135" s="21"/>
      <c r="E135" s="20"/>
      <c r="F135" s="2"/>
      <c r="G135" s="3"/>
      <c r="H135" s="3"/>
      <c r="I135" s="4"/>
    </row>
    <row r="136" spans="3:9" x14ac:dyDescent="0.2">
      <c r="C136" s="21"/>
      <c r="D136" s="21"/>
      <c r="E136" s="19"/>
      <c r="F136" s="2"/>
      <c r="G136" s="3"/>
      <c r="H136" s="3"/>
      <c r="I136" s="4"/>
    </row>
    <row r="137" spans="3:9" x14ac:dyDescent="0.2">
      <c r="C137" s="21"/>
      <c r="D137" s="21"/>
      <c r="E137" s="20"/>
      <c r="F137" s="2"/>
      <c r="G137" s="3"/>
      <c r="H137" s="3"/>
      <c r="I137" s="4"/>
    </row>
    <row r="138" spans="3:9" x14ac:dyDescent="0.2">
      <c r="C138" s="21"/>
      <c r="D138" s="21"/>
      <c r="E138" s="19"/>
      <c r="F138" s="2"/>
      <c r="G138" s="3"/>
      <c r="H138" s="3"/>
      <c r="I138" s="4"/>
    </row>
    <row r="139" spans="3:9" x14ac:dyDescent="0.2">
      <c r="C139" s="21"/>
      <c r="D139" s="21"/>
      <c r="E139" s="20"/>
      <c r="F139" s="2"/>
      <c r="G139" s="3"/>
      <c r="H139" s="3"/>
      <c r="I139" s="4"/>
    </row>
    <row r="140" spans="3:9" x14ac:dyDescent="0.2">
      <c r="C140" s="21"/>
      <c r="D140" s="21"/>
      <c r="E140" s="19"/>
      <c r="F140" s="2"/>
      <c r="G140" s="3"/>
      <c r="H140" s="3"/>
      <c r="I140" s="4"/>
    </row>
    <row r="141" spans="3:9" x14ac:dyDescent="0.2">
      <c r="C141" s="21"/>
      <c r="D141" s="21"/>
      <c r="E141" s="20"/>
      <c r="F141" s="2"/>
      <c r="G141" s="3"/>
      <c r="H141" s="3"/>
      <c r="I141" s="4"/>
    </row>
    <row r="142" spans="3:9" x14ac:dyDescent="0.2">
      <c r="C142" s="21"/>
      <c r="D142" s="21"/>
      <c r="E142" s="19"/>
      <c r="F142" s="2"/>
      <c r="G142" s="3"/>
      <c r="H142" s="3"/>
      <c r="I142" s="4"/>
    </row>
    <row r="143" spans="3:9" x14ac:dyDescent="0.2">
      <c r="C143" s="21"/>
      <c r="D143" s="21"/>
      <c r="E143" s="20"/>
      <c r="F143" s="2"/>
      <c r="G143" s="3"/>
      <c r="H143" s="3"/>
      <c r="I143" s="4"/>
    </row>
    <row r="144" spans="3:9" x14ac:dyDescent="0.2">
      <c r="C144" s="21"/>
      <c r="D144" s="21"/>
      <c r="E144" s="19"/>
      <c r="F144" s="2"/>
      <c r="G144" s="3"/>
      <c r="H144" s="3"/>
      <c r="I144" s="4"/>
    </row>
    <row r="145" spans="3:9" x14ac:dyDescent="0.2">
      <c r="C145" s="21"/>
      <c r="D145" s="21"/>
      <c r="E145" s="20"/>
      <c r="F145" s="2"/>
      <c r="G145" s="3"/>
      <c r="H145" s="3"/>
      <c r="I145" s="4"/>
    </row>
    <row r="146" spans="3:9" x14ac:dyDescent="0.2">
      <c r="C146" s="21"/>
      <c r="D146" s="21"/>
      <c r="E146" s="19"/>
      <c r="F146" s="2"/>
      <c r="G146" s="3"/>
      <c r="H146" s="3"/>
      <c r="I146" s="4"/>
    </row>
    <row r="147" spans="3:9" x14ac:dyDescent="0.2">
      <c r="C147" s="21"/>
      <c r="D147" s="21"/>
      <c r="E147" s="20"/>
      <c r="F147" s="2"/>
      <c r="G147" s="3"/>
      <c r="H147" s="3"/>
      <c r="I147" s="4"/>
    </row>
    <row r="148" spans="3:9" x14ac:dyDescent="0.2">
      <c r="C148" s="21"/>
      <c r="D148" s="21"/>
      <c r="E148" s="19"/>
      <c r="F148" s="2"/>
      <c r="G148" s="3"/>
      <c r="H148" s="3"/>
      <c r="I148" s="4"/>
    </row>
    <row r="149" spans="3:9" x14ac:dyDescent="0.2">
      <c r="C149" s="21"/>
      <c r="D149" s="21"/>
      <c r="E149" s="20"/>
      <c r="F149" s="2"/>
      <c r="G149" s="3"/>
      <c r="H149" s="3"/>
      <c r="I149" s="4"/>
    </row>
    <row r="150" spans="3:9" x14ac:dyDescent="0.2">
      <c r="C150" s="21"/>
      <c r="D150" s="21"/>
      <c r="E150" s="19"/>
      <c r="F150" s="2"/>
      <c r="G150" s="3"/>
      <c r="H150" s="3"/>
      <c r="I150" s="4"/>
    </row>
    <row r="151" spans="3:9" x14ac:dyDescent="0.2">
      <c r="C151" s="21"/>
      <c r="D151" s="21"/>
      <c r="E151" s="20"/>
      <c r="F151" s="2"/>
      <c r="G151" s="3"/>
      <c r="H151" s="3"/>
      <c r="I151" s="4"/>
    </row>
    <row r="152" spans="3:9" x14ac:dyDescent="0.2">
      <c r="C152" s="21"/>
      <c r="D152" s="21"/>
      <c r="E152" s="19"/>
      <c r="F152" s="2"/>
      <c r="G152" s="3"/>
      <c r="H152" s="3"/>
      <c r="I152" s="4"/>
    </row>
    <row r="153" spans="3:9" x14ac:dyDescent="0.2">
      <c r="C153" s="21"/>
      <c r="D153" s="21"/>
      <c r="E153" s="20"/>
      <c r="F153" s="2"/>
      <c r="G153" s="3"/>
      <c r="H153" s="3"/>
      <c r="I153" s="4"/>
    </row>
    <row r="154" spans="3:9" x14ac:dyDescent="0.2">
      <c r="C154" s="21"/>
      <c r="D154" s="21"/>
      <c r="E154" s="19"/>
      <c r="F154" s="2"/>
      <c r="G154" s="3"/>
      <c r="H154" s="3"/>
      <c r="I154" s="4"/>
    </row>
    <row r="155" spans="3:9" x14ac:dyDescent="0.2">
      <c r="C155" s="21"/>
      <c r="D155" s="21"/>
      <c r="E155" s="20"/>
      <c r="F155" s="2"/>
      <c r="G155" s="3"/>
      <c r="H155" s="3"/>
      <c r="I155" s="4"/>
    </row>
    <row r="156" spans="3:9" x14ac:dyDescent="0.2">
      <c r="C156" s="21"/>
      <c r="D156" s="21"/>
      <c r="E156" s="19"/>
      <c r="F156" s="2"/>
      <c r="G156" s="3"/>
      <c r="H156" s="3"/>
      <c r="I156" s="4"/>
    </row>
    <row r="157" spans="3:9" x14ac:dyDescent="0.2">
      <c r="C157" s="21"/>
      <c r="D157" s="21"/>
      <c r="E157" s="20"/>
      <c r="F157" s="2"/>
      <c r="G157" s="3"/>
      <c r="H157" s="3"/>
      <c r="I157" s="4"/>
    </row>
    <row r="158" spans="3:9" x14ac:dyDescent="0.2">
      <c r="C158" s="21"/>
      <c r="D158" s="21"/>
      <c r="E158" s="19"/>
      <c r="F158" s="2"/>
      <c r="G158" s="3"/>
      <c r="H158" s="3"/>
      <c r="I158" s="4"/>
    </row>
    <row r="159" spans="3:9" x14ac:dyDescent="0.2">
      <c r="C159" s="21"/>
      <c r="D159" s="21"/>
      <c r="E159" s="20"/>
      <c r="F159" s="2"/>
      <c r="G159" s="3"/>
      <c r="H159" s="3"/>
      <c r="I159" s="4"/>
    </row>
    <row r="160" spans="3:9" x14ac:dyDescent="0.2">
      <c r="C160" s="21"/>
      <c r="D160" s="21"/>
      <c r="E160" s="19"/>
      <c r="F160" s="2"/>
      <c r="G160" s="3"/>
      <c r="H160" s="3"/>
      <c r="I160" s="4"/>
    </row>
    <row r="161" spans="3:9" x14ac:dyDescent="0.2">
      <c r="C161" s="21"/>
      <c r="D161" s="21"/>
      <c r="E161" s="20"/>
      <c r="F161" s="2"/>
      <c r="G161" s="3"/>
      <c r="H161" s="3"/>
      <c r="I161" s="4"/>
    </row>
    <row r="162" spans="3:9" x14ac:dyDescent="0.2">
      <c r="C162" s="21"/>
      <c r="D162" s="21"/>
      <c r="E162" s="19"/>
      <c r="F162" s="2"/>
      <c r="G162" s="3"/>
      <c r="H162" s="3"/>
      <c r="I162" s="4"/>
    </row>
    <row r="163" spans="3:9" x14ac:dyDescent="0.2">
      <c r="C163" s="21"/>
      <c r="D163" s="21"/>
      <c r="E163" s="20"/>
      <c r="F163" s="2"/>
      <c r="G163" s="3"/>
      <c r="H163" s="3"/>
      <c r="I163" s="4"/>
    </row>
    <row r="164" spans="3:9" x14ac:dyDescent="0.2">
      <c r="C164" s="21"/>
      <c r="D164" s="21"/>
      <c r="E164" s="19"/>
      <c r="F164" s="2"/>
      <c r="G164" s="3"/>
      <c r="H164" s="3"/>
      <c r="I164" s="4"/>
    </row>
    <row r="165" spans="3:9" x14ac:dyDescent="0.2">
      <c r="C165" s="21"/>
      <c r="D165" s="21"/>
      <c r="E165" s="20"/>
      <c r="F165" s="2"/>
      <c r="G165" s="3"/>
      <c r="H165" s="3"/>
      <c r="I165" s="4"/>
    </row>
    <row r="166" spans="3:9" x14ac:dyDescent="0.2">
      <c r="C166" s="21"/>
      <c r="D166" s="21"/>
      <c r="E166" s="19"/>
      <c r="F166" s="2"/>
      <c r="G166" s="3"/>
      <c r="H166" s="3"/>
      <c r="I166" s="4"/>
    </row>
    <row r="167" spans="3:9" x14ac:dyDescent="0.2">
      <c r="C167" s="21"/>
      <c r="D167" s="21"/>
      <c r="E167" s="20"/>
      <c r="F167" s="2"/>
      <c r="G167" s="3"/>
      <c r="H167" s="3"/>
      <c r="I167" s="4"/>
    </row>
    <row r="168" spans="3:9" x14ac:dyDescent="0.2">
      <c r="C168" s="21"/>
      <c r="D168" s="21"/>
      <c r="E168" s="19"/>
      <c r="F168" s="2"/>
      <c r="G168" s="3"/>
      <c r="H168" s="3"/>
      <c r="I168" s="4"/>
    </row>
    <row r="169" spans="3:9" x14ac:dyDescent="0.2">
      <c r="C169" s="21"/>
      <c r="D169" s="21"/>
      <c r="E169" s="20"/>
      <c r="F169" s="2"/>
      <c r="G169" s="3"/>
      <c r="H169" s="3"/>
      <c r="I169" s="4"/>
    </row>
    <row r="170" spans="3:9" x14ac:dyDescent="0.2">
      <c r="C170" s="21"/>
      <c r="D170" s="21"/>
      <c r="E170" s="19"/>
      <c r="F170" s="2"/>
      <c r="G170" s="3"/>
      <c r="H170" s="3"/>
      <c r="I170" s="4"/>
    </row>
    <row r="171" spans="3:9" x14ac:dyDescent="0.2">
      <c r="C171" s="21"/>
      <c r="D171" s="21"/>
      <c r="E171" s="20"/>
      <c r="F171" s="2"/>
      <c r="G171" s="3"/>
      <c r="H171" s="3"/>
      <c r="I171" s="4"/>
    </row>
    <row r="172" spans="3:9" x14ac:dyDescent="0.2">
      <c r="C172" s="21"/>
      <c r="D172" s="21"/>
      <c r="E172" s="19"/>
      <c r="F172" s="2"/>
      <c r="G172" s="3"/>
      <c r="H172" s="3"/>
      <c r="I172" s="4"/>
    </row>
    <row r="173" spans="3:9" x14ac:dyDescent="0.2">
      <c r="C173" s="21"/>
      <c r="D173" s="21"/>
      <c r="E173" s="20"/>
      <c r="F173" s="2"/>
      <c r="G173" s="3"/>
      <c r="H173" s="3"/>
      <c r="I173" s="4"/>
    </row>
    <row r="174" spans="3:9" x14ac:dyDescent="0.2">
      <c r="C174" s="21"/>
      <c r="D174" s="21"/>
      <c r="E174" s="19"/>
      <c r="F174" s="2"/>
      <c r="G174" s="3"/>
      <c r="H174" s="3"/>
      <c r="I174" s="4"/>
    </row>
    <row r="175" spans="3:9" x14ac:dyDescent="0.2">
      <c r="C175" s="21"/>
      <c r="D175" s="21"/>
      <c r="E175" s="20"/>
      <c r="F175" s="2"/>
      <c r="G175" s="3"/>
      <c r="H175" s="3"/>
      <c r="I175" s="4"/>
    </row>
    <row r="176" spans="3:9" x14ac:dyDescent="0.2">
      <c r="C176" s="21"/>
      <c r="D176" s="21"/>
      <c r="E176" s="19"/>
      <c r="F176" s="2"/>
      <c r="G176" s="3"/>
      <c r="H176" s="3"/>
      <c r="I176" s="4"/>
    </row>
    <row r="177" spans="3:9" x14ac:dyDescent="0.2">
      <c r="C177" s="21"/>
      <c r="D177" s="21"/>
      <c r="E177" s="20"/>
      <c r="F177" s="2"/>
      <c r="G177" s="3"/>
      <c r="H177" s="3"/>
      <c r="I177" s="4"/>
    </row>
    <row r="178" spans="3:9" x14ac:dyDescent="0.2">
      <c r="C178" s="21"/>
      <c r="D178" s="21"/>
      <c r="E178" s="19"/>
      <c r="F178" s="2"/>
      <c r="G178" s="3"/>
      <c r="H178" s="3"/>
      <c r="I178" s="4"/>
    </row>
    <row r="179" spans="3:9" x14ac:dyDescent="0.2">
      <c r="C179" s="21"/>
      <c r="D179" s="21"/>
      <c r="E179" s="20"/>
      <c r="F179" s="2"/>
      <c r="G179" s="3"/>
      <c r="H179" s="3"/>
      <c r="I179" s="4"/>
    </row>
    <row r="180" spans="3:9" x14ac:dyDescent="0.2">
      <c r="C180" s="21"/>
      <c r="D180" s="21"/>
      <c r="E180" s="19"/>
      <c r="F180" s="2"/>
      <c r="G180" s="3"/>
      <c r="H180" s="3"/>
      <c r="I180" s="4"/>
    </row>
    <row r="181" spans="3:9" x14ac:dyDescent="0.2">
      <c r="C181" s="21"/>
      <c r="D181" s="21"/>
      <c r="E181" s="20"/>
      <c r="F181" s="2"/>
      <c r="G181" s="3"/>
      <c r="H181" s="3"/>
      <c r="I181" s="4"/>
    </row>
    <row r="182" spans="3:9" x14ac:dyDescent="0.2">
      <c r="C182" s="21"/>
      <c r="D182" s="21"/>
      <c r="E182" s="19"/>
      <c r="F182" s="2"/>
      <c r="G182" s="3"/>
      <c r="H182" s="3"/>
      <c r="I182" s="4"/>
    </row>
    <row r="183" spans="3:9" x14ac:dyDescent="0.2">
      <c r="C183" s="21"/>
      <c r="D183" s="21"/>
      <c r="E183" s="20"/>
      <c r="F183" s="2"/>
      <c r="G183" s="3"/>
      <c r="H183" s="3"/>
      <c r="I183" s="4"/>
    </row>
    <row r="184" spans="3:9" x14ac:dyDescent="0.2">
      <c r="C184" s="21"/>
      <c r="D184" s="21"/>
      <c r="E184" s="19"/>
      <c r="F184" s="2"/>
      <c r="G184" s="3"/>
      <c r="H184" s="3"/>
      <c r="I184" s="4"/>
    </row>
    <row r="185" spans="3:9" x14ac:dyDescent="0.2">
      <c r="C185" s="21"/>
      <c r="D185" s="21"/>
      <c r="E185" s="20"/>
      <c r="F185" s="2"/>
      <c r="G185" s="3"/>
      <c r="H185" s="3"/>
      <c r="I185" s="4"/>
    </row>
    <row r="186" spans="3:9" x14ac:dyDescent="0.2">
      <c r="C186" s="21"/>
      <c r="D186" s="21"/>
      <c r="E186" s="19"/>
      <c r="F186" s="2"/>
      <c r="G186" s="3"/>
      <c r="H186" s="3"/>
      <c r="I186" s="4"/>
    </row>
    <row r="187" spans="3:9" x14ac:dyDescent="0.2">
      <c r="C187" s="21"/>
      <c r="D187" s="21"/>
      <c r="E187" s="20"/>
      <c r="F187" s="2"/>
      <c r="G187" s="3"/>
      <c r="H187" s="3"/>
      <c r="I187" s="4"/>
    </row>
    <row r="188" spans="3:9" x14ac:dyDescent="0.2">
      <c r="C188" s="21"/>
      <c r="D188" s="21"/>
      <c r="E188" s="19"/>
      <c r="F188" s="2"/>
      <c r="G188" s="3"/>
      <c r="H188" s="3"/>
      <c r="I188" s="4"/>
    </row>
    <row r="189" spans="3:9" x14ac:dyDescent="0.2">
      <c r="C189" s="21"/>
      <c r="D189" s="21"/>
      <c r="E189" s="20"/>
      <c r="F189" s="2"/>
      <c r="G189" s="3"/>
      <c r="H189" s="3"/>
      <c r="I189" s="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A277"/>
  <sheetViews>
    <sheetView showGridLines="0" tabSelected="1" topLeftCell="A4" workbookViewId="0">
      <selection activeCell="E21" sqref="E21"/>
    </sheetView>
  </sheetViews>
  <sheetFormatPr baseColWidth="10" defaultRowHeight="12.75" x14ac:dyDescent="0.2"/>
  <cols>
    <col min="4" max="4" width="17.375" bestFit="1" customWidth="1"/>
  </cols>
  <sheetData>
    <row r="1" spans="1:79" x14ac:dyDescent="0.2">
      <c r="CA1" s="31">
        <f>MATCH(J11,D:D, 0)</f>
        <v>14</v>
      </c>
    </row>
    <row r="3" spans="1:79" x14ac:dyDescent="0.2">
      <c r="A3" s="11"/>
      <c r="B3" s="12"/>
      <c r="C3" s="12"/>
      <c r="D3" s="13"/>
      <c r="E3" s="13"/>
      <c r="F3" s="13"/>
      <c r="G3" s="13"/>
      <c r="H3" s="14"/>
      <c r="I3" s="11"/>
    </row>
    <row r="4" spans="1:79" x14ac:dyDescent="0.2">
      <c r="A4" s="15"/>
      <c r="B4" s="16"/>
      <c r="C4" s="16"/>
      <c r="D4" s="17"/>
      <c r="E4" s="17"/>
      <c r="F4" s="17"/>
      <c r="G4" s="17"/>
      <c r="H4" s="18"/>
      <c r="I4" s="15"/>
    </row>
    <row r="5" spans="1:79" ht="15.75" x14ac:dyDescent="0.2">
      <c r="B5" s="10"/>
      <c r="C5" s="10"/>
    </row>
    <row r="6" spans="1:79" ht="15.75" x14ac:dyDescent="0.2">
      <c r="B6" s="10" t="s">
        <v>8</v>
      </c>
      <c r="C6" s="10"/>
    </row>
    <row r="9" spans="1:79" ht="22.5" x14ac:dyDescent="0.2">
      <c r="C9" s="6" t="s">
        <v>6</v>
      </c>
      <c r="D9" s="6" t="s">
        <v>0</v>
      </c>
      <c r="E9" s="6" t="s">
        <v>1</v>
      </c>
      <c r="F9" s="7" t="s">
        <v>2</v>
      </c>
      <c r="G9" s="8" t="s">
        <v>3</v>
      </c>
      <c r="H9" s="9" t="s">
        <v>4</v>
      </c>
    </row>
    <row r="10" spans="1:79" ht="13.5" thickBot="1" x14ac:dyDescent="0.25">
      <c r="B10" s="23"/>
      <c r="C10" s="24" t="s">
        <v>9</v>
      </c>
      <c r="D10" s="1" t="s">
        <v>10</v>
      </c>
      <c r="E10" s="2">
        <v>12.057299021356267</v>
      </c>
      <c r="F10" s="3">
        <f>-0.0000114449180105715*E10 ^ 6 + 0.00198720298992263*E10 ^ 5 + -0.0363613602903529*E10 ^ 4 + 0.248061764544918*E10 ^ 3 + -1.07425350742515*E10 ^ 2 + -1.10936671546761*E10 ^ 1 + 31.9899936699484</f>
        <v>8.2472293417268361E-4</v>
      </c>
      <c r="G10" s="3">
        <f>5.47909333464009E-06*E10 ^ 6 + -0.000116003287943246*E10 ^ 5 + 0.00101322535602813*E10 ^ 4 + -0.00467369649105274*E10 ^ 3 + 0.00199968923234636*E10 ^ 2 + 0.0807709136218752*E10 ^ 1 + 0.232000045366538</f>
        <v>1.9923592963714734</v>
      </c>
      <c r="H10" s="4">
        <f>0.00381146572349863*E10 ^ 6 + -0.091865598998691*E10 ^ 5 + 0.670896959641589*E10 ^ 4 + -0.463905292129824*E10 ^ 3 + -4.5046524763383*E10 ^ 2 + -38.6297526232062*E10 ^ 1 + 3479.00174659476</f>
        <v>4025.3862323355902</v>
      </c>
    </row>
    <row r="11" spans="1:79" ht="13.5" thickBot="1" x14ac:dyDescent="0.25">
      <c r="B11" s="23"/>
      <c r="C11" s="24" t="s">
        <v>14</v>
      </c>
      <c r="D11" s="1" t="s">
        <v>11</v>
      </c>
      <c r="E11" s="2">
        <v>19.572223440148118</v>
      </c>
      <c r="F11" s="3">
        <f>0.000356878678960565*E11 ^ 6 + -0.0114367599504801*E11 ^ 5 + 0.108158679140633*E11 ^ 4 + -0.415306857933699*E11 ^ 3 + 0.0824879288490292*E11 ^ 2 + -2.65568591109664*E11 ^ 1 + 48.720178876835</f>
        <v>2.8656354515987914E-6</v>
      </c>
      <c r="G11" s="3">
        <f>3.86128040840046E-06*E11 ^ 6 + -0.0000782022731918024*E11 ^ 5 + 0.00085001061864705*E11 ^ 4 + -0.00636648516158318*E11 ^ 3 + 0.0107346201293171*E11 ^ 2 + 0.110842777389819*E11 ^ 1 + 0.328001620117654</f>
        <v>76.061318311152945</v>
      </c>
      <c r="H11" s="4">
        <f>-0.0012593113507324*E11 ^ 6 + 0.0190737434935876*E11 ^ 5 + -0.168319068284032*E11 ^ 4 + 1.88570486592698*E11 ^ 3 + -4.13454611752917*E11 ^ 2 + -49.642383479935*E11 ^ 1 + 3476.00529912344</f>
        <v>-25649.562066610015</v>
      </c>
      <c r="J11" s="30" t="s">
        <v>35</v>
      </c>
    </row>
    <row r="12" spans="1:79" x14ac:dyDescent="0.2">
      <c r="C12" s="24" t="s">
        <v>16</v>
      </c>
      <c r="D12" s="1" t="s">
        <v>12</v>
      </c>
      <c r="E12" s="2">
        <v>7.0708897076938584</v>
      </c>
      <c r="F12" s="3">
        <f>-0.0000273516376816421*E12 ^ 6 + -0.0111596795100454*E12 ^ 5 + 0.158002222158535*E12 ^ 4 + -0.771411569087428*E12 ^ 3 + 0.774832748277012*E12 ^ 2 + -3.70958845416779*E12 ^ 1 + 65.9099110110461</f>
        <v>-2.2764801087760134E-5</v>
      </c>
      <c r="G12" s="3">
        <f>-0.0000193307581162111*E12 ^ 6 + 0.000380469847797012*E12 ^ 5 + -0.00264560190182296*E12 ^ 4 + 0.00581668555622571*E12 ^ 3 + -0.012784901197006*E12 ^ 2 + 0.188450894119424*E12 ^ 1 + 0.448980635642281</f>
        <v>0.89429198380612784</v>
      </c>
      <c r="H12" s="4">
        <f>0.0185061692167799*E12 ^ 6 + -0.363106112162224*E12 ^ 5 + 2.60522474382104*E12 ^ 4 + -7.75757598508294*E12 ^ 3 + 10.6042725743099*E12 ^ 2 + -40.2059877994705*E12 ^ 1 + 3518.01190229979</f>
        <v>3428.6624204746981</v>
      </c>
    </row>
    <row r="13" spans="1:79" x14ac:dyDescent="0.2">
      <c r="C13" s="24" t="s">
        <v>16</v>
      </c>
      <c r="D13" s="1" t="s">
        <v>15</v>
      </c>
      <c r="E13" s="2">
        <v>11.816233946963155</v>
      </c>
      <c r="F13" s="3">
        <f>0.0000324126226963034*E13 ^ 6 + 0.00427204758600562*E13 ^ 5 + -0.0998305900945979*E13 ^ 4 + 0.812467716570337*E13 ^ 3 + -3.96378051221201*E13 ^ 2 + 0.676928302989242*E13 ^ 1 + 78.8699855270424</f>
        <v>3.3584990585211472E-4</v>
      </c>
      <c r="G13" s="3">
        <f>-1.87422379922539E-06*E13 ^ 6 + 0.0000444547492834139*E13 ^ 5 + -0.0000394486924648264*E13 ^ 4 + -0.00355078376196617*E13 ^ 3 + -0.0050339579025322*E13 ^ 2 + 0.218519253155308*E13 ^ 1 + 0.559007587477711</f>
        <v>0.94986470310173599</v>
      </c>
      <c r="H13" s="4">
        <f>0.000253777599718938*E13 ^ 6 + 0.00565136520982606*E13 ^ 5 + -0.314514573215127*E13 ^ 4 + 3.94762294561804*E13 ^ 3 + -12.7700255202076*E13 ^ 2 + -31.8559708331646*E13 ^ 1 + 3514.99860997231</f>
        <v>3729.6747808243754</v>
      </c>
    </row>
    <row r="14" spans="1:79" x14ac:dyDescent="0.2">
      <c r="C14" s="24" t="s">
        <v>13</v>
      </c>
      <c r="D14" s="1" t="s">
        <v>35</v>
      </c>
      <c r="E14" s="2">
        <v>7.1099206622120947</v>
      </c>
      <c r="F14" s="3">
        <f>-0.0000128145022657072*E14 ^ 6 + -0.0107821775037029*E14 ^ 5 + 0.130517749167596*E14 ^ 4 + -0.452080837587422*E14 ^ 3 + -0.880550817052391*E14 ^ 2 + -3.69695611093123*E14 ^ 1 + 97.3099829682741</f>
        <v>-8.04948342647549E-7</v>
      </c>
      <c r="G14" s="3">
        <f>2.17481898217701E-07*E14 ^ 6 + -7.45173524719977E-06*E14 ^ 5 + 0.000843933447134148*E14 ^ 4 + -0.0121718362216824*E14 ^ 3 + 0.0268161841648574*E14 ^ 2 + 0.237472163154856*E14 ^ 1 + 0.638005918756974</f>
        <v>1.3565710226851904</v>
      </c>
      <c r="H14" s="4">
        <f>-0.00313590665208491*E14 ^ 6 + 0.0953412191809724*E14 ^ 5 + -1.26909302735687*E14 ^ 4 + 8.69400102944774*E14 ^ 3 + -23.3896331139377*E14 ^ 2 + -23.1911254162245*E14 ^ 1 + 3506.00800824429</f>
        <v>3367.5870096029662</v>
      </c>
      <c r="J14" s="28" t="s">
        <v>406</v>
      </c>
      <c r="K14" s="28" t="s">
        <v>407</v>
      </c>
      <c r="L14" s="28" t="s">
        <v>409</v>
      </c>
      <c r="M14" s="28" t="s">
        <v>408</v>
      </c>
    </row>
    <row r="15" spans="1:79" x14ac:dyDescent="0.2">
      <c r="C15" s="24" t="s">
        <v>14</v>
      </c>
      <c r="D15" s="1" t="s">
        <v>18</v>
      </c>
      <c r="E15" s="2">
        <v>19.198030131013972</v>
      </c>
      <c r="F15" s="3">
        <f>0.0000023665818118741*E15 ^ 6 + 0.000146804838196983*E15 ^ 5 + -0.0056987206684241*E15 ^ 4 + 0.052133952502446*E15 ^ 3 + -0.319586113972275*E15 ^ 2 + -0.569577622192558*E15 ^ 1 + 32.620427231324</f>
        <v>2.8334380267835968E-5</v>
      </c>
      <c r="G15" s="3">
        <f>-4.66568277679467E-09*E15 ^ 6 + 4.69217065394844E-08*E15 ^ 5 + 0.0000829122466346797*E15 ^ 4 + -0.00202016260917441*E15 ^ 3 + 0.0101638336185466*E15 ^ 2 + 0.0536832571182723*E15 ^ 1 + 0.289698337234714</f>
        <v>1.9238019667704096</v>
      </c>
      <c r="H15" s="4">
        <f>0.0233057745356659*E15 ^ 6 + -0.751860914122909*E15 ^ 5 + 9.11021001004946*E15 ^ 4 + -50.1709371857975*E15 ^ 3 + 118.814642255933*E15 ^ 2 + -110.735473069487*E15 ^ 1 + 3512.81400262892</f>
        <v>133786.20740864554</v>
      </c>
      <c r="J15" s="28">
        <f>0.1*J24</f>
        <v>0.71099206622120947</v>
      </c>
      <c r="K15" s="3">
        <f>-0.0000128145022657072*J15 ^ 6 + -0.0107821775037029*J15 ^ 5 + 0.130517749167596*J15 ^ 4 + -0.452080837587422*J15 ^ 3 + -0.880550817052391*J15 ^ 2 + -3.69695611093123*J15 ^ 1 + 97.3099829682741</f>
        <v>94.105257477302672</v>
      </c>
      <c r="L15" s="3">
        <f>2.17481898217701E-07*J15 ^ 6 + -7.45173524719977E-06*J15 ^ 5 + 0.000843933447134148*J15 ^ 4 + -0.0121718362216824*J15 ^ 3 + 0.0268161841648574*J15 ^ 2 + 0.237472163154856*J15 ^ 1 + 0.638005918756974</f>
        <v>0.81624219640768048</v>
      </c>
      <c r="M15" s="4">
        <f>-0.00313590665208491*J15 ^ 6 + 0.0953412191809724*J15 ^ 5 + -1.26909302735687*J15 ^ 4 + 8.69400102944774*J15 ^ 3 + -23.3896331139377*J15 ^ 2 + -23.1911254162245*J15 ^ 1 + 3506.00800824429</f>
        <v>3480.5129687221665</v>
      </c>
    </row>
    <row r="16" spans="1:79" x14ac:dyDescent="0.2">
      <c r="C16" s="24" t="s">
        <v>16</v>
      </c>
      <c r="D16" s="1" t="s">
        <v>19</v>
      </c>
      <c r="E16" s="2">
        <v>20.177784259347547</v>
      </c>
      <c r="F16" s="3">
        <f>-3.35660140477924E-06*E16 ^ 6 + 0.00058536915580132*E16 ^ 5 + -0.0164040708611345*E16 ^ 4 + 0.153991996808289*E16 ^ 3 + -0.793761951579538*E16 ^ 2 + -0.175561656568845*E16 ^ 1 + 49.4701775680725</f>
        <v>-1.7383336283671724E-4</v>
      </c>
      <c r="G16" s="3">
        <f>-1.38744980953649E-08*E16 ^ 6 + 4.28778226988808E-07*E16 ^ 5 + 0.0000423667084634946*E16 ^ 4 + -0.00209685721605732*E16 ^ 3 + 0.0129181824412794*E16 ^ 2 + 0.0901470607929378*E16 ^ 1 + 0.418798272250876</f>
        <v>-2.2081685872985917</v>
      </c>
      <c r="H16" s="4">
        <f>-0.000526665526316012*E16 ^ 6 + 0.0156294018357458*E16 ^ 5 + -0.168380678099356*E16 ^ 4 + 1.13188957635586*E16 ^ 3 + -4.55689468396071*E16 ^ 2 + -14.3660875681281*E16 ^ 1 + 3523.99285497037</f>
        <v>-502.01783917147122</v>
      </c>
      <c r="J16" s="28">
        <f>0.2*J24</f>
        <v>1.4219841324424189</v>
      </c>
      <c r="K16" s="3">
        <f>-0.0000128145022657072*J16 ^ 6 + -0.0107821775037029*J16 ^ 5 + 0.130517749167596*J16 ^ 4 + -0.452080837587422*J16 ^ 3 + -0.880550817052391*J16 ^ 2 + -3.69695611093123*J16 ^ 1 + 97.3099829682741</f>
        <v>89.443437683390457</v>
      </c>
      <c r="L16" s="3">
        <f>2.17481898217701E-07*J16 ^ 6 + -7.45173524719977E-06*J16 ^ 5 + 0.000843933447134148*J16 ^ 4 + -0.0121718362216824*J16 ^ 3 + 0.0268161841648574*J16 ^ 2 + 0.237472163154856*J16 ^ 1 + 0.638005918756974</f>
        <v>0.99832218004245754</v>
      </c>
      <c r="M16" s="4">
        <f>-0.00313590665208491*J16 ^ 6 + 0.0953412191809724*J16 ^ 5 + -1.26909302735687*J16 ^ 4 + 8.69400102944774*J16 ^ 3 + -23.3896331139377*J16 ^ 2 + -23.1911254162245*J16 ^ 1 + 3506.00800824429</f>
        <v>3446.0732926092887</v>
      </c>
    </row>
    <row r="17" spans="2:13" x14ac:dyDescent="0.2">
      <c r="C17" s="24" t="s">
        <v>13</v>
      </c>
      <c r="D17" s="1" t="s">
        <v>20</v>
      </c>
      <c r="E17" s="2">
        <v>10.880827226326538</v>
      </c>
      <c r="F17" s="3">
        <f>-0.000132208143914683*E17 ^ 6 + 0.00281678227939262*E17 ^ 5 + -0.0251061850255451*E17 ^ 4 + 0.11688201632928*E17 ^ 3 + -0.526735399564314*E17 ^ 2 + -1.10745576415252*E17 ^ 1 + 65.5483649567648</f>
        <v>-1.6797877164265174E-4</v>
      </c>
      <c r="G17" s="3">
        <f>1.97574292183435E-08*E17 ^ 6 + -5.22734721599347E-07*E17 ^ 5 + 0.0000730464235581686*E17 ^ 4 + -0.00256808385672301*E17 ^ 3 + 0.0132608943157143*E17 ^ 2 + 0.134234566131472*E17 ^ 1 + 0.553300223601473</f>
        <v>1.2525851074895105</v>
      </c>
      <c r="H17" s="4">
        <f>0.00024523800557955*E17 ^ 6 + -0.00763469964635374*E17 ^ 5 + 0.0800346912495933*E17 ^ 4 + 0.0552433346550579*E17 ^ 3 + -2.79407995670505*E17 ^ 2 + -17.3963615512507*E17 ^ 1 + 3521.01003999564</f>
        <v>3436.4862318156311</v>
      </c>
      <c r="J17" s="28">
        <f>0.3*J24</f>
        <v>2.1329761986636284</v>
      </c>
      <c r="K17" s="3">
        <f>-0.0000128145022657072*J17 ^ 6 + -0.0107821775037029*J17 ^ 5 + 0.130517749167596*J17 ^ 4 + -0.452080837587422*J17 ^ 3 + -0.880550817052391*J17 ^ 2 + -3.69695611093123*J17 ^ 1 + 97.3099829682741</f>
        <v>83.255569621806316</v>
      </c>
      <c r="L17" s="3">
        <f>2.17481898217701E-07*J17 ^ 6 + -7.45173524719977E-06*J17 ^ 5 + 0.000843933447134148*J17 ^ 4 + -0.0121718362216824*J17 ^ 3 + 0.0268161841648574*J17 ^ 2 + 0.237472163154856*J17 ^ 1 + 0.638005918756974</f>
        <v>1.1655733490993221</v>
      </c>
      <c r="M17" s="4">
        <f>-0.00313590665208491*J17 ^ 6 + 0.0953412191809724*J17 ^ 5 + -1.26909302735687*J17 ^ 4 + 8.69400102944774*J17 ^ 3 + -23.3896331139377*J17 ^ 2 + -23.1911254162245*J17 ^ 1 + 3506.00800824429</f>
        <v>3412.1420639399389</v>
      </c>
    </row>
    <row r="18" spans="2:13" x14ac:dyDescent="0.2">
      <c r="C18" s="24" t="s">
        <v>28</v>
      </c>
      <c r="D18" s="1" t="s">
        <v>22</v>
      </c>
      <c r="E18" s="2">
        <v>16.71509091157905</v>
      </c>
      <c r="F18" s="3">
        <f>-9.25095601860493E-07*E18 ^ 6 + 0.00134577246969585*E18 ^ 5 + -0.0405467638106458*E18 ^ 4 + 0.410106196513439*E18 ^ 3 + -2.10338248525216*E18 ^ 2 + 1.25072604307505*E18 ^ 1 + 80.8702601014846</f>
        <v>3.5956588106955678E-6</v>
      </c>
      <c r="G18" s="3">
        <f>-8.63894987474125E-08*E18 ^ 6 + 2.12985571124472E-06*E18 ^ 5 + 0.000133273604507132*E18 ^ 4 + -0.00392176168651108*E18 ^ 3 + 0.0174138880002007*E18 ^ 2 + 0.172302792186013*E18 ^ 1 + 0.67601154033202</f>
        <v>1.4047721544506442</v>
      </c>
      <c r="H18" s="4">
        <f>0.115618396775863*E18 ^ 6 + -3.34997326004048*E18 ^ 5 + 35.840670865786*E18 ^ 4 + -171.760309373078*E18 ^ 3 + 351.397867326603*E18 ^ 2 + -254.424636523073*E18 ^ 1 + 3540.48561585091</f>
        <v>243668.39587451471</v>
      </c>
      <c r="J18" s="28">
        <f>0.4*J24</f>
        <v>2.8439682648848379</v>
      </c>
      <c r="K18" s="3">
        <f>-0.0000128145022657072*J18 ^ 6 + -0.0107821775037029*J18 ^ 5 + 0.130517749167596*J18 ^ 4 + -0.452080837587422*J18 ^ 3 + -0.880550817052391*J18 ^ 2 + -3.69695611093123*J18 ^ 1 + 97.3099829682741</f>
        <v>75.800421881365565</v>
      </c>
      <c r="L18" s="3">
        <f>2.17481898217701E-07*J18 ^ 6 + -7.45173524719977E-06*J18 ^ 5 + 0.000843933447134148*J18 ^ 4 + -0.0121718362216824*J18 ^ 3 + 0.0268161841648574*J18 ^ 2 + 0.237472163154856*J18 ^ 1 + 0.638005918756974</f>
        <v>1.3042178890979206</v>
      </c>
      <c r="M18" s="4">
        <f>-0.00313590665208491*J18 ^ 6 + 0.0953412191809724*J18 ^ 5 + -1.26909302735687*J18 ^ 4 + 8.69400102944774*J18 ^ 3 + -23.3896331139377*J18 ^ 2 + -23.1911254162245*J18 ^ 1 + 3506.00800824429</f>
        <v>3383.9144687382973</v>
      </c>
    </row>
    <row r="19" spans="2:13" x14ac:dyDescent="0.2">
      <c r="C19" s="24" t="s">
        <v>36</v>
      </c>
      <c r="D19" s="1" t="s">
        <v>23</v>
      </c>
      <c r="E19" s="2">
        <v>-4.2266864548308751</v>
      </c>
      <c r="F19" s="3">
        <f>8.62296988042024E-06*E19 ^ 6 + 0.00243497700632323*E19 ^ 5 + -0.0632190051016716*E19 ^ 4 + 0.506473389533501*E19 ^ 3 + -2.01863060692526*E19 ^ 2 + -0.0870952771200941*E19 ^ 1 + 97.3500042651813</f>
        <v>-2.5324445829255637E-6</v>
      </c>
      <c r="G19" s="3">
        <f>5.12156567246689E-08*E19 ^ 6 + -1.42224325588766E-06*E19 ^ 5 + 0.000164347207262376*E19 ^ 4 + -0.00457664175431078*E19 ^ 3 + 0.0186469599285599*E19 ^ 2 + 0.227368272397834*E19 ^ 1 + 0.818499715657302</f>
        <v>0.59085234460309888</v>
      </c>
      <c r="H19" s="4">
        <f>-0.0026172884691919*E19 ^ 6 + 0.0943859840511656*E19 ^ 5 + -1.3033377134204*E19 ^ 4 + 8.81225947229401*E19 ^ 3 + -27.7780116080273*E19 ^ 2 + 3.95704831366947*E19 ^ 1 + 3514.03497197014</f>
        <v>1777.4405847982807</v>
      </c>
      <c r="J19" s="28">
        <f>0.5*J24</f>
        <v>3.5549603311060474</v>
      </c>
      <c r="K19" s="3">
        <f>-0.0000128145022657072*J19 ^ 6 + -0.0107821775037029*J19 ^ 5 + 0.130517749167596*J19 ^ 4 + -0.452080837587422*J19 ^ 3 + -0.880550817052391*J19 ^ 2 + -3.69695611093123*J19 ^ 1 + 97.3099829682741</f>
        <v>67.426428237221074</v>
      </c>
      <c r="L19" s="3">
        <f>2.17481898217701E-07*J19 ^ 6 + -7.45173524719977E-06*J19 ^ 5 + 0.000843933447134148*J19 ^ 4 + -0.0121718362216824*J19 ^ 3 + 0.0268161841648574*J19 ^ 2 + 0.237472163154856*J19 ^ 1 + 0.638005918756974</f>
        <v>1.4052607946338413</v>
      </c>
      <c r="M19" s="4">
        <f>-0.00313590665208491*J19 ^ 6 + 0.0953412191809724*J19 ^ 5 + -1.26909302735687*J19 ^ 4 + 8.69400102944774*J19 ^ 3 + -23.3896331139377*J19 ^ 2 + -23.1911254162245*J19 ^ 1 + 3506.00800824429</f>
        <v>3363.677303620464</v>
      </c>
    </row>
    <row r="20" spans="2:13" x14ac:dyDescent="0.2">
      <c r="C20" s="24" t="s">
        <v>16</v>
      </c>
      <c r="D20" s="1" t="s">
        <v>25</v>
      </c>
      <c r="E20" s="2">
        <v>19.258252129580978</v>
      </c>
      <c r="F20" s="3">
        <f>-5.77945380132614E-06*E20 ^ 6 + 0.000300602911805183*E20 ^ 5 + -0.00561099845782159*E20 ^ 4 + 0.0415893634954276*E20 ^ 3 + -0.135055246095212*E20 ^ 2 + -0.589863230762453*E20 ^ 1 + 34.7414438895926</f>
        <v>-1.3143503373669319E-5</v>
      </c>
      <c r="G20" s="3">
        <f>2.42567205333899E-07*E20 ^ 6 + -0.000012985664777401*E20 ^ 5 + 0.000268902923278627*E20 ^ 4 + -0.00276071548273327*E20 ^ 3 + 0.0110324547847594*E20 ^ 2 + 0.0791147887467766*E20 ^ 1 + 0.380565621633968</f>
        <v>1.2411002507814404</v>
      </c>
      <c r="H20" s="4">
        <f>-0.000159732250502567*E20 ^ 6 + 0.00705822559169325*E20 ^ 5 + -0.105980347540263*E20 ^ 4 + 0.661262368100439*E20 ^ 3 + -1.52065530472654*E20 ^ 2 + -21.5960463737623*E20 ^ 1 + 3554.41166320846</f>
        <v>3268.3103066770095</v>
      </c>
      <c r="J20" s="28">
        <f>0.6*J24</f>
        <v>4.2659523973272568</v>
      </c>
      <c r="K20" s="3">
        <f>-0.0000128145022657072*J20 ^ 6 + -0.0107821775037029*J20 ^ 5 + 0.130517749167596*J20 ^ 4 + -0.452080837587422*J20 ^ 3 + -0.880550817052391*J20 ^ 2 + -3.69695611093123*J20 ^ 1 + 97.3099829682741</f>
        <v>58.332438430456619</v>
      </c>
      <c r="L20" s="3">
        <f>2.17481898217701E-07*J20 ^ 6 + -7.45173524719977E-06*J20 ^ 5 + 0.000843933447134148*J20 ^ 4 + -0.0121718362216824*J20 ^ 3 + 0.0268161841648574*J20 ^ 2 + 0.237472163154856*J20 ^ 1 + 0.638005918756974</f>
        <v>1.4643981999627693</v>
      </c>
      <c r="M20" s="4">
        <f>-0.00313590665208491*J20 ^ 6 + 0.0953412191809724*J20 ^ 5 + -1.26909302735687*J20 ^ 4 + 8.69400102944774*J20 ^ 3 + -23.3896331139377*J20 ^ 2 + -23.1911254162245*J20 ^ 1 + 3506.00800824429</f>
        <v>3351.8668195082041</v>
      </c>
    </row>
    <row r="21" spans="2:13" x14ac:dyDescent="0.2">
      <c r="C21" s="24" t="s">
        <v>28</v>
      </c>
      <c r="D21" s="1" t="s">
        <v>26</v>
      </c>
      <c r="E21" s="2">
        <v>22.252331633093956</v>
      </c>
      <c r="F21" s="3">
        <f>3.34797092605355E-06*E21 ^ 6 + -0.000198062171603806*E21 ^ 5 + 0.00473425544359275*E21 ^ 4 + -0.0579658775259921*E21 ^ 3 + 0.264629782947314*E21 ^ 2 + -1.27263256062627*E21 ^ 1 + 51.926933231553</f>
        <v>2.5715248421037415</v>
      </c>
      <c r="G21" s="3">
        <f>-1.42815064725757E-07*E21 ^ 6 + 7.84858137145057E-06*E21 ^ 5 + -0.000152044817164224*E21 ^ 4 + 0.00119718311201804*E21 ^ 3 + -0.00898191479291251*E21 ^ 2 + 0.181505638528712*E21 ^ 1 + 0.563983317644963</f>
        <v>1.5498967959237708</v>
      </c>
      <c r="H21" s="4">
        <f>0*E21 ^ 6 + 0*E21 ^ 5 + 0*E21 ^ 4 + 0*E21 ^ 3 + 0*E21 ^ 2 + 0*E21 ^ 1 + 0</f>
        <v>0</v>
      </c>
      <c r="J21" s="28">
        <f>0.7*J24</f>
        <v>4.9769444635484659</v>
      </c>
      <c r="K21" s="3">
        <f>-0.0000128145022657072*J21 ^ 6 + -0.0107821775037029*J21 ^ 5 + 0.130517749167596*J21 ^ 4 + -0.452080837587422*J21 ^ 3 + -0.880550817052391*J21 ^ 2 + -3.69695611093123*J21 ^ 1 + 97.3099829682741</f>
        <v>48.327277094482142</v>
      </c>
      <c r="L21" s="3">
        <f>2.17481898217701E-07*J21 ^ 6 + -7.45173524719977E-06*J21 ^ 5 + 0.000843933447134148*J21 ^ 4 + -0.0121718362216824*J21 ^ 3 + 0.0268161841648574*J21 ^ 2 + 0.237472163154856*J21 ^ 1 + 0.638005918756974</f>
        <v>1.4819459371744848</v>
      </c>
      <c r="M21" s="4">
        <f>-0.00313590665208491*J21 ^ 6 + 0.0953412191809724*J21 ^ 5 + -1.26909302735687*J21 ^ 4 + 8.69400102944774*J21 ^ 3 + -23.3896331139377*J21 ^ 2 + -23.1911254162245*J21 ^ 1 + 3506.00800824429</f>
        <v>3347.8349004544166</v>
      </c>
    </row>
    <row r="22" spans="2:13" x14ac:dyDescent="0.2">
      <c r="C22" s="24" t="s">
        <v>30</v>
      </c>
      <c r="D22" s="1" t="s">
        <v>27</v>
      </c>
      <c r="E22" s="2">
        <v>21.064340456799307</v>
      </c>
      <c r="F22" s="3">
        <f>6.87574624278466E-07*E22 ^ 6 + 0.0000226500004221952*E22 ^ 5 + -0.00201680252051908*E22 ^ 4 + 0.0302353192992166*E22 ^ 3 + -0.228210674103906*E22 ^ 2 + -0.355419961189988*E22 ^ 1 + 69.2193435439692</f>
        <v>-1.1253241147812787E-4</v>
      </c>
      <c r="G22" s="3">
        <f>-2.99995023059115E-08*E22 ^ 6 + 2.60869377915053E-06*E22 ^ 5 + -0.0000554847213603948*E22 ^ 4 + -0.0000190527985312115*E22 ^ 3 + 0.00191163296094116*E22 ^ 2 + 0.168303539410554*E22 ^ 1 + 0.902956129461762</f>
        <v>2.3924932257160436</v>
      </c>
      <c r="H22" s="4">
        <f>4.62471495301453E-06*E22 ^ 6 + -0.000359227270191064*E22 ^ 5 + 0.00853892471687002*E22 ^ 4 + -0.035946202271709*E22 ^ 3 + -0.489096428074559*E22 ^ 2 + -6.18508697318779*E22 ^ 1 + 3557.00222894867</f>
        <v>3469.0972746506236</v>
      </c>
      <c r="J22" s="28">
        <f>0.8*J24</f>
        <v>5.6879365297696758</v>
      </c>
      <c r="K22" s="3">
        <f>-0.0000128145022657072*J22 ^ 6 + -0.0107821775037029*J22 ^ 5 + 0.130517749167596*J22 ^ 4 + -0.452080837587422*J22 ^ 3 + -0.880550817052391*J22 ^ 2 + -3.69695611093123*J22 ^ 1 + 97.3099829682741</f>
        <v>36.588110828231223</v>
      </c>
      <c r="L22" s="3">
        <f>2.17481898217701E-07*J22 ^ 6 + -7.45173524719977E-06*J22 ^ 5 + 0.000843933447134148*J22 ^ 4 + -0.0121718362216824*J22 ^ 3 + 0.0268161841648574*J22 ^ 2 + 0.237472163154856*J22 ^ 1 + 0.638005918756974</f>
        <v>1.4627883219567066</v>
      </c>
      <c r="M22" s="4">
        <f>-0.00313590665208491*J22 ^ 6 + 0.0953412191809724*J22 ^ 5 + -1.26909302735687*J22 ^ 4 + 8.69400102944774*J22 ^ 3 + -23.3896331139377*J22 ^ 2 + -23.1911254162245*J22 ^ 1 + 3506.00800824429</f>
        <v>3350.323577580325</v>
      </c>
    </row>
    <row r="23" spans="2:13" x14ac:dyDescent="0.2">
      <c r="C23" s="24" t="s">
        <v>13</v>
      </c>
      <c r="D23" s="1" t="s">
        <v>32</v>
      </c>
      <c r="E23" s="2">
        <v>33.967785094307239</v>
      </c>
      <c r="F23" s="3">
        <f>2.36689052260868E-07*E23 ^ 6 + -0.000021962883934308*E23 ^ 5 + 0.000740168864848581*E23 ^ 4 + -0.0114849855185569*E23 ^ 3 + 0.0632725638566648*E23 ^ 2 + -0.367542048991919*E23 ^ 1 + 33.8429865181211</f>
        <v>3.7791924135888166E-5</v>
      </c>
      <c r="G23" s="3">
        <f>8.78045480164008E-09*E23 ^ 6 + -9.47397952962927E-07*E23 ^ 5 + 0.0000409847943442148*E23 ^ 4 + -0.000909989856499469*E23 ^ 3 + 0.00812785761350726*E23 ^ 2 + 0.0702830636764646*E23 ^ 1 + 0.65441440135509</f>
        <v>1.9625537366802783</v>
      </c>
      <c r="H23" s="4">
        <f>1.71916415840577E-06*E23 ^ 6 + -0.000212036805320737*E23 ^ 5 + 0.00935169497388015*E23 ^ 4 + -0.166178922759921*E23 ^ 3 + 1.01351088424335*E23 ^ 2 + -9.53799865769134*E23 ^ 1 + 3544.98882471078</f>
        <v>3379.4481049897113</v>
      </c>
      <c r="J23" s="28">
        <f>0.9*J24</f>
        <v>6.3989285959908857</v>
      </c>
      <c r="K23" s="3">
        <f>-0.0000128145022657072*J23 ^ 6 + -0.0107821775037029*J23 ^ 5 + 0.130517749167596*J23 ^ 4 + -0.452080837587422*J23 ^ 3 + -0.880550817052391*J23 ^ 2 + -3.69695611093123*J23 ^ 1 + 97.3099829682741</f>
        <v>21.417623416160538</v>
      </c>
      <c r="L23" s="3">
        <f>2.17481898217701E-07*J23 ^ 6 + -7.45173524719977E-06*J23 ^ 5 + 0.000843933447134148*J23 ^ 4 + -0.0121718362216824*J23 ^ 3 + 0.0268161841648574*J23 ^ 2 + 0.237472163154856*J23 ^ 1 + 0.638005918756974</f>
        <v>1.4163471669487764</v>
      </c>
      <c r="M23" s="4">
        <f>-0.00313590665208491*J23 ^ 6 + 0.0953412191809724*J23 ^ 5 + -1.26909302735687*J23 ^ 4 + 8.69400102944774*J23 ^ 3 + -23.3896331139377*J23 ^ 2 + -23.1911254162245*J23 ^ 1 + 3506.00800824429</f>
        <v>3357.6478781243945</v>
      </c>
    </row>
    <row r="24" spans="2:13" x14ac:dyDescent="0.2">
      <c r="C24" s="24" t="s">
        <v>28</v>
      </c>
      <c r="D24" s="1" t="s">
        <v>33</v>
      </c>
      <c r="E24" s="2">
        <v>34.624254710320471</v>
      </c>
      <c r="F24" s="3">
        <f>-3.86148707147981E-08*E24 ^ 6 + 6.07176069339743E-06*E24 ^ 5 + -0.000329994345258199*E24 ^ 4 + 0.00721142026674115*E24 ^ 3 + -0.0802715761116715*E24 ^ 2 + 0.0426553388057342*E24 ^ 1 + 34.0775067900169</f>
        <v>4.2277252326528014E-5</v>
      </c>
      <c r="G24" s="3">
        <f>1.66103724895173E-10*E24 ^ 6 + -5.45925830851811E-08*E24 ^ 5 + 6.20917830772301E-06*E24 ^ 4 + -0.00029639361290676*E24 ^ 3 + 0.00365953285022168*E24 ^ 2 + 0.0809441499376325*E24 ^ 1 + 0.663891402599362</f>
        <v>2.0441937550026861</v>
      </c>
      <c r="H24" s="4">
        <f>-9.9736872453181E-07*E24 ^ 6 + 0.0000961797325318764*E24 ^ 5 + -0.00356868562060297*E24 ^ 4 + 0.0720647664739946*E24 ^ 3 + -0.777835258922761*E24 ^ 2 + -3.07836202680265*E24 ^ 1 + 3557.97203092327</f>
        <v>3448.9360399449606</v>
      </c>
      <c r="J24" s="29">
        <v>7.1099206622120947</v>
      </c>
      <c r="K24" s="3">
        <f>-0.0000128145022657072*J24 ^ 6 + -0.0107821775037029*J24 ^ 5 + 0.130517749167596*J24 ^ 4 + -0.452080837587422*J24 ^ 3 + -0.880550817052391*J24 ^ 2 + -3.69695611093123*J24 ^ 1 + 97.3099829682741</f>
        <v>-8.04948342647549E-7</v>
      </c>
      <c r="L24" s="3">
        <f>2.17481898217701E-07*J24 ^ 6 + -7.45173524719977E-06*J24 ^ 5 + 0.000843933447134148*J24 ^ 4 + -0.0121718362216824*J24 ^ 3 + 0.0268161841648574*J24 ^ 2 + 0.237472163154856*J24 ^ 1 + 0.638005918756974</f>
        <v>1.3565710226851904</v>
      </c>
      <c r="M24" s="4">
        <f>-0.00313590665208491*J24 ^ 6 + 0.0953412191809724*J24 ^ 5 + -1.26909302735687*J24 ^ 4 + 8.69400102944774*J24 ^ 3 + -23.3896331139377*J24 ^ 2 + -23.1911254162245*J24 ^ 1 + 3506.00800824429</f>
        <v>3367.5870096029662</v>
      </c>
    </row>
    <row r="25" spans="2:13" x14ac:dyDescent="0.2">
      <c r="B25" s="23"/>
      <c r="C25" s="24" t="s">
        <v>9</v>
      </c>
      <c r="D25" s="1" t="s">
        <v>37</v>
      </c>
      <c r="E25" s="2">
        <v>4.5000205239837587</v>
      </c>
      <c r="F25" s="3">
        <f>-0.0452113606204178*E25 ^ 6 + 0.561176406848383*E25 ^ 5 + -2.56413653797656*E25 ^ 4 + 5.12387084395371*E25 ^ 3 + -4.86538477380582*E25 ^ 2 + -1.00215354726681*E25 ^ 1 + 27.4734136649159</f>
        <v>-4.4004306551670425E-4</v>
      </c>
      <c r="G25" s="3">
        <f>-1.82622238158828E-06*E25 ^ 6 + -0.000637465163998167*E25 ^ 5 + 0.00786802846624463*E25 ^ 4 + -0.0344572188437262*E25 ^ 3 + 0.0527005815781066*E25 ^ 2 + 0.0449282139182322*E25 ^ 1 + 0.171576213787969</f>
        <v>0.33594158701919219</v>
      </c>
      <c r="H25" s="4">
        <f>0.0486695361247083*E25 ^ 6 + -0.266597797395353*E25 ^ 5 + -1.38770299635875*E25 ^ 4 + 13.30118278434*E25 ^ 3 + -27.2764764802253*E25 ^ 2 + -22.830826770011*E25 ^ 1 + 3519.53890772524</f>
        <v>3419.6699008699993</v>
      </c>
    </row>
    <row r="26" spans="2:13" x14ac:dyDescent="0.2">
      <c r="B26" s="23"/>
      <c r="C26" s="24" t="s">
        <v>9</v>
      </c>
      <c r="D26" s="1" t="s">
        <v>38</v>
      </c>
      <c r="E26" s="2">
        <v>4.5499688215746996</v>
      </c>
      <c r="F26" s="3">
        <f>0.0255772691767546*E26 ^ 6 + -0.328321960950275*E26 ^ 5 + 1.49897615367764*E26 ^ 4 + -3.02443118205858*E26 ^ 3 + 1.67068634675446*E26 ^ 2 + -4.06153258883391*E26 ^ 1 + 39.6449988826073</f>
        <v>-8.8662454918164713E-4</v>
      </c>
      <c r="G26" s="3">
        <f>-0.000666056621162736*E26 ^ 6 + 0.00800459026505957*E26 ^ 5 + -0.0342050651451504*E26 ^ 4 + 0.0609133330329699*E26 ^ 3 + -0.0539449944223697*E26 ^ 2 + 0.117933890079465*E26 ^ 1 + 0.25425716025398</f>
        <v>0.45167343787111786</v>
      </c>
      <c r="H26" s="4">
        <f>0.749482378130935*E26 ^ 6 + -9.2320048055473*E26 ^ 5 + 40.9680130476995*E26 ^ 4 + -76.4147391793004*E26 ^ 3 + 58.1109784343031*E26 ^ 2 + -80.3675999960498*E26 ^ 1 + 3473.90107159573</f>
        <v>3318.6882835019906</v>
      </c>
    </row>
    <row r="27" spans="2:13" x14ac:dyDescent="0.2">
      <c r="C27" s="24" t="s">
        <v>9</v>
      </c>
      <c r="D27" s="1" t="s">
        <v>39</v>
      </c>
      <c r="E27" s="2">
        <v>4.6001332503778984</v>
      </c>
      <c r="F27" s="3">
        <f>0.0736759761537265*E27 ^ 6 + -0.908725986705515*E27 ^ 5 + 4.14389040531961*E27 ^ 4 + -8.68849780353973*E27 ^ 3 + 7.04442451277975*E27 ^ 2 + -8.52360573054253*E27 ^ 1 + 54.0559824473238</f>
        <v>7.088411769231584E-4</v>
      </c>
      <c r="G27" s="3">
        <f>0.0000400692028006268*E27 ^ 6 + -0.00065528464522787*E27 ^ 5 + 0.00484043467768506*E27 ^ 4 + -0.0182458661769438*E27 ^ 3 + 0.0110232110640581*E27 ^ 2 + 0.126047205458682*E27 ^ 1 + 0.297462463542321</f>
        <v>0.53181581826042779</v>
      </c>
      <c r="H27" s="4">
        <f>0.0779986599851216*E27 ^ 6 + -1.10519334666038*E27 ^ 5 + 4.4353335486851*E27 ^ 4 + 0.799848567630569*E27 ^ 3 + -16.9733504273938*E27 ^ 2 + -84.370037069884*E27 ^ 1 + 3446.54407655848</f>
        <v>3225.7378759082762</v>
      </c>
    </row>
    <row r="28" spans="2:13" x14ac:dyDescent="0.2">
      <c r="C28" s="24" t="s">
        <v>14</v>
      </c>
      <c r="D28" s="1" t="s">
        <v>40</v>
      </c>
      <c r="E28" s="2">
        <v>4.5999600042683007</v>
      </c>
      <c r="F28" s="3">
        <f>0.0601267933703147*E28 ^ 6 + -0.774129906052504*E28 ^ 5 + 3.73235998838744*E28 ^ 4 + -8.41490837035293*E28 ^ 3 + 6.87322928643187*E28 ^ 2 + -9.41626150966755*E28 ^ 1 + 70.5643382991675</f>
        <v>9.6335535801017613E-5</v>
      </c>
      <c r="G28" s="3">
        <f>0.000169499829130371*E28 ^ 6 + -0.00275382864777341*E28 ^ 5 + 0.0182586842709173*E28 ^ 4 + -0.0603389545520597*E28 ^ 3 + 0.0673447213529401*E28 ^ 2 + 0.146359019531168*E28 ^ 1 + 0.359328001722555</f>
        <v>0.69371216358784071</v>
      </c>
      <c r="H28" s="4">
        <f>-0.0623097375760672*E28 ^ 6 + 0.497529905879105*E28 ^ 5 + -1.29982170348539*E28 ^ 4 + 7.22117253805577*E28 ^ 3 + -23.7385094903078*E28 ^ 2 + -52.8313392305505*E28 ^ 1 + 3482.89347679132</f>
        <v>3292.8385077274716</v>
      </c>
    </row>
    <row r="29" spans="2:13" x14ac:dyDescent="0.2">
      <c r="C29" s="24" t="s">
        <v>16</v>
      </c>
      <c r="D29" s="1" t="s">
        <v>41</v>
      </c>
      <c r="E29" s="2">
        <v>4.7502874647461839</v>
      </c>
      <c r="F29" s="3">
        <f>0.0088293045486221*E29 ^ 6 + -0.0923831910166184*E29 ^ 5 + 0.344458570476547*E29 ^ 4 + -0.803138064821678*E29 ^ 3 + -0.922830518959371*E29 ^ 2 + -7.31287019477747*E29 ^ 1 + 88.264836031371</f>
        <v>3.6116925650730991E-4</v>
      </c>
      <c r="G29" s="3">
        <f>-0.000130351718341119*E29 ^ 6 + 0.00166514580059977*E29 ^ 5 + -0.00584860628731838*E29 ^ 4 + -0.00385766169323154*E29 ^ 3 + 0.0147699984197246*E29 ^ 2 + 0.214332196387663*E29 ^ 1 + 0.429333562468774</f>
        <v>0.91911495552370281</v>
      </c>
      <c r="H29" s="4">
        <f>-0.103399921189352*E29 ^ 6 + 1.51748461522778*E29 ^ 5 + -8.72603744291409*E29 ^ 4 + 25.9474408300683*E29 ^ 3 + -35.0619116805999*E29 ^ 2 + -29.8374052828868*E29 ^ 1 + 3529.52946545439</f>
        <v>3417.170235605598</v>
      </c>
    </row>
    <row r="30" spans="2:13" x14ac:dyDescent="0.2">
      <c r="C30" s="24" t="s">
        <v>16</v>
      </c>
      <c r="D30" s="1" t="s">
        <v>42</v>
      </c>
      <c r="E30" s="2">
        <v>4.7998324552296969</v>
      </c>
      <c r="F30" s="3">
        <f>0.00179209954846856*E30 ^ 6 + -0.0264303523030439*E30 ^ 5 + 0.305758362699183*E30 ^ 4 + -1.85099604164796*E30 ^ 3 + 1.38066367260679*E30 ^ 2 + -8.33797399586316*E30 ^ 1 + 96.0304562120772</f>
        <v>5.3908371964439539E-4</v>
      </c>
      <c r="G30" s="3">
        <f>0.00104561981029908*E30 ^ 6 + -0.0157043050085841*E30 ^ 5 + 0.0911075334434711*E30 ^ 4 + -0.258611074605145*E30 ^ 3 + 0.325489790689755*E30 ^ 2 + 0.0888431090617597*E30 ^ 1 + 0.547540483662813</f>
        <v>1.0099897059395886</v>
      </c>
      <c r="H30" s="4">
        <f>0.504163347367607*E30 ^ 6 + -7.64537666484989*E30 ^ 5 + 43.0791232006612*E30 ^ 4 + -107.611975074852*E30 ^ 3 + 116.224012637992*E30 ^ 2 + -96.1417405079839*E30 ^ 1 + 3505.11832686627</f>
        <v>3374.0896950981137</v>
      </c>
    </row>
    <row r="31" spans="2:13" x14ac:dyDescent="0.2">
      <c r="C31" s="24" t="s">
        <v>9</v>
      </c>
      <c r="D31" s="1" t="s">
        <v>43</v>
      </c>
      <c r="E31" s="2">
        <v>7.0915465016178931</v>
      </c>
      <c r="F31" s="3">
        <f>0.000505898114250505*E31 ^ 6 + -0.0101633390219021*E31 ^ 5 + 0.0716848463217611*E31 ^ 4 + -0.183339432096904*E31 ^ 3 + -0.323607692170243*E31 ^ 2 + -1.60225806446906*E31 ^ 1 + 29.6614370113497</f>
        <v>4.8300527499378632E-5</v>
      </c>
      <c r="G31" s="3">
        <f>-7.76533706353819E-06*E31 ^ 6 + 0.000159626685493024*E31 ^ 5 + -0.00125247373640025*E31 ^ 4 + 0.00469818477524454*E31 ^ 3 + -0.0181418668798543*E31 ^ 2 + 0.0967086084218044*E31 ^ 1 + 0.283691086500509</f>
        <v>0.44033731264967868</v>
      </c>
      <c r="H31" s="4">
        <f>-0.0242698422673926*E31 ^ 6 + 0.47604257552864*E31 ^ 5 + -3.55015951759487*E31 ^ 4 + 13.2351694685761*E31 ^ 3 + -19.4547280147338*E31 ^ 2 + -48.96617183462*E31 ^ 1 + 3455.49197426949</f>
        <v>3322.3771207188856</v>
      </c>
    </row>
    <row r="32" spans="2:13" x14ac:dyDescent="0.2">
      <c r="C32" s="24" t="s">
        <v>14</v>
      </c>
      <c r="D32" s="1" t="s">
        <v>44</v>
      </c>
      <c r="E32" s="2">
        <v>7.1028331140768781</v>
      </c>
      <c r="F32" s="3">
        <f>-0.000261529109646035*E32 ^ 6 + 0.0115609191305369*E32 ^ 5 + -0.148976854308819*E32 ^ 4 + 0.813700091229743*E32 ^ 3 + -2.48964507290777*E32 ^ 2 + -1.12816030750369*E32 ^ 1 + 45.7954424108788</f>
        <v>6.39821826808884E-6</v>
      </c>
      <c r="G32" s="3">
        <f>-0.0000185332453236029*E32 ^ 6 + 0.000227035292101822*E32 ^ 5 + -0.00041408102662898*E32 ^ 4 + -0.00319111520311991*E32 ^ 3 + -0.00415262093727871*E32 ^ 2 + 0.133273986974934*E32 ^ 1 + 0.394340998929779</f>
        <v>0.65864292817774373</v>
      </c>
      <c r="H32" s="4">
        <f>-0.0530211368330024*E32 ^ 6 + 1.12872812330989*E32 ^ 5 + -9.10400007461296*E32 ^ 4 + 35.2858974347484*E32 ^ 3 + -61.5015440325949*E32 ^ 2 + -18.5056905541451*E32 ^ 1 + 3469.44964799838</f>
        <v>3305.0390663342569</v>
      </c>
    </row>
    <row r="33" spans="2:8" x14ac:dyDescent="0.2">
      <c r="C33" s="24" t="s">
        <v>16</v>
      </c>
      <c r="D33" s="1" t="s">
        <v>45</v>
      </c>
      <c r="E33" s="2">
        <v>7.3022948776049326</v>
      </c>
      <c r="F33" s="3">
        <f>-0.000282133953744855*E33 ^ 6 + 0.0108327218601919*E33 ^ 5 + -0.13342445758861*E33 ^ 4 + 0.692825532103201*E33 ^ 3 + -2.28289269333454*E33 ^ 2 + -1.90957864216009*E33 ^ 1 + 63.133466334155</f>
        <v>-2.1592011300697322E-5</v>
      </c>
      <c r="G33" s="3">
        <f>0.0000547024748676305*E33 ^ 6 + -0.00139551283717606*E33 ^ 5 + 0.0133668106962418*E33 ^ 4 + -0.0588982096569793*E33 ^ 3 + 0.0945296223355956*E33 ^ 2 + 0.13497446667053*E33 ^ 1 + 0.519802663654153</f>
        <v>0.93770506723176594</v>
      </c>
      <c r="H33" s="4">
        <f>-0.0276516056224341*E33 ^ 6 + 0.582277489497092*E33 ^ 5 + -4.60606013910661*E33 ^ 4 + 17.3956468472949*E33 ^ 3 + -28.0859697031413*E33 ^ 2 + -25.2066386269779*E33 ^ 1 + 3510.74787004587</f>
        <v>3403.2502533619149</v>
      </c>
    </row>
    <row r="34" spans="2:8" x14ac:dyDescent="0.2">
      <c r="C34" s="24" t="s">
        <v>13</v>
      </c>
      <c r="D34" s="1" t="s">
        <v>46</v>
      </c>
      <c r="E34" s="2">
        <v>7.306941793039317</v>
      </c>
      <c r="F34" s="3">
        <f>-0.00260958849673898*E34 ^ 6 + 0.0576168249708289*E34 ^ 5 + -0.482015234239498*E34 ^ 4 + 1.84996062314511*E34 ^ 3 + -4.07413912875485*E34 ^ 2 + -1.71991377616087*E34 ^ 1 + 79.4734345619279</f>
        <v>1.7845715802877749E-6</v>
      </c>
      <c r="G34" s="3">
        <f>-0.0000386921473173163*E34 ^ 6 + 0.000488289708193501*E34 ^ 5 + -0.000697470417983538*E34 ^ 4 + -0.0115388592678087*E34 ^ 3 + 0.0186609905306535*E34 ^ 2 + 0.236162366351719*E34 ^ 1 + 0.632445556497338</f>
        <v>1.1464201365851667</v>
      </c>
      <c r="H34" s="4">
        <f>-0.0251849923766289*E34 ^ 6 + 0.548028534437325*E34 ^ 5 + -4.50303743533607*E34 ^ 4 + 17.6182501235253*E34 ^ 3 + -29.540360314546*E34 ^ 2 + -17.4712013744993*E34 ^ 1 + 3513.72641878047</f>
        <v>3427.6844056586433</v>
      </c>
    </row>
    <row r="35" spans="2:8" x14ac:dyDescent="0.2">
      <c r="C35" s="24" t="s">
        <v>13</v>
      </c>
      <c r="D35" s="1" t="s">
        <v>47</v>
      </c>
      <c r="E35" s="2">
        <v>7.3094685083052084</v>
      </c>
      <c r="F35" s="3">
        <f>0.00175041368471782*E35 ^ 6 + -0.0269997048300873*E35 ^ 5 + 0.117638624639086*E35 ^ 4 + -0.0667285691607924*E35 ^ 3 + -1.40037622284083*E35 ^ 2 + -4.58634165396192*E35 ^ 1 + 94.9903733639261</f>
        <v>-5.8403439780363442E-5</v>
      </c>
      <c r="G35" s="3">
        <f>0.000111434055055407*E35 ^ 6 + -0.00248885781009322*E35 ^ 5 + 0.0205393476382196*E35 ^ 4 + -0.0758351770513433*E35 ^ 3 + 0.0836567030604547*E35 ^ 2 + 0.280662314075096*E35 ^ 1 + 0.730203741876384</f>
        <v>1.3307269119661285</v>
      </c>
      <c r="H35" s="4">
        <f>-0.0104302437411464*E35 ^ 6 + 0.290488863154578*E35 ^ 5 + -3.07206205023227*E35 ^ 4 + 15.1803653128924*E35 ^ 3 + -28.5441203826114*E35 ^ 2 + -28.8876021402014*E35 ^ 1 + 3499.38451103725</f>
        <v>3392.550489925045</v>
      </c>
    </row>
    <row r="36" spans="2:8" x14ac:dyDescent="0.2">
      <c r="C36" s="24" t="s">
        <v>14</v>
      </c>
      <c r="D36" s="1" t="s">
        <v>48</v>
      </c>
      <c r="E36" s="2">
        <v>11.69928110998023</v>
      </c>
      <c r="F36" s="3">
        <f>0.0000352975304272976*E36 ^ 6 + -0.00107535593628367*E36 ^ 5 + 0.0110549320011097*E36 ^ 4 + -0.0422356547595866*E36 ^ 3 + -0.115250085133731*E36 ^ 2 + -0.734369367157537*E36 ^ 1 + 30.0751397601187</f>
        <v>-9.4891318043011097E-4</v>
      </c>
      <c r="G36" s="3">
        <f>1.35945801946868E-06*E36 ^ 6 + -0.0000564947236925262*E36 ^ 5 + 0.000924033630949867*E36 ^ 4 + -0.00747036264896078*E36 ^ 3 + 0.0248694425332392*E36 ^ 2 + 0.0351628917658533*E36 ^ 1 + 0.342526564698483</f>
        <v>0.61011272065344702</v>
      </c>
      <c r="H36" s="4">
        <f>-0.000589399509231668*E36 ^ 6 + 0.0163182270496239*E36 ^ 5 + -0.182175959821997*E36 ^ 4 + 1.47127269618493*E36 ^ 3 + -7.17723514812947*E36 ^ 2 + -13.8783293295764*E36 ^ 1 + 3488.57020388224</f>
        <v>3352.1130786068879</v>
      </c>
    </row>
    <row r="37" spans="2:8" x14ac:dyDescent="0.2">
      <c r="C37" s="24" t="s">
        <v>16</v>
      </c>
      <c r="D37" s="1" t="s">
        <v>49</v>
      </c>
      <c r="E37" s="2">
        <v>11.699952763803378</v>
      </c>
      <c r="F37" s="3">
        <f>-0.000107540623175208*E37 ^ 6 + 0.00404324246302546*E37 ^ 5 + -0.0559695224097499*E37 ^ 4 + 0.34346249392316*E37 ^ 3 + -1.10633997073571*E37 ^ 2 + -0.649895955312979*E37 ^ 1 + 47.1615348510112</f>
        <v>5.8103519577912266E-6</v>
      </c>
      <c r="G37" s="3">
        <f>-1.49381803369625E-06*E37 ^ 6 + 0.0000389402455300771*E37 ^ 5 + -0.000221149734004558*E37 ^ 4 + -0.00197813577422173*E37 ^ 3 + 0.0166394964895154*E37 ^ 2 + 0.066917895810213*E37 ^ 1 + 0.47601650728772</f>
        <v>0.92999417409716467</v>
      </c>
      <c r="H37" s="4">
        <f>-0.000893694692390525*E37 ^ 6 + 0.025642577587081*E37 ^ 5 + -0.256863139004051*E37 ^ 4 + 1.39478212453299*E37 ^ 3 + -4.85546039933227*E37 ^ 2 + -13.785891085309*E37 ^ 1 + 3520.22710610784</f>
        <v>3444.3708705715248</v>
      </c>
    </row>
    <row r="38" spans="2:8" x14ac:dyDescent="0.2">
      <c r="C38" s="24" t="s">
        <v>13</v>
      </c>
      <c r="D38" s="1" t="s">
        <v>50</v>
      </c>
      <c r="E38" s="2">
        <v>11.69871381929212</v>
      </c>
      <c r="F38" s="3">
        <f>0.000114579455052008*E38 ^ 6 + -0.00340009132855687*E38 ^ 5 + 0.034805816913731*E38 ^ 4 + -0.152562688123814*E38 ^ 3 + -0.0355385956469825*E38 ^ 2 + -1.28098954006583*E38 ^ 1 + 63.5019511811411</f>
        <v>7.1203034508471319E-6</v>
      </c>
      <c r="G38" s="3">
        <f>-5.60728069891784E-08*E38 ^ 6 + -2.14384955824015E-06*E38 ^ 5 + 0.000142353812573169*E38 ^ 4 + -0.00264399031103345*E38 ^ 3 + 0.00810894003379527*E38 ^ 2 + 0.142169875292271*E38 ^ 1 + 0.636431594184913</f>
        <v>1.2290385910829684</v>
      </c>
      <c r="H38" s="4">
        <f>0.00120481540074461*E38 ^ 6 + -0.0417667879568951*E38 ^ 5 + 0.527051213099438*E38 ^ 4 + -2.70455953613793*E38 ^ 3 + 5.16821628050718*E38 ^ 2 + -23.8405264909281*E38 ^ 1 + 3513.74117933686</f>
        <v>3420.3254335121751</v>
      </c>
    </row>
    <row r="39" spans="2:8" x14ac:dyDescent="0.2">
      <c r="C39" s="24" t="s">
        <v>28</v>
      </c>
      <c r="D39" s="1" t="s">
        <v>51</v>
      </c>
      <c r="E39" s="2">
        <v>11.659923830249101</v>
      </c>
      <c r="F39" s="3">
        <f>0.000332705924197432*E39 ^ 6 + -0.0107963927229451*E39 ^ 5 + 0.127618422922097*E39 ^ 4 + -0.681376515196464*E39 ^ 3 + 1.1892115116337*E39 ^ 2 + -2.56749075407419*E39 ^ 1 + 80.2929691230512</f>
        <v>7.6914925875826157E-4</v>
      </c>
      <c r="G39" s="3">
        <f>-5.00840758937206E-07*E39 ^ 6 + 0.0000109154292027184*E39 ^ 5 + 0.0000463808528486714*E39 ^ 4 + -0.00287528978525896*E39 ^ 3 + 0.00896414818062261*E39 ^ 2 + 0.186331184129871*E39 ^ 1 + 0.753424485657594</f>
        <v>1.5379627081482568</v>
      </c>
      <c r="H39" s="4">
        <f>-0.000327730382454309*E39 ^ 6 + 0.00676490557690731*E39 ^ 5 + -0.0421573962609759*E39 ^ 4 + 0.389636246880697*E39 ^ 3 + -2.80168727148989*E39 ^ 2 + -17.4099197837601*E39 ^ 1 + 3523.06342217119</f>
        <v>3411.9972191046731</v>
      </c>
    </row>
    <row r="40" spans="2:8" x14ac:dyDescent="0.2">
      <c r="B40" s="23"/>
      <c r="C40" s="24" t="s">
        <v>13</v>
      </c>
      <c r="D40" s="1" t="s">
        <v>53</v>
      </c>
      <c r="E40" s="2">
        <v>21.299869777747997</v>
      </c>
      <c r="F40" s="3">
        <f>-3.97308223256264E-06*E40 ^ 6 + 0.000241927008169709*E40 ^ 5 + -0.00545006378095361*E40 ^ 4 + 0.0533497506146661*E40 ^ 3 + -0.244066420206426*E40 ^ 2 + -0.227244735733002*E40 ^ 1 + 32.1835691131969</f>
        <v>4.0065675776901344E-4</v>
      </c>
      <c r="G40" s="3">
        <f>-2.54659353237964E-08*E40 ^ 6 + 1.19364024917817E-06*E40 ^ 5 + -7.35196635288729E-06*E40 ^ 4 + -0.000380621834264432*E40 ^ 3 + 0.00330835377453604*E40 ^ 2 + 0.0745527733237766*E40 ^ 1 + 0.497408396175772</f>
        <v>1.2499987564443369</v>
      </c>
      <c r="H40" s="4">
        <f>-0.0000256922145339927*E40 ^ 6 + 0.00134853020990324*E40 ^ 5 + -0.0256966992267605*E40 ^ 4 + 0.242398742857277*E40 ^ 3 + -1.05459849623366*E40 ^ 2 + -9.78550195081787*E40 ^ 1 + 3532.6587412711</f>
        <v>3412.0013066903502</v>
      </c>
    </row>
    <row r="41" spans="2:8" x14ac:dyDescent="0.2">
      <c r="B41" s="23"/>
      <c r="C41" s="24" t="s">
        <v>36</v>
      </c>
      <c r="D41" s="1" t="s">
        <v>54</v>
      </c>
      <c r="E41" s="2">
        <v>21.000181672182908</v>
      </c>
      <c r="F41" s="3">
        <f>-3.52987721555154E-07*E41 ^ 6 + 0.0000523548815151324*E41 ^ 5 + -0.00190304904712075*E41 ^ 4 + 0.0249112165762644*E41 ^ 3 + -0.196817673326021*E41 ^ 2 + -0.29527090200923*E41 ^ 1 + 48.8538473516636</f>
        <v>-1.9055518407640193E-6</v>
      </c>
      <c r="G41" s="3">
        <f>1.68344018163143E-07*E41 ^ 6 + -0.0000102927292709299*E41 ^ 5 + 0.000247161275276381*E41 ^ 4 + -0.00297793271886195*E41 ^ 3 + 0.0131193064073992*E41 ^ 2 + 0.111349423026062*E41 ^ 1 + 0.634842269117126</f>
        <v>1.6499979432938396</v>
      </c>
      <c r="H41" s="4">
        <f>-0.0000292176636902206*E41 ^ 6 + 0.00144356025932434*E41 ^ 5 + -0.0275871508139347*E41 ^ 4 + 0.326648203972228*E41 ^ 3 + -2.35499106786618*E41 ^ 2 + -7.93076925487924*E41 ^ 1 + 3532.99681393826</f>
        <v>3377.5705466753438</v>
      </c>
    </row>
    <row r="42" spans="2:8" x14ac:dyDescent="0.2">
      <c r="C42" s="24" t="s">
        <v>9</v>
      </c>
      <c r="D42" s="1" t="s">
        <v>57</v>
      </c>
      <c r="E42" s="2">
        <v>7.5156822423911605</v>
      </c>
      <c r="F42" s="3">
        <f>-0.000626286329467726*E42 ^ 6 + 0.0141289425476116*E42 ^ 5 + -0.121575486352532*E42 ^ 4 + 0.515680612095717*E42 ^ 3 + -1.3912056955158*E42 ^ 2 + -1.37108910927404*E42 ^ 1 + 31.9319625922991</f>
        <v>-2.080550828509331E-6</v>
      </c>
      <c r="G42" s="3">
        <f>0.0000120777300733295*E42 ^ 6 + -0.000292962058110953*E42 ^ 5 + 0.00271612390355277*E42 ^ 4 + -0.0112645718506395*E42 ^ 3 + 0.0116331877429107*E42 ^ 2 + 0.0555437456738946*E42 ^ 1 + 0.387045354710912</f>
        <v>0.49714833538586911</v>
      </c>
      <c r="H42" s="4">
        <f>-0.0053994803417687*E42 ^ 6 + 0.136577936724539*E42 ^ 5 + -1.50552763865551*E42 ^ 4 + 8.63120452507573*E42 ^ 3 + -18.2012848113037*E42 ^ 2 + -30.3680380520005*E42 ^ 1 + 3425.03777081397</f>
        <v>3331.2950140276862</v>
      </c>
    </row>
    <row r="43" spans="2:8" x14ac:dyDescent="0.2">
      <c r="C43" s="24" t="s">
        <v>14</v>
      </c>
      <c r="D43" s="1" t="s">
        <v>58</v>
      </c>
      <c r="E43" s="2">
        <v>7.8285514470373991</v>
      </c>
      <c r="F43" s="3">
        <f>-0.00101496601741604*E43 ^ 6 + 0.0233420383866868*E43 ^ 5 + -0.199018773366835*E43 ^ 4 + 0.787920186507151*E43 ^ 3 + -1.95417113438552*E43 ^ 2 + -1.4398631306387*E43 ^ 1 + 47.8061113518901</f>
        <v>6.1865630058832721E-5</v>
      </c>
      <c r="G43" s="3">
        <f>-4.31694885083009E-06*E43 ^ 6 + 0.0000662969144062754*E43 ^ 5 + 0.0000718095276689627*E43 ^ 4 + -0.00517811155914549*E43 ^ 3 + 0.0171377713767909*E43 ^ 2 + 0.0429826733592216*E43 ^ 1 + 0.704768185604518</f>
        <v>0.83259402313281317</v>
      </c>
      <c r="H43" s="4">
        <f>0.00161402265116271*E43 ^ 6 + -0.0301891102828047*E43 ^ 5 + 0.106046431651215*E43 ^ 4 + 0.855254009549425*E43 ^ 3 + -4.19843622058561*E43 ^ 2 + -8.06853930076518*E43 ^ 1 + 3489.63811342477</f>
        <v>3461.6647467710027</v>
      </c>
    </row>
    <row r="44" spans="2:8" x14ac:dyDescent="0.2">
      <c r="C44" s="24" t="s">
        <v>16</v>
      </c>
      <c r="D44" s="1" t="s">
        <v>59</v>
      </c>
      <c r="E44" s="2">
        <v>7.9660013092409692</v>
      </c>
      <c r="F44" s="3">
        <f>-0.000813054288103452*E44 ^ 6 + 0.0188210697757283*E44 ^ 5 + -0.155499191090608*E44 ^ 4 + 0.59067120335719*E44 ^ 3 + -1.83944676434336*E44 ^ 2 + -2.31312984139587*E44 ^ 1 + 66.7601039057654</f>
        <v>4.8578057187853574E-4</v>
      </c>
      <c r="G44" s="3">
        <f>-0.0000237227924608103*E44 ^ 6 + 0.000584483408164017*E44 ^ 5 + -0.00535193662674229*E44 ^ 4 + 0.0235232625777121*E44 ^ 3 + -0.0698473495105329*E44 ^ 2 + 0.208270621498806*E44 ^ 1 + 0.862903672347244</f>
        <v>1.116365670474416</v>
      </c>
      <c r="H44" s="4">
        <f>0.00347293356779646*E44 ^ 6 + -0.0817750424664669*E44 ^ 5 + 0.677359428919959*E44 ^ 4 + -2.33653425839493*E44 ^ 3 + 4.97352405546365*E44 ^ 2 + -19.4774455908046*E44 ^ 1 + 3515.33233386281</f>
        <v>3486.5550867501693</v>
      </c>
    </row>
    <row r="45" spans="2:8" x14ac:dyDescent="0.2">
      <c r="C45" s="24" t="s">
        <v>14</v>
      </c>
      <c r="D45" s="1" t="s">
        <v>62</v>
      </c>
      <c r="E45" s="2">
        <v>11.523961679973361</v>
      </c>
      <c r="F45" s="3">
        <f>-2.28232638116952E-06*E45 ^ 6 + -0.000122579542393884*E45 ^ 5 + 0.00531291301020694*E45 ^ 4 + -0.0666844945164602*E45 ^ 3 + 0.129986157794064*E45 ^ 2 + -0.940149392766062*E45 ^ 1 + 32.1846978327813</f>
        <v>2.8806628326805139E-4</v>
      </c>
      <c r="G45" s="3">
        <f>-2.05508551193582E-06*E45 ^ 6 + 0.0000653998517375896*E45 ^ 5 + -0.00071743167397752*E45 ^ 4 + 0.00285775727000842*E45 ^ 3 + -0.00546540775261172*E45 ^ 2 + 0.0771375415646011*E45 ^ 1 + 0.372937428313391</f>
        <v>0.73532106747754189</v>
      </c>
      <c r="H45" s="4">
        <f>0.000396629447239324*E45 ^ 6 + -0.013274050809854*E45 ^ 5 + 0.156265007618395*E45 ^ 4 + -0.68614771475803*E45 ^ 3 + 0.96736285277625*E45 ^ 2 + -10.9219050311565*E45 ^ 1 + 3543.8565258642</f>
        <v>3483.4539687316574</v>
      </c>
    </row>
    <row r="46" spans="2:8" x14ac:dyDescent="0.2">
      <c r="C46" s="24" t="s">
        <v>16</v>
      </c>
      <c r="D46" s="1" t="s">
        <v>63</v>
      </c>
      <c r="E46" s="2">
        <v>12.248496515222872</v>
      </c>
      <c r="F46" s="3">
        <f>0.0000287425599933681*E46 ^ 6 + -0.00128851000770151*E46 ^ 5 + 0.0216070157999475*E46 ^ 4 + -0.172308985717276*E46 ^ 3 + 0.43546793675881*E46 ^ 2 + -1.88564520820208*E46 ^ 1 + 46.241350094746</f>
        <v>-6.1785881655396224E-7</v>
      </c>
      <c r="G46" s="3">
        <f>4.83331764914187E-07*E46 ^ 6 + -0.0000216142897416285*E46 ^ 5 + 0.000413623044169988*E46 ^ 4 + -0.00409266386597055*E46 ^ 3 + 0.0135105024160108*E46 ^ 2 + 0.0787439293695672*E46 ^ 1 + 0.636557335559431</f>
        <v>1.0903804727898978</v>
      </c>
      <c r="H46" s="4">
        <f>0.0000298017235119244*E46 ^ 6 + -0.00139825580235837*E46 ^ 5 + 0.0170713435766517*E46 ^ 4 + 0.0217391293743779*E46 ^ 3 + -0.724782596111599*E46 ^ 2 + -6.05040242274513*E46 ^ 1 + 3533.63783702623</f>
        <v>3490.1314019709544</v>
      </c>
    </row>
    <row r="47" spans="2:8" x14ac:dyDescent="0.2">
      <c r="C47" s="24" t="s">
        <v>13</v>
      </c>
      <c r="D47" s="1" t="s">
        <v>64</v>
      </c>
      <c r="E47" s="2">
        <v>12.014572424891186</v>
      </c>
      <c r="F47" s="3">
        <f>0.000035024218573978*E47 ^ 6 + -0.00143555978826852*E47 ^ 5 + 0.0246946120728801*E47 ^ 4 + -0.211971195732445*E47 ^ 3 + 0.458032719992039*E47 ^ 2 + -1.92752077012917*E47 ^ 1 + 64.1460786841853</f>
        <v>4.8776696931440711E-4</v>
      </c>
      <c r="G47" s="3">
        <f>-1.95055880528703E-06*E47 ^ 6 + 0.0000653655384608625*E47 ^ 5 + -0.000726510183740743*E47 ^ 4 + 0.00267027470323957*E47 ^ 3 + -0.00772096859475854*E47 ^ 2 + 0.144973096437182*E47 ^ 1 + 0.801567461549288</f>
        <v>1.4188078218318856</v>
      </c>
      <c r="H47" s="4">
        <f>0.000196990042151464*E47 ^ 6 + -0.00682896767305318*E47 ^ 5 + 0.078699227007578*E47 ^ 4 + -0.283554496407058*E47 ^ 3 + 0.312282163706278*E47 ^ 2 + -10.8444831132044*E47 ^ 1 + 3538.79817472568</f>
        <v>3484.5629509096289</v>
      </c>
    </row>
    <row r="48" spans="2:8" x14ac:dyDescent="0.2">
      <c r="C48" s="24" t="s">
        <v>14</v>
      </c>
      <c r="D48" s="1" t="s">
        <v>382</v>
      </c>
      <c r="E48" s="2">
        <v>7.2088235176255742</v>
      </c>
      <c r="F48" s="3">
        <f>0.0000328204123092704*E48 ^ 6 + 0.0009708889648316*E48 ^ 5 + -0.0254046903781676*E48 ^ 4 + 0.175189180655884*E48 ^ 3 + -1.04461130256788*E48 ^ 2 + -2.13776376186322*E48 ^ 1 + 49.1668525442034</f>
        <v>2.1949625237738246E-4</v>
      </c>
      <c r="G48" s="3">
        <f>-0.0000127890565759463*E48 ^ 6 + 0.000300820449438662*E48 ^ 5 + -0.00261362127519606*E48 ^ 4 + 0.010658548055568*E48 ^ 3 + -0.0329376633282093*E48 ^ 2 + 0.116882323440952*E48 ^ 1 + 0.683440785282461</f>
        <v>0.81051716535147678</v>
      </c>
      <c r="H48" s="4">
        <f>0.00339449798652945*E48 ^ 6 + -0.0778443852765946*E48 ^ 5 + 0.635730164979167*E48 ^ 4 + -2.21266260095555*E48 ^ 3 + 5.57745255968752*E48 ^ 2 + -22.9812419135565*E48 ^ 1 + 3493.87603501216</f>
        <v>3466.8954252818016</v>
      </c>
    </row>
    <row r="49" spans="2:8" x14ac:dyDescent="0.2">
      <c r="C49" s="24" t="s">
        <v>16</v>
      </c>
      <c r="D49" s="1" t="s">
        <v>66</v>
      </c>
      <c r="E49" s="2">
        <v>7.1720067276421577</v>
      </c>
      <c r="F49" s="3">
        <f>0.00184698241921651*E49 ^ 6 + -0.0367417824816198*E49 ^ 5 + 0.259959595402137*E49 ^ 4 + -0.774750129140051*E49 ^ 3 + 0.0712484529215541*E49 ^ 2 + -3.59673975550867*E49 ^ 1 + 65.9788260551368</f>
        <v>-9.7891698658258974E-7</v>
      </c>
      <c r="G49" s="3">
        <f>-0.000012423462013505*E49 ^ 6 + 0.000194879162085592*E49 ^ 5 + -0.00100500075997567*E49 ^ 4 + 0.00218338835437712*E49 ^ 3 + -0.0180516977284262*E49 ^ 2 + 0.133803738851901*E49 ^ 1 + 0.907206020578272</f>
        <v>1.0919583600639542</v>
      </c>
      <c r="H49" s="4">
        <f>0.00267189854804296*E49 ^ 6 + -0.0477314780630573*E49 ^ 5 + 0.2876015437134*E49 ^ 4 + -0.553463852544844*E49 ^ 3 + 1.19848220694326*E49 ^ 2 + -13.6022685697762*E49 ^ 1 + 3511.18040121753</f>
        <v>3489.9228001200404</v>
      </c>
    </row>
    <row r="50" spans="2:8" x14ac:dyDescent="0.2">
      <c r="C50" s="24" t="s">
        <v>16</v>
      </c>
      <c r="D50" s="1" t="s">
        <v>383</v>
      </c>
      <c r="E50" s="2">
        <v>10.73067866517319</v>
      </c>
      <c r="F50" s="3">
        <f>0.000133715989460598*E50 ^ 6 + -0.00444207833712335*E50 ^ 5 + 0.0565620800557273*E50 ^ 4 + -0.339409555285445*E50 ^ 3 + 0.577902925376271*E50 ^ 2 + -1.91239672814004*E50 ^ 1 + 51.2608393826716</f>
        <v>-2.5890374885761958E-5</v>
      </c>
      <c r="G50" s="3">
        <f>5.44745918156894E-06*E50 ^ 6 + -0.000159554995378856*E50 ^ 5 + 0.00177169084956533*E50 ^ 4 + -0.00934411527668367*E50 ^ 3 + 0.0135862929683328*E50 ^ 2 + 0.122011741237497*E50 ^ 1 + 0.708692825334891</f>
        <v>1.1431877577900602</v>
      </c>
      <c r="H50" s="4">
        <f>-0.000603872613277972*E50 ^ 6 + 0.0157444313092356*E50 ^ 5 + -0.154762375701151*E50 ^ 4 + 0.84060422797343*E50 ^ 3 + -2.20806069856918*E50 ^ 2 + -8.94717787827004*E50 ^ 1 + 3528.14576051629</f>
        <v>3482.6829593091352</v>
      </c>
    </row>
    <row r="51" spans="2:8" x14ac:dyDescent="0.2">
      <c r="C51" s="24" t="s">
        <v>13</v>
      </c>
      <c r="D51" s="1" t="s">
        <v>68</v>
      </c>
      <c r="E51" s="2">
        <v>10.806263227938079</v>
      </c>
      <c r="F51" s="3">
        <f>0.0000452500298054023*E51 ^ 6 + -0.00184364334511093*E51 ^ 5 + 0.0280185983596077*E51 ^ 4 + -0.193898257218032*E51 ^ 3 + 0.14680325082669*E51 ^ 2 + -2.15843207967606*E51 ^ 1 + 68.409408197091</f>
        <v>-1.4831198932085954E-4</v>
      </c>
      <c r="G51" s="3">
        <f>8.48835418879873E-06*E51 ^ 6 + -0.000263319283232288*E51 ^ 5 + 0.00299751801515082*E51 ^ 4 + -0.0148574728723603*E51 ^ 3 + 0.015564711701816*E51 ^ 2 + 0.17677961301426*E51 ^ 1 + 0.920631238060383</f>
        <v>1.4897280363625436</v>
      </c>
      <c r="H51" s="4">
        <f>-0.000903998424641496*E51 ^ 6 + 0.0280089750039129*E51 ^ 5 + -0.322516126198588*E51 ^ 4 + 1.69972571448616*E51 ^ 3 + -2.94046838116048*E51 ^ 2 + -13.3176721618523*E51 ^ 1 + 3529.57183148135</f>
        <v>3477.0458336658521</v>
      </c>
    </row>
    <row r="52" spans="2:8" x14ac:dyDescent="0.2">
      <c r="C52" s="24" t="s">
        <v>70</v>
      </c>
      <c r="D52" s="1" t="s">
        <v>86</v>
      </c>
      <c r="E52" s="2">
        <v>4.2772560254500167</v>
      </c>
      <c r="F52" s="3">
        <f>0.0056428981002094*E52 ^ 6 + -0.125125129516986*E52 ^ 5 + 1.01127842168252*E52 ^ 4 + -3.80773884751238*E52 ^ 3 + 5.57641664917458*E52 ^ 2 + -5.65047614307233*E52 ^ 1 + 26.2101912684681</f>
        <v>-1.2603417491874325E-5</v>
      </c>
      <c r="G52" s="3">
        <f>-0.000539939204394839*E52 ^ 6 + 0.00757699446493702*E52 ^ 5 + -0.0400868838237341*E52 ^ 4 + 0.0968467402065465*E52 ^ 3 + -0.109779464624891*E52 ^ 2 + 0.103456889708017*E52 ^ 1 + 0.174002971543675</f>
        <v>0.31040522229171541</v>
      </c>
      <c r="H52" s="4">
        <f>0.478470229283*E52 ^ 6 + -6.81345887151368*E52 ^ 5 + 36.5775450577563*E52 ^ 4 + -89.0207819049737*E52 ^ 3 + 97.8742322115024*E52 ^ 2 + -85.8931762211589*E52 ^ 1 + 3471.00186646873</f>
        <v>3346.4170704918474</v>
      </c>
    </row>
    <row r="53" spans="2:8" x14ac:dyDescent="0.2">
      <c r="C53" s="24" t="s">
        <v>9</v>
      </c>
      <c r="D53" s="1" t="s">
        <v>87</v>
      </c>
      <c r="E53" s="2">
        <v>4.6968662963816987</v>
      </c>
      <c r="F53" s="3">
        <f>-0.0194543292751685*E53 ^ 6 + 0.247584883424259*E53 ^ 5 + -1.01842275790304*E53 ^ 4 + 1.14750912397717*E53 ^ 3 + -0.00265595136548866*E53 ^ 2 + -4.20601283892768*E53 ^ 1 + 39.4803106858934</f>
        <v>7.9731253096326782E-4</v>
      </c>
      <c r="G53" s="3">
        <f>-0.000149725015361606*E53 ^ 6 + 0.00231647229841457*E53 ^ 5 + -0.0130759062126032*E53 ^ 4 + 0.031149870301051*E53 ^ 3 + -0.0404787283131085*E53 ^ 2 + 0.113424025222582*E53 ^ 1 + 0.234005068198745</f>
        <v>0.42529621458747924</v>
      </c>
      <c r="H53" s="4">
        <f>0.0265512958848266*E53 ^ 6 + 0.109246053402153*E53 ^ 5 + -4.20344002087507*E53 ^ 4 + 24.3113963482424*E53 ^ 3 + -47.0663370114716*E53 ^ 2 + -14.6908579249408*E53 ^ 1 + 3491.97657848401</f>
        <v>3392.7984386152821</v>
      </c>
    </row>
    <row r="54" spans="2:8" x14ac:dyDescent="0.2">
      <c r="C54" s="24" t="s">
        <v>14</v>
      </c>
      <c r="D54" s="1" t="s">
        <v>88</v>
      </c>
      <c r="E54" s="2">
        <v>4.7614902950843376</v>
      </c>
      <c r="F54" s="3">
        <f>-0.11699158788876*E54 ^ 6 + 1.64278354674518*E54 ^ 5 + -8.72555665159655*E54 ^ 4 + 21.5289951310513*E54 ^ 3 + -25.6962367708188*E54 ^ 2 + 6.55366664137156*E54 ^ 1 + 55.0385858949938</f>
        <v>-9.2956661248422279E-6</v>
      </c>
      <c r="G54" s="3">
        <f>-0.000287228387450317*E54 ^ 6 + 0.00401288184893581*E54 ^ 5 + -0.0210901409044424*E54 ^ 4 + 0.0489584331410412*E54 ^ 3 + -0.065642861279004*E54 ^ 2 + 0.186498242579442*E54 ^ 1 + 0.307023226095732</f>
        <v>0.62550306237444686</v>
      </c>
      <c r="H54" s="4">
        <f>0.328483353884121*E54 ^ 6 + -4.34491131556518*E54 ^ 5 + 21.4509785323612*E54 ^ 4 + -47.3375685145135*E54 ^ 3 + 47.4829785093662*E54 ^ 2 + -58.4846797674132*E54 ^ 1 + 3523.99613703189</f>
        <v>3431.9226356499312</v>
      </c>
    </row>
    <row r="55" spans="2:8" x14ac:dyDescent="0.2">
      <c r="C55" s="24" t="s">
        <v>16</v>
      </c>
      <c r="D55" s="1" t="s">
        <v>89</v>
      </c>
      <c r="E55" s="2">
        <v>4.7340360128977954</v>
      </c>
      <c r="F55" s="3">
        <f>-0.0300078515609717*E55 ^ 6 + 0.405359253583119*E55 ^ 5 + -1.88134918284201*E55 ^ 4 + 3.11923309883456*E55 ^ 3 + -2.51944963038081*E55 ^ 2 + -5.00863102219492*E55 ^ 1 + 68.1092770236723</f>
        <v>4.0194262425075067E-6</v>
      </c>
      <c r="G55" s="3">
        <f>-0.000681162834761525*E55 ^ 6 + 0.0107259818773459*E55 ^ 5 + -0.0629254997114808*E55 ^ 4 + 0.164224870023253*E55 ^ 3 + -0.203234657704626*E55 ^ 2 + 0.268634864780703*E55 ^ 1 + 0.39702201534041</f>
        <v>0.76862393424386344</v>
      </c>
      <c r="H55" s="4">
        <f>0.118340707587539*E55 ^ 6 + -1.74279027837402*E55 ^ 5 + 9.36807939248878*E55 ^ 4 + -21.0250962774694*E55 ^ 3 + 20.1717870909441*E55 ^ 2 + -40.1356906223966*E55 ^ 1 + 3520.9971901026</f>
        <v>3445.8146232236877</v>
      </c>
    </row>
    <row r="56" spans="2:8" x14ac:dyDescent="0.2">
      <c r="C56" s="24" t="s">
        <v>16</v>
      </c>
      <c r="D56" s="1" t="s">
        <v>90</v>
      </c>
      <c r="E56" s="2">
        <v>4.8987717790314314</v>
      </c>
      <c r="F56" s="3">
        <f>-0.0086813099208325*E56 ^ 6 + 0.0710338358761227*E56 ^ 5 + 0.122737850945962*E56 ^ 4 + -2.68192083355924*E56 ^ 3 + 5.49181814656365*E56 ^ 2 + -10.2722500530849*E56 ^ 1 + 82.7104296507038</f>
        <v>1.4884102915857511E-4</v>
      </c>
      <c r="G56" s="3">
        <f>-0.000526558847588452*E56 ^ 6 + 0.00849366519845069*E56 ^ 5 + -0.0510334058845407*E56 ^ 4 + 0.135500686497546*E56 ^ 3 + -0.175348800414056*E56 ^ 2 + 0.300141404371906*E56 ^ 1 + 0.42999776014721</f>
        <v>0.9167359361429912</v>
      </c>
      <c r="H56" s="4">
        <f>0.240708730978204*E56 ^ 6 + -3.72775534707891*E56 ^ 5 + 21.7642157207437*E56 ^ 4 + -57.7062216353239*E56 ^ 3 + 71.1128142057101*E56 ^ 2 + -74.9982201120458*E56 ^ 1 + 3512.00134973638</f>
        <v>3411.167390360652</v>
      </c>
    </row>
    <row r="57" spans="2:8" x14ac:dyDescent="0.2">
      <c r="C57" s="24" t="s">
        <v>16</v>
      </c>
      <c r="D57" s="1" t="s">
        <v>91</v>
      </c>
      <c r="E57" s="2">
        <v>4.9648416652236005</v>
      </c>
      <c r="F57" s="3">
        <f>0.0316198894823999*E57 ^ 6 + -0.462012838745902*E57 ^ 5 + 2.7133120396692*E57 ^ 4 + -8.42586231475051*E57 ^ 3 + 10.8900922391811*E57 ^ 2 + -12.6451492175202*E57 ^ 1 + 97.0504127911595</f>
        <v>1.552687285624188E-4</v>
      </c>
      <c r="G57" s="3">
        <f>-0.000798269067546025*E57 ^ 6 + 0.0124245268483462*E57 ^ 5 + -0.072147611660976*E57 ^ 4 + 0.185141987948967*E57 ^ 3 + -0.224293977809309*E57 ^ 2 + 0.349511832654495*E57 ^ 1 + 0.598028873724133</f>
        <v>1.1499755364474022</v>
      </c>
      <c r="H57" s="4">
        <f>-0.00257821481142349*E57 ^ 6 + -0.0619242447992579*E57 ^ 5 + 0.809042695770936*E57 ^ 4 + -1.90341849057515*E57 ^ 3 + 1.81999269029064*E57 ^ 2 + -28.9475136534238*E57 ^ 1 + 3532.99349095276</f>
        <v>3467.3518386405594</v>
      </c>
    </row>
    <row r="58" spans="2:8" x14ac:dyDescent="0.2">
      <c r="C58" s="24" t="s">
        <v>13</v>
      </c>
      <c r="D58" s="1" t="s">
        <v>92</v>
      </c>
      <c r="E58" s="2">
        <v>4.6604326816636146</v>
      </c>
      <c r="F58" s="3">
        <f>-0.0422928915706605*E58 ^ 6 + 0.592700914706958*E58 ^ 5 + -2.88185809169879*E58 ^ 4 + 5.15243925099863*E58 ^ 3 + -5.34887438018964*E58 ^ 2 + -6.26844325641691*E58 ^ 1 + 113.608402587852</f>
        <v>2.3582985761549935E-4</v>
      </c>
      <c r="G58" s="3">
        <f>0.000472109096067419*E58 ^ 6 + -0.00452391688864509*E58 ^ 5 + 0.0154506700568083*E58 ^ 4 + -0.0396145641195979*E58 ^ 3 + 0.0561585906863284*E58 ^ 2 + 0.260068307328619*E58 ^ 1 + 0.638047730565297</f>
        <v>1.2399835652054583</v>
      </c>
      <c r="H58" s="4">
        <f>0.0303744075137343*E58 ^ 6 + -0.53744819946941*E58 ^ 5 + 3.04287463667881*E58 ^ 4 + -4.55302416371961*E58 ^ 3 + -2.99260528639821*E58 ^ 2 + -22.713622551328*E58 ^ 1 + 3525.00203122547</f>
        <v>3458.3569821724354</v>
      </c>
    </row>
    <row r="59" spans="2:8" x14ac:dyDescent="0.2">
      <c r="B59" s="23"/>
      <c r="C59" s="24" t="s">
        <v>28</v>
      </c>
      <c r="D59" s="1" t="s">
        <v>93</v>
      </c>
      <c r="E59" s="2">
        <v>4.8460951017700653</v>
      </c>
      <c r="F59" s="3">
        <f>-0.0402236362292406*E59 ^ 6 + 0.537016821678484*E59 ^ 5 + -2.40098048329535*E59 ^ 4 + 3.28102125720984*E59 ^ 3 + -1.70142301329972*E59 ^ 2 + -10.4549743154024*E59 ^ 1 + 127.100816439079</f>
        <v>1.4516526567831534E-4</v>
      </c>
      <c r="G59" s="3">
        <f>-0.000659693012633894*E59 ^ 6 + 0.00907818558348948*E59 ^ 5 + -0.0424838476256634*E59 ^ 4 + 0.0634943988426238*E59 ^ 3 + -0.0154438188994156*E59 ^ 2 + 0.319213581302226*E59 ^ 1 + 0.725217287446118</f>
        <v>1.4238045736841094</v>
      </c>
      <c r="H59" s="4">
        <f>0.072657950597287*E59 ^ 6 + -1.15491628871599*E59 ^ 5 + 6.52861856337631*E59 ^ 4 + -13.8277474857009*E59 ^ 3 + 8.86357652790131*E59 ^ 2 + -34.6597933843976*E59 ^ 1 + 3535.3984589157</f>
        <v>3456.8756457659656</v>
      </c>
    </row>
    <row r="60" spans="2:8" x14ac:dyDescent="0.2">
      <c r="B60" s="23"/>
      <c r="C60" s="24" t="s">
        <v>28</v>
      </c>
      <c r="D60" s="1" t="s">
        <v>94</v>
      </c>
      <c r="E60" s="2">
        <v>4.8272860187045445</v>
      </c>
      <c r="F60" s="3">
        <f>-0.0171313484851677*E60 ^ 6 + 0.201969217199012*E60 ^ 5 + -0.650398264520263*E60 ^ 4 + -0.722144590793949*E60 ^ 3 + 1.74497877991029*E60 ^ 2 + -11.9220477585044*E60 ^ 1 + 138.653160981241</f>
        <v>5.0063328842497867E-5</v>
      </c>
      <c r="G60" s="3">
        <f>0.000338037518463879*E60 ^ 6 + -0.00584450124984013*E60 ^ 5 + 0.0414109189426351*E60 ^ 4 + -0.152601248368477*E60 ^ 3 + 0.223614850842898*E60 ^ 2 + 0.267075665547092*E60 ^ 1 + 0.766008603037888</f>
        <v>1.544224732353273</v>
      </c>
      <c r="H60" s="4">
        <f>-0.0240004726194858*E60 ^ 6 + 0.359162660546739*E60 ^ 5 + -2.43292107698745*E60 ^ 4 + 10.8141533555861*E60 ^ 3 + -21.0945960441283*E60 ^ 2 + -28.8199401860036*E60 ^ 1 + 3514.00259209738</f>
        <v>3416.4511535638712</v>
      </c>
    </row>
    <row r="61" spans="2:8" x14ac:dyDescent="0.2">
      <c r="C61" s="24" t="s">
        <v>36</v>
      </c>
      <c r="D61" s="1" t="s">
        <v>95</v>
      </c>
      <c r="E61" s="2">
        <v>4.7743620583815165</v>
      </c>
      <c r="F61" s="3">
        <f>-0.00108328386409029*E61 ^ 6 + -0.00273967685948179*E61 ^ 5 + 0.409388460149271*E61 ^ 4 + -3.84036318524266*E61 ^ 3 + 5.85362606118409*E61 ^ 2 + -16.3384730235389*E61 ^ 1 + 169.431488628014</f>
        <v>2.996858370352129E-7</v>
      </c>
      <c r="G61" s="3">
        <f>-0.000658156709762302*E61 ^ 6 + 0.0100803388273324*E61 ^ 5 + -0.0556632020246514*E61 ^ 4 + 0.120919006716328*E61 ^ 3 + -0.127324878404879*E61 ^ 2 + 0.496271021612969*E61 ^ 1 + 0.96200363333003</f>
        <v>1.877868866397193</v>
      </c>
      <c r="H61" s="4">
        <f>0.0446255096463017*E61 ^ 6 + -0.627003827891611*E61 ^ 5 + 3.03621436156641*E61 ^ 4 + -4.28179282338684*E61 ^ 3 + -0.830364440579632*E61 ^ 2 + -28.9891049199998*E61 ^ 1 + 3533.99940362809</f>
        <v>3461.3907724330502</v>
      </c>
    </row>
    <row r="62" spans="2:8" x14ac:dyDescent="0.2">
      <c r="C62" s="24" t="s">
        <v>73</v>
      </c>
      <c r="D62" s="1" t="s">
        <v>96</v>
      </c>
      <c r="E62" s="2">
        <v>4.8943471552804318</v>
      </c>
      <c r="F62" s="3">
        <f>-0.0118664293244968*E62 ^ 6 + 0.172476150077081*E62 ^ 5 + -0.502975226850096*E62 ^ 4 + -2.46666082380689*E62 ^ 3 + 6.36545635897619*E62 ^ 2 + -19.3959759855718*E62 ^ 1 + 198.9793573061</f>
        <v>2.3790252612343465E-7</v>
      </c>
      <c r="G62" s="3">
        <f>-0.00070972664328439*E62 ^ 6 + 0.011041077090733*E62 ^ 5 + -0.0617468369503467*E62 ^ 4 + 0.138534297923498*E62 ^ 3 + -0.17068649929905*E62 ^ 2 + 0.654670866759421*E62 ^ 1 + 1.16998261939128</f>
        <v>2.3487628910393639</v>
      </c>
      <c r="H62" s="4">
        <f>0.00431288511645786*E62 ^ 6 + -0.150104744435536*E62 ^ 5 + 1.17484903681927*E62 ^ 4 + -2.42356175406714*E62 ^ 3 + 1.97271968668681*E62 ^ 2 + -27.3441888069243*E62 ^ 1 + 3543.00134770348</f>
        <v>3484.1536338640626</v>
      </c>
    </row>
    <row r="63" spans="2:8" x14ac:dyDescent="0.2">
      <c r="C63" s="24" t="s">
        <v>73</v>
      </c>
      <c r="D63" s="1" t="s">
        <v>97</v>
      </c>
      <c r="E63" s="2">
        <v>4.8708916473804695</v>
      </c>
      <c r="F63" s="3">
        <f>-0.0639243732018185*E63 ^ 6 + 0.934051029118987*E63 ^ 5 + -4.86797527585516*E63 ^ 4 + 10.5151509834202*E63 ^ 3 + -15.3153466065392*E63 ^ 2 + -9.67134595983566*E63 ^ 1 + 228.196445207075</f>
        <v>6.2098577984670555E-5</v>
      </c>
      <c r="G63" s="3">
        <f>-0.00120520619262935*E63 ^ 6 + 0.0171845584748204*E63 ^ 5 + -0.0895358900587164*E63 ^ 4 + 0.19638187336711*E63 ^ 3 + -0.247695255313285*E63 ^ 2 + 0.762139991204845*E63 ^ 1 + 1.34894492683643</f>
        <v>2.5008474739660542</v>
      </c>
      <c r="H63" s="4">
        <f>0.00144677353058643*E63 ^ 6 + 0.323384235986457*E63 ^ 5 + -4.11645009327156*E63 ^ 4 + 18.8031518830603*E63 ^ 3 + -31.3335933363882*E63 ^ 2 + -16.5922695225008*E63 ^ 1 + 3544.99669578264</f>
        <v>3482.5778736798839</v>
      </c>
    </row>
    <row r="64" spans="2:8" x14ac:dyDescent="0.2">
      <c r="C64" s="24" t="s">
        <v>9</v>
      </c>
      <c r="D64" s="1" t="s">
        <v>102</v>
      </c>
      <c r="E64" s="2">
        <v>6.8843043572160267</v>
      </c>
      <c r="F64" s="3">
        <f>-0.00102125871961314*E64 ^ 6 + 0.0190682625266374*E64 ^ 5 + -0.149856086386246*E64 ^ 4 + 0.637894680383058*E64 ^ 3 + -1.90334287768011*E64 ^ 2 + 0.0857244811327496*E64 ^ 1 + 31.9489513523581</f>
        <v>1.7037935759134371E-5</v>
      </c>
      <c r="G64" s="3">
        <f>-0.0000268207110547421*E64 ^ 6 + 0.000538738534300067*E64 ^ 5 + -0.00400513371259307*E64 ^ 4 + 0.0133593600788825*E64 ^ 3 + -0.0297690473556806*E64 ^ 2 + 0.117110844476858*E64 ^ 1 + 0.24597437693409</f>
        <v>0.47944262146584893</v>
      </c>
      <c r="H64" s="4">
        <f>-0.00503652261882072*E64 ^ 6 + 0.100715535430788*E64 ^ 5 + -0.840652148435089*E64 ^ 4 + 4.55656741715341*E64 ^ 3 + -11.3181960573345*E64 ^ 2 + -29.855895940116*E64 ^ 1 + 3504.04504391199</f>
        <v>3381.7735830893207</v>
      </c>
    </row>
    <row r="65" spans="2:8" x14ac:dyDescent="0.2">
      <c r="C65" s="24" t="s">
        <v>14</v>
      </c>
      <c r="D65" s="1" t="s">
        <v>384</v>
      </c>
      <c r="E65" s="2">
        <v>7.2505968103495961</v>
      </c>
      <c r="F65" s="3">
        <f>-0.0000247804417885892*E65 ^ 6 + 0.00546271690594603*E65 ^ 5 + -0.095296736671048*E65 ^ 4 + 0.605409980076383*E65 ^ 3 + -2.24006627605091*E65 ^ 2 + -0.575586682397071*E65 ^ 1 + 48.68001168175</f>
        <v>3.2833400726417494E-4</v>
      </c>
      <c r="G65" s="3">
        <f>-9.19499737948202E-08*E65 ^ 6 + 1.86136885786441E-06*E65 ^ 5 + 0.000134823678031441*E65 ^ 4 + -0.00222698254726789*E65 ^ 3 + -0.00524134438298236*E65 ^ 2 + 0.144633323083288*E65 ^ 1 + 0.339499796906246</f>
        <v>0.66032571610653068</v>
      </c>
      <c r="H65" s="4">
        <f>0.000284515598863541*E65 ^ 6 + -0.00672257418450833*E65 ^ 5 + 0.00974887642060762*E65 ^ 4 + 1.04775609506319*E65 ^ 3 + -3.53281069005498*E65 ^ 2 + -34.3121500664055*E65 ^ 1 + 3510.19922107267</f>
        <v>3408.6369953905664</v>
      </c>
    </row>
    <row r="66" spans="2:8" x14ac:dyDescent="0.2">
      <c r="C66" s="24" t="s">
        <v>16</v>
      </c>
      <c r="D66" s="1" t="s">
        <v>103</v>
      </c>
      <c r="E66" s="2">
        <v>7.3316430533903842</v>
      </c>
      <c r="F66" s="3">
        <f>-0.00144857504101287*E66 ^ 6 + 0.0359246706514253*E66 ^ 5 + -0.346518304648509*E66 ^ 4 + 1.61245042902386*E66 ^ 3 + -4.44906811619992*E66 ^ 2 + 0.441998490022102*E66 ^ 1 + 65.6282446209971</f>
        <v>-5.6476214510325917E-5</v>
      </c>
      <c r="G66" s="3">
        <f>-0.000023274880823128*E66 ^ 6 + 0.000516984755332223*E66 ^ 5 + -0.00414311950925601*E66 ^ 4 + 0.0140221720409886*E66 ^ 3 + -0.0373855554212743*E66 ^ 2 + 0.210856858236766*E66 ^ 1 + 0.466947958510714</f>
        <v>0.89521067703715407</v>
      </c>
      <c r="H66" s="4">
        <f>0.0152853562707674*E66 ^ 6 + -0.346753991010153*E66 ^ 5 + 2.86889784291648*E66 ^ 4 + -9.85648159254281*E66 ^ 3 + 14.3561420761972*E66 ^ 2 + -40.6316831711167*E66 ^ 1 + 3527.21823659694</f>
        <v>3434.3391300617463</v>
      </c>
    </row>
    <row r="67" spans="2:8" x14ac:dyDescent="0.2">
      <c r="C67" s="24" t="s">
        <v>13</v>
      </c>
      <c r="D67" s="1" t="s">
        <v>104</v>
      </c>
      <c r="E67" s="2">
        <v>7.5390091369458458</v>
      </c>
      <c r="F67" s="3">
        <f>0.00498845693595261*E67 ^ 6 + -0.0910037608577312*E67 ^ 5 + 0.551704901629015*E67 ^ 4 + -1.06033283678552*E67 ^ 3 + -2.23788641535689*E67 ^ 2 + 0.109204495195162*E67 ^ 1 + 98.8879230241313</f>
        <v>7.5233421863174499E-4</v>
      </c>
      <c r="G67" s="3">
        <f>0.000214264799442381*E67 ^ 6 + -0.00463423017977741*E67 ^ 5 + 0.0379550053379774*E67 ^ 4 + -0.14604273808597*E67 ^ 3 + 0.229772095299723*E67 ^ 2 + 0.143872430839517*E67 ^ 1 + 0.723107487753173</f>
        <v>1.3770274488888754</v>
      </c>
      <c r="H67" s="4">
        <f>-0.0561279237577892*E67 ^ 6 + 1.18673853394498*E67 ^ 5 + -9.49353986037432*E67 ^ 4 + 36.2436063661468*E67 ^ 3 + -63.7388895787917*E67 ^ 2 + 8.48100234635297*E67 ^ 1 + 3529.92203891267</f>
        <v>3429.7735007681649</v>
      </c>
    </row>
    <row r="68" spans="2:8" x14ac:dyDescent="0.2">
      <c r="C68" s="24" t="s">
        <v>13</v>
      </c>
      <c r="D68" s="1" t="s">
        <v>105</v>
      </c>
      <c r="E68" s="2">
        <v>7.4785582887429332</v>
      </c>
      <c r="F68" s="3">
        <f>0.0161863627986639*E68 ^ 6 + -0.351533006597672*E68 ^ 5 + 2.8836608407295*E68 ^ 4 + -11.0569802327034*E68 ^ 3 + 18.1816140882732*E68 ^ 2 + -15.6669614032803*E68 ^ 1 + 98.879942089443</f>
        <v>2.2932572175223811</v>
      </c>
      <c r="G68" s="3">
        <f>0.000400564849148727*E68 ^ 6 + -0.00892247955766817*E68 ^ 5 + 0.0758689761824063*E68 ^ 4 + -0.306395397831034*E68 ^ 3 + 0.552863511603757*E68 ^ 2 + -0.102610627982299*E68 ^ 1 + 0.722997652447978</f>
        <v>1.3948093619383468</v>
      </c>
      <c r="H68" s="4">
        <f>-0.15839968144902*E68 ^ 6 + 3.57698436665172*E68 ^ 5 + -30.9980518086049*E68 ^ 4 + 128.938543033389*E68 ^ 3 + -254.121699121125*E68 ^ 2 + 156.305317193337*E68 ^ 1 + 3530.00029588032</f>
        <v>3419.4454065287068</v>
      </c>
    </row>
    <row r="69" spans="2:8" x14ac:dyDescent="0.2">
      <c r="C69" s="24" t="s">
        <v>28</v>
      </c>
      <c r="D69" s="1" t="s">
        <v>106</v>
      </c>
      <c r="E69" s="2">
        <v>7.2855080198590567</v>
      </c>
      <c r="F69" s="3">
        <f>0.00143091301673729*E69 ^ 6 + -0.0332774018364333*E69 ^ 5 + 0.276935408269618*E69 ^ 4 + -0.951160338907155*E69 ^ 3 + -0.49743321271864*E69 ^ 2 + -4.17497663114465*E69 ^ 1 + 113.481081854817</f>
        <v>-6.0731488531473587E-6</v>
      </c>
      <c r="G69" s="3">
        <f>0.0000254480248030854*E69 ^ 6 + -0.000742684127965473*E69 ^ 5 + 0.00818940746304815*E69 ^ 4 + -0.0418613994135322*E69 ^ 3 + 0.0590981814429061*E69 ^ 2 + 0.291834972892397*E69 ^ 1 + 0.828156807438016</f>
        <v>1.5368788118159298</v>
      </c>
      <c r="H69" s="4">
        <f>0.00790532720102822*E69 ^ 6 + -0.140974097278607*E69 ^ 5 + 0.68544827900348*E69 ^ 4 + 1.06466209161054*E69 ^ 3 + -10.5421808499747*E69 ^ 2 + -22.2673695775675*E69 ^ 1 + 3528.84967392537</f>
        <v>3438.4742654543184</v>
      </c>
    </row>
    <row r="70" spans="2:8" x14ac:dyDescent="0.2">
      <c r="C70" s="24" t="s">
        <v>36</v>
      </c>
      <c r="D70" s="1" t="s">
        <v>107</v>
      </c>
      <c r="E70" s="2">
        <v>7.3446598670982102</v>
      </c>
      <c r="F70" s="3">
        <f>0.00409393969895909*E70 ^ 6 + -0.0900631029905743*E70 ^ 5 + 0.732555040698133*E70 ^ 4 + -2.66093905738354*E70 ^ 3 + 2.23333876111318*E70 ^ 2 + -6.26680285897214*E70 ^ 1 + 130.355008009759</f>
        <v>-2.609535556530318E-6</v>
      </c>
      <c r="G70" s="3">
        <f>0.0000764262949462884*E70 ^ 6 + -0.00182922719355371*E70 ^ 5 + 0.0169332132898044*E70 ^ 4 + -0.0753414339173149*E70 ^ 3 + 0.115185481408138*E70 ^ 2 + 0.312583957066363*E70 ^ 1 + 0.955809156817497</f>
        <v>1.7913961096742801</v>
      </c>
      <c r="H70" s="4">
        <f>-0.0168693556497804*E70 ^ 6 + 0.360755263030646*E70 ^ 5 + -2.97568398642549*E70 ^ 4 + 12.3068398802431*E70 ^ 3 + -23.2739979152976*E70 ^ 2 + -13.1007748104026*E70 ^ 1 + 3535.73587862495</f>
        <v>3463.1147716906512</v>
      </c>
    </row>
    <row r="71" spans="2:8" x14ac:dyDescent="0.2">
      <c r="C71" s="24" t="s">
        <v>73</v>
      </c>
      <c r="D71" s="1" t="s">
        <v>108</v>
      </c>
      <c r="E71" s="2">
        <v>7.4343957204926028</v>
      </c>
      <c r="F71" s="3">
        <f>0.011487484330917*E71 ^ 6 + -0.255979426826754*E71 ^ 5 + 2.16824115892113*E71 ^ 4 + -8.65795652704466*E71 ^ 3 + 13.8306669539882*E71 ^ 2 + -16.2680221731538*E71 ^ 1 + 164.440529336704</f>
        <v>-9.2172413701518963E-6</v>
      </c>
      <c r="G71" s="3">
        <f>0.000236130807674855*E71 ^ 6 + -0.00561602109887928*E71 ^ 5 + 0.051727635695582*E71 ^ 4 + -0.230368850126276*E71 ^ 3 + 0.437156168341281*E71 ^ 2 + 0.165280637406321*E71 ^ 1 + 1.21641461720106</f>
        <v>2.2907677121552621</v>
      </c>
      <c r="H71" s="4">
        <f>-0.0179016901209592*E71 ^ 6 + 0.426775364782272*E71 ^ 5 + -3.96540723425787*E71 ^ 4 + 18.061902843674*E71 ^ 3 + -37.6996134646015*E71 ^ 2 + 7.05135347330517*E71 ^ 1 + 3548.29909109023</f>
        <v>3494.9892457735596</v>
      </c>
    </row>
    <row r="72" spans="2:8" x14ac:dyDescent="0.2">
      <c r="C72" s="24" t="s">
        <v>73</v>
      </c>
      <c r="D72" s="1" t="s">
        <v>385</v>
      </c>
      <c r="E72" s="2">
        <v>7.4069956540651471</v>
      </c>
      <c r="F72" s="3">
        <f>0.00726916487961513*E72 ^ 6 + -0.160806648053484*E72 ^ 5 + 1.34760018542334*E72 ^ 4 + -5.28969980177732*E72 ^ 3 + 7.11881012634481*E72 ^ 2 + -12.5653985000295*E72 ^ 1 + 180.590604499115</f>
        <v>-2.2176169119347833E-4</v>
      </c>
      <c r="G72" s="3">
        <f>0.000175016680109982*E72 ^ 6 + -0.00411229614327752*E72 ^ 5 + 0.0375621481601145*E72 ^ 4 + -0.167005763202984*E72 ^ 3 + 0.298428366529194*E72 ^ 2 + 0.319323562605114*E72 ^ 1 + 1.3376164051052</f>
        <v>2.4893918812481397</v>
      </c>
      <c r="H72" s="4">
        <f>-0.0144279573009709*E72 ^ 6 + 0.34937982111855*E72 ^ 5 + -3.30334339869622*E72 ^ 4 + 15.248983013952*E72 ^ 3 + -31.034719767707*E72 ^ 2 + -2.31375904234467*E72 ^ 1 + 3543.4991925367</f>
        <v>3484.216351628012</v>
      </c>
    </row>
    <row r="73" spans="2:8" x14ac:dyDescent="0.2">
      <c r="C73" s="24" t="s">
        <v>74</v>
      </c>
      <c r="D73" s="1" t="s">
        <v>109</v>
      </c>
      <c r="E73" s="2">
        <v>7.442909447665131</v>
      </c>
      <c r="F73" s="3">
        <f>0.00392414776399825*E73 ^ 6 + -0.0822873699781943*E73 ^ 5 + 0.638173920879316*E73 ^ 4 + -2.18860481988615*E73 ^ 3 + 0.228425253955024*E73 ^ 2 + -7.2441932774186*E73 ^ 1 + 197.620695313711</f>
        <v>-1.4723572377306482E-5</v>
      </c>
      <c r="G73" s="3">
        <f>0.000134964116781766*E73 ^ 6 + -0.00320847482586079*E73 ^ 5 + 0.0299032602371177*E73 ^ 4 + -0.136773854342554*E73 ^ 3 + 0.235952357867309*E73 ^ 2 + 0.425926157575113*E73 ^ 1 + 1.46921853777044</f>
        <v>2.7439740329085653</v>
      </c>
      <c r="H73" s="4">
        <f>-0.00420516216932395*E73 ^ 6 + 0.0982416576139454*E73 ^ 5 + -0.944080401445506*E73 ^ 4 + 4.91553478765399*E73 ^ 3 + -11.3619864180994*E73 ^ 2 + -10.3049904708641*E73 ^ 1 + 3547.09898950572</f>
        <v>3499.5561583132439</v>
      </c>
    </row>
    <row r="74" spans="2:8" x14ac:dyDescent="0.2">
      <c r="C74" s="24" t="s">
        <v>74</v>
      </c>
      <c r="D74" s="1" t="s">
        <v>110</v>
      </c>
      <c r="E74" s="2">
        <v>7.4071298596991362</v>
      </c>
      <c r="F74" s="3">
        <f>0.00846718410600276*E74 ^ 6 + -0.176124707392874*E74 ^ 5 + 1.36168437807874*E74 ^ 4 + -4.72762540470919*E74 ^ 3 + 3.76606695188937*E74 ^ 2 + -11.5650407348488*E74 ^ 1 + 230.000902189402</f>
        <v>-2.0278192690170727E-4</v>
      </c>
      <c r="G74" s="3">
        <f>0.0000765377651032521*E74 ^ 6 + -0.00166073998229449*E74 ^ 5 + 0.0143782009469374*E74 ^ 4 + -0.0630703874057272*E74 ^ 3 + 0.0593698741843737*E74 ^ 2 + 0.659732866855073*E74 ^ 1 + 1.71502193348101</f>
        <v>3.1202609625297222</v>
      </c>
      <c r="H74" s="4">
        <f>0.0288481495266797*E74 ^ 6 + -0.664658724809777*E74 ^ 5 + 5.73944466995214*E74 ^ 4 + -22.5731121820533*E74 ^ 3 + 41.7875812580388*E74 ^ 2 + -54.4555323503356*E74 ^ 1 + 3538.9982870163</f>
        <v>3476.2552879714381</v>
      </c>
    </row>
    <row r="75" spans="2:8" x14ac:dyDescent="0.2">
      <c r="C75" s="24" t="s">
        <v>14</v>
      </c>
      <c r="D75" s="1" t="s">
        <v>113</v>
      </c>
      <c r="E75" s="2">
        <v>10.891430297523367</v>
      </c>
      <c r="F75" s="3">
        <f>0.0000506670374026107*E75 ^ 6 + -0.0018124604349401*E75 ^ 5 + 0.0217622604126676*E75 ^ 4 + -0.117153137028236*E75 ^ 3 + 0.11748781840433*E75 ^ 2 + -0.801865377158011*E75 ^ 1 + 33.1300306322936</f>
        <v>5.7394760730744565E-6</v>
      </c>
      <c r="G75" s="3">
        <f>-1.50143461101251E-06*E75 ^ 6 + 0.0000511208011810247*E75 ^ 5 + -0.000642607898048955*E75 ^ 4 + 0.00331539280542675*E75 ^ 3 + -0.0104919894398326*E75 ^ 2 + 0.0975844508053776*E75 ^ 1 + 0.276501376513729</f>
        <v>0.66420714998861818</v>
      </c>
      <c r="H75" s="4">
        <f>-0.00213823160809973*E75 ^ 6 + 0.0742659237793034*E75 ^ 5 + -1.00431485308419*E75 ^ 4 + 6.87444820506703*E75 ^ 3 + -23.313316786314*E75 ^ 2 + 8.00935085895393*E75 ^ 1 + 3524.22316833421</f>
        <v>3408.1294832455501</v>
      </c>
    </row>
    <row r="76" spans="2:8" x14ac:dyDescent="0.2">
      <c r="C76" s="24" t="s">
        <v>16</v>
      </c>
      <c r="D76" s="1" t="s">
        <v>114</v>
      </c>
      <c r="E76" s="2">
        <v>10.985785858416593</v>
      </c>
      <c r="F76" s="3">
        <f>0.0000778191138112812*E76 ^ 6 + -0.00255744079998491*E76 ^ 5 + 0.0284391749945991*E76 ^ 4 + -0.139800504102433*E76 ^ 3 + 0.0439479077350445*E76 ^ 2 + -0.999693423812924*E76 ^ 1 + 49.2299893550268</f>
        <v>-8.10893430561066E-4</v>
      </c>
      <c r="G76" s="3">
        <f>6.90634970245774E-07*E76 ^ 6 + -0.0000207500625628936*E76 ^ 5 + 0.000310165610831465*E76 ^ 4 + -0.00323531929450182*E76 ^ 3 + 0.0100658233311959*E76 ^ 2 + 0.112420037746775*E76 ^ 1 + 0.420500275615635</f>
        <v>0.99227548367708374</v>
      </c>
      <c r="H76" s="4">
        <f>-0.0000135582549964669*E76 ^ 6 + 0.000467341046741348*E76 ^ 5 + -0.0172919229560199*E76 ^ 4 + 0.572052528093527*E76 ^ 3 + -4.13027732694103*E76 ^ 2 + -16.8577041883372*E76 ^ 1 + 3534.59994244776</f>
        <v>3408.4681596692826</v>
      </c>
    </row>
    <row r="77" spans="2:8" x14ac:dyDescent="0.2">
      <c r="C77" s="24" t="s">
        <v>13</v>
      </c>
      <c r="D77" s="1" t="s">
        <v>115</v>
      </c>
      <c r="E77" s="2">
        <v>11.303400050862249</v>
      </c>
      <c r="F77" s="3">
        <f>-0.0000349196347597568*E77 ^ 6 + 0.00157733681036465*E77 ^ 5 + -0.0291898655716367*E77 ^ 4 + 0.23925956722979*E77 ^ 3 + -1.24416441893821*E77 ^ 2 + 0.595505759785532*E77 ^ 1 + 64.9799456015711</f>
        <v>-6.5813929893465684E-5</v>
      </c>
      <c r="G77" s="3">
        <f>-1.63978987987255E-06*E77 ^ 6 + 0.0000536912455163183*E77 ^ 5 + -0.000557791621547443*E77 ^ 4 + 0.00096861658664895*E77 ^ 3 + 0.000963733171074942*E77 ^ 2 + 0.16366144451988*E77 ^ 1 + 0.567997040249735</f>
        <v>1.3213647407139444</v>
      </c>
      <c r="H77" s="4">
        <f>-0.00150154902453429*E77 ^ 6 + 0.047586380088496*E77 ^ 5 + -0.584808725437305*E77 ^ 4 + 3.81108061707605*E77 ^ 3 + -13.4131176917139*E77 ^ 2 + 0.951982713485414*E77 ^ 1 + 3544.29854000127</f>
        <v>3447.5157767967917</v>
      </c>
    </row>
    <row r="78" spans="2:8" x14ac:dyDescent="0.2">
      <c r="B78" s="23"/>
      <c r="C78" s="24" t="s">
        <v>28</v>
      </c>
      <c r="D78" s="1" t="s">
        <v>116</v>
      </c>
      <c r="E78" s="2">
        <v>11.460453412184561</v>
      </c>
      <c r="F78" s="3">
        <f>-0.0000134193667143151*E78 ^ 6 + 0.00136138570821817*E78 ^ 5 + -0.0321427317336066*E78 ^ 4 + 0.285761470947628*E78 ^ 3 + -1.54182662335814*E78 ^ 2 + 0.727720612828245*E78 ^ 1 + 79.7700034944158</f>
        <v>4.0930549971562868E-7</v>
      </c>
      <c r="G78" s="3">
        <f>-8.49763063328416E-08*E78 ^ 6 + 2.87910825492339E-06*E78 ^ 5 + 0.000151750230407695*E78 ^ 4 + -0.00444278540039104*E78 ^ 3 + 0.0196668792630782*E78 ^ 2 + 0.173476152682983*E78 ^ 1 + 0.710799921121627</f>
        <v>1.5890182917403823</v>
      </c>
      <c r="H78" s="4">
        <f>-0.0000283499040826677*E78 ^ 6 + -0.00371775043725633*E78 ^ 5 + 0.100553224395257*E78 ^ 4 + -0.538107664140898*E78 ^ 3 + -0.208573937941002*E78 ^ 2 + -18.7063817510677*E78 ^ 1 + 3540.10006585923</f>
        <v>3423.7199960155704</v>
      </c>
    </row>
    <row r="79" spans="2:8" x14ac:dyDescent="0.2">
      <c r="B79" s="23"/>
      <c r="C79" s="24" t="s">
        <v>36</v>
      </c>
      <c r="D79" s="1" t="s">
        <v>117</v>
      </c>
      <c r="E79" s="2">
        <v>12.262997255184164</v>
      </c>
      <c r="F79" s="3">
        <f>0.000180021274077877*E79 ^ 6 + -0.00386618851110309*E79 ^ 5 + 0.0180080759337412*E79 ^ 4 + 0.0750251516550911*E79 ^ 3 + -1.24915317836624*E79 ^ 2 + 0.478884317483403*E79 ^ 1 + 96.3399921431522</f>
        <v>5.8741414900964628E-4</v>
      </c>
      <c r="G79" s="3">
        <f>-3.01996989892753E-08*E79 ^ 6 + 1.08678618716375E-06*E79 ^ 5 + 0.000196248519627072*E79 ^ 4 + -0.00513740444851479*E79 ^ 3 + 0.0208748295615176*E79 ^ 2 + 0.222866269491612*E79 ^ 1 + 0.861699994732036</f>
        <v>1.8966258853095765</v>
      </c>
      <c r="H79" s="4">
        <f>-0.0000323299532260219*E79 ^ 6 + 0.00472296392815084*E79 ^ 5 + -0.116269223864124*E79 ^ 4 + 1.33814920035486*E79 ^ 3 + -6.52383512821085*E79 ^ 2 + -9.305276687269*E79 ^ 1 + 3542.09990720578</f>
        <v>3485.1029403475441</v>
      </c>
    </row>
    <row r="80" spans="2:8" x14ac:dyDescent="0.2">
      <c r="C80" s="24" t="s">
        <v>73</v>
      </c>
      <c r="D80" s="1" t="s">
        <v>118</v>
      </c>
      <c r="E80" s="2">
        <v>11.892040490637077</v>
      </c>
      <c r="F80" s="3">
        <f>0.000350366858605276*E80 ^ 6 + -0.0103965571334297*E80 ^ 5 + 0.109197132470125*E80 ^ 4 + -0.502982734279881*E80 ^ 3 + 0.277061390308751*E80 ^ 2 + -0.752423939999215*E80 ^ 1 + 113.480025214727</f>
        <v>7.8224636439472306E-6</v>
      </c>
      <c r="G80" s="3">
        <f>1.31797420376338E-06*E80 ^ 6 + -0.0000499331616442672*E80 ^ 5 + 0.000938572833520023*E80 ^ 4 + -0.0107991823039406*E80 ^ 3 + 0.0418434463688586*E80 ^ 2 + 0.245644717833291*E80 ^ 1 + 0.972697509289852</f>
        <v>2.272572244373344</v>
      </c>
      <c r="H80" s="4">
        <f>0.000653474383445965*E80 ^ 6 + -0.0227012943554425*E80 ^ 5 + 0.283854836166573*E80 ^ 4 + -1.40435695097845*E80 ^ 3 + 2.3759345748416*E80 ^ 2 + -13.1089704590832*E80 ^ 1 + 3557.20958255293</f>
        <v>3501.5798539153989</v>
      </c>
    </row>
    <row r="81" spans="3:8" x14ac:dyDescent="0.2">
      <c r="C81" s="24" t="s">
        <v>73</v>
      </c>
      <c r="D81" s="1" t="s">
        <v>119</v>
      </c>
      <c r="E81" s="2">
        <v>11.714125189062001</v>
      </c>
      <c r="F81" s="3">
        <f>0.000597944470016411*E81 ^ 6 + -0.0188544104503728*E81 ^ 5 + 0.216616971688187*E81 ^ 4 + -1.12660671137941*E81 ^ 3 + 1.77649503284593*E81 ^ 2 + -2.34681106515713*E81 ^ 1 + 129.630003214198</f>
        <v>6.5281078408929716E-4</v>
      </c>
      <c r="G81" s="3">
        <f>2.85231491329103E-08*E81 ^ 6 + -9.71117057281082E-07*E81 ^ 5 + 0.000281282087268285*E81 ^ 4 + -0.00722213487978004*E81 ^ 3 + 0.0327046774499557*E81 ^ 2 + 0.290428465608023*E81 ^ 1 + 1.05730003645798</f>
        <v>2.4940718366577999</v>
      </c>
      <c r="H81" s="4">
        <f>0.0000443657457518094*E81 ^ 6 + -0.00143830491568652*E81 ^ 5 + -0.00542476581980266*E81 ^ 4 + 0.493612804751603*E81 ^ 3 + -3.29192812849109*E81 ^ 2 + -9.78255021003955*E81 ^ 1 + 3554.60008406227</f>
        <v>3476.9662745306018</v>
      </c>
    </row>
    <row r="82" spans="3:8" x14ac:dyDescent="0.2">
      <c r="C82" s="24" t="s">
        <v>74</v>
      </c>
      <c r="D82" s="1" t="s">
        <v>120</v>
      </c>
      <c r="E82" s="2">
        <v>11.556439212358283</v>
      </c>
      <c r="F82" s="3">
        <f>0.000303634517270741*E82 ^ 6 + -0.00693451424644904*E82 ^ 5 + 0.038003047502598*E82 ^ 4 + 0.0962595260348982*E82 ^ 3 + -2.25815165568215*E82 ^ 2 + 1.84192736193108*E82 ^ 1 + 159.988611549235</f>
        <v>2.4583497463481763E-5</v>
      </c>
      <c r="G82" s="3">
        <f>0.00002307283719572*E82 ^ 6 + -0.00078031873858405*E82 ^ 5 + 0.0102926554567295*E82 ^ 4 + -0.0679999951166042*E82 ^ 3 + 0.198536143154674*E82 ^ 2 + 0.21513777086988*E82 ^ 1 + 1.43395111479709</f>
        <v>3.1850247332681505</v>
      </c>
      <c r="H82" s="4">
        <f>-0.000410273533094339*E82 ^ 6 + 0.00971031907201047*E82 ^ 5 + -0.0810599811229892*E82 ^ 4 + 0.592289277236679*E82 ^ 3 + -3.27093885037765*E82 ^ 2 + -12.8330641658566*E82 ^ 1 + 3548.00198305151</f>
        <v>3455.4178571695452</v>
      </c>
    </row>
    <row r="83" spans="3:8" x14ac:dyDescent="0.2">
      <c r="C83" s="24" t="s">
        <v>75</v>
      </c>
      <c r="D83" s="1" t="s">
        <v>386</v>
      </c>
      <c r="E83" s="2">
        <v>11.50788874817091</v>
      </c>
      <c r="F83" s="3">
        <f>3.26060424734628E-06*E83 ^ 6 + 0.00275430171065136*E83 ^ 5 + -0.078701860990413*E83 ^ 4 + 0.748610660321475*E83 ^ 3 + -4.00535822715944*E83 ^ 2 + 2.59884563650035*E83 ^ 1 + 176.457558442744</f>
        <v>-3.311186776500108E-5</v>
      </c>
      <c r="G83" s="3">
        <f>0.0000221780082121648*E83 ^ 6 + -0.000762599172717407*E83 ^ 5 + 0.0102848620011562*E83 ^ 4 + -0.0695805575917924*E83 ^ 3 + 0.205854410350275*E83 ^ 2 + 0.232140563971193*E83 ^ 1 + 1.56679495514293</f>
        <v>3.4333959601139732</v>
      </c>
      <c r="H83" s="4">
        <f>-0.00100310362557607*E83 ^ 6 + 0.029505312379794*E83 ^ 5 + -0.345997479393855*E83 ^ 4 + 2.46943589006172*E83 ^ 3 + -10.3013684531368*E83 ^ 2 + -5.06470688327746*E83 ^ 1 + 3542.19873368881</f>
        <v>3440.1363311033283</v>
      </c>
    </row>
    <row r="84" spans="3:8" x14ac:dyDescent="0.2">
      <c r="C84" s="24" t="s">
        <v>76</v>
      </c>
      <c r="D84" s="1" t="s">
        <v>121</v>
      </c>
      <c r="E84" s="2">
        <v>11.74084217812198</v>
      </c>
      <c r="F84" s="3">
        <f>0.000140620161484973*E84 ^ 6 + -0.00262590281663396*E84 ^ 5 + 0.00600622374213033*E84 ^ 4 + 0.0587908025461989*E84 ^ 3 + -1.24580076741887*E84 ^ 2 + -1.30541088673702*E84 ^ 1 + 195.277047303379</f>
        <v>2.3800114945515816E-7</v>
      </c>
      <c r="G84" s="3">
        <f>0.0000246532518611268*E84 ^ 6 + -0.000858709924868435*E84 ^ 5 + 0.0117808606001641*E84 ^ 4 + -0.0822796499498928*E84 ^ 3 + 0.262172886920439*E84 ^ 2 + 0.201722909479234*E84 ^ 1 + 1.72800078416698</f>
        <v>3.9290022849812614</v>
      </c>
      <c r="H84" s="4">
        <f>0.000356784973991048*E84 ^ 6 + -0.0218792795609713*E84 ^ 5 + 0.441639683214552*E84 ^ 4 + -3.80908121821544*E84 ^ 3 + 14.9758225163764*E84 ^ 2 + -34.0073190657699*E84 ^ 1 + 3557.20247480642</f>
        <v>3502.8316024706774</v>
      </c>
    </row>
    <row r="85" spans="3:8" x14ac:dyDescent="0.2">
      <c r="C85" s="24" t="s">
        <v>76</v>
      </c>
      <c r="D85" s="1" t="s">
        <v>122</v>
      </c>
      <c r="E85" s="2">
        <v>11.682769698474202</v>
      </c>
      <c r="F85" s="3">
        <f>8.53684952371568E-06*E85 ^ 6 + 0.00141591315336633*E85 ^ 5 + -0.0314951623720753*E85 ^ 4 + 0.127927101174776*E85 ^ 3 + -0.998810473318028*E85 ^ 2 + -3.43448700364808*E85 ^ 1 + 229.320001048038</f>
        <v>3.0719277788193722E-7</v>
      </c>
      <c r="G85" s="3">
        <f>-8.69492930772827E-08*E85 ^ 6 + 3.49576257686551E-06*E85 ^ 5 + 0.000527359972357344*E85 ^ 4 + -0.0139394712438386*E85 ^ 3 + 0.0615213032282174*E85 ^ 2 + 0.503814284325956*E85 ^ 1 + 1.99300000137404</f>
        <v>4.4124347782626616</v>
      </c>
      <c r="H85" s="4">
        <f>-0.0000218971897307127*E85 ^ 6 + 0.000748647012435143*E85 ^ 5 + -0.0217831137414727*E85 ^ 4 + 0.535004175021803*E85 ^ 3 + -4.13817895325193*E85 ^ 2 + -5.6306473258814*E85 ^ 1 + 3548.70001182738</f>
        <v>3472.6646914915341</v>
      </c>
    </row>
    <row r="86" spans="3:8" x14ac:dyDescent="0.2">
      <c r="C86" s="24" t="s">
        <v>13</v>
      </c>
      <c r="D86" s="1" t="s">
        <v>125</v>
      </c>
      <c r="E86" s="2">
        <v>20.875473145173547</v>
      </c>
      <c r="F86" s="3">
        <f>3.90078931859044E-06*E86 ^ 6 + -0.000261584568163763*E86 ^ 5 + 0.00694140306670496*E86 ^ 4 + -0.0925576370312755*E86 ^ 3 + 0.546037623305363*E86 ^ 2 + -1.64609842191454*E86 ^ 1 + 34.3997564944655</f>
        <v>-2.434339919688E-5</v>
      </c>
      <c r="G86" s="3">
        <f>3.56437724049945E-07*E86 ^ 6 + -0.0000246762495990327*E86 ^ 5 + 0.000668042765553353*E86 ^ 4 + -0.0088409013423552*E86 ^ 3 + 0.0530694358404336*E86 ^ 2 + -0.0240079331910597*E86 ^ 1 + 0.475990978503745</f>
        <v>1.2124371218336543</v>
      </c>
      <c r="H86" s="4">
        <f>-2.84034442922249E-06*E86 ^ 6 + 0.000216069970145717*E86 ^ 5 + -0.00678812948726444*E86 ^ 4 + 0.115282198897313*E86 ^ 3 + -0.645475848534995*E86 ^ 2 + -8.15161194905669*E86 ^ 1 + 3549.60068217621</f>
        <v>3479.2954948681522</v>
      </c>
    </row>
    <row r="87" spans="3:8" x14ac:dyDescent="0.2">
      <c r="C87" s="24" t="s">
        <v>36</v>
      </c>
      <c r="D87" s="1" t="s">
        <v>126</v>
      </c>
      <c r="E87" s="2">
        <v>20.774460608184299</v>
      </c>
      <c r="F87" s="3">
        <f>2.83211592566711E-07*E87 ^ 6 + -3.63865531807702E-06*E87 ^ 5 + -0.000108974529587087*E87 ^ 4 + -0.00143269174378315*E87 ^ 3 + -0.0406293046883715*E87 ^ 2 + -0.472251358956873*E87 ^ 1 + 51.8018928745768</f>
        <v>1.6807106371885538E-4</v>
      </c>
      <c r="G87" s="3">
        <f>-3.16705104397261E-09*E87 ^ 6 + -1.11833328127926E-06*E87 ^ 5 + 0.0000735017956147725*E87 ^ 4 + -0.00165488018232262*E87 ^ 3 + 0.00987238602651967*E87 ^ 2 + 0.120112410704176*E87 ^ 1 + 0.705115285589139</f>
        <v>1.7322709816214186</v>
      </c>
      <c r="H87" s="4">
        <f>4.92156879679336E-06*E87 ^ 6 + -0.000255853461182954*E87 ^ 5 + 0.00361736057433914*E87 ^ 4 + 0.0199916189634798*E87 ^ 3 + -0.308669238477506*E87 ^ 2 + -10.0809484860998*E87 ^ 1 + 3556.59012418237</f>
        <v>3472.5709624830661</v>
      </c>
    </row>
    <row r="88" spans="3:8" x14ac:dyDescent="0.2">
      <c r="C88" s="24" t="s">
        <v>73</v>
      </c>
      <c r="D88" s="1" t="s">
        <v>127</v>
      </c>
      <c r="E88" s="2">
        <v>21.078290781970605</v>
      </c>
      <c r="F88" s="3">
        <f>5.2252422883874E-07*E88 ^ 6 + -0.0000138751320227943*E88 ^ 5 + 0.0000585153152631831*E88 ^ 4 + -0.00429811724855091*E88 ^ 3 + -0.0420356603540387*E88 ^ 2 + -0.494344671570971*E88 ^ 1 + 69.7027924384215</f>
        <v>7.5731880934881701E-4</v>
      </c>
      <c r="G88" s="3">
        <f>3.59025089774286E-09*E88 ^ 6 + -1.82108777789872E-06*E88 ^ 5 + 0.000103005583041883*E88 ^ 4 + -0.00228324774356709*E88 ^ 3 + 0.0143788670613765*E88 ^ 2 + 0.159004129948892*E88 ^ 1 + 0.935170659163945</f>
        <v>2.363350167371693</v>
      </c>
      <c r="H88" s="4">
        <f>-1.05172664815126E-07*E88 ^ 6 + 0.0000465583219984425*E88 ^ 5 + -0.00285635113846047*E88 ^ 4 + 0.0711767688195463*E88 ^ 3 + -0.497823893995054*E88 ^ 2 + -5.62793172798791*E88 ^ 1 + 3572.89287781909</f>
        <v>3520.3128673005967</v>
      </c>
    </row>
    <row r="89" spans="3:8" x14ac:dyDescent="0.2">
      <c r="C89" s="24" t="s">
        <v>74</v>
      </c>
      <c r="D89" s="1" t="s">
        <v>128</v>
      </c>
      <c r="E89" s="2">
        <v>21.177443088350913</v>
      </c>
      <c r="F89" s="3">
        <f>2.44711883279769E-07*E89 ^ 6 + 8.34287390883149E-06*E89 ^ 5 + -0.000577085476239741*E89 ^ 4 + 0.00304215039007468*E89 ^ 3 + -0.113265275919574*E89 ^ 2 + -0.320047184331679*E89 ^ 1 + 87.1437818378444</f>
        <v>6.7500165542355717E-5</v>
      </c>
      <c r="G89" s="3">
        <f>4.20737811039565E-08*E89 ^ 6 + -4.48933259703089E-06*E89 ^ 5 + 0.000177439900818977*E89 ^ 4 + -0.00335445554648916*E89 ^ 3 + 0.020501495087467*E89 ^ 2 + 0.193861079332973*E89 ^ 1 + 1.14721508746042</f>
        <v>2.9500765954088171</v>
      </c>
      <c r="H89" s="4">
        <f>-2.59582903157771E-06*E89 ^ 6 + 0.000252991886866701*E89 ^ 5 + -0.00951889104422188*E89 ^ 4 + 0.176960520062279*E89 ^ 3 + -1.43581503743738*E89 ^ 2 + 0.0125236809056363*E89 ^ 1 + 3573.09499846809</f>
        <v>3539.0144224882756</v>
      </c>
    </row>
    <row r="90" spans="3:8" x14ac:dyDescent="0.2">
      <c r="C90" s="24" t="s">
        <v>75</v>
      </c>
      <c r="D90" s="1" t="s">
        <v>129</v>
      </c>
      <c r="E90" s="2">
        <v>20.92559636524831</v>
      </c>
      <c r="F90" s="3">
        <f>-7.65600941546744E-06*E90 ^ 6 + 0.000460020912682101*E90 ^ 5 + -0.0102543552566029*E90 ^ 4 + 0.0985431962802253*E90 ^ 3 + -0.570184020588487*E90 ^ 2 + 0.268897371891265*E90 ^ 1 + 104.333451340686</f>
        <v>1.2884695493653453E-5</v>
      </c>
      <c r="G90" s="3">
        <f>-1.05229328132693E-08*E90 ^ 6 + -1.75216457447254E-06*E90 ^ 5 + 0.000129659653380047*E90 ^ 4 + -0.00309206285796262*E90 ^ 3 + 0.0193984011539797*E90 ^ 2 + 0.240784798702111*E90 ^ 1 + 1.3722478584533</f>
        <v>3.5199236615071738</v>
      </c>
      <c r="H90" s="4">
        <f>-0.0000073141973706747*E90 ^ 6 + 0.000551156233365282*E90 ^ 5 + -0.0167162914201655*E90 ^ 4 + 0.259785769117947*E90 ^ 3 + -1.83673385296058*E90 ^ 2 + -0.609205649571618*E90 ^ 1 + 3569.09416947852</f>
        <v>3524.5890006155764</v>
      </c>
    </row>
    <row r="91" spans="3:8" x14ac:dyDescent="0.2">
      <c r="C91" s="24" t="s">
        <v>76</v>
      </c>
      <c r="D91" s="1" t="s">
        <v>130</v>
      </c>
      <c r="E91" s="2">
        <v>20.956007817828652</v>
      </c>
      <c r="F91" s="3">
        <f>-2.60876702431071E-06*E91 ^ 6 + 0.000196135557527646*E91 ^ 5 + -0.00518496021375539*E91 ^ 4 + 0.0539550950216059*E91 ^ 3 + -0.43807730373963*E91 ^ 2 + 0.209537935579444*E91 ^ 1 + 119.665171286757</f>
        <v>-1.8944041499935338E-6</v>
      </c>
      <c r="G91" s="3">
        <f>-8.96919899861162E-08*E91 ^ 6 + 2.75889309415354E-06*E91 ^ 5 + 0.0000392659058294082*E91 ^ 4 + -0.00237307535544197*E91 ^ 3 + 0.0159581323853914*E91 ^ 2 + 0.293673568402753*E91 ^ 1 + 1.5602881714035</f>
        <v>4.0097773285306895</v>
      </c>
      <c r="H91" s="4">
        <f>-0.0000418212550247452*E91 ^ 6 + 0.00267788734938952*E91 ^ 5 + -0.0668193095107368*E91 ^ 4 + 0.831662910714271*E91 ^ 3 + -5.17156920551478*E91 ^ 2 + 8.93461668725648*E91 ^ 1 + 3538.89636227475</f>
        <v>3502.8926095346046</v>
      </c>
    </row>
    <row r="92" spans="3:8" x14ac:dyDescent="0.2">
      <c r="C92" s="24" t="s">
        <v>76</v>
      </c>
      <c r="D92" s="1" t="s">
        <v>131</v>
      </c>
      <c r="E92" s="2">
        <v>20.878974349551719</v>
      </c>
      <c r="F92" s="3">
        <f>7.20307342689422E-08*E92 ^ 6 + 0.0000243868589192917*E92 ^ 5 + -0.00084202579744752*E92 ^ 4 + 0.000642614702855856*E92 ^ 3 + -0.153789933866477*E92 ^ 2 + -0.965352073218702*E92 ^ 1 + 138.635681701786</f>
        <v>2.1580613972105311E-4</v>
      </c>
      <c r="G92" s="3">
        <f>4.23020766704672E-09*E92 ^ 6 + -4.27157004240507E-06*E92 ^ 5 + 0.000243830093109447*E92 ^ 4 + -0.00513276953437605*E92 ^ 3 + 0.0305598173748164*E92 ^ 2 + 0.303335228595343*E92 ^ 1 + 1.82031346656625</f>
        <v>4.4966070909135061</v>
      </c>
      <c r="H92" s="4">
        <f>-9.60325820863604E-06*E92 ^ 6 + 0.000461389808064928*E92 ^ 5 + -0.00847816718055227*E92 ^ 4 + 0.119705952243801*E92 ^ 3 + -1.07926299062138*E92 ^ 2 + -5.89044450274482*E92 ^ 1 + 3562.99477812771</f>
        <v>3483.0284359806437</v>
      </c>
    </row>
    <row r="93" spans="3:8" x14ac:dyDescent="0.2">
      <c r="C93" s="24" t="s">
        <v>77</v>
      </c>
      <c r="D93" s="1" t="s">
        <v>132</v>
      </c>
      <c r="E93" s="2">
        <v>21.096856898214174</v>
      </c>
      <c r="F93" s="3">
        <f>1.47158095140301E-07*E93 ^ 6 + 0.000046919084643487*E93 ^ 5 + -0.00207915365773385*E93 ^ 4 + 0.0180192605145836*E93 ^ 3 + -0.283195247636257*E93 ^ 2 + -0.65450779801639*E93 ^ 1 + 173.467203766168</f>
        <v>5.8721050265830854E-4</v>
      </c>
      <c r="G93" s="3">
        <f>7.86246914624485E-08*E93 ^ 6 + -8.23335026074413E-06*E93 ^ 5 + 0.000324051737760477*E93 ^ 4 + -0.00617801853014523*E93 ^ 3 + 0.0372924203936358*E93 ^ 2 + 0.391078804309507*E93 ^ 1 + 2.27841928956755</f>
        <v>5.8333182955681693</v>
      </c>
      <c r="H93" s="4">
        <f>-4.03517972755277E-06*E93 ^ 6 + 0.000396669789653302*E93 ^ 5 + -0.0143926333287668*E93 ^ 4 + 0.244075308903091*E93 ^ 3 + -1.72255955155276*E93 ^ 2 + -0.724411206882064*E93 ^ 1 + 3564.69347080108</f>
        <v>3525.4237649056017</v>
      </c>
    </row>
    <row r="94" spans="3:8" x14ac:dyDescent="0.2">
      <c r="C94" s="24" t="s">
        <v>77</v>
      </c>
      <c r="D94" s="1" t="s">
        <v>133</v>
      </c>
      <c r="E94" s="2">
        <v>21.052561427429072</v>
      </c>
      <c r="F94" s="3">
        <f>-8.41202655602991E-07*E94 ^ 6 + 0.000110128877383564*E94 ^ 5 + -0.00356199970084046*E94 ^ 4 + 0.0324237577927807*E94 ^ 3 + -0.362052887554509*E94 ^ 2 + -0.717466655603251*E94 ^ 1 + 190.538331037727</f>
        <v>-3.0622251387057986E-4</v>
      </c>
      <c r="G94" s="3">
        <f>4.36578772941874E-08*E94 ^ 6 + -6.58053782832402E-06*E94 ^ 5 + 0.00030381760832293*E94 ^ 4 + -0.00630069454427252*E94 ^ 3 + 0.0392064555652182*E94 ^ 2 + 0.428840194348881*E94 ^ 1 + 2.5004601387307</f>
        <v>6.3832590115645065</v>
      </c>
      <c r="H94" s="4">
        <f>-0.000015159878147445*E94 ^ 6 + 0.00107651244430982*E94 ^ 5 + -0.0299760938654715*E94 ^ 4 + 0.407019986669255*E94 ^ 3 + -2.4352513871503*E94 ^ 2 + -0.283907297444883*E94 ^ 1 + 3562.19625300107</f>
        <v>3518.3420001767422</v>
      </c>
    </row>
    <row r="95" spans="3:8" x14ac:dyDescent="0.2">
      <c r="C95" s="24" t="s">
        <v>36</v>
      </c>
      <c r="D95" s="1" t="s">
        <v>138</v>
      </c>
      <c r="E95" s="2">
        <v>34.301165991619058</v>
      </c>
      <c r="F95" s="3">
        <f>-3.00404892858389E-09*E95 ^ 6 + 3.57293267004445E-07*E95 ^ 5 + -5.41912035336416E-06*E95 ^ 4 + -0.00106012729707615*E95 ^ 3 + 0.017372842594497*E95 ^ 2 + -0.469572055729891*E95 ^ 1 + 33.8800008592728</f>
        <v>1.6270758410286135E-4</v>
      </c>
      <c r="G95" s="3">
        <f>3.86835970668068E-09*E95 ^ 6 + -4.40599531440445E-07*E95 ^ 5 + 0.000021920143288086*E95 ^ 4 + -0.000600202539518533*E95 ^ 3 + 0.00619209807406877*E95 ^ 2 + 0.0658983298578297*E95 ^ 1 + 0.792999968650163</f>
        <v>1.8397294831643982</v>
      </c>
      <c r="H95" s="4">
        <f>-6.03548303882901E-08*E95 ^ 6 + 6.88045329078174E-06*E95 ^ 5 + -0.000549263706661027*E95 ^ 4 + 0.0246409516082893*E95 ^ 3 + -0.202481645696587*E95 ^ 2 + -10.1027067989026*E95 ^ 1 + 3524.29998213397</f>
        <v>3402.0357687267747</v>
      </c>
    </row>
    <row r="96" spans="3:8" x14ac:dyDescent="0.2">
      <c r="C96" s="24" t="s">
        <v>74</v>
      </c>
      <c r="D96" s="1" t="s">
        <v>139</v>
      </c>
      <c r="E96" s="2">
        <v>35.231344959173626</v>
      </c>
      <c r="F96" s="3">
        <f>-6.11545131773409E-10*E96 ^ 6 + 5.51018870279128E-08*E96 ^ 5 + 9.40175804284314E-06*E96 ^ 4 + -0.0017200941463897*E96 ^ 3 + 0.0214966690003492*E96 ^ 2 + -0.556841302368957*E96 ^ 1 + 51.8499977443182</f>
        <v>-2.9388417743803075E-6</v>
      </c>
      <c r="G96" s="3">
        <f>-9.80539649212833E-13*E96 ^ 6 + 3.24936033422608E-10*E96 ^ 5 + 3.85885922208083E-06*E96 ^ 4 + -0.000294444146199906*E96 ^ 3 + 0.00329565675491702*E96 ^ 2 + 0.12605581892903*E96 ^ 1 + 1.17760000286437</f>
        <v>2.7942476486248706</v>
      </c>
      <c r="H96" s="4">
        <f>-3.35145799191205E-08*E96 ^ 6 + 3.70484790365896E-06*E96 ^ 5 + -0.000358604419085626*E96 ^ 4 + 0.0185367981232954*E96 ^ 3 + -0.204762976606965*E96 ^ 2 + -6.37114496790948*E96 ^ 1 + 3568.60000064047</f>
        <v>3485.1128538384746</v>
      </c>
    </row>
    <row r="97" spans="2:8" x14ac:dyDescent="0.2">
      <c r="B97" s="23"/>
      <c r="C97" s="24" t="s">
        <v>76</v>
      </c>
      <c r="D97" s="1" t="s">
        <v>140</v>
      </c>
      <c r="E97" s="2">
        <v>35.656188427849642</v>
      </c>
      <c r="F97" s="3">
        <f>3.72311129670236E-09*E97 ^ 6 + -4.32255706008893E-07*E97 ^ 5 + 0.0000285514194289935*E97 ^ 4 + -0.00208250915644198*E97 ^ 3 + 0.00883239865198508*E97 ^ 2 + -0.387675521434274*E97 ^ 1 + 68.1100004689671</f>
        <v>-9.4199912865633451E-6</v>
      </c>
      <c r="G97" s="3">
        <f>-4.88981980454388E-11*E97 ^ 6 + 5.57322420423023E-09*E97 ^ 5 + 4.77691728746417E-06*E97 ^ 4 + -0.000382719060920717*E97 ^ 3 + 0.00431817712613733*E97 ^ 2 + 0.171242437062307*E97 ^ 1 + 1.56979998364669</f>
        <v>3.7581761359462522</v>
      </c>
      <c r="H97" s="4">
        <f>5.84213539393392E-08*E97 ^ 6 + -6.70423376404036E-06*E97 ^ 5 + 0.000044162106105855*E97 ^ 4 + 0.0127600655602709*E97 ^ 3 + -0.225771017178801*E97 ^ 2 + -4.73115859869655*E97 ^ 1 + 3555.49997110555</f>
        <v>3483.2561827564959</v>
      </c>
    </row>
    <row r="98" spans="2:8" x14ac:dyDescent="0.2">
      <c r="B98" s="23"/>
      <c r="C98" s="24" t="s">
        <v>76</v>
      </c>
      <c r="D98" s="1" t="s">
        <v>141</v>
      </c>
      <c r="E98" s="2">
        <v>35.074699773238542</v>
      </c>
      <c r="F98" s="3">
        <f>7.30910815840202E-09*E98 ^ 6 + -8.17781114413651E-07*E98 ^ 5 + 0.0000133403381731081*E98 ^ 4 + -0.000452146417370957*E98 ^ 3 + -0.0410217207395481*E98 ^ 2 + -0.135458102282764*E98 ^ 1 + 84.3399989022598</f>
        <v>-1.1211416918399664E-5</v>
      </c>
      <c r="G98" s="3">
        <f>7.62328672986504E-11*E98 ^ 6 + -8.94752946194701E-09*E98 ^ 5 + 7.88043012625791E-06*E98 ^ 4 + -0.000551718406223209*E98 ^ 3 + 0.00611235395003519*E98 ^ 2 + 0.215549785628213*E98 ^ 1 + 1.81409998028196</f>
        <v>4.6811776848036306</v>
      </c>
      <c r="H98" s="4">
        <f>0.000378651309096696*E98 ^ 6 + -0.0402835913983926*E98 ^ 5 + 1.65684562836996*E98 ^ 4 + -32.7672367116098*E98 ^ 3 + 309.921716182991*E98 ^ 2 + -1121.01785215497*E98 ^ 1 + 3559.6730211461</f>
        <v>5783.1710200683265</v>
      </c>
    </row>
    <row r="99" spans="2:8" x14ac:dyDescent="0.2">
      <c r="C99" s="24" t="s">
        <v>77</v>
      </c>
      <c r="D99" s="1" t="s">
        <v>142</v>
      </c>
      <c r="E99" s="2">
        <v>35.878903830412604</v>
      </c>
      <c r="F99" s="3">
        <f>-1.97907804818429E-09*E99 ^ 6 + 1.79297863441263E-07*E99 ^ 5 + -1.18589591184661E-06*E99 ^ 4 + -0.00189827747150149*E99 ^ 3 + -0.000280091468859629*E99 ^ 2 + -0.521129474758591*E99 ^ 1 + 102.259996961896</f>
        <v>-5.3368173539070085E-5</v>
      </c>
      <c r="G99" s="3">
        <f>-6.3622607346955E-11*E99 ^ 6 + 7.20650430940334E-09*E99 ^ 5 + 7.22393258370849E-06*E99 ^ 4 + -0.000582924581417805*E99 ^ 3 + 0.00693854283351023*E99 ^ 2 + 0.249828490765885*E99 ^ 1 + 2.34830000386728</f>
        <v>5.584178232281646</v>
      </c>
      <c r="H99" s="4">
        <f>1.56858020035803E-08*E99 ^ 6 + -1.70275694567042E-06*E99 ^ 5 + -0.0000182402454548859*E99 ^ 4 + 0.00486665421884147*E99 ^ 3 + 0.0300941147470064*E99 ^ 2 + -6.56584845131462*E99 ^ 1 + 3564.30001622621</f>
        <v>3494.2351899698729</v>
      </c>
    </row>
    <row r="100" spans="2:8" x14ac:dyDescent="0.2">
      <c r="C100" s="24" t="s">
        <v>74</v>
      </c>
      <c r="D100" s="1" t="s">
        <v>148</v>
      </c>
      <c r="E100" s="2">
        <v>32.841578114981942</v>
      </c>
      <c r="F100" s="3">
        <f>-4.39453289784478E-07*E100 ^ 6 + 0.0000369285240578343*E100 ^ 5 + -0.00116847638746423*E100 ^ 4 + 0.0156986855535174*E100 ^ 3 + -0.092612117067997*E100 ^ 2 + -0.189628660346486*E100 ^ 1 + 49.8745673499805</f>
        <v>1.3453763768467297E-4</v>
      </c>
      <c r="G100" s="3">
        <f>2.87772829476891E-09*E100 ^ 6 + -6.60648660036718E-07*E100 ^ 5 + 0.0000412549922377895*E100 ^ 4 + -0.00119106814647029*E100 ^ 3 + 0.0134019214797836*E100 ^ 2 + 0.0820547705786082*E100 ^ 1 + 1.2526768369629</f>
        <v>2.5755268755809055</v>
      </c>
      <c r="H100" s="4">
        <f>0.0000016442445611496*E100 ^ 6 + -0.000145469915202379*E100 ^ 5 + 0.0048367927681261*E100 ^ 4 + -0.0681422097906049*E100 ^ 3 + 0.36652426497504*E100 ^ 2 + -5.05494314070972*E100 ^ 1 + 3566.99055566127</f>
        <v>3514.6466933370602</v>
      </c>
    </row>
    <row r="101" spans="2:8" x14ac:dyDescent="0.2">
      <c r="C101" s="24" t="s">
        <v>76</v>
      </c>
      <c r="D101" s="1" t="s">
        <v>149</v>
      </c>
      <c r="E101" s="2">
        <v>32.925877411158957</v>
      </c>
      <c r="F101" s="3">
        <f>-5.88859092421547E-07*E101 ^ 6 + 0.000048971501052639*E101 ^ 5 + -0.00153241770139441*E101 ^ 4 + 0.0200197866599454*E101 ^ 3 + -0.112811189689822*E101 ^ 2 + -0.335058652785653*E101 ^ 1 + 74.9811258421267</f>
        <v>7.4828370614454798E-5</v>
      </c>
      <c r="G101" s="3">
        <f>3.64804396076087E-09*E101 ^ 6 + -9.20577371845004E-07*E101 ^ 5 + 0.0000590548247345737*E101 ^ 4 + -0.00173477111512106*E101 ^ 3 + 0.0197830876514239*E101 ^ 2 + 0.122173707116754*E101 ^ 1 + 1.85849545220325</f>
        <v>3.8360383879900453</v>
      </c>
      <c r="H101" s="4">
        <f>9.49552788459842E-07*E101 ^ 6 + -0.0000832823420768458*E101 ^ 5 + 0.00278090544494657*E101 ^ 4 + -0.0382475093610778*E101 ^ 3 + 0.186765245584673*E101 ^ 2 + -4.25377270277228*E101 ^ 1 + 3570.97757341241</f>
        <v>3523.5723554107426</v>
      </c>
    </row>
    <row r="102" spans="2:8" x14ac:dyDescent="0.2">
      <c r="C102" s="24" t="s">
        <v>77</v>
      </c>
      <c r="D102" s="1" t="s">
        <v>150</v>
      </c>
      <c r="E102" s="2">
        <v>32.942972518315678</v>
      </c>
      <c r="F102" s="3">
        <f>-9.18644562279006E-07*E102 ^ 6 + 0.0000774706143122534*E102 ^ 5 + -0.00245545402084353*E102 ^ 4 + 0.0330546273366776*E102 ^ 3 + -0.193627785016367*E102 ^ 2 + -0.343630387505869*E102 ^ 1 + 100.029336026131</f>
        <v>1.2057590060976509E-4</v>
      </c>
      <c r="G102" s="3">
        <f>6.78255795193881E-09*E102 ^ 6 + -1.41051661813075E-06*E102 ^ 5 + 0.0000851675302338379*E102 ^ 4 + -0.00241534540718246*E102 ^ 3 + 0.0271513009667274*E102 ^ 2 + 0.159921581225872*E102 ^ 1 + 2.46735961693753</f>
        <v>5.0990947727280798</v>
      </c>
      <c r="H102" s="4">
        <f>1.87788055806226E-06*E102 ^ 6 + -0.000172403518807624*E102 ^ 5 + 0.00599807764541096*E102 ^ 4 + -0.0926991213759169*E102 ^ 3 + 0.617915510935993*E102 ^ 2 + -5.41258660207836*E102 ^ 1 + 3571.98853555046</f>
        <v>3525.5868765162331</v>
      </c>
    </row>
    <row r="103" spans="2:8" x14ac:dyDescent="0.2">
      <c r="C103" s="24" t="s">
        <v>78</v>
      </c>
      <c r="D103" s="1" t="s">
        <v>151</v>
      </c>
      <c r="E103" s="2">
        <v>33.065536392454611</v>
      </c>
      <c r="F103" s="3">
        <f>-8.88730552287679E-07*E103 ^ 6 + 0.0000732731654116719*E103 ^ 5 + -0.00227279386592077*E103 ^ 4 + 0.0289524870932973*E103 ^ 3 + -0.155922657218554*E103 ^ 2 + -0.58708996329929*E103 ^ 1 + 125.389576182746</f>
        <v>2.0255551717696108E-5</v>
      </c>
      <c r="G103" s="3">
        <f>8.12790939405706E-09*E103 ^ 6 + -1.75427759685285E-06*E103 ^ 5 + 0.000107092603593112*E103 ^ 4 + -0.00306542251349581*E103 ^ 3 + 0.0347949373404449*E103 ^ 2 + 0.209364992926959*E103 ^ 1 + 3.18824303489625</f>
        <v>6.632749757090723</v>
      </c>
      <c r="H103" s="4">
        <f>1.10720699673894E-06*E103 ^ 6 + -0.0000993913853007904*E103 ^ 5 + 0.0033737964915192*E103 ^ 4 + -0.0492920715185399*E103 ^ 3 + 0.289643276087209*E103 ^ 2 + -3.7720475962419*E103 ^ 1 + 3576.99455144382</f>
        <v>3538.4430562659281</v>
      </c>
    </row>
    <row r="104" spans="2:8" x14ac:dyDescent="0.2">
      <c r="C104" s="24" t="s">
        <v>79</v>
      </c>
      <c r="D104" s="1" t="s">
        <v>152</v>
      </c>
      <c r="E104" s="2">
        <v>33.130094372135488</v>
      </c>
      <c r="F104" s="3">
        <f>-0.0000011635806120302*E104 ^ 6 + 0.00009731973055758*E104 ^ 5 + -0.0030668853149996*E104 ^ 4 + 0.0403836596675441*E104 ^ 3 + -0.228993823251714*E104 ^ 2 + -0.564505477122338*E104 ^ 1 + 150.634961152884</f>
        <v>1.0315621096879113E-5</v>
      </c>
      <c r="G104" s="3">
        <f>1.77811133451432E-09*E104 ^ 6 + -1.28972951450562E-06*E104 ^ 5 + 0.0000967567247421684*E104 ^ 4 + -0.00308233264347588*E104 ^ 3 + 0.0367961685211597*E104 ^ 2 + 0.24847120192954*E104 ^ 1 + 3.65002075678676</f>
        <v>7.6248414143358643</v>
      </c>
      <c r="H104" s="4">
        <f>6.31268622332951E-07*E104 ^ 6 + -0.0000528452190920207*E104 ^ 5 + 0.0016486236637268*E104 ^ 4 + -0.0200427693014434*E104 ^ 3 + 0.0694807286313717*E104 ^ 2 + -2.79833197130865*E104 ^ 1 + 3578.98681171625</f>
        <v>3545.3934832181117</v>
      </c>
    </row>
    <row r="105" spans="2:8" x14ac:dyDescent="0.2">
      <c r="C105" s="24" t="s">
        <v>80</v>
      </c>
      <c r="D105" s="1" t="s">
        <v>153</v>
      </c>
      <c r="E105" s="2">
        <v>33.204921082725065</v>
      </c>
      <c r="F105" s="3">
        <f>-1.31649315549051E-06*E105 ^ 6 + 0.000109758458880389*E105 ^ 5 + -0.00344523487974848*E105 ^ 4 + 0.0449217382771945*E105 ^ 3 + -0.25060119529269*E105 ^ 2 + -0.66438799212761*E105 ^ 1 + 176.036314723047</f>
        <v>2.4757470100666978E-6</v>
      </c>
      <c r="G105" s="3">
        <f>1.13326204240849E-08*E105 ^ 6 + -2.38576304986569E-06*E105 ^ 5 + 0.00014418595732442*E105 ^ 4 + -0.00411284781366685*E105 ^ 3 + 0.0469255773157987*E105 ^ 2 + 0.281758489433828*E105 ^ 1 + 4.26901615236545</f>
        <v>8.9561396301838272</v>
      </c>
      <c r="H105" s="4">
        <f>9.57490322551715E-07*E105 ^ 6 + -0.0000856969594024262*E105 ^ 5 + 0.00288291585553704*E105 ^ 4 + -0.0417667137189279*E105 ^ 3 + 0.242004142012389*E105 ^ 2 + -2.86520450391255*E105 ^ 1 + 3581.99659712409</f>
        <v>3553.3498233458058</v>
      </c>
    </row>
    <row r="106" spans="2:8" x14ac:dyDescent="0.2">
      <c r="C106" s="24" t="s">
        <v>80</v>
      </c>
      <c r="D106" s="1" t="s">
        <v>154</v>
      </c>
      <c r="E106" s="2">
        <v>33.213734903168017</v>
      </c>
      <c r="F106" s="3">
        <f>-1.55529697615069E-06*E106 ^ 6 + 0.000130423401926428*E106 ^ 5 + -0.00412035041146603*E106 ^ 4 + 0.0543899399579385*E106 ^ 3 + -0.308282743534837*E106 ^ 2 + -0.707078079418164*E106 ^ 1 + 201.297201914282</f>
        <v>2.3876453951743315E-6</v>
      </c>
      <c r="G106" s="3">
        <f>7.59324076017341E-09*E106 ^ 6 + -2.20132188191509E-06*E106 ^ 5 + 0.000145393082025897*E106 ^ 4 + -0.00436544858195113*E106 ^ 3 + 0.0510858111797895*E106 ^ 2 + 0.323574961275641*E106 ^ 1 + 4.83488644975034</f>
        <v>10.14150131587666</v>
      </c>
      <c r="H106" s="4">
        <f>-0.000281173661200834*E106 ^ 6 + 0.0262194597421449*E106 ^ 5 + -0.91177756867002*E106 ^ 4 + 14.5865735182529*E106 ^ 3 + -105.06179022041*E106 ^ 2 + 261.427645947427*E106 ^ 1 + 3580.14216699755</f>
        <v>3533.2706500888962</v>
      </c>
    </row>
    <row r="107" spans="2:8" x14ac:dyDescent="0.2">
      <c r="C107" s="24" t="s">
        <v>80</v>
      </c>
      <c r="D107" s="1" t="s">
        <v>155</v>
      </c>
      <c r="E107" s="2">
        <v>33.065123046615476</v>
      </c>
      <c r="F107" s="3">
        <f>-1.80896259717559E-06*E107 ^ 6 + 0.000151379409895992*E107 ^ 5 + -0.0047672356731741*E107 ^ 4 + 0.0628988231196938*E107 ^ 3 + -0.358082697245767*E107 ^ 2 + -0.862629756710451*E107 ^ 1 + 225.573365431052</f>
        <v>4.641503582547557E-5</v>
      </c>
      <c r="G107" s="3">
        <f>4.13576900444781E-09*E107 ^ 6 + -2.05128910925062E-06*E107 ^ 5 + 0.000148490133904112*E107 ^ 4 + -0.0046430004749683*E107 ^ 3 + 0.0547798969163415*E107 ^ 2 + 0.360539325350367*E107 ^ 1 + 5.35263629481478</f>
        <v>11.142882277893278</v>
      </c>
      <c r="H107" s="4">
        <f>9.16714608597106E-07*E107 ^ 6 + -0.0000812708721185927*E107 ^ 5 + 0.00273460646868901*E107 ^ 4 + -0.0389586499725704*E107 ^ 3 + 0.214649686116855*E107 ^ 2 + -3.58359470039083*E107 ^ 1 + 3575.99247063964</f>
        <v>3538.4383108835477</v>
      </c>
    </row>
    <row r="108" spans="2:8" x14ac:dyDescent="0.2">
      <c r="C108" s="24" t="s">
        <v>81</v>
      </c>
      <c r="D108" s="1" t="s">
        <v>156</v>
      </c>
      <c r="E108" s="2">
        <v>33.009318795576554</v>
      </c>
      <c r="F108" s="3">
        <f>-2.02761239341514E-06*E108 ^ 6 + 0.000169984709931147*E108 ^ 5 + -0.00537310405613149*E108 ^ 4 + 0.0715722115372196*E108 ^ 3 + -0.416271321059105*E108 ^ 2 + -0.925591777706446*E108 ^ 1 + 250.356007880987</f>
        <v>1.0715549302631189E-4</v>
      </c>
      <c r="G108" s="3">
        <f>4.72351268012763E-09*E108 ^ 6 + -2.25732023118183E-06*E108 ^ 5 + 0.000162570972474348*E108 ^ 4 + -0.00506822315708317*E108 ^ 3 + 0.0594967780918447*E108 ^ 2 + 0.397488664267711*E108 ^ 1 + 5.87642721219345</f>
        <v>12.193655148980861</v>
      </c>
      <c r="H108" s="4">
        <f>-0.00105377615431617*E108 ^ 6 + 0.0976003273459728*E108 ^ 5 + -3.37130278831682*E108 ^ 4 + 53.5770217487676*E108 ^ 3 + -383.444900027844*E108 ^ 2 + 953.926661620908*E108 ^ 1 + 3563.86602330726</f>
        <v>3454.9211541530908</v>
      </c>
    </row>
    <row r="109" spans="2:8" x14ac:dyDescent="0.2">
      <c r="C109" s="24" t="s">
        <v>77</v>
      </c>
      <c r="D109" s="1" t="s">
        <v>161</v>
      </c>
      <c r="E109" s="2">
        <v>64.91659627244205</v>
      </c>
      <c r="F109" s="3">
        <f>-1.02453172994183E-08*E109 ^ 6 + 1.98915970094877E-06*E109 ^ 5 + -0.000148339927714648*E109 ^ 4 + 0.00502492809167097*E109 ^ 3 + -0.079038079101571*E109 ^ 2 + 0.197764208973358*E109 ^ 1 + 53.4982726362118</f>
        <v>2.1891262207418549E-6</v>
      </c>
      <c r="G109" s="3">
        <f>-6.15211786883196E-10*E109 ^ 6 + 1.02373085859621E-07*E109 ^ 5 + -0.0000060334694238727*E109 ^ 4 + 0.000107873999648661*E109 ^ 3 + 0.000312993432258265*E109 ^ 2 + 0.0927965844273037*E109 ^ 1 + 2.89925369281251</f>
        <v>4.5837149932128138</v>
      </c>
      <c r="H109" s="4">
        <f>2.37667790766839E-08*E109 ^ 6 + -4.06779034473256E-06*E109 ^ 5 + 0.00024474935920265*E109 ^ 4 + -0.00512448068171548*E109 ^ 3 + -0.000124818010602357*E109 ^ 2 + -0.892277805745879*E109 ^ 1 + 3571.98216814973</f>
        <v>3547.273505863483</v>
      </c>
    </row>
    <row r="110" spans="2:8" x14ac:dyDescent="0.2">
      <c r="C110" s="24" t="s">
        <v>79</v>
      </c>
      <c r="D110" s="1" t="s">
        <v>162</v>
      </c>
      <c r="E110" s="2">
        <v>64.983206141078199</v>
      </c>
      <c r="F110" s="3">
        <f>-1.23733201049574E-08*E110 ^ 6 + 0.0000023942465156998*E110 ^ 5 + -0.00017834033435485*E110 ^ 4 + 0.00597190698225569*E110 ^ 3 + -0.0924869532142686*E110 ^ 2 + 0.137894019632935*E110 ^ 1 + 80.3297706244282</f>
        <v>1.8660509084611476E-6</v>
      </c>
      <c r="G110" s="3">
        <f>-9.01290135563548E-10*E110 ^ 6 + 1.52861488845226E-07*E110 ^ 5 + -9.31241121869389E-06*E110 ^ 4 + 0.0001842339036653*E110 ^ 3 + -0.00011880445093832*E110 ^ 2 + 0.14212608594308*E110 ^ 1 + 4.29349247012173</f>
        <v>6.7887598001042342</v>
      </c>
      <c r="H110" s="4">
        <f>3.09109110193719E-08*E110 ^ 6 + -5.62123136981003E-06*E110 ^ 5 + 0.000374114590763014*E110 ^ 4 + -0.0103156443185044*E110 ^ 3 + 0.100484168451989*E110 ^ 2 + -1.57431110908095*E110 ^ 1 + 3573.93347853941</f>
        <v>3550.3119270932257</v>
      </c>
    </row>
    <row r="111" spans="2:8" x14ac:dyDescent="0.2">
      <c r="C111" s="24" t="s">
        <v>80</v>
      </c>
      <c r="D111" s="1" t="s">
        <v>163</v>
      </c>
      <c r="E111" s="2">
        <v>65.229796437482889</v>
      </c>
      <c r="F111" s="3">
        <f>-6.98176789850713E-09*E111 ^ 6 + 1.46716675671868E-06*E111 ^ 5 + -0.000121492371912187*E111 ^ 4 + 0.00436925825339384*E111 ^ 3 + -0.073602695759518*E111 ^ 2 + -0.0336355241370735*E111 ^ 1 + 107.415936831182</f>
        <v>-3.0523712634078493E-4</v>
      </c>
      <c r="G111" s="3">
        <f>8.33147245749408E-10*E111 ^ 6 + -1.89495849651252E-07*E111 ^ 5 + 0.0000164137479963907*E111 ^ 4 + -0.000749315635423187*E111 ^ 3 + 0.0158776699839046*E111 ^ 2 + 0.0956276048938383*E111 ^ 1 + 5.68881655047376</f>
        <v>9.070218389419912</v>
      </c>
      <c r="H111" s="4">
        <f>2.46677715716166E-08*E111 ^ 6 + -4.33471936294323E-06*E111 ^ 5 + 0.000275566167003696*E111 ^ 4 + -0.00699626415648929*E111 ^ 3 + 0.0506823164338246*E111 ^ 2 + -0.947067448364445*E111 ^ 1 + 3578.99570677955</f>
        <v>3561.1879592164573</v>
      </c>
    </row>
    <row r="112" spans="2:8" x14ac:dyDescent="0.2">
      <c r="C112" s="24" t="s">
        <v>81</v>
      </c>
      <c r="D112" s="1" t="s">
        <v>164</v>
      </c>
      <c r="E112" s="2">
        <v>64.83480673204258</v>
      </c>
      <c r="F112" s="3">
        <f>-1.82225047418932E-08*E112 ^ 6 + 3.58888013660518E-06*E112 ^ 5 + -0.000273525970013323*E112 ^ 4 + 0.00938703078109937*E112 ^ 3 + -0.150269734596386*E112 ^ 2 + 0.231400190368466*E112 ^ 1 + 133.517083034924</f>
        <v>-9.9396481888902599E-4</v>
      </c>
      <c r="G112" s="3">
        <f>1.55705456752144E-09*E112 ^ 6 + -3.15511264349425E-07*E112 ^ 5 + 0.0000244153134092687*E112 ^ 4 + -0.000988033479235388*E112 ^ 3 + 0.0189022128410002*E112 ^ 2 + 0.127835614728287*E112 ^ 1 + 6.949719025771</f>
        <v>11.029678779037663</v>
      </c>
      <c r="H112" s="4">
        <f>-7.10708386293613E-09*E112 ^ 6 + 0.0000016160302130586*E112 ^ 5 + -0.00014908902665002*E112 ^ 4 + 0.00768756176531197*E112 ^ 3 + -0.193547931679835*E112 ^ 2 + 0.0161589833044715*E112 ^ 1 + 3568.96192026181</f>
        <v>3540.6529980776268</v>
      </c>
    </row>
    <row r="113" spans="2:8" x14ac:dyDescent="0.2">
      <c r="C113" s="24" t="s">
        <v>82</v>
      </c>
      <c r="D113" s="1" t="s">
        <v>165</v>
      </c>
      <c r="E113" s="2">
        <v>65.064910399267902</v>
      </c>
      <c r="F113" s="3">
        <f>-2.18581535780779E-08*E113 ^ 6 + 4.30353178982083E-06*E113 ^ 5 + -0.000327657556932587*E113 ^ 4 + 0.011212339526132*E113 ^ 3 + -0.178460906796224*E113 ^ 2 + 0.286010768142465*E113 ^ 1 + 160.852562208787</f>
        <v>2.1852323470739066E-6</v>
      </c>
      <c r="G113" s="3">
        <f>6.38042392461639E-10*E113 ^ 6 + -1.3572567905545E-07*E113 ^ 5 + 0.0000110185534033105*E113 ^ 4 + -0.000538409671010515*E113 ^ 3 + 0.0121137643663488*E113 ^ 2 + 0.220778289581185*E113 ^ 1 + 8.39336118186379</f>
        <v>13.352316662978051</v>
      </c>
      <c r="H113" s="4">
        <f>1.53677031732656E-08*E113 ^ 6 + -2.65778832519098E-06*E113 ^ 5 + 0.000160981305433616*E113 ^ 4 + -0.00318563256376612*E113 ^ 3 + -0.0106750148151271*E113 ^ 2 + -0.788548924315975*E113 ^ 1 + 3575.9869140631</f>
        <v>3553.8643739762233</v>
      </c>
    </row>
    <row r="114" spans="2:8" x14ac:dyDescent="0.2">
      <c r="C114" s="24" t="s">
        <v>82</v>
      </c>
      <c r="D114" s="1" t="s">
        <v>166</v>
      </c>
      <c r="E114" s="2">
        <v>64.918947061547541</v>
      </c>
      <c r="F114" s="3">
        <f>-3.38507529558159E-08*E114 ^ 6 + 6.53565603871845E-06*E114 ^ 5 + -0.00048451821564624*E114 ^ 4 + 0.016250640906147*E114 ^ 3 + -0.252511800626174*E114 ^ 2 + 0.532242029595091*E114 ^ 1 + 187.233376877927</f>
        <v>6.8201887586383236E-6</v>
      </c>
      <c r="G114" s="3">
        <f>-1.87052405612573E-09*E114 ^ 6 + 3.01839543076382E-07*E114 ^ 5 + -0.0000168164778236706*E114 ^ 4 + 0.000227991710497443*E114 ^ 3 + 0.00349519801397119*E114 ^ 2 + 0.296210779289029*E114 ^ 1 + 9.75423262535346</f>
        <v>15.425265874575814</v>
      </c>
      <c r="H114" s="4">
        <f>2.78193043203142E-08*E114 ^ 6 + -4.92819302487485E-06*E114 ^ 5 + 0.0003146829709934*E114 ^ 4 + -0.00781875859109293*E114 ^ 3 + 0.0484446844303269*E114 ^ 2 + -1.21359604665954*E114 ^ 1 + 3571.95816454978</f>
        <v>3547.3382117693245</v>
      </c>
    </row>
    <row r="115" spans="2:8" x14ac:dyDescent="0.2">
      <c r="C115" s="24" t="s">
        <v>83</v>
      </c>
      <c r="D115" s="1" t="s">
        <v>167</v>
      </c>
      <c r="E115" s="2">
        <v>65.662972175060375</v>
      </c>
      <c r="F115" s="3">
        <f>7.45928728390489E-23*E115 ^ 6 + -1.49955315240873E-20*E115 ^ 5 + -5.62781743999892E-06*E115 ^ 4 + -0.000360589129000033*E115 ^ 3 + 0.0152272205000004*E115 ^ 2 + -1.05718632*E115 ^ 1 + 210.473279</f>
        <v>-3.2171518148516043E-4</v>
      </c>
      <c r="G115" s="3">
        <f>-3.35288707345673E-23*E115 ^ 6 + 6.87295194854E-21*E115 ^ 5 + -8.2318825200053E-07*E115 ^ 4 + -0.0000554839478999809*E115 ^ 3 + 0.00323441450999967*E115 ^ 2 + 0.347125476000003*E115 ^ 1 + 12.7053279</f>
        <v>18.432745031751015</v>
      </c>
      <c r="H115" s="4">
        <f>3.50004114168648E-10*E115 ^ 6 + -5.35475090858268E-08*E115 ^ 5 + 3.55948181233997E-06*E115 ^ 4 + 0.0000491939465087324*E115 ^ 3 + -0.00502376724740323*E115 ^ 2 + -0.433596573824675*E115 ^ 1 + 3583.03377234032</f>
        <v>3575.6902178311948</v>
      </c>
    </row>
    <row r="116" spans="2:8" x14ac:dyDescent="0.2">
      <c r="B116" s="23"/>
      <c r="C116" s="24" t="s">
        <v>83</v>
      </c>
      <c r="D116" s="1" t="s">
        <v>168</v>
      </c>
      <c r="E116" s="2">
        <v>65.017704838390713</v>
      </c>
      <c r="F116" s="3">
        <f>1.05419581016855E-21*E116 ^ 6 + -2.21516017923074E-19*E116 ^ 5 + -0.0000194921760999822*E116 ^ 4 + 0.00118981481999933*E116 ^ 3 + -0.0434786017999879*E116 ^ 2 + -0.464480247000084*E116 ^ 1 + 235.302994</f>
        <v>-4.3048738248785412E-4</v>
      </c>
      <c r="G116" s="3">
        <f>1.54394949659469E-22*E116 ^ 6 + -3.26987142381433E-20*E116 ^ 5 + -2.45794120999735E-06*E116 ^ 4 + 0.000115209863999898*E116 ^ 3 + -0.00264846726999814*E116 ^ 2 + 0.470667464999987*E116 ^ 1 + 13.6430717</f>
        <v>20.790678968029511</v>
      </c>
      <c r="H116" s="4">
        <f>7.66214955949309E-10*E116 ^ 6 + -1.21174494326682E-07*E116 ^ 5 + 0.0000093716992053001*E116 ^ 4 + -0.00025522400537321*E116 ^ 3 + 0.00368770597637195*E116 ^ 2 + -0.603619542426138*E116 ^ 1 + 3581.8554570303</f>
        <v>3572.6157662075393</v>
      </c>
    </row>
    <row r="117" spans="2:8" x14ac:dyDescent="0.2">
      <c r="B117" s="23"/>
      <c r="C117" s="24" t="s">
        <v>78</v>
      </c>
      <c r="D117" s="1" t="s">
        <v>173</v>
      </c>
      <c r="E117" s="2">
        <v>95.236349444727225</v>
      </c>
      <c r="F117" s="3">
        <f>-4.21727855835756E-23*E117 ^ 6 + 2.12471604000126E-08*E117 ^ 5 + -5.20048361000144E-06*E117 ^ 4 + 0.000416121077000078*E117 ^ 3 + -0.017031571000002*E117 ^ 2 + -0.033243355599978*E117 ^ 1 + 59.5522353999999</f>
        <v>-8.1830540821670184E-5</v>
      </c>
      <c r="G117" s="3">
        <f>-3.36968803846961E-23*E117 ^ 6 + 8.11425455000886E-09*E117 ^ 5 + -1.94307040000089E-06*E117 ^ 4 + 0.000155135691000042*E117 ^ 3 + -0.00570333440000096*E117 ^ 2 + 0.160844574000009*E117 ^ 1 + 4.66058337999999</f>
        <v>5.9807978762652034</v>
      </c>
      <c r="H117" s="4">
        <f>-6.14784985584955E-10*E117 ^ 6 + 5.40923258343658E-08*E117 ^ 5 + 9.05755956107233E-06*E117 ^ 4 + -0.0011726916141065*E117 ^ 3 + 0.0482433713128453*E117 ^ 2 + -1.57585535705934*E117 ^ 1 + 3561.76285876007</f>
        <v>3546.4804492167309</v>
      </c>
    </row>
    <row r="118" spans="2:8" x14ac:dyDescent="0.2">
      <c r="C118" s="24" t="s">
        <v>80</v>
      </c>
      <c r="D118" s="1" t="s">
        <v>174</v>
      </c>
      <c r="E118" s="2">
        <v>208006964.27867681</v>
      </c>
      <c r="F118" s="3">
        <f>1.81740221847872E-10*E118 ^ 6 + 1.77757495959773E-08*E118 ^ 5 + -9.89214741145136E-06*E118 ^ 4 + 0.000872411449369612*E118 ^ 3 + -0.032933707114154*E118 ^ 2 + 0.0197825294949362*E118 ^ 1 + 88.8701010909892</f>
        <v>1.4720362770900034E+40</v>
      </c>
      <c r="G118" s="3">
        <f>3.22642926720068E-10*E118 ^ 6 + -6.71005311848321E-08*E118 ^ 5 + 4.52595571661033E-06*E118 ^ 4 + -0.000109159608667581*E118 ^ 3 + -0.000455358888483172*E118 ^ 2 + 0.156938102384407*E118 ^ 1 + 6.95430780092467</f>
        <v>2.613298199282362E+40</v>
      </c>
      <c r="H118" s="4">
        <f>-2.48957690832077E-09*E118 ^ 6 + 4.92496987832148E-07*E118 ^ 5 + -0.0000287579378279907*E118 ^ 4 + 0.000457692082177176*E118 ^ 3 + 0.00460943748113446*E118 ^ 2 + -1.06969994804702*E118 ^ 1 + 3545.00260214586</f>
        <v>-2.0164728962241889E+41</v>
      </c>
    </row>
    <row r="119" spans="2:8" x14ac:dyDescent="0.2">
      <c r="C119" s="24" t="s">
        <v>81</v>
      </c>
      <c r="D119" s="1" t="s">
        <v>175</v>
      </c>
      <c r="E119" s="2">
        <v>434.8293662009292</v>
      </c>
      <c r="F119" s="3">
        <f>-1.89846157375262E-10*E119 ^ 6 + 1.25493948393635E-07*E119 ^ 5 + -0.0000218206864342017*E119 ^ 4 + 0.00147713623745111*E119 ^ 3 + -0.0477938247976365*E119 ^ 2 + 0.0115048642834871*E119 ^ 1 + 117.300162102495</f>
        <v>-7.8851231961607482E-6</v>
      </c>
      <c r="G119" s="3">
        <f>2.25715199240766E-10*E119 ^ 6 + -3.86036288988879E-08*E119 ^ 5 + 1.34832231710908E-06*E119 ^ 4 + 0.0000523531067907662*E119 ^ 3 + -0.00434554368151942*E119 ^ 2 + 0.22740203876526*E119 ^ 1 + 9.044397816673</f>
        <v>977411.67908244708</v>
      </c>
      <c r="H119" s="4">
        <f>1.14334586745925E-09*E119 ^ 6 + -5.09476605796916E-07*E119 ^ 5 + 0.0000759180822870136*E119 ^ 4 + -0.00477343358322915*E119 ^ 3 + 0.137518511563949*E119 ^ 2 + -2.71985208800343*E119 ^ 1 + 3526.99457066563</f>
        <v>2158503.1738399589</v>
      </c>
    </row>
    <row r="120" spans="2:8" x14ac:dyDescent="0.2">
      <c r="C120" s="24" t="s">
        <v>82</v>
      </c>
      <c r="D120" s="1" t="s">
        <v>176</v>
      </c>
      <c r="E120" s="2">
        <v>99.239113341825501</v>
      </c>
      <c r="F120" s="3">
        <f>-1.95372359329488E-09*E120 ^ 6 + 7.01954888741941E-07*E120 ^ 5 + -0.0000929971055465017*E120 ^ 4 + 0.00557794307442189*E120 ^ 3 + -0.160052155115709*E120 ^ 2 + 1.07911370846373*E120 ^ 1 + 147.148669341588</f>
        <v>-2.2378528626632033E-5</v>
      </c>
      <c r="G120" s="3">
        <f>-1.60958900272416E-10*E120 ^ 6 + 8.01975754613294E-08*E120 ^ 5 + -0.0000125556541510399*E120 ^ 4 + 0.000810721811550204*E120 ^ 3 + -0.023839272419177*E120 ^ 2 + 0.470608618442258*E120 ^ 1 + 11.2360739646777</f>
        <v>15.907659722983219</v>
      </c>
      <c r="H120" s="4">
        <f>-8.70054512465987E-09*E120 ^ 6 + 2.15914454819399E-06*E120 ^ 5 + -0.000200574754782717*E120 ^ 4 + 0.00894318676385524*E120 ^ 3 + -0.196007895122555*E120 ^ 2 + 0.878688881285142*E120 ^ 1 + 3560.00090827396</f>
        <v>3475.0833740220937</v>
      </c>
    </row>
    <row r="121" spans="2:8" x14ac:dyDescent="0.2">
      <c r="C121" s="24" t="s">
        <v>83</v>
      </c>
      <c r="D121" s="1" t="s">
        <v>177</v>
      </c>
      <c r="E121" s="2">
        <v>95.331416678608605</v>
      </c>
      <c r="F121" s="3">
        <f>2.71438645841732E-22*E121 ^ 6 + 7.2627375399927E-08*E121 ^ 5 + -0.0000157717610999924*E121 ^ 4 + 0.00108338107999962*E121 ^ 3 + -0.0404358886999907*E121 ^ 2 + -0.10218572500009*E121 ^ 1 + 169.39891</f>
        <v>1.6757373572318102E-5</v>
      </c>
      <c r="G121" s="3">
        <f>-2.2963969599912E-12*E121 ^ 6 + 1.94293642999969E-08*E121 ^ 5 + -4.07939928999959E-06*E121 ^ 4 + 0.000255283357999974*E121 ^ 3 + -0.00679556945999919*E121 ^ 2 + 0.28831004499999*E121 ^ 1 + 14.2369967</f>
        <v>15.462786556528256</v>
      </c>
      <c r="H121" s="4">
        <f>2.23850524215224E-11*E121 ^ 6 + -2.81928265242944E-08*E121 ^ 5 + 5.33316593885973E-06*E121 ^ 4 + -0.000319447118717053*E121 ^ 3 + 0.00824944385952747*E121 ^ 2 + -0.366242423320539*E121 ^ 1 + 3581.10181010104</f>
        <v>3579.6996751672368</v>
      </c>
    </row>
    <row r="122" spans="2:8" x14ac:dyDescent="0.2">
      <c r="C122" s="24" t="s">
        <v>83</v>
      </c>
      <c r="D122" s="1" t="s">
        <v>178</v>
      </c>
      <c r="E122" s="2">
        <v>94.55990298794336</v>
      </c>
      <c r="F122" s="3">
        <f>1.70530353375992E-22*E122 ^ 6 + 7.63726759999527E-08*E122 ^ 5 + -0.0000169133031999949*E122 ^ 4 + 0.00116891661999974*E122 ^ 3 + -0.0438545789999934*E122 ^ 2 + -0.208678152000067*E122 ^ 1 + 198.379253</f>
        <v>1.9846130436462772E-4</v>
      </c>
      <c r="G122" s="3">
        <f>3.82466169859228E-23*E122 ^ 6 + 1.73712347999898E-08*E122 ^ 5 + -3.65037698999894E-06*E122 ^ 4 + 0.000222607215999947*E122 ^ 3 + -0.0063481463699987*E122 ^ 2 + 0.334303462999987*E122 ^ 1 + 16.6753864</f>
        <v>19.218748325023441</v>
      </c>
      <c r="H122" s="4">
        <f>2.31592131938227E-11*E122 ^ 6 + -2.39961323459764E-08*E122 ^ 5 + 4.37309578382983E-06*E122 ^ 4 + -0.000251653070554797*E122 ^ 3 + 0.00729821386272715*E122 ^ 2 + -0.426902481182256*E122 ^ 1 + 3577.96530558587</f>
        <v>3574.8554852563557</v>
      </c>
    </row>
    <row r="123" spans="2:8" x14ac:dyDescent="0.2">
      <c r="C123" s="24" t="s">
        <v>84</v>
      </c>
      <c r="D123" s="1" t="s">
        <v>179</v>
      </c>
      <c r="E123" s="2">
        <v>94.274008821298892</v>
      </c>
      <c r="F123" s="3">
        <f>8.64595300341554E-23*E123 ^ 6 + 7.84369879999756E-08*E123 ^ 5 + -0.0000178888213999972*E123 ^ 4 + 0.00125373248999984*E123 ^ 3 + -0.0478251781999952*E123 ^ 2 + -0.275445333000059*E123 ^ 1 + 229.487056</f>
        <v>-6.1539897910733998E-4</v>
      </c>
      <c r="G123" s="3">
        <f>4.56193820396903E-23*E123 ^ 6 + 1.48881868999874E-08*E123 ^ 5 + -3.06828382999865E-06*E123 ^ 4 + 0.00017873110899993*E123 ^ 3 + -0.00575905882999826*E123 ^ 2 + 0.393223851999983*E123 ^ 1 + 19.3750707</f>
        <v>23.520357099554698</v>
      </c>
      <c r="H123" s="4">
        <f>-4.90675305963754E-12*E123 ^ 6 + -7.2572053478172E-09*E123 ^ 5 + 1.74101530248748E-06*E123 ^ 4 + -0.000119786602851487*E123 ^ 3 + 0.00497571673620749*E123 ^ 2 + -0.284195093084195*E123 ^ 1 + 3581.50349044226</f>
        <v>3578.6030396852775</v>
      </c>
    </row>
    <row r="124" spans="2:8" x14ac:dyDescent="0.2">
      <c r="C124" s="24" t="s">
        <v>77</v>
      </c>
      <c r="D124" s="1" t="s">
        <v>184</v>
      </c>
      <c r="E124" s="2">
        <v>132.13396225271237</v>
      </c>
      <c r="F124" s="3">
        <f>5.45669894674121E-24*E124 ^ 6 + -6.64552843512122E-10*E124 ^ 5 + 2.56957214800316E-07*E124 ^ 4 + -0.0000484101942520225*E124 ^ 3 + 0.00296491885950077*E124 ^ 2 + -0.16868744093001*E124 ^ 1 + 30.643598665</f>
        <v>-1.5698199336000584E-4</v>
      </c>
      <c r="G124" s="3">
        <f>-1.70493397453751E-13*E124 ^ 6 + -3.84137065154798E-10*E124 ^ 5 + 1.89953676926968E-07*E124 ^ 4 + -0.0000331677415211094*E124 ^ 3 + 0.00223702829740993*E124 ^ 2 + -0.00644031647779759*E124 ^ 1 + 2.85500035618547</f>
        <v>6.067691970390845</v>
      </c>
      <c r="H124" s="4">
        <f>4.48338529639129E-23*E124 ^ 6 + 8.37117181738267E-09*E124 ^ 5 + -3.71263489089754E-06*E124 ^ 4 + 0.000629331991949846*E124 ^ 3 + -0.0419958638029961*E124 ^ 2 + 0.12046161450998*E124 ^ 1 + 3546.7160788</f>
        <v>3486.7206810386442</v>
      </c>
    </row>
    <row r="125" spans="2:8" x14ac:dyDescent="0.2">
      <c r="C125" s="24" t="s">
        <v>79</v>
      </c>
      <c r="D125" s="1" t="s">
        <v>185</v>
      </c>
      <c r="E125" s="2">
        <v>150.01570941100246</v>
      </c>
      <c r="F125" s="3">
        <f>-9.6562592332939E-25*E125 ^ 6 + 8.00864873870385E-10*E125 ^ 5 + -2.85339082900057E-07*E125 ^ 4 + 0.0000175445491550038*E125 ^ 3 + 0.000664681371929897*E125 ^ 2 + -0.20972739707*E125 ^ 1 + 40.93839185</f>
        <v>5.3649600886274129E-6</v>
      </c>
      <c r="G125" s="3">
        <f>-2.9339611084973E-14*E125 ^ 6 + 3.74808271426664E-10*E125 ^ 5 + -1.11269552484405E-07*E125 ^ 4 + 0.0000055462970064568*E125 ^ 3 + 0.000633570424506546*E125 ^ 2 + -0.00852774605199843*E125 ^ 1 + 5.71300026802479</f>
        <v>9.2053505743316499</v>
      </c>
      <c r="H125" s="4">
        <f>2.51976420694344E-23*E125 ^ 6 + -4.04385879041208E-09*E125 ^ 5 + 1.20900026300225E-06*E125 ^ 4 + -0.0000592506931412028*E125 ^ 3 + -0.00696789919489123*E125 ^ 2 + 0.0908422311188566*E125 ^ 1 + 3536.8236867</f>
        <v>3498.678414116881</v>
      </c>
    </row>
    <row r="126" spans="2:8" x14ac:dyDescent="0.2">
      <c r="C126" s="24" t="s">
        <v>80</v>
      </c>
      <c r="D126" s="1" t="s">
        <v>186</v>
      </c>
      <c r="E126" s="2">
        <v>137.0207952236652</v>
      </c>
      <c r="F126" s="3">
        <f>-2.42260944073545E-24*E126 ^ 6 + 8.95984759941106E-22*E126 ^ 5 + 9.97014560688737E-08*E126 ^ 4 + -0.0000427188020819915*E126 ^ 3 + 0.00187241970709973*E126 ^ 2 + -0.142613190679997*E126 ^ 1 + 59.138213385</f>
        <v>-9.5740777133812571E-5</v>
      </c>
      <c r="G126" s="3">
        <f>-1.29940325784974E-24*E126 ^ 6 + -9.40899314809485E-10*E126 ^ 5 + 3.66297319019921E-07*E126 ^ 4 + -0.000057188877299994*E126 ^ 3 + 0.00366609542029977*E126 ^ 2 + -0.0075596517885968*E126 ^ 1 + 6.9933787536</f>
        <v>11.339607129590096</v>
      </c>
      <c r="H126" s="4">
        <f>-1.33775120665939E-22*E126 ^ 6 + 5.14155209931116E-20*E126 ^ 5 + -8.06598297184785E-08*E126 ^ 4 + 0.0000409256621215118*E126 ^ 3 + -0.00380863936431646*E126 ^ 2 + -0.143198705439799*E126 ^ 1 + 3572.7023981</f>
        <v>3558.42566771979</v>
      </c>
    </row>
    <row r="127" spans="2:8" x14ac:dyDescent="0.2">
      <c r="C127" s="24" t="s">
        <v>81</v>
      </c>
      <c r="D127" s="1" t="s">
        <v>187</v>
      </c>
      <c r="E127" s="2">
        <v>148.24038483616329</v>
      </c>
      <c r="F127" s="3">
        <f>-2.0296893894757E-24*E127 ^ 6 + 8.61406278326823E-22*E127 ^ 5 + 7.4517559806862E-08*E127 ^ 4 + -0.0000401548572879898*E127 ^ 3 + 0.00276137589159967*E127 ^ 2 + -0.244827339959997*E127 ^ 1 + 70.43523369</f>
        <v>5.116743906796728E-6</v>
      </c>
      <c r="G127" s="3">
        <f>-7.80550192508831E-25*E127 ^ 6 + -1.61778549159666E-10*E127 ^ 5 + 6.47052392569452E-08*E127 ^ 4 + -0.0000180991693169958*E127 ^ 3 + 0.00201957781349985*E127 ^ 2 + -0.00933687334689845*E127 ^ 1 + 10.073690131</f>
        <v>13.775735329676776</v>
      </c>
      <c r="H127" s="4">
        <f>-1.60474601669711E-23*E127 ^ 6 + 6.47316641509545E-21*E127 ^ 5 + -2.73209843037441E-09*E127 ^ 4 + 0.0000253443440620673*E127 ^ 3 + -0.00426087366370204*E127 ^ 2 + 0.022035510570018*E127 ^ 1 + 3585.7198272</f>
        <v>3576.5955074866292</v>
      </c>
    </row>
    <row r="128" spans="2:8" x14ac:dyDescent="0.2">
      <c r="C128" s="24" t="s">
        <v>82</v>
      </c>
      <c r="D128" s="1" t="s">
        <v>188</v>
      </c>
      <c r="E128" s="2">
        <v>154.72852879652859</v>
      </c>
      <c r="F128" s="3">
        <f>-2.8484512056548E-24*E128 ^ 6 + 1.280325364852E-21*E128 ^ 5 + -4.91470745912225E-08*E128 ^ 4 + -0.0000160921163089814*E128 ^ 3 + 0.00216767505619926*E128 ^ 2 + -0.281336220339989*E128 ^ 1 + 79.414899606</f>
        <v>6.4621688849797465E-5</v>
      </c>
      <c r="G128" s="3">
        <f>-7.84400204710952E-25*E128 ^ 6 + 2.6349667466037E-10*E128 ^ 5 + -6.3354430324067E-08*E128 ^ 4 + -6.86037397509422E-06*E128 ^ 3 + 0.00189963967599976*E128 ^ 2 + -0.00615734184039655*E128 ^ 1 + 11.373232727</f>
        <v>17.542052471451893</v>
      </c>
      <c r="H128" s="4">
        <f>-4.49297793367645E-23*E128 ^ 6 + 2.21616290426321E-20*E128 ^ 5 + -3.55273541182338E-08*E128 ^ 4 + 0.0000273881185393889*E128 ^ 3 + -0.00399506051461701*E128 ^ 2 + 0.0339545991452812*E128 ^ 1 + 3579.1212271</f>
        <v>3569.8214156994486</v>
      </c>
    </row>
    <row r="129" spans="3:8" x14ac:dyDescent="0.2">
      <c r="C129" s="24" t="s">
        <v>82</v>
      </c>
      <c r="D129" s="1" t="s">
        <v>189</v>
      </c>
      <c r="E129" s="2">
        <v>145.86519180009944</v>
      </c>
      <c r="F129" s="3">
        <f>-2.25663435465726E-24*E129 ^ 6 + 8.23869228602132E-22*E129 ^ 5 + 1.52018037469883E-07*E129 ^ 4 + -0.0000632279267519916*E129 ^ 3 + 0.00308619259719969*E129 ^ 2 + -0.249972024519995*E129 ^ 1 + 98.209180222</f>
        <v>-5.6524568849170009E-4</v>
      </c>
      <c r="G129" s="3">
        <f>-1.4135996432075E-24*E129 ^ 6 + -6.71118498539399E-10*E129 ^ 5 + 2.35921006499901E-07*E129 ^ 4 + -0.0000413397394079923*E129 ^ 3 + 0.00334719154649972*E129 ^ 2 + -0.00938648863509656*E129 ^ 1 + 14.067719934</f>
        <v>18.101558739993425</v>
      </c>
      <c r="H129" s="4">
        <f>1.11259360899872E-22*E129 ^ 6 + -4.24696788238104E-20*E129 ^ 5 + 1.98048938071435E-08*E129 ^ 4 + 0.0000175984868775819*E129 ^ 3 + -0.00316966841548677*E129 ^ 2 + -0.0215173336981521*E129 ^ 1 + 3575.1176413</f>
        <v>3568.1219820789956</v>
      </c>
    </row>
    <row r="130" spans="3:8" x14ac:dyDescent="0.2">
      <c r="C130" s="24" t="s">
        <v>83</v>
      </c>
      <c r="D130" s="1" t="s">
        <v>190</v>
      </c>
      <c r="E130" s="2">
        <v>151.63356027736629</v>
      </c>
      <c r="F130" s="3">
        <f>1.59776182982077E-24*E130 ^ 6 + -7.17104024898253E-22*E130 ^ 5 + 2.12527122421242E-08*E130 ^ 4 + -0.0000369306957500102*E130 ^ 3 + 0.00226790338090039*E130 ^ 2 + -0.278591056710005*E130 ^ 1 + 107.6210753</f>
        <v>4.2990317703583969E-4</v>
      </c>
      <c r="G130" s="3">
        <f>-1.31271511839735E-25*E130 ^ 6 + -2.51563933519855E-10*E130 ^ 5 + 1.09540478489957E-07*E130 ^ 4 + -0.0000302716983719946*E130 ^ 3 + 0.00323932628939969*E130 ^ 2 + -0.00634024526829343*E130 ^ 1 + 15.476293315</f>
        <v>21.19856650925059</v>
      </c>
      <c r="H130" s="4">
        <f>2.83887537091196E-23*E130 ^ 6 + -1.42003061052875E-20*E130 ^ 5 + -2.93875752732675E-08*E130 ^ 4 + 0.000025486362358749*E130 ^ 3 + -0.00349344529398911*E130 ^ 2 + -0.00461796577307648*E130 ^ 1 + 3579.5862715</f>
        <v>3571.883406236117</v>
      </c>
    </row>
    <row r="131" spans="3:8" x14ac:dyDescent="0.2">
      <c r="C131" s="24" t="s">
        <v>83</v>
      </c>
      <c r="D131" s="1" t="s">
        <v>191</v>
      </c>
      <c r="E131" s="2">
        <v>155.39993770548514</v>
      </c>
      <c r="F131" s="3">
        <f>1.47961746916501E-24*E131 ^ 6 + -7.0704261638565E-22*E131 ^ 5 + -1.01722948439872E-07*E131 ^ 4 + -0.0000129430764760109*E131 ^ 3 + 0.00167939337230042*E131 ^ 2 + -0.317920497440005*E131 ^ 1 + 116.74445289</f>
        <v>1.9079845411340557E-4</v>
      </c>
      <c r="G131" s="3">
        <f>-1.36452048289124E-24*E131 ^ 6 + 1.80344044300684E-10*E131 ^ 5 + -2.05588483271343E-08*E131 ^ 4 + -0.0000187218020989872*E131 ^ 3 + 0.0030928805364994*E131 ^ 2 + -0.00285475760678885*E131 ^ 1 + 16.80624275</f>
        <v>25.148692775317656</v>
      </c>
      <c r="H131" s="4">
        <f>2.44292767332536E-23*E131 ^ 6 + -1.11791395310031E-20*E131 ^ 5 + -6.98937543720163E-08*E131 ^ 4 + 0.0000374746601858288*E131 ^ 3 + -0.00466869368979275*E131 ^ 2 + 0.014267940211879*E131 ^ 1 + 3577.7923796</f>
        <v>3567.1379330236832</v>
      </c>
    </row>
    <row r="132" spans="3:8" x14ac:dyDescent="0.2">
      <c r="C132" s="24" t="s">
        <v>84</v>
      </c>
      <c r="D132" s="1" t="s">
        <v>192</v>
      </c>
      <c r="E132" s="2">
        <v>149.79733596019946</v>
      </c>
      <c r="F132" s="3">
        <f>3.29315439602947E-24*E132 ^ 6 + -1.32870796556962E-21*E132 ^ 5 + 9.60710675062067E-08*E132 ^ 4 + -0.0000598735557930155*E132 ^ 3 + 0.00263795342650056*E132 ^ 2 + -0.282462361980008*E132 ^ 1 + 136.00010128</f>
        <v>3.2706629781387164E-5</v>
      </c>
      <c r="G132" s="3">
        <f>2.58584175445063E-24*E132 ^ 6 + -7.72649504380984E-10*E132 ^ 5 + 2.84449841620145E-07*E132 ^ 4 + -0.0000540871308400103*E132 ^ 3 + 0.00462338336850036*E132 ^ 2 + -0.00689776320380484*E132 ^ 1 + 19.606277595</f>
        <v>25.461351369547451</v>
      </c>
      <c r="H132" s="4">
        <f>9.58082007275512E-23*E132 ^ 6 + -3.74471491339726E-20*E132 ^ 5 + -8.77593115674839E-09*E132 ^ 4 + 0.0000121389924576126*E132 ^ 3 + -0.00162272642338742*E132 ^ 2 + -0.0279805719041485*E132 ^ 1 + 3581.4452728</f>
        <v>3577.2255183919228</v>
      </c>
    </row>
    <row r="133" spans="3:8" x14ac:dyDescent="0.2">
      <c r="C133" s="24" t="s">
        <v>84</v>
      </c>
      <c r="D133" s="1" t="s">
        <v>193</v>
      </c>
      <c r="E133" s="2">
        <v>153.36650548602006</v>
      </c>
      <c r="F133" s="3">
        <f>6.2250987761027E-25*E133 ^ 6 + -3.00033956338438E-22*E133 ^ 5 + -2.60988690439434E-08*E133 ^ 4 + -0.0000357543468560052*E133 ^ 3 + 0.00200004816960024*E133 ^ 2 + -0.317867454960004*E133 ^ 1 + 145.1251601</f>
        <v>2.1926295232788107E-6</v>
      </c>
      <c r="G133" s="3">
        <f>-5.70009044558801E-25*E133 ^ 6 + -3.46946398719751E-10*E133 ^ 5 + 1.56506662469959E-07*E133 ^ 4 + -0.000042830782526997*E133 ^ 3 + 0.00449774499519992*E133 ^ 2 + -0.00372681029440006*E133 ^ 1 + 20.946452976</f>
        <v>28.809825055097761</v>
      </c>
      <c r="H133" s="4">
        <f>-3.06719710592876E-24*E133 ^ 6 + -6.478005875489E-23*E133 ^ 5 + -1.95765206746792E-08*E133 ^ 4 + 0.0000155471675959423*E133 ^ 3 + -0.0020112036779963*E133 ^ 2 + -0.0204758936890773*E133 ^ 1 + 3580.443557</f>
        <v>3575.2509183986112</v>
      </c>
    </row>
    <row r="134" spans="3:8" x14ac:dyDescent="0.2">
      <c r="C134" s="24" t="s">
        <v>85</v>
      </c>
      <c r="D134" s="1" t="s">
        <v>194</v>
      </c>
      <c r="E134" s="2">
        <v>155.04530702875962</v>
      </c>
      <c r="F134" s="3">
        <f>-1.96337152052347E-24*E134 ^ 6 + -5.19919893409925E-09*E134 ^ 5 + 1.74631327379991E-06*E134 ^ 4 + -0.000253794663889997*E134 ^ 3 + 0.0140564978830002*E134 ^ 2 + -0.583552790410014*E134 ^ 1 + 155.18060874</f>
        <v>-4.0493473150604586E-4</v>
      </c>
      <c r="G134" s="3">
        <f>-1.03525063689996E-10*E134 ^ 6 + 4.52949056669991E-08*E134 ^ 5 + -0.0000073763002866001*E134 ^ 4 + 0.000527051522560034*E134 ^ 3 + -0.0145870432320029*E134 ^ 2 + 0.228206815680095*E134 ^ 1 + 22.1268758019993</f>
        <v>28.818273224125459</v>
      </c>
      <c r="H134" s="4">
        <f>-2.2267655058174E-23*E134 ^ 6 + 9.38408799690173E-21*E134 ^ 5 + -1.900947048552E-08*E134 ^ 4 + 0.00001064769403012*E134 ^ 3 + -0.00125174219810477*E134 ^ 2 + -0.017136199399921*E134 ^ 1 + 3583.7050395</f>
        <v>3579.657811431875</v>
      </c>
    </row>
    <row r="135" spans="3:8" x14ac:dyDescent="0.2">
      <c r="C135" s="24" t="s">
        <v>85</v>
      </c>
      <c r="D135" s="1" t="s">
        <v>195</v>
      </c>
      <c r="E135" s="2">
        <v>151.11295985608604</v>
      </c>
      <c r="F135" s="3">
        <f>1.47645232736048E-23*E135 ^ 6 + -4.74869353600562E-09*E135 ^ 5 + 1.77706771650082E-06*E135 ^ 4 + -0.000278662026010058*E135 ^ 3 + 0.013779891434002*E135 ^ 2 + -0.526810704970028*E135 ^ 1 + 174.05917926</f>
        <v>4.2858643666932039E-5</v>
      </c>
      <c r="G135" s="3">
        <f>-7.53707757889838E-11*E135 ^ 6 + 3.20429301069937E-08*E135 ^ 5 + -5.05571961509909E-06*E135 ^ 4 + 0.000339579277869939*E135 ^ 3 + -0.00791462773259816*E135 ^ 2 + 0.162201839699984*E135 ^ 1 + 24.9205220639999</f>
        <v>31.634833083247617</v>
      </c>
      <c r="H135" s="4">
        <f>-1.01153044179823E-22*E135 ^ 6 + 4.32641175803537E-20*E135 ^ 5 + 8.42967217541635E-09*E135 ^ 4 + 4.37914161875005E-06*E135 ^ 3 + -0.000803380390630011*E135 ^ 2 + -0.0259580173077327*E135 ^ 1 + 3582.5220143</f>
        <v>3579.76075419261</v>
      </c>
    </row>
    <row r="136" spans="3:8" x14ac:dyDescent="0.2">
      <c r="C136" s="24" t="s">
        <v>85</v>
      </c>
      <c r="D136" s="1" t="s">
        <v>196</v>
      </c>
      <c r="E136" s="2">
        <v>153.33799636415065</v>
      </c>
      <c r="F136" s="3">
        <f>7.74619753964391E-24*E136 ^ 6 + -5.80167298540364E-09*E136 ^ 5 + 2.03216022890068E-06*E136 ^ 4 + -0.000301448224460064*E136 ^ 3 + 0.015483049225003*E136 ^ 2 + -0.600979071740058*E136 ^ 1 + 183.29507401</f>
        <v>-4.2597417291290185E-6</v>
      </c>
      <c r="G136" s="3">
        <f>-1.05185635539998E-10*E136 ^ 6 + 4.54757015579993E-08*E136 ^ 5 + -7.31034904099996E-06*E136 ^ 4 + 0.000510964189890006*E136 ^ 3 + -0.0134677232100008*E136 ^ 2 + 0.230707526830023*E136 ^ 1 + 26.1996586340001</f>
        <v>33.440346858531576</v>
      </c>
      <c r="H136" s="4">
        <f>-9.84021019482571E-23*E136 ^ 6 + 4.44619097403733E-20*E136 ^ 5 + 2.44708234433191E-08*E136 ^ 4 + 1.58433887582851E-06*E136 ^ 3 + -0.000798753832014094*E136 ^ 2 + -0.0225361577756582*E136 ^ 1 + 3581.9774696</f>
        <v>3578.981649434063</v>
      </c>
    </row>
    <row r="137" spans="3:8" x14ac:dyDescent="0.2">
      <c r="C137" s="24" t="s">
        <v>85</v>
      </c>
      <c r="D137" s="1" t="s">
        <v>197</v>
      </c>
      <c r="E137" s="2">
        <v>155.01521430610546</v>
      </c>
      <c r="F137" s="3">
        <f>-1.06257783255665E-23*E137 ^ 6 + -7.22255819729415E-09*E137 ^ 5 + 2.43785909199874E-06*E137 ^ 4 + -0.000346284928089867*E137 ^ 3 + 0.0185335954639931*E137 ^ 2 + -0.704980310369864*E137 ^ 1 + 192.63119295</f>
        <v>-9.1663496158389535E-4</v>
      </c>
      <c r="G137" s="3">
        <f>-1.34832008959939E-10*E137 ^ 6 + 5.88388752029713E-08*E137 ^ 5 + -9.55395670219467E-06*E137 ^ 4 + 0.000681536331699514*E137 ^ 3 + -0.0189970148489782*E137 ^ 2 + 0.29900587153962*E137 ^ 1 + 27.4785966539997</f>
        <v>35.143043308544378</v>
      </c>
      <c r="H137" s="4">
        <f>7.92324849116583E-23*E137 ^ 6 + -3.92862510898821E-20*E137 ^ 5 + 5.62695743406422E-08*E137 ^ 4 + -4.61188300772678E-06*E137 ^ 3 + -0.000637825045676363*E137 ^ 2 + -0.0214630910786024*E137 ^ 1 + 3581.4782719</f>
        <v>3578.1368649453384</v>
      </c>
    </row>
    <row r="138" spans="3:8" x14ac:dyDescent="0.2">
      <c r="C138" s="24" t="s">
        <v>80</v>
      </c>
      <c r="D138" s="1" t="s">
        <v>203</v>
      </c>
      <c r="E138" s="2">
        <v>179.83871865701667</v>
      </c>
      <c r="F138" s="3">
        <f>2.94281786439646E-25*E138 ^ 6 + -2.47325274300216E-10*E138 ^ 5 + 9.67843777100597E-08*E138 ^ 4 + -0.0000190340230800078*E138 ^ 3 + 0.00121083171200048*E138 ^ 2 + -0.112420143000011*E138 ^ 1 + 37.0531938</f>
        <v>-5.6861122601503666E-6</v>
      </c>
      <c r="G138" s="3">
        <f>-1.95294581464727E-25*E138 ^ 6 + -2.24140564799917E-10*E138 ^ 5 + 1.0277122139999E-07*E138 ^ 4 + -0.0000191686991299999*E138 ^ 3 + 0.00161150777000007*E138 ^ 2 + -0.00717486620700283*E138 ^ 1 + 5.93012328699999</f>
        <v>10.603000681460419</v>
      </c>
      <c r="H138" s="4">
        <f>4.92016509866593E-24*E138 ^ 6 + 7.85122318297602E-10*E138 ^ 5 + -3.59324855199567E-07*E138 ^ 4 + 0.0000669340150199647*E138 ^ 3 + -0.00562678053799878*E138 ^ 2 + 0.0249229951299875*E138 ^ 1 + 3579.256097</f>
        <v>3562.9038961695433</v>
      </c>
    </row>
    <row r="139" spans="3:8" x14ac:dyDescent="0.2">
      <c r="C139" s="24" t="s">
        <v>81</v>
      </c>
      <c r="D139" s="1" t="s">
        <v>204</v>
      </c>
      <c r="E139" s="2">
        <v>208.45784039793827</v>
      </c>
      <c r="F139" s="3">
        <f>5.887164753039E-25*E139 ^ 6 + 2.90229973199656E-10*E139 ^ 5 + -1.28878629299923E-07*E139 ^ 4 + 0.0000124624187999917*E139 ^ 3 + -3.54201722457472E-06*E139 ^ 2 + -0.146513748600008*E139 ^ 1 + 46.92366572</f>
        <v>-3.7907661494784861E-4</v>
      </c>
      <c r="G139" s="3">
        <f>5.9261139078722E-25*E139 ^ 6 + 1.74439670999657E-10*E139 ^ 5 + -6.84624898599236E-08*E139 ^ 4 + 5.59439523099181E-06*E139 ^ 3 + 0.000412273564900421*E139 ^ 2 + -0.000200608797108278*E139 ^ 1 + 8.961714677</f>
        <v>16.89861334196933</v>
      </c>
      <c r="H139" s="4">
        <f>-2.82022066587403E-23*E139 ^ 6 + -3.32903099183662E-10*E139 ^ 5 + 1.29926480896354E-07*E139 ^ 4 + -0.0000103427128996093*E139 ^ 3 + -0.000831257561020022*E139 ^ 2 + 0.000749800034490868*E139 ^ 1 + 3582.534678</f>
        <v>3567.1795585866917</v>
      </c>
    </row>
    <row r="140" spans="3:8" x14ac:dyDescent="0.2">
      <c r="C140" s="24" t="s">
        <v>82</v>
      </c>
      <c r="D140" s="1" t="s">
        <v>205</v>
      </c>
      <c r="E140" s="2">
        <v>190.4681275163521</v>
      </c>
      <c r="F140" s="3">
        <f>-8.01351941535651E-25*E140 ^ 6 + 2.83458153000472E-10*E140 ^ 5 + -1.22458160600108E-07*E140 ^ 4 + 8.72577594601187E-06*E140 ^ 3 + -0.000488271186700632*E140 ^ 2 + -0.130375310399987*E140 ^ 1 + 72.36374673</f>
        <v>6.1844610058869876E-5</v>
      </c>
      <c r="G140" s="3">
        <f>1.64518166129494E-25*E140 ^ 6 + -7.96059994201081E-11*E140 ^ 5 + 5.83026404300274E-08*E140 ^ 4 + -0.0000178837213000033*E140 ^ 3 + 0.0020052298540002*E140 ^ 2 + 0.0138339410099957*E140 ^ 1 + 11.6634637</f>
        <v>20.247890231587728</v>
      </c>
      <c r="H140" s="4">
        <f>1.88960865097305E-23*E140 ^ 6 + 1.40658288389527E-10*E140 ^ 5 + -1.0292966689779E-07*E140 ^ 4 + 0.0000315431254597799*E140 ^ 3 + -0.00353378588298979*E140 ^ 2 + -0.0246942483601737*E140 ^ 1 + 3579.437349</f>
        <v>3564.2859513331568</v>
      </c>
    </row>
    <row r="141" spans="3:8" x14ac:dyDescent="0.2">
      <c r="C141" s="24" t="s">
        <v>83</v>
      </c>
      <c r="D141" s="1" t="s">
        <v>206</v>
      </c>
      <c r="E141" s="2">
        <v>217.94311388199984</v>
      </c>
      <c r="F141" s="3">
        <f>1.50112227454723E-24*E141 ^ 6 + 8.09978790799062E-10*E141 ^ 5 + -3.42550939799773E-07*E141 ^ 4 + 0.0000391846492799735*E141 ^ 3 + -0.0016187642229985*E141 ^ 2 + -0.167156995500034*E141 ^ 1 + 82.25005809</f>
        <v>-4.8269182840954272E-5</v>
      </c>
      <c r="G141" s="3">
        <f>2.89051585274554E-25*E141 ^ 6 + 3.20737439299806E-10*E141 ^ 5 + -1.1361508729995E-07*E141 ^ 4 + 6.96160732899367E-06*E141 ^ 3 + 0.000802016349700389*E141 ^ 2 + 0.0209396470599901*E141 ^ 1 + 14.69006454</f>
        <v>30.793102720422311</v>
      </c>
      <c r="H141" s="4">
        <f>1.46505134413993E-23*E141 ^ 6 + -4.17691731009014E-10*E141 ^ 5 + 1.48282259202123E-07*E141 ^ 4 + -9.21945226723703E-06*E141 ^ 3 + -0.00102394216598759*E141 ^ 2 + -0.0272645901402404*E141 ^ 1 + 3581.00637</f>
        <v>3560.151107575301</v>
      </c>
    </row>
    <row r="142" spans="3:8" x14ac:dyDescent="0.2">
      <c r="C142" s="24" t="s">
        <v>83</v>
      </c>
      <c r="D142" s="1" t="s">
        <v>207</v>
      </c>
      <c r="E142" s="2">
        <v>-86.049742359852488</v>
      </c>
      <c r="F142" s="3">
        <f>1.12377352642394E-24*E142 ^ 6 + 1.34884811699919E-09*E142 ^ 5 + -5.89533847599777E-07*E142 ^ 4 + 0.000074829807699971*E142 ^ 3 + -0.00304085198099819*E142 ^ 2 + -0.193725390600045*E142 ^ 1 + 92.2110620600001</f>
        <v>-4.179339607901511E-5</v>
      </c>
      <c r="G142" s="3">
        <f>3.10626457644832E-25*E142 ^ 6 + 4.30012599899785E-10*E142 ^ 5 + -1.66284339099942E-07*E142 ^ 4 + 0.0000137838070299926*E142 ^ 3 + 0.00084748562280047*E142 ^ 2 + -0.0121852234500123*E142 ^ 1 + 18.13430492</f>
        <v>5.5298979541357411</v>
      </c>
      <c r="H142" s="4">
        <f>1.13884303422767E-23*E142 ^ 6 + -5.54033873506628E-10*E142 ^ 5 + 2.14442795101472E-07*E142 ^ 4 + -0.0000178032076101545*E142 ^ 3 + -0.00109180835399244*E142 ^ 2 + 0.0155041796998661*E142 ^ 1 + 3576.5574</f>
        <v>3592.8536379968518</v>
      </c>
    </row>
    <row r="143" spans="3:8" x14ac:dyDescent="0.2">
      <c r="C143" s="24" t="s">
        <v>84</v>
      </c>
      <c r="D143" s="1" t="s">
        <v>208</v>
      </c>
      <c r="E143" s="2">
        <v>-91.926802115789215</v>
      </c>
      <c r="F143" s="3">
        <f>7.4694188093199E-25*E143 ^ 6 + 1.3684526969996E-09*E143 ^ 5 + -5.76687328899922E-07*E143 ^ 4 + 0.0000697279058599931*E143 ^ 3 + -0.00353046838099977*E143 ^ 2 + -0.178378760899999*E143 ^ 1 + 117.7687458</f>
        <v>-1.5258560671327359E-4</v>
      </c>
      <c r="G143" s="3">
        <f>-5.25193510030306E-25*E143 ^ 6 + 4.67002422500309E-10*E143 ^ 5 + -1.59150709400071E-07*E143 ^ 4 + 8.40595796400793E-06*E143 ^ 3 + 0.00119306969399956*E143 ^ 2 + 0.0422843658000101*E143 ^ 1 + 20.47715435</f>
        <v>5.7112555060898167</v>
      </c>
      <c r="H143" s="4">
        <f>2.09394725697829E-23*E143 ^ 6 + -3.81099418511064E-10*E143 ^ 5 + 1.31279414702189E-07*E143 ^ 4 + -0.0000074586738782006*E143 ^ 3 + -0.000900999892091612*E143 ^ 2 + -0.0346151093801265*E143 ^ 1 + 3583.773661</f>
        <v>3597.0125616475061</v>
      </c>
    </row>
    <row r="144" spans="3:8" x14ac:dyDescent="0.2">
      <c r="C144" s="24" t="s">
        <v>85</v>
      </c>
      <c r="D144" s="1" t="s">
        <v>209</v>
      </c>
      <c r="E144" s="2">
        <v>-84.555613653341823</v>
      </c>
      <c r="F144" s="3">
        <f>-5.36240184951389E-25*E144 ^ 6 + 1.86760569600021E-09*E144 ^ 5 + -8.07324912100019E-07*E144 ^ 4 + 0.000102910838799999*E144 ^ 3 + -0.00478096404099972*E144 ^ 2 + -0.207755064800008*E144 ^ 1 + 128.1701684</f>
        <v>-4.5531083969763131E-7</v>
      </c>
      <c r="G144" s="3">
        <f>1.52497724101034E-25*E144 ^ 6 + 5.75356103999899E-10*E144 ^ 5 + -2.12305716999974E-07*E144 ^ 4 + 0.0000153516933399968*E144 ^ 3 + 0.00124558480100019*E144 ^ 2 + 0.00902752604699657*E144 ^ 1 + 24.0602064899999</f>
        <v>9.5822260830120651</v>
      </c>
      <c r="H144" s="4">
        <f>-1.07756510120797E-23*E144 ^ 6 + -3.18660438293608E-10*E144 ^ 5 + 1.17878218298548E-07*E144 ^ 4 + -8.64338960584309E-06*E144 ^ 3 + -0.000671382165808014*E144 ^ 2 + -0.00498482325884553*E144 ^ 1 + 3586.887268</f>
        <v>3595.136896252458</v>
      </c>
    </row>
    <row r="145" spans="3:8" x14ac:dyDescent="0.2">
      <c r="C145" s="24" t="s">
        <v>85</v>
      </c>
      <c r="D145" s="1" t="s">
        <v>210</v>
      </c>
      <c r="E145" s="2">
        <v>626573582107112</v>
      </c>
      <c r="F145" s="3">
        <f>-3.86572148135441E-24*E145 ^ 6 + 2.42215895600234E-09*E145 ^ 5 + -1.06267970700055E-06*E145 ^ 4 + 0.000139962775200064*E145 ^ 3 + -0.00626553231300362*E145 ^ 2 + -0.236408543399918*E145 ^ 1 + 138.3179104</f>
        <v>3.7233753355262535E+49</v>
      </c>
      <c r="G145" s="3">
        <f>-6.99701926595941E-25*E145 ^ 6 + 6.82392850100446E-10*E145 ^ 5 + -2.64253515300111E-07*E145 ^ 4 + 0.0000220941089700133*E145 ^ 3 + 0.00129897098999922*E145 ^ 2 + -0.0245075923999819*E145 ^ 1 + 27.54570881</f>
        <v>2.3561951533478215E+64</v>
      </c>
      <c r="H145" s="4">
        <f>1.78947381186426E-23*E145 ^ 6 + -3.80668854510351E-10*E145 ^ 5 + 1.4775618000228E-07*E145 ^ 4 + -0.0000125459503402375*E145 ^ 3 + -0.000685949207788395*E145 ^ 2 + 0.012729751559788*E145 ^ 1 + 3584.988421</f>
        <v>1.0460611562392457E+66</v>
      </c>
    </row>
    <row r="146" spans="3:8" x14ac:dyDescent="0.2">
      <c r="C146" s="27" t="s">
        <v>70</v>
      </c>
      <c r="D146" s="1" t="s">
        <v>217</v>
      </c>
      <c r="E146" s="2">
        <v>5.2392872649584969</v>
      </c>
      <c r="F146" s="3">
        <f>0.00403040025581646*E146 ^ 6 + -0.0606351573854744*E146 ^ 5 + 0.341223164113541*E146 ^ 4 + -0.938815134919822*E146 ^ 3 + 0.552138390129666*E146 ^ 2 + -0.478146562408808*E146 ^ 1 + 21.2671201106959</f>
        <v>-5.3897418824533361E-4</v>
      </c>
      <c r="G146" s="3">
        <f>0.000137941938422911*E146 ^ 6 + -0.00227382169102783*E146 ^ 5 + 0.0144656792171587*E146 ^ 4 + -0.0450576819552806*E146 ^ 3 + 0.0644902181990758*E146 ^ 2 + 0.0134438285931738*E146 ^ 1 + 0.139472739094692</f>
        <v>0.27651430477122246</v>
      </c>
      <c r="H146" s="4">
        <f>-0.0923733933719972*E146 ^ 6 + 1.50885226932522*E146 ^ 5 + -9.52840626309022*E146 ^ 4 + 29.8098831251601*E146 ^ 3 + -44.4263219016112*E146 ^ 2 + -5.01162507325069*E146 ^ 1 + 3542.87429108779</f>
        <v>3450.6756871915613</v>
      </c>
    </row>
    <row r="147" spans="3:8" x14ac:dyDescent="0.2">
      <c r="C147" s="24" t="s">
        <v>9</v>
      </c>
      <c r="D147" s="1" t="s">
        <v>218</v>
      </c>
      <c r="E147" s="2">
        <v>5.2712082753226976</v>
      </c>
      <c r="F147" s="3">
        <f>0.00441680652171952*E147 ^ 6 + -0.0670876741799879*E147 ^ 5 + 0.386954773504601*E147 ^ 4 + -1.12078549039176*E147 ^ 3 + 0.524636070908403*E147 ^ 2 + -0.548356817191973*E147 ^ 1 + 31.9941505446606</f>
        <v>-1.3577118593843807E-5</v>
      </c>
      <c r="G147" s="3">
        <f>0.000160748149301968*E147 ^ 6 + -0.00265075331059968*E147 ^ 5 + 0.0168434891783806*E147 ^ 4 + -0.052341722721252*E147 ^ 3 + 0.0725146036822827*E147 ^ 2 + 0.036399544715671*E147 ^ 1 + 0.199246646524499</f>
        <v>0.40451452544201444</v>
      </c>
      <c r="H147" s="4">
        <f>-0.0721120661281182*E147 ^ 6 + 1.17920868476215*E147 ^ 5 + -7.45290238712928*E147 ^ 4 + 23.4083168526809*E147 ^ 3 + -34.4729763413819*E147 ^ 2 + -11.5067335587775*E147 ^ 1 + 3545.95703058862</f>
        <v>3453.945462181006</v>
      </c>
    </row>
    <row r="148" spans="3:8" x14ac:dyDescent="0.2">
      <c r="C148" s="24" t="s">
        <v>9</v>
      </c>
      <c r="D148" s="1" t="s">
        <v>219</v>
      </c>
      <c r="E148" s="2">
        <v>5.2047350202941187</v>
      </c>
      <c r="F148" s="3">
        <f>0.00460073333201819*E148 ^ 6 + -0.0685075775700515*E148 ^ 5 + 0.39113487061517*E148 ^ 4 + -1.14976981209622*E148 ^ 3 + 0.267948313283402*E148 ^ 2 + -0.794451942040998*E148 ^ 1 + 42.1586518869334</f>
        <v>2.6500267566120783E-5</v>
      </c>
      <c r="G148" s="3">
        <f>0.000188193143141885*E148 ^ 6 + -0.00305932962171834*E148 ^ 5 + 0.0191411487734058*E148 ^ 4 + -0.0584143979133823*E148 ^ 3 + 0.0771312949630686*E148 ^ 2 + 0.0572103702686228*E148 ^ 1 + 0.253894972485921</f>
        <v>0.50773695298710186</v>
      </c>
      <c r="H148" s="4">
        <f>-0.090473189053859*E148 ^ 6 + 1.47068576270457*E148 ^ 5 + -9.25293009559001*E148 ^ 4 + 28.8494143210505*E148 ^ 3 + -40.7903331787167*E148 ^ 2 + -21.8222040958217*E148 ^ 1 + 3524.06024898166</f>
        <v>3401.5944626230553</v>
      </c>
    </row>
    <row r="149" spans="3:8" x14ac:dyDescent="0.2">
      <c r="C149" s="24" t="s">
        <v>14</v>
      </c>
      <c r="D149" s="1" t="s">
        <v>220</v>
      </c>
      <c r="E149" s="2">
        <v>5.3838503717003707</v>
      </c>
      <c r="F149" s="3">
        <f>0.00533804074706054*E149 ^ 6 + -0.084394186482415*E149 ^ 5 + 0.518050097813647*E149 ^ 4 + -1.63756364404315*E149 ^ 3 + 0.691690534932806*E149 ^ 2 + -0.425478624889266*E149 ^ 1 + 54.287125106745</f>
        <v>1.710312202973796E-4</v>
      </c>
      <c r="G149" s="3">
        <f>0.000199958453359829*E149 ^ 6 + -0.00335008338903161*E149 ^ 5 + 0.0215910596140659*E149 ^ 4 + -0.0680667538302023*E149 ^ 3 + 0.0921180887464396*E149 ^ 2 + 0.08592535945045*E149 ^ 1 + 0.326260286859307</f>
        <v>0.69304619467659212</v>
      </c>
      <c r="H149" s="4">
        <f>-0.0356954370075785*E149 ^ 6 + 0.579287730066412*E149 ^ 5 + -3.6161105181468*E149 ^ 4 + 11.4655491068724*E149 ^ 3 + -17.9844999084959*E149 ^ 2 + -8.14708352881194*E149 ^ 1 + 3576.15615889462</f>
        <v>3513.1259257738106</v>
      </c>
    </row>
    <row r="150" spans="3:8" x14ac:dyDescent="0.2">
      <c r="C150" s="24" t="s">
        <v>16</v>
      </c>
      <c r="D150" s="1" t="s">
        <v>221</v>
      </c>
      <c r="E150" s="2">
        <v>5.4134243852844515</v>
      </c>
      <c r="F150" s="3">
        <f>0.00610453055503282*E150 ^ 6 + -0.0974047532699233*E150 ^ 5 + 0.60687743370668*E150 ^ 4 + -1.96824790497772*E150 ^ 3 + 0.940525341387945*E150 ^ 2 + -0.403162874905584*E150 ^ 1 + 64.8865665643329</f>
        <v>3.1196098399277616E-4</v>
      </c>
      <c r="G150" s="3">
        <f>0.000223397039209113*E150 ^ 6 + -0.00374376637672129*E150 ^ 5 + 0.0240929591860468*E150 ^ 4 + -0.0759873000615659*E150 ^ 3 + 0.102581220395411*E150 ^ 2 + 0.109588587767644*E150 ^ 1 + 0.384764808959756</f>
        <v>0.8377492042450696</v>
      </c>
      <c r="H150" s="4">
        <f>-0.0203485112587109*E150 ^ 6 + 0.334624988069197*E150 ^ 5 + -2.10172920983039*E150 ^ 4 + 6.51582882160571*E150 ^ 3 + -9.0645991129552*E150 ^ 2 + -8.60234366708274*E150 ^ 1 + 3568.64572192783</f>
        <v>3528.7303524904464</v>
      </c>
    </row>
    <row r="151" spans="3:8" x14ac:dyDescent="0.2">
      <c r="C151" s="24" t="s">
        <v>16</v>
      </c>
      <c r="D151" s="1" t="s">
        <v>222</v>
      </c>
      <c r="E151" s="2">
        <v>5.3975087828201511</v>
      </c>
      <c r="F151" s="3">
        <f>0.00650113656143464*E151 ^ 6 + -0.103800072277974*E151 ^ 5 + 0.651403554869964*E151 ^ 4 + -2.14490311665842*E151 ^ 3 + 0.896628819966298*E151 ^ 2 + -0.455602467529676*E151 ^ 1 + 75.5109644986939</f>
        <v>4.848179187746382E-4</v>
      </c>
      <c r="G151" s="3">
        <f>0.000246542323837634*E151 ^ 6 + -0.00412078994360788*E151 ^ 5 + 0.0264466181196444*E151 ^ 4 + -0.0831344305469961*E151 ^ 3 + 0.110207333615751*E151 ^ 2 + 0.132663254959276*E151 ^ 1 + 0.443533641839313</f>
        <v>0.9624065484758797</v>
      </c>
      <c r="H151" s="4">
        <f>-0.0238107262953074*E151 ^ 6 + 0.387966866525019*E151 ^ 5 + -2.41091140130807*E151 ^ 4 + 7.42860857973274*E151 ^ 3 + -10.37702571736*E151 ^ 2 + -10.4181805438658*E151 ^ 1 + 3563.86191722294</f>
        <v>3515.7541630273663</v>
      </c>
    </row>
    <row r="152" spans="3:8" x14ac:dyDescent="0.2">
      <c r="C152" s="24" t="s">
        <v>16</v>
      </c>
      <c r="D152" s="1" t="s">
        <v>223</v>
      </c>
      <c r="E152" s="2">
        <v>5.3792478713205458</v>
      </c>
      <c r="F152" s="3">
        <f>0.00685725703213542*E152 ^ 6 + -0.10951679767524*E152 ^ 5 + 0.691784390138504*E152 ^ 4 + -2.30817010998653*E152 ^ 3 + 0.828040618417614*E152 ^ 2 + -0.532090419721112*E152 ^ 1 + 86.0762663498764</f>
        <v>6.3311219452089063E-4</v>
      </c>
      <c r="G152" s="3">
        <f>0.00026985502513722*E152 ^ 6 + -0.00449860504971408*E152 ^ 5 + 0.0287972514198959*E152 ^ 4 + -0.090225347079787*E152 ^ 3 + 0.117546710407143*E152 ^ 2 + 0.155406110386715*E152 ^ 1 + 0.501809548892963</f>
        <v>1.0833601449575774</v>
      </c>
      <c r="H152" s="4">
        <f>-0.0277711807857067*E152 ^ 6 + 0.448425107046814*E152 ^ 5 + -2.75886858007355*E152 ^ 4 + 8.46131066098461*E152 ^ 3 + -11.9250585385129*E152 ^ 2 + -12.2656748094986*E152 ^ 1 + 3559.04939776079</f>
        <v>3501.9162915262182</v>
      </c>
    </row>
    <row r="153" spans="3:8" x14ac:dyDescent="0.2">
      <c r="C153" s="24" t="s">
        <v>13</v>
      </c>
      <c r="D153" s="1" t="s">
        <v>224</v>
      </c>
      <c r="E153" s="2">
        <v>5.412003404806045</v>
      </c>
      <c r="F153" s="3">
        <f>0.00747808559403568*E153 ^ 6 + -0.120378487045344*E153 ^ 5 + 0.767736972508767*E153 ^ 4 + -2.59401817814476*E153 ^ 3 + 0.977434857026419*E153 ^ 2 + -0.425666031801541*E153 ^ 1 + 97.2364726155911</f>
        <v>7.1965542652208114E-4</v>
      </c>
      <c r="G153" s="3">
        <f>0.000290681457788751*E153 ^ 6 + -0.00486300354869025*E153 ^ 5 + 0.0312052850647771*E153 ^ 4 + -0.0980749822683941*E153 ^ 3 + 0.127793152511262*E153 ^ 2 + 0.180751053295554*E153 ^ 1 + 0.565285597151688</f>
        <v>1.2363862743491278</v>
      </c>
      <c r="H153" s="4">
        <f>-0.0200438215141272*E153 ^ 6 + 0.327536466972772*E153 ^ 5 + -2.03958096348956*E153 ^ 4 + 6.29173358569487*E153 ^ 3 + -8.62389764750873*E153 ^ 2 + -10.4600589682405*E153 ^ 1 + 3566.22897525384</f>
        <v>3521.7036743855897</v>
      </c>
    </row>
    <row r="154" spans="3:8" x14ac:dyDescent="0.2">
      <c r="C154" s="24" t="s">
        <v>13</v>
      </c>
      <c r="D154" s="1" t="s">
        <v>225</v>
      </c>
      <c r="E154" s="2">
        <v>5.3988570186495881</v>
      </c>
      <c r="F154" s="3">
        <f>0.00786030280408683*E154 ^ 6 + -0.126592640028417*E154 ^ 5 + 0.811546641108723*E154 ^ 4 + -2.76915565793806*E154 ^ 3 + 0.930631063213425*E154 ^ 2 + -0.494206014882308*E154 ^ 1 + 107.836248193714</f>
        <v>8.1708056741547352E-4</v>
      </c>
      <c r="G154" s="3">
        <f>0.000313842098444112*E154 ^ 6 + -0.00524047124021079*E154 ^ 5 + 0.0335643404279345*E154 ^ 4 + -0.105236772182988*E154 ^ 3 + 0.135387130546098*E154 ^ 2 + 0.203612300826978*E154 ^ 1 + 0.623872317272073</f>
        <v>1.359525106445336</v>
      </c>
      <c r="H154" s="4">
        <f>-0.0226113986327086*E154 ^ 6 + 0.366984311181948*E154 ^ 5 + -2.26779564548353*E154 ^ 4 + 6.97043720977433*E154 ^ 3 + -9.62534229591858*E154 ^ 2 + -11.8131432652557*E154 ^ 1 + 3562.71522656577</f>
        <v>3511.9354885400844</v>
      </c>
    </row>
    <row r="155" spans="3:8" x14ac:dyDescent="0.2">
      <c r="C155" s="24" t="s">
        <v>13</v>
      </c>
      <c r="D155" s="1" t="s">
        <v>226</v>
      </c>
      <c r="E155" s="2">
        <v>5.3846302557786068</v>
      </c>
      <c r="F155" s="3">
        <f>0.00821052315353678*E155 ^ 6 + -0.132276185921785*E155 ^ 5 + 0.852136156724961*E155 ^ 4 + -2.93391837961184*E155 ^ 3 + 0.864693215276245*E155 ^ 2 + -0.580813826774362*E155 ^ 1 + 118.392444132554</f>
        <v>8.9382431008289132E-4</v>
      </c>
      <c r="G155" s="3">
        <f>0.00033711431294459*E155 ^ 6 + -0.00561836569239982*E155 ^ 5 + 0.0359204027560788*E155 ^ 4 + -0.112354294583667*E155 ^ 3 + 0.142760726976863*E155 ^ 2 + 0.226226627976214*E155 ^ 1 + 0.682095738041582</f>
        <v>1.4798895547293631</v>
      </c>
      <c r="H155" s="4">
        <f>-0.0254620821701696*E155 ^ 6 + 0.410499489643757*E155 ^ 5 + -2.51837153705157*E155 ^ 4 + 7.71832685086589*E155 ^ 3 + -10.7593773513332*E155 ^ 2 + -13.1868039575043*E155 ^ 1 + 3559.18319148672</f>
        <v>3501.6913044095782</v>
      </c>
    </row>
    <row r="156" spans="3:8" x14ac:dyDescent="0.2">
      <c r="C156" s="24" t="s">
        <v>36</v>
      </c>
      <c r="D156" s="1" t="s">
        <v>227</v>
      </c>
      <c r="E156" s="2">
        <v>5.3945797331908736</v>
      </c>
      <c r="F156" s="3">
        <f>0.00860623242388979*E156 ^ 6 + -0.138583127724314*E156 ^ 5 + 0.892815213407991*E156 ^ 4 + -3.08313045883276*E156 ^ 3 + 0.772261042770322*E156 ^ 2 + -0.605328548255829*E156 ^ 1 + 129.721026952035</f>
        <v>9.2516709776191419E-4</v>
      </c>
      <c r="G156" s="3">
        <f>0.000359368013428395*E156 ^ 6 + -0.0059922008189941*E156 ^ 5 + 0.0382857158082026*E156 ^ 4 + -0.119534353163089*E156 ^ 3 + 0.150525417944721*E156 ^ 2 + 0.250884756844744*E156 ^ 1 + 0.746992933589753</f>
        <v>1.6199261427744349</v>
      </c>
      <c r="H156" s="4">
        <f>-0.0249685730155889*E156 ^ 6 + 0.411917701721096*E156 ^ 5 + -2.61620312101653*E156 ^ 4 + 8.3581225929113*E156 ^ 3 + -12.0271288152778*E156 ^ 2 + -13.4503803353436*E156 ^ 1 + 3566.87230535251</f>
        <v>3507.3303804244892</v>
      </c>
    </row>
    <row r="157" spans="3:8" x14ac:dyDescent="0.2">
      <c r="C157" s="24" t="s">
        <v>36</v>
      </c>
      <c r="D157" s="1" t="s">
        <v>228</v>
      </c>
      <c r="E157" s="2">
        <v>5.3812911036976026</v>
      </c>
      <c r="F157" s="3">
        <f>0.00895393864096373*E157 ^ 6 + -0.143981693588937*E157 ^ 5 + 0.929533446185185*E157 ^ 4 + -3.23016545219454*E157 ^ 3 + 0.687219400144112*E157 ^ 2 + -0.742055747831667*E157 ^ 1 + 140.272512009868</f>
        <v>9.7624363087334132E-4</v>
      </c>
      <c r="G157" s="3">
        <f>0.000383337634069933*E157 ^ 6 + -0.00637729262069146*E157 ^ 5 + 0.040646777625648*E157 ^ 4 + -0.126510241842437*E157 ^ 3 + 0.157551553151447*E157 ^ 2 + 0.273095206577384*E157 ^ 1 + 0.805177503970222</f>
        <v>1.7388247667442782</v>
      </c>
      <c r="H157" s="4">
        <f>-0.0273785488981042*E157 ^ 6 + 0.451195424889688*E157 ^ 5 + -2.86415908253359*E157 ^ 4 + 9.14489267366221*E157 ^ 3 + -13.0757842525094*E157 ^ 2 + -15.1146163477186*E157 ^ 1 + 3563.50779645571</f>
        <v>3497.9928889105722</v>
      </c>
    </row>
    <row r="158" spans="3:8" x14ac:dyDescent="0.2">
      <c r="C158" s="24" t="s">
        <v>36</v>
      </c>
      <c r="D158" s="1" t="s">
        <v>229</v>
      </c>
      <c r="E158" s="2">
        <v>5.3677908213791907</v>
      </c>
      <c r="F158" s="3">
        <f>0.00928299408439673*E158 ^ 6 + -0.149024656325513*E158 ^ 5 + 0.963751884952571*E158 ^ 4 + -3.36880133204819*E158 ^ 3 + 0.59141250531103*E158 ^ 2 + -0.902783745492861*E158 ^ 1 + 150.777101816727</f>
        <v>1.0364593094891461E-7</v>
      </c>
      <c r="G158" s="3">
        <f>0.000407531799743672*E158 ^ 6 + -0.00676398162331566*E158 ^ 5 + 0.0430043876451311*E158 ^ 4 + -0.133423229653278*E158 ^ 3 + 0.164391764733319*E158 ^ 2 + 0.295013188780869*E158 ^ 1 + 0.862970182655531</f>
        <v>1.855609714073799</v>
      </c>
      <c r="H158" s="4">
        <f>-0.0298457147420587*E158 ^ 6 + 0.491359221785855*E158 ^ 5 + -3.11750969481625*E158 ^ 4 + 9.94516814302748*E158 ^ 3 + -14.1214041979001*E158 ^ 2 + -16.8233257262508*E158 ^ 1 + 3560.06806548011</f>
        <v>3488.6098916331821</v>
      </c>
    </row>
    <row r="159" spans="3:8" x14ac:dyDescent="0.2">
      <c r="C159" s="24" t="s">
        <v>36</v>
      </c>
      <c r="D159" s="1" t="s">
        <v>230</v>
      </c>
      <c r="E159" s="2">
        <v>5.3403683254131824</v>
      </c>
      <c r="F159" s="3">
        <f>0.00988886834176994*E159 ^ 6 + -0.15811167177629*E159 ^ 5 + 1.02514753029399*E159 ^ 4 + -3.62255968945585*E159 ^ 3 + 0.37160308641966*E159 ^ 2 + -1.29784449458515*E159 ^ 1 + 171.642442770877</f>
        <v>1.0061580724141095E-7</v>
      </c>
      <c r="G159" s="3">
        <f>0.000456653920940335*E159 ^ 6 + -0.00754303092932784*E159 ^ 5 + 0.0477136521205938*E159 ^ 4 + -0.147072683150413*E159 ^ 3 + 0.177553220231813*E159 ^ 2 + 0.337951319926797*E159 ^ 1 + 0.977356465213649</f>
        <v>2.083066750759043</v>
      </c>
      <c r="H159" s="4">
        <f>-0.0348813895767871*E159 ^ 6 + 0.573144221059553*E159 ^ 5 + -3.63258712119963*E159 ^ 4 + 11.5614465893379*E159 ^ 3 + -16.167434262113*E159 ^ 2 + -20.3601260222253*E159 ^ 1 + 3552.98358814053</f>
        <v>3469.8242648768792</v>
      </c>
    </row>
    <row r="160" spans="3:8" x14ac:dyDescent="0.2">
      <c r="C160" s="24" t="s">
        <v>73</v>
      </c>
      <c r="D160" s="1" t="s">
        <v>231</v>
      </c>
      <c r="E160" s="2">
        <v>5.4464238540745251</v>
      </c>
      <c r="F160" s="3">
        <f>0.0118462477456126*E160 ^ 6 + -0.194838008540913*E160 ^ 5 + 1.29255626854358*E160 ^ 4 + -4.6230165533741*E160 ^ 3 + 1.3263972620079*E160 ^ 2 + -0.12295589370893*E160 ^ 1 + 195.41095869162</f>
        <v>9.1547819152992815E-4</v>
      </c>
      <c r="G160" s="3">
        <f>0.000487171185846159*E160 ^ 6 + -0.00817918511989366*E160 ^ 5 + 0.0525606502995581*E160 ^ 4 + -0.165451013641266*E160 ^ 3 + 0.207390441342121*E160 ^ 2 + 0.399479356789251*E160 ^ 1 + 1.11656281371325</f>
        <v>2.4810673321559653</v>
      </c>
      <c r="H160" s="4">
        <f>-0.0135589666639801*E160 ^ 6 + 0.220708191974725*E160 ^ 5 + -1.36257311751956*E160 ^ 4 + 4.19220445669848*E160 ^ 3 + -5.7081611649024*E160 ^ 2 + -8.99405832044259*E160 ^ 1 + 3574.11359565296</f>
        <v>3537.9548393654518</v>
      </c>
    </row>
    <row r="161" spans="3:8" x14ac:dyDescent="0.2">
      <c r="C161" s="24" t="s">
        <v>73</v>
      </c>
      <c r="D161" s="1" t="s">
        <v>232</v>
      </c>
      <c r="E161" s="2">
        <v>5.4345235203355218</v>
      </c>
      <c r="F161" s="3">
        <f>0.0126445902306168*E161 ^ 6 + -0.208148809294844*E161 ^ 5 + 1.38754920669257*E161 ^ 4 + -5.0007398075867*E161 ^ 3 + 1.27388674495847*E161 ^ 2 + -0.208873822337223*E161 ^ 1 + 216.794986560793</f>
        <v>8.8413356399996701E-4</v>
      </c>
      <c r="G161" s="3">
        <f>0.000532433164091912*E161 ^ 6 + -0.00892594975830742*E161 ^ 5 + 0.0572849965817836*E161 ^ 4 + -0.179998483797079*E161 ^ 3 + 0.223272554485316*E161 ^ 2 + 0.445941270051574*E161 ^ 1 + 1.23535440670585</f>
        <v>2.7343720963211346</v>
      </c>
      <c r="H161" s="4">
        <f>-0.0156699840780061*E161 ^ 6 + 0.253177016703797*E161 ^ 5 + -1.54983982598745*E161 ^ 4 + 4.75455518440544*E161 ^ 3 + -6.59061481242404*E161 ^ 2 + -10.0830855389107*E161 ^ 1 + 3571.33998127964</f>
        <v>3529.614315629361</v>
      </c>
    </row>
    <row r="162" spans="3:8" x14ac:dyDescent="0.2">
      <c r="C162" s="24" t="s">
        <v>73</v>
      </c>
      <c r="D162" s="1" t="s">
        <v>233</v>
      </c>
      <c r="E162" s="2">
        <v>5.4216027740658355</v>
      </c>
      <c r="F162" s="3">
        <f>0.0133870889251285*E162 ^ 6 + -0.220541738704784*E162 ^ 5 + 1.4770499127903*E162 ^ 4 + -5.36058526141916*E162 ^ 3 + 1.18587302616519*E162 ^ 2 + -0.325974189346109*E162 ^ 1 + 238.108370065466</f>
        <v>8.2379737105497952E-4</v>
      </c>
      <c r="G162" s="3">
        <f>0.000577900551027426*E162 ^ 6 + -0.00967391032409984*E162 ^ 5 + 0.0620096613967978*E162 ^ 4 + -0.1944902461018*E162 ^ 3 + 0.238770453775813*E162 ^ 2 + 0.491979168456142*E162 ^ 1 + 1.35355499338892</f>
        <v>2.9825264460397758</v>
      </c>
      <c r="H162" s="4">
        <f>-0.0180219541918073*E162 ^ 6 + 0.289101080908052*E162 ^ 5 + -1.75600965650336*E162 ^ 4 + 5.37734093377146*E162 ^ 3 + -7.5989867596976*E162 ^ 2 + -11.2034895264632*E162 ^ 1 + 3568.53990277289</f>
        <v>3520.7249300461435</v>
      </c>
    </row>
    <row r="163" spans="3:8" x14ac:dyDescent="0.2">
      <c r="C163" s="24" t="s">
        <v>9</v>
      </c>
      <c r="D163" s="1" t="s">
        <v>241</v>
      </c>
      <c r="E163" s="2">
        <v>8.7303211944748487</v>
      </c>
      <c r="F163" s="3">
        <f>-0.000148489178544181*E163 ^ 6 + 0.00435230691416274*E163 ^ 5 + -0.0435984468519235*E163 ^ 4 + 0.158793229823217*E163 ^ 3 + -0.354668511402247*E163 ^ 2 + -0.357859269284115*E163 ^ 1 + 22.7804775947478</f>
        <v>-2.0348286757965184E-4</v>
      </c>
      <c r="G163" s="3">
        <f>-6.83227699329776E-07*E163 ^ 6 + 0.0000203922548970561*E163 ^ 5 + -0.000174472421535067*E163 ^ 4 + 0.0000130670341831095*E163 ^ 3 + 0.00133147558692072*E163 ^ 2 + 0.048241480941751*E163 ^ 1 + 0.218057604790462</f>
        <v>0.46755668873168144</v>
      </c>
      <c r="H163" s="4">
        <f>0.000445323171178121*E163 ^ 6 + -0.0133820519042819*E163 ^ 5 + 0.120049447644923*E163 ^ 4 + -0.0838077017882388*E163 ^ 3 + -1.45527140082738*E163 ^ 2 + -18.9835847610536*E163 ^ 1 + 3538.68874857504</f>
        <v>3422.1527232183021</v>
      </c>
    </row>
    <row r="164" spans="3:8" x14ac:dyDescent="0.2">
      <c r="C164" s="24" t="s">
        <v>14</v>
      </c>
      <c r="D164" s="1" t="s">
        <v>242</v>
      </c>
      <c r="E164" s="2">
        <v>9.0537115859134953</v>
      </c>
      <c r="F164" s="3">
        <f>-0.000130937095852945*E164 ^ 6 + 0.00409208635492577*E164 ^ 5 + -0.041811689443174*E164 ^ 4 + 0.136136832030025*E164 ^ 3 + -0.345460230212525*E164 ^ 2 + -0.385223519346489*E164 ^ 1 + 34.8917838878421</f>
        <v>-2.0425537385904136E-5</v>
      </c>
      <c r="G164" s="3">
        <f>-1.38327230116332E-06*E164 ^ 6 + 0.0000422640587892847*E164 ^ 5 + -0.000399117261550618*E164 ^ 4 + 0.000653884363436784*E164 ^ 3 + 0.00133453844876408*E164 ^ 2 + 0.075760297496315*E164 ^ 1 + 0.295308971177617</f>
        <v>0.70336611177360764</v>
      </c>
      <c r="H164" s="4">
        <f>0.000383508269688253*E164 ^ 6 + -0.0130001793534237*E164 ^ 5 + 0.147009038751298*E164 ^ 4 + -0.499077507124512*E164 ^ 3 + -0.336645129262281*E164 ^ 2 + -8.72764484340319*E164 ^ 1 + 3579.71227340056</f>
        <v>3510.8686164522715</v>
      </c>
    </row>
    <row r="165" spans="3:8" x14ac:dyDescent="0.2">
      <c r="C165" s="24" t="s">
        <v>16</v>
      </c>
      <c r="D165" s="1" t="s">
        <v>243</v>
      </c>
      <c r="E165" s="2">
        <v>9.129419847434038</v>
      </c>
      <c r="F165" s="3">
        <f>-0.000129506644072715*E165 ^ 6 + 0.00424389751250908*E165 ^ 5 + -0.0437177595726328*E165 ^ 4 + 0.126098176924184*E165 ^ 3 + -0.333328011035388*E165 ^ 2 + -0.531344139109262*E165 ^ 1 + 46.2134809622971</f>
        <v>-3.7257404130741634E-6</v>
      </c>
      <c r="G165" s="3">
        <f>-2.12165341082695E-06*E165 ^ 6 + 0.0000659448162593977*E165 ^ 5 + -0.000654262058533219*E165 ^ 4 + 0.0015225783195116*E165 ^ 3 + 0.000815181991473398*E165 ^ 2 + 0.0998734649487636*E165 ^ 1 + 0.371172264273503</f>
        <v>0.91827371406773006</v>
      </c>
      <c r="H165" s="4">
        <f>0.000211368357838241*E165 ^ 6 + -0.00722444478334332*E165 ^ 5 + 0.0823525387892849*E165 ^ 4 + -0.293982028238599*E165 ^ 3 + 0.162005597516991*E165 ^ 2 + -8.25006952425207*E165 ^ 1 + 3569.74540602547</f>
        <v>3520.5218095365708</v>
      </c>
    </row>
    <row r="166" spans="3:8" x14ac:dyDescent="0.2">
      <c r="C166" s="24" t="s">
        <v>16</v>
      </c>
      <c r="D166" s="1" t="s">
        <v>244</v>
      </c>
      <c r="E166" s="2">
        <v>9.1025670876993985</v>
      </c>
      <c r="F166" s="3">
        <f>-0.000131913697374909*E166 ^ 6 + 0.00444815038334747*E166 ^ 5 + -0.0454368455718739*E166 ^ 4 + 0.11443950237517*E166 ^ 3 + -0.337795178250138*E166 ^ 2 + -0.750081543365118*E166 ^ 1 + 57.505675531703</f>
        <v>-1.6848231162214233E-5</v>
      </c>
      <c r="G166" s="3">
        <f>-2.91901701726778E-06*E166 ^ 6 + 0.0000891205516589454*E166 ^ 5 + -0.000875765576389056*E166 ^ 4 + 0.00215039379131299*E166 ^ 3 + 0.000274828765384833*E166 ^ 2 + 0.122776200787972*E166 ^ 1 + 0.456158969745858</f>
        <v>1.1148466374815329</v>
      </c>
      <c r="H166" s="4">
        <f>0.00035368981883875*E166 ^ 6 + -0.0120649671368875*E166 ^ 5 + 0.139848029323706*E166 ^ 4 + -0.546424318214441*E166 ^ 3 + 0.428651763028456*E166 ^ 2 + -10.4806315718201*E166 ^ 1 + 3562.82712593337</f>
        <v>3498.1494588441756</v>
      </c>
    </row>
    <row r="167" spans="3:8" x14ac:dyDescent="0.2">
      <c r="C167" s="24" t="s">
        <v>13</v>
      </c>
      <c r="D167" s="1" t="s">
        <v>245</v>
      </c>
      <c r="E167" s="2">
        <v>9.162681594456286</v>
      </c>
      <c r="F167" s="3">
        <f>-0.000129170188798546*E167 ^ 6 + 0.00456179363840721*E167 ^ 5 + -0.0470775900456747*E167 ^ 4 + 0.10529845051021*E167 ^ 3 + -0.340420832683724*E167 ^ 2 + -0.865380738838943*E167 ^ 1 + 69.1545790048549</f>
        <v>-4.6651332451119742E-4</v>
      </c>
      <c r="G167" s="3">
        <f>-3.61742080167022E-06*E167 ^ 6 + 0.000111542999872249*E167 ^ 5 + -0.00111677753329506*E167 ^ 4 + 0.00296157926061089*E167 ^ 3 + -0.000290311547322046*E167 ^ 2 + 0.147887962328813*E167 ^ 1 + 0.545400315825457</f>
        <v>1.3458812697826763</v>
      </c>
      <c r="H167" s="4">
        <f>0.000284297193537924*E167 ^ 6 + -0.00960795468582062*E167 ^ 5 + 0.11011194009623*E167 ^ 4 + -0.42144060362453*E167 ^ 3 + 0.347116039877147*E167 ^ 2 + -9.07053162232418*E167 ^ 1 + 3567.41510394899</f>
        <v>3513.0948292033481</v>
      </c>
    </row>
    <row r="168" spans="3:8" x14ac:dyDescent="0.2">
      <c r="C168" s="24" t="s">
        <v>13</v>
      </c>
      <c r="D168" s="1" t="s">
        <v>246</v>
      </c>
      <c r="E168" s="2">
        <v>9.1341967734372176</v>
      </c>
      <c r="F168" s="3">
        <f>-0.000129927472325579*E168 ^ 6 + 0.00472268088835605*E168 ^ 5 + -0.0483506402079355*E168 ^ 4 + 0.0916857235784386*E168 ^ 3 + -0.342442994029086*E168 ^ 2 + -1.09262722954822*E168 ^ 1 + 80.4257921768171</f>
        <v>-7.4331242672087683E-7</v>
      </c>
      <c r="G168" s="3">
        <f>-4.41363030971302E-06*E168 ^ 6 + 0.000134445907036671*E168 ^ 5 + -0.00133239093923779*E168 ^ 4 + 0.00354983430235679*E168 ^ 3 + -0.000766187560563449*E168 ^ 2 + 0.170619347753251*E168 ^ 1 + 0.630179418788787</f>
        <v>1.5403409953645921</v>
      </c>
      <c r="H168" s="4">
        <f>0.000401025519475536*E168 ^ 6 + -0.0135454343501457*E168 ^ 5 + 0.156649198367523*E168 ^ 4 + -0.626426450143464*E168 ^ 3 + 0.568685411473186*E168 ^ 2 + -10.7457774676237*E168 ^ 1 + 3562.33629603209</f>
        <v>3496.3232528179328</v>
      </c>
    </row>
    <row r="169" spans="3:8" x14ac:dyDescent="0.2">
      <c r="C169" s="24" t="s">
        <v>36</v>
      </c>
      <c r="D169" s="1" t="s">
        <v>247</v>
      </c>
      <c r="E169" s="2">
        <v>9.1468808683138381</v>
      </c>
      <c r="F169" s="3">
        <f>-0.000126136287860351*E169 ^ 6 + 0.00481786066358109*E169 ^ 5 + -0.0500730209117422*E169 ^ 4 + 0.0874689054862732*E169 ^ 3 + -0.37605780302058*E169 ^ 2 + -1.28739516992192*E169 ^ 1 + 92.204182916632</f>
        <v>-3.6346592082736606E-6</v>
      </c>
      <c r="G169" s="3">
        <f>-5.01314166890463E-06*E169 ^ 6 + 0.000153323527292338*E169 ^ 5 + -0.00153049500335192*E169 ^ 4 + 0.00420426248447708*E169 ^ 3 + -0.00160380939687674*E169 ^ 2 + 0.194910471916318*E169 ^ 1 + 0.720921401697991</f>
        <v>1.7546144464281821</v>
      </c>
      <c r="H169" s="4">
        <f>0.000463788695849706*E169 ^ 6 + -0.0146136131870682*E169 ^ 5 + 0.154254717936895*E169 ^ 4 + -0.497715681136653*E169 ^ 3 + -0.0477243629283802*E169 ^ 2 + -11.1985618306326*E169 ^ 1 + 3568.34744356673</f>
        <v>3496.7479750970701</v>
      </c>
    </row>
    <row r="170" spans="3:8" x14ac:dyDescent="0.2">
      <c r="C170" s="24" t="s">
        <v>36</v>
      </c>
      <c r="D170" s="1" t="s">
        <v>248</v>
      </c>
      <c r="E170" s="2">
        <v>9.1160288516458028</v>
      </c>
      <c r="F170" s="3">
        <f>-0.000125624450158605*E170 ^ 6 + 0.00497153069611481*E170 ^ 5 + -0.0516435044489487*E170 ^ 4 + 0.077734758734175*E170 ^ 3 + -0.389247482262404*E170 ^ 2 + -1.55882519913629*E170 ^ 1 + 103.429779813563</f>
        <v>-6.7419092459886087E-6</v>
      </c>
      <c r="G170" s="3">
        <f>-5.76193487575715E-06*E170 ^ 6 + 0.000174977039587973*E170 ^ 5 + -0.00173661385230447*E170 ^ 4 + 0.00479385315460696*E170 ^ 3 + -0.00226622301761283*E170 ^ 2 + 0.217011875088546*E170 ^ 1 + 0.805183919905748</f>
        <v>1.9427004212372248</v>
      </c>
      <c r="H170" s="4">
        <f>0.000553354420582574*E170 ^ 6 + -0.0172275669515283*E170 ^ 5 + 0.179415048394877*E170 ^ 4 + -0.567189526164286*E170 ^ 3 + -0.0697737093571599*E170 ^ 2 + -13.0068375298829*E170 ^ 1 + 3563.50788487303</f>
        <v>3481.4996976520688</v>
      </c>
    </row>
    <row r="171" spans="3:8" x14ac:dyDescent="0.2">
      <c r="C171" s="24" t="s">
        <v>36</v>
      </c>
      <c r="D171" s="1" t="s">
        <v>249</v>
      </c>
      <c r="E171" s="2">
        <v>9.0833680204226255</v>
      </c>
      <c r="F171" s="3">
        <f>-0.000124664846762545*E171 ^ 6 + 0.0051184831025948*E171 ^ 5 + -0.0531799286995398*E171 ^ 4 + 0.068213224969365*E171 ^ 3 + -0.403762931581824*E171 ^ 2 + -1.85510546501774*E171 ^ 1 + 114.583283149724</f>
        <v>-9.8057426498598943E-6</v>
      </c>
      <c r="G171" s="3">
        <f>-6.51152184689048E-06*E171 ^ 6 + 0.000196427935761961*E171 ^ 5 + -0.00193839419475886*E171 ^ 4 + 0.00536369325770711*E171 ^ 3 + -0.00295544185139043*E171 ^ 2 + 0.238647713331691*E171 ^ 1 + 0.888627390332379</f>
        <v>2.1254880400608087</v>
      </c>
      <c r="H171" s="4">
        <f>0.000643131324361734*E171 ^ 6 + -0.0197863158076687*E171 ^ 5 + 0.203171623785274*E171 ^ 4 + -0.626427957048896*E171 ^ 3 + -0.10509698288554*E171 ^ 2 + -14.855228784293*E171 ^ 1 + 3558.51095310949</f>
        <v>3466.2610064583623</v>
      </c>
    </row>
    <row r="172" spans="3:8" x14ac:dyDescent="0.2">
      <c r="C172" s="24" t="s">
        <v>73</v>
      </c>
      <c r="D172" s="1" t="s">
        <v>250</v>
      </c>
      <c r="E172" s="2">
        <v>9.2773237608419237</v>
      </c>
      <c r="F172" s="3">
        <f>-0.000123340741746695*E172 ^ 6 + 0.0052569675658995*E172 ^ 5 + -0.0554031534567033*E172 ^ 4 + 0.0561237484834674*E172 ^ 3 + -0.356525239113772*E172 ^ 2 + -1.47637614188616*E172 ^ 1 + 127.340977254452</f>
        <v>-1.6812366931162614E-4</v>
      </c>
      <c r="G172" s="3">
        <f>-7.20176069801569E-06*E172 ^ 6 + 0.00022436319617955*E172 ^ 5 + -0.0023029464426794*E172 ^ 4 + 0.00682693640126276*E172 ^ 3 + -0.0030028932487139*E172 ^ 2 + 0.272715856056789*E172 ^ 1 + 0.990742173391178</f>
        <v>2.4813574009988493</v>
      </c>
      <c r="H172" s="4">
        <f>0.000216904174636181*E172 ^ 6 + -0.00737164164791463*E172 ^ 5 + 0.085761303241801*E172 ^ 4 + -0.345316545138872*E172 ^ 3 + 0.34695008574061*E172 ^ 2 + -6.48436044810584*E172 ^ 1 + 3577.01881605577</f>
        <v>3537.9764114138247</v>
      </c>
    </row>
    <row r="173" spans="3:8" x14ac:dyDescent="0.2">
      <c r="C173" s="24" t="s">
        <v>73</v>
      </c>
      <c r="D173" s="1" t="s">
        <v>251</v>
      </c>
      <c r="E173" s="2">
        <v>9.2647761937614224</v>
      </c>
      <c r="F173" s="3">
        <f>-0.000123082661752695*E173 ^ 6 + 0.00540169915942516*E173 ^ 5 + -0.056724036936219*E173 ^ 4 + 0.0433157458086702*E173 ^ 3 + -0.357911105650587*E173 ^ 2 + -1.66521712025873*E173 ^ 1 + 138.74913322118</f>
        <v>-2.2557107433840429E-4</v>
      </c>
      <c r="G173" s="3">
        <f>-7.97556017917619E-06*E173 ^ 6 + 0.000247296542789376*E173 ^ 5 + -0.00252717766738139*E173 ^ 4 + 0.00747870231754104*E173 ^ 3 + -0.00348414928985055*E173 ^ 2 + 0.296263043295312*E173 ^ 1 + 1.07712830988177</f>
        <v>2.6873430563925265</v>
      </c>
      <c r="H173" s="4">
        <f>0.00025934259464384*E173 ^ 6 + -0.0088477641157892*E173 ^ 5 + 0.103777558504116*E173 ^ 4 + -0.427861262712804*E173 ^ 3 + 0.44269701495813*E173 ^ 2 + -7.14377327134383*E173 ^ 1 + 3575.0283154917</f>
        <v>3531.2552513108226</v>
      </c>
    </row>
    <row r="174" spans="3:8" x14ac:dyDescent="0.2">
      <c r="C174" s="24" t="s">
        <v>73</v>
      </c>
      <c r="D174" s="1" t="s">
        <v>252</v>
      </c>
      <c r="E174" s="2">
        <v>9.2505070753763068</v>
      </c>
      <c r="F174" s="3">
        <f>-0.000122405910384699*E174 ^ 6 + 0.00553030879531899*E174 ^ 5 + -0.057797375700458*E174 ^ 4 + 0.0291475583816705*E174 ^ 3 + -0.358108559677124*E174 ^ 2 + -1.86411069958445*E174 ^ 1 + 150.131008956452</f>
        <v>-2.727547957022125E-4</v>
      </c>
      <c r="G174" s="3">
        <f>-8.75560475762456E-06*E174 ^ 6 + 0.000270118173531548*E174 ^ 5 + -0.00274641295408548*E174 ^ 4 + 0.00809250399853933*E174 ^ 3 + -0.00392208330009036*E174 ^ 2 + 0.3196020594606*E174 ^ 1 + 1.16321527301792</f>
        <v>2.889999902806585</v>
      </c>
      <c r="H174" s="4">
        <f>0.000308788960307786*E174 ^ 6 + -0.0105570693003697*E174 ^ 5 + 0.124554566308231*E174 ^ 4 + -0.523083114521086*E174 ^ 3 + 0.551895957822779*E174 ^ 2 + -7.83248168072859*E174 ^ 1 + 3573.03020142508</f>
        <v>3524.1767049713753</v>
      </c>
    </row>
    <row r="175" spans="3:8" x14ac:dyDescent="0.2">
      <c r="C175" s="24" t="s">
        <v>75</v>
      </c>
      <c r="D175" s="1" t="s">
        <v>253</v>
      </c>
      <c r="E175" s="2">
        <v>9.2882539592989417</v>
      </c>
      <c r="F175" s="3">
        <f>-0.000122000781091063*E175 ^ 6 + 0.0057827773364316*E175 ^ 5 + -0.0620891394432519*E175 ^ 4 + 0.0372858179864649*E175 ^ 3 + -0.38223618633618*E175 ^ 2 + -1.94409721786046*E175 ^ 1 + 161.84213211251</f>
        <v>-7.8344611742409143E-4</v>
      </c>
      <c r="G175" s="3">
        <f>-9.30281894432486E-06*E175 ^ 6 + 0.000291158966049802*E175 ^ 5 + -0.00301584091110943*E175 ^ 4 + 0.00924939517144031*E175 ^ 3 + -0.00509630188294305*E175 ^ 2 + 0.345563452152358*E175 ^ 1 + 1.25312426005435</f>
        <v>3.1431336542526811</v>
      </c>
      <c r="H175" s="4">
        <f>0.000186244664111209*E175 ^ 6 + -0.00582009544677878*E175 ^ 5 + 0.060149530894272*E175 ^ 4 + -0.183320653451469*E175 ^ 3 + 0.0972946561533012*E175 ^ 2 + -6.91526446803641*E175 ^ 1 + 3574.95385011469</f>
        <v>3537.1419864893833</v>
      </c>
    </row>
    <row r="176" spans="3:8" x14ac:dyDescent="0.2">
      <c r="C176" s="24" t="s">
        <v>75</v>
      </c>
      <c r="D176" s="1" t="s">
        <v>254</v>
      </c>
      <c r="E176" s="2">
        <v>9.27242868277642</v>
      </c>
      <c r="F176" s="3">
        <f>-0.000121612354879194*E176 ^ 6 + 0.00612059002346019*E176 ^ 5 + -0.0658485052315168*E176 ^ 4 + 0.0191941659262642*E176 ^ 3 + -0.392954856569272*E176 ^ 2 + -2.32635363270561*E176 ^ 1 + 184.584883859617</f>
        <v>1.8245924593429663E-7</v>
      </c>
      <c r="G176" s="3">
        <f>-0.000010798623054983*E176 ^ 6 + 0.000336738250198628*E176 ^ 5 + -0.00347885956310209*E176 ^ 4 + 0.0107103615826137*E176 ^ 3 + -0.00633999741909804*E176 ^ 2 + 0.392578953561993*E176 ^ 1 + 1.42506621240506</f>
        <v>3.5602838822465248</v>
      </c>
      <c r="H176" s="4">
        <f>0.000215631460180391*E176 ^ 6 + -0.00670948173225916*E176 ^ 5 + 0.0690828948027498*E176 ^ 4 + -0.21060946677691*E176 ^ 3 + 0.118903266187973*E176 ^ 2 + -7.85525999861987*E176 ^ 1 + 3571.51154977002</f>
        <v>3528.8246895388997</v>
      </c>
    </row>
    <row r="177" spans="3:8" x14ac:dyDescent="0.2">
      <c r="C177" s="24" t="s">
        <v>75</v>
      </c>
      <c r="D177" s="1" t="s">
        <v>255</v>
      </c>
      <c r="E177" s="2">
        <v>9.2556253031289764</v>
      </c>
      <c r="F177" s="3">
        <f>-0.00012093322629484*E177 ^ 6 + 0.00645360233717453*E177 ^ 5 + -0.0695489021242955*E177 ^ 4 + 0.000839242940867841*E177 ^ 3 + -0.403421785521205*E177 ^ 2 + -2.73074916065969*E177 ^ 1 + 207.241328686329</f>
        <v>2.630534936542972E-7</v>
      </c>
      <c r="G177" s="3">
        <f>-0.0000123043362103812*E177 ^ 6 + 0.000382353857014255*E177 ^ 5 + -0.00393928056916501*E177 ^ 4 + 0.0121519010779008*E177 ^ 3 + -0.00758927038372536*E177 ^ 2 + 0.439126715176036*E177 ^ 1 + 1.59602710039874</f>
        <v>3.9717886817437451</v>
      </c>
      <c r="H177" s="4">
        <f>0.000245096892700459*E177 ^ 6 + -0.0075945220281692*E177 ^ 5 + 0.0778938968713193*E177 ^ 4 + -0.237185752696007*E177 ^ 3 + 0.140681239135394*E177 ^ 2 + -8.78540505660341*E177 ^ 1 + 3568.08847124746</f>
        <v>3520.6390850608514</v>
      </c>
    </row>
    <row r="178" spans="3:8" x14ac:dyDescent="0.2">
      <c r="C178" s="24" t="s">
        <v>9</v>
      </c>
      <c r="D178" s="1" t="s">
        <v>262</v>
      </c>
      <c r="E178" s="2">
        <v>12.759591263507613</v>
      </c>
      <c r="F178" s="3">
        <f>8.00067604835297E-06*E178 ^ 6 + -0.000279613813500339*E178 ^ 5 + 0.00351383230407413*E178 ^ 4 + -0.0226958326544815*E178 ^ 3 + 0.0167995755371583*E178 ^ 2 + -0.0567842181161682*E178 ^ 1 + 12.0400523322299</f>
        <v>6.1662704313292238E-5</v>
      </c>
      <c r="G178" s="3">
        <f>7.21722431158391E-09*E178 ^ 6 + -2.8968729411281E-07*E178 ^ 5 + 0.0000149587268209931*E178 ^ 4 + -0.000400998147238989*E178 ^ 3 + 0.00300324171695759*E178 ^ 2 + 0.0195042387199599*E178 ^ 1 + 0.168011620838775</f>
        <v>0.40248158984551363</v>
      </c>
      <c r="H178" s="4">
        <f>8.48869412913263E-06*E178 ^ 6 + -0.000516345648254935*E178 ^ 5 + 0.00623112802099844*E178 ^ 4 + 0.0769445366074949*E178 ^ 3 + -1.24610159720153*E178 ^ 2 + -6.77531800296265*E178 ^ 1 + 3557.3167920403</f>
        <v>3454.9964211144766</v>
      </c>
    </row>
    <row r="179" spans="3:8" x14ac:dyDescent="0.2">
      <c r="C179" s="24" t="s">
        <v>14</v>
      </c>
      <c r="D179" s="1" t="s">
        <v>263</v>
      </c>
      <c r="E179" s="2">
        <v>13.400493186383509</v>
      </c>
      <c r="F179" s="3">
        <f>0.0000197452940127322*E179 ^ 6 + -0.000717114584761584*E179 ^ 5 + 0.00941218731567402*E179 ^ 4 + -0.0607244921882891*E179 ^ 3 + 0.0962660883559764*E179 ^ 2 + -0.308611626905995*E179 ^ 1 + 25.005868142301</f>
        <v>2.0142570750181221E-4</v>
      </c>
      <c r="G179" s="3">
        <f>2.05752069549412E-07*E179 ^ 6 + -0.0000076687030874831*E179 ^ 5 + 0.00011421559967131*E179 ^ 4 + -0.0010663277221571*E179 ^ 3 + 0.00489683578170587*E179 ^ 2 + 0.0407774334317887*E179 ^ 1 + 0.331712618127381</f>
        <v>0.7522046847749555</v>
      </c>
      <c r="H179" s="4">
        <f>-0.0000432725257006334*E179 ^ 6 + 0.00138073440471461*E179 ^ 5 + -0.0152863138197033*E179 ^ 4 + 0.126806582556675*E179 ^ 3 + -0.943000844916158*E179 ^ 2 + -4.85472275146975*E179 ^ 1 + 3575.50049952097</f>
        <v>3499.3876887017336</v>
      </c>
    </row>
    <row r="180" spans="3:8" x14ac:dyDescent="0.2">
      <c r="C180" s="24" t="s">
        <v>16</v>
      </c>
      <c r="D180" s="1" t="s">
        <v>264</v>
      </c>
      <c r="E180" s="2">
        <v>13.594110503907345</v>
      </c>
      <c r="F180" s="3">
        <f>0.0000318392767130436*E180 ^ 6 + -0.00116080364569976*E180 ^ 5 + 0.0152849364755931*E180 ^ 4 + -0.0981496147698024*E180 ^ 3 + 0.177459397813733*E180 ^ 2 + -0.572460385855201*E180 ^ 1 + 37.5274016565747</f>
        <v>-1.9637636157199267E-6</v>
      </c>
      <c r="G180" s="3">
        <f>4.14047850509036E-07*E180 ^ 6 + -0.0000153250351401641*E180 ^ 5 + 0.000214868590158422*E180 ^ 4 + -0.0017190971812915*E180 ^ 3 + 0.00677455980602842*E180 ^ 2 + 0.061010108911639*E180 ^ 1 + 0.486568815862052</f>
        <v>1.0855741262654492</v>
      </c>
      <c r="H180" s="4">
        <f>-0.0000525715486208564*E180 ^ 6 + 0.00185952055352727*E180 ^ 5 + -0.0233166872774543*E180 ^ 4 + 0.158886781006089*E180 ^ 3 + -0.675409268353317*E180 ^ 2 + -5.01608298021389*E180 ^ 1 + 3560.31614048416</f>
        <v>3501.6798240501143</v>
      </c>
    </row>
    <row r="181" spans="3:8" x14ac:dyDescent="0.2">
      <c r="C181" s="24" t="s">
        <v>13</v>
      </c>
      <c r="D181" s="1" t="s">
        <v>265</v>
      </c>
      <c r="E181" s="2">
        <v>13.769060303771974</v>
      </c>
      <c r="F181" s="3">
        <f>0.0000433365823292706*E181 ^ 6 + -0.001592100980705*E181 ^ 5 + 0.0211037339993155*E181 ^ 4 + -0.135440327917227*E181 ^ 3 + 0.255049344354826*E181 ^ 2 + -0.820762249949768*E181 ^ 1 + 50.5952553409854</f>
        <v>-2.3377808027191804E-5</v>
      </c>
      <c r="G181" s="3">
        <f>6.22664480784048E-07*E181 ^ 6 + -0.000023185031932935*E181 ^ 5 + 0.000320810360929698*E181 ^ 4 + -0.00241368822803587*E181 ^ 3 + 0.00872369403036476*E181 ^ 2 + 0.0824676728215827*E181 ^ 1 + 0.652087747526926</f>
        <v>1.4403638056561747</v>
      </c>
      <c r="H181" s="4">
        <f>-0.000043589873694305*E181 ^ 6 + 0.00156121746111544*E181 ^ 5 + -0.0202237187608357*E181 ^ 4 + 0.147160745912289*E181 ^ 3 + -0.650109213119635*E181 ^ 2 + -4.4149239018426*E181 ^ 1 + 3572.14105909973</f>
        <v>3520.9632062562446</v>
      </c>
    </row>
    <row r="182" spans="3:8" x14ac:dyDescent="0.2">
      <c r="C182" s="24" t="s">
        <v>36</v>
      </c>
      <c r="D182" s="1" t="s">
        <v>266</v>
      </c>
      <c r="E182" s="2">
        <v>13.739831592207162</v>
      </c>
      <c r="F182" s="3">
        <f>0.0000564589953587621*E182 ^ 6 + -0.00206368161121375*E182 ^ 5 + 0.0272151898409274*E182 ^ 4 + -0.17304030681294*E182 ^ 3 + 0.328678894135762*E182 ^ 2 + -1.13266030008801*E182 ^ 1 + 63.104006166959</f>
        <v>-3.93487125833758E-5</v>
      </c>
      <c r="G182" s="3">
        <f>8.27739535026322E-07*E182 ^ 6 + -0.0000306725061836283*E182 ^ 5 + 0.000419882998005665*E182 ^ 4 + -0.00305462421954625*E182 ^ 3 + 0.0103082373608775*E182 ^ 2 + 0.101776376233641*E182 ^ 1 + 0.80680322133098</f>
        <v>1.7417366542952442</v>
      </c>
      <c r="H182" s="4">
        <f>-0.0000617799496155864*E182 ^ 6 + 0.00221312557788096*E182 ^ 5 + -0.0287066325802908*E182 ^ 4 + 0.205135149176698*E182 ^ 3 + -0.854672211216263*E182 ^ 2 + -5.9228051064293*E182 ^ 1 + 3563.41363482541</f>
        <v>3497.7529760849338</v>
      </c>
    </row>
    <row r="183" spans="3:8" x14ac:dyDescent="0.2">
      <c r="C183" s="24" t="s">
        <v>36</v>
      </c>
      <c r="D183" s="1" t="s">
        <v>267</v>
      </c>
      <c r="E183" s="2">
        <v>13.689384865315043</v>
      </c>
      <c r="F183" s="3">
        <f>0.0000701419354664186*E183 ^ 6 + -0.0025490364803089*E183 ^ 5 + 0.0334197230920265*E183 ^ 4 + -0.210625352457565*E183 ^ 3 + 0.401077386715429*E183 ^ 2 + -1.46901083103811*E183 ^ 1 + 75.4662711707784</f>
        <v>-4.5064520492132942E-5</v>
      </c>
      <c r="G183" s="3">
        <f>1.03597327747687E-06*E183 ^ 6 + -0.0000381895102834277*E183 ^ 5 + 0.000518356221981993*E183 ^ 4 + -0.00368317524969078*E183 ^ 3 + 0.0117913362661149*E183 ^ 2 + 0.120375233969884*E183 ^ 1 + 0.958780766097529</f>
        <v>2.0297698002457158</v>
      </c>
      <c r="H183" s="4">
        <f>-0.000080628598022798*E183 ^ 6 + 0.00288658083954716*E183 ^ 5 + -0.0375377613782444*E183 ^ 4 + 0.266039413818669*E183 ^ 3 + -1.05811496232246*E183 ^ 2 + -7.51838144068704*E183 ^ 1 + 3554.16029087402</f>
        <v>3474.2652878336075</v>
      </c>
    </row>
    <row r="184" spans="3:8" x14ac:dyDescent="0.2">
      <c r="C184" s="24" t="s">
        <v>73</v>
      </c>
      <c r="D184" s="1" t="s">
        <v>268</v>
      </c>
      <c r="E184" s="2">
        <v>13.973349611485391</v>
      </c>
      <c r="F184" s="3">
        <f>0.0000779387337079951*E184 ^ 6 + -0.00288387313247064*E184 ^ 5 + 0.0385045765066333*E184 ^ 4 + -0.247801501542525*E184 ^ 3 + 0.495357685422249*E184 ^ 2 + -1.54425621215851*E184 ^ 1 + 89.1260318483338</f>
        <v>-4.312747053916155E-4</v>
      </c>
      <c r="G184" s="3">
        <f>1.22805910521275E-06*E184 ^ 6 + -0.0000458437590759678*E184 ^ 5 + 0.000624892520897033*E184 ^ 4 + -0.00442809864995926*E184 ^ 3 + 0.0145741380880705*E184 ^ 2 + 0.146138332917072*E184 ^ 1 + 1.13550519947261</f>
        <v>2.4848840990077141</v>
      </c>
      <c r="H184" s="4">
        <f>-0.000040984473317065*E184 ^ 6 + 0.00149384280248924*E184 ^ 5 + -0.0191403744901118*E184 ^ 4 + 0.121803653348095*E184 ^ 3 + -0.42105600725628*E184 ^ 2 + -3.35963805498494*E184 ^ 1 + 3573.67366386595</f>
        <v>3537.8459909150092</v>
      </c>
    </row>
    <row r="185" spans="3:8" x14ac:dyDescent="0.2">
      <c r="C185" s="24" t="s">
        <v>73</v>
      </c>
      <c r="D185" s="1" t="s">
        <v>269</v>
      </c>
      <c r="E185" s="2">
        <v>13.95540619248912</v>
      </c>
      <c r="F185" s="3">
        <f>0.0000903501891521179*E185 ^ 6 + -0.00333567998663788*E185 ^ 5 + 0.044456378302629*E185 ^ 4 + -0.285305722147181*E185 ^ 3 + 0.570902589592648*E185 ^ 2 + -1.82496766090028*E185 ^ 1 + 101.745454100205</f>
        <v>-5.0381423528733649E-4</v>
      </c>
      <c r="G185" s="3">
        <f>1.42178216300714E-06*E185 ^ 6 + -0.0000529563683624556*E185 ^ 5 + 0.000719814347453292*E185 ^ 4 + -0.00505898570416391*E185 ^ 3 + 0.0162464082790859*E185 ^ 2 + 0.166260643326481*E185 ^ 1 + 1.29236863535255</f>
        <v>2.8006669390627321</v>
      </c>
      <c r="H185" s="4">
        <f>-0.0000527312697664667*E185 ^ 6 + 0.00190592236594647*E185 ^ 5 + -0.0240297760040518*E185 ^ 4 + 0.148833194069733*E185 ^ 3 + -0.518198107881301*E185 ^ 2 + -3.87994595214928*E185 ^ 1 + 3569.99529922637</f>
        <v>3527.3291686821949</v>
      </c>
    </row>
    <row r="186" spans="3:8" x14ac:dyDescent="0.2">
      <c r="C186" s="24" t="s">
        <v>75</v>
      </c>
      <c r="D186" s="1" t="s">
        <v>270</v>
      </c>
      <c r="E186" s="2">
        <v>14.012348419010021</v>
      </c>
      <c r="F186" s="3">
        <f>0.000102133085566045*E186 ^ 6 + -0.00377914582185314*E186 ^ 5 + 0.0504140064455239*E186 ^ 4 + -0.323292074605136*E186 ^ 3 + 0.655563405526387*E186 ^ 2 + -2.07022785243396*E186 ^ 1 + 114.608410430175</f>
        <v>-9.6679377894304253E-4</v>
      </c>
      <c r="G186" s="3">
        <f>1.66302775824078E-06*E186 ^ 6 + -0.0000620635222998979*E186 ^ 5 + 0.000840633520476727*E186 ^ 4 + -0.00581896894907624*E186 ^ 3 + 0.0184667035778313*E186 ^ 2 + 0.187301396133313*E186 ^ 1 + 1.45387938768157</f>
        <v>3.1641213152078249</v>
      </c>
      <c r="H186" s="4">
        <f>-0.0000331317136108466*E186 ^ 6 + 0.00123676848525577*E186 ^ 5 + -0.0167659009529296*E186 ^ 4 + 0.116273197544369*E186 ^ 3 + -0.369314970898101*E186 ^ 2 + -3.75061614164353*E186 ^ 1 + 3570.934520743</f>
        <v>3536.7233530548419</v>
      </c>
    </row>
    <row r="187" spans="3:8" x14ac:dyDescent="0.2">
      <c r="C187" s="24" t="s">
        <v>75</v>
      </c>
      <c r="D187" s="1" t="s">
        <v>271</v>
      </c>
      <c r="E187" s="2">
        <v>14.002066268224221</v>
      </c>
      <c r="F187" s="3">
        <f>0.000114650148902268*E187 ^ 6 + -0.00423580687535954*E187 ^ 5 + 0.0564203894842792*E187 ^ 4 + -0.361006604219859*E187 ^ 3 + 0.733567101090605*E187 ^ 2 + -2.35165499056186*E187 ^ 1 + 127.194761036719</f>
        <v>-8.6095974438649137E-7</v>
      </c>
      <c r="G187" s="3">
        <f>1.87227808980675E-06*E187 ^ 6 + -0.0000697636640589532*E187 ^ 5 + 0.000942524859524211*E187 ^ 4 + -0.006479704825661*E187 ^ 3 + 0.0202495609884558*E187 ^ 2 + 0.207303902166756*E187 ^ 1 + 1.61013274182011</f>
        <v>3.4857373650930712</v>
      </c>
      <c r="H187" s="4">
        <f>-0.000037230354922218*E187 ^ 6 + 0.00138779411062165*E187 ^ 5 + -0.0187715868965208*E187 ^ 4 + 0.129359838303318*E187 ^ 3 + -0.404440527405355*E187 ^ 2 + -4.15166246181407*E187 ^ 1 + 3567.8059104935</f>
        <v>3530.3101075697459</v>
      </c>
    </row>
    <row r="188" spans="3:8" x14ac:dyDescent="0.2">
      <c r="C188" s="24" t="s">
        <v>75</v>
      </c>
      <c r="D188" s="1" t="s">
        <v>272</v>
      </c>
      <c r="E188" s="2">
        <v>13.989432012058451</v>
      </c>
      <c r="F188" s="3">
        <f>0.000127300936344654*E188 ^ 6 + -0.00469583649495634*E188 ^ 5 + 0.0624514858473175*E188 ^ 4 + -0.398752747949027*E188 ^ 3 + 0.811443393460135*E188 ^ 2 + -2.63824547813585*E188 ^ 1 + 139.737732510274</f>
        <v>-9.5779029152254225E-7</v>
      </c>
      <c r="G188" s="3">
        <f>2.08232646366305E-06*E188 ^ 6 + -0.0000774693887500529*E188 ^ 5 + 0.00104421909659885*E188 ^ 4 + -0.00713737370193721*E188 ^ 3 + 0.0220107764678676*E188 ^ 2 + 0.22713461593017*E188 ^ 1 + 1.76557577968752</f>
        <v>3.8039557788853755</v>
      </c>
      <c r="H188" s="4">
        <f>-0.0000413166058536424*E188 ^ 6 + 0.00153795572356975*E188 ^ 5 + -0.020762394476494*E188 ^ 4 + 0.14233184071386*E188 ^ 3 + -0.438901549276615*E188 ^ 2 + -4.549067137035*E188 ^ 1 + 3564.69344011874</f>
        <v>3523.9757102834615</v>
      </c>
    </row>
    <row r="189" spans="3:8" x14ac:dyDescent="0.2">
      <c r="C189" s="24" t="s">
        <v>76</v>
      </c>
      <c r="D189" s="1" t="s">
        <v>273</v>
      </c>
      <c r="E189" s="2">
        <v>13.965128828726522</v>
      </c>
      <c r="F189" s="3">
        <f>0.000139173588211308*E189 ^ 6 + -0.00512699237354345*E189 ^ 5 + 0.0681762282073576*E189 ^ 4 + -0.435101106212546*E189 ^ 3 + 0.876580601143303*E189 ^ 2 + -2.92240440441272*E189 ^ 1 + 152.714266080024</f>
        <v>-7.9418884979531867E-7</v>
      </c>
      <c r="G189" s="3">
        <f>2.22987739606511E-06*E189 ^ 6 + -0.0000828844377548693*E189 ^ 5 + 0.00111969835504147*E189 ^ 4 + -0.00768617848694604*E189 ^ 3 + 0.0233239866445065*E189 ^ 2 + 0.247970248214843*E189 ^ 1 + 1.92923943261217</f>
        <v>4.1103793182486665</v>
      </c>
      <c r="H189" s="4">
        <f>-0.0000647286183916156*E189 ^ 6 + 0.00233557958907013*E189 ^ 5 + -0.02961482666003*E189 ^ 4 + 0.187625376345185*E189 ^ 3 + -0.667699297336045*E189 ^ 2 + -4.76696591151535*E189 ^ 1 + 3567.16590603761</f>
        <v>3515.4193853700331</v>
      </c>
    </row>
    <row r="190" spans="3:8" x14ac:dyDescent="0.2">
      <c r="C190" s="24" t="s">
        <v>76</v>
      </c>
      <c r="D190" s="1" t="s">
        <v>275</v>
      </c>
      <c r="E190" s="2">
        <v>13.909456533517961</v>
      </c>
      <c r="F190" s="3">
        <f>0.000165286640609644*E190 ^ 6 + -0.00606208858864237*E190 ^ 5 + 0.0802969671239676*E190 ^ 4 + -0.510031629398422*E190 ^ 3 + 1.02237704325883*E190 ^ 2 + -3.54640515815002*E190 ^ 1 + 177.663558792537</f>
        <v>-9.7045378998927845E-4</v>
      </c>
      <c r="G190" s="3">
        <f>2.61723019485611E-06*E190 ^ 6 + -0.0000969119074496913*E190 ^ 5 + 0.00130541456982654*E190 ^ 4 + -0.00890941054211792*E190 ^ 3 + 0.0263502966120281*E190 ^ 2 + 0.286557877382125*E190 ^ 1 + 2.23757130433996</f>
        <v>4.7056952594819608</v>
      </c>
      <c r="H190" s="4">
        <f>-0.0000844054680313189*E190 ^ 6 + 0.00302039536664142*E190 ^ 5 + -0.037866661867581*E190 ^ 4 + 0.236587140468252*E190 ^ 3 + -0.846222229614403*E190 ^ 2 + -5.78681556592795*E190 ^ 1 + 3560.99863451879</f>
        <v>3497.3684133046045</v>
      </c>
    </row>
    <row r="191" spans="3:8" x14ac:dyDescent="0.2">
      <c r="C191" s="24" t="s">
        <v>76</v>
      </c>
      <c r="D191" s="1" t="s">
        <v>277</v>
      </c>
      <c r="E191" s="2">
        <v>13.844827328221053</v>
      </c>
      <c r="F191" s="3">
        <f>0.00019224023963598*E191 ^ 6 + -0.00701705657892092*E191 ^ 5 + 0.092555704065206*E191 ^ 4 + -0.584974124099676*E191 ^ 3 + 1.16437594389241*E191 ^ 2 + -4.20827355264794*E191 ^ 1 + 202.409297851097</f>
        <v>-7.5442927203539512E-4</v>
      </c>
      <c r="G191" s="3">
        <f>2.99814781713271E-06*E191 ^ 6 + -0.000110585092662372*E191 ^ 5 + 0.00148602052694668*E191 ^ 4 + -0.010099335215787*E191 ^ 3 + 0.029148384776424*E191 ^ 2 + 0.324110890500155*E191 ^ 1 + 2.54210812166367</f>
        <v>5.275867954121404</v>
      </c>
      <c r="H191" s="4">
        <f>-0.000106538020437138*E191 ^ 6 + 0.00378046372385231*E191 ^ 5 + -0.0469084983611383*E191 ^ 4 + 0.290104247036537*E191 ^ 3 + -1.04463305727512*E191 ^ 2 + -6.8857758830386*E191 ^ 1 + 3554.58340963737</f>
        <v>3478.1476643963783</v>
      </c>
    </row>
    <row r="192" spans="3:8" x14ac:dyDescent="0.2">
      <c r="C192" s="24" t="s">
        <v>77</v>
      </c>
      <c r="D192" s="1" t="s">
        <v>387</v>
      </c>
      <c r="E192" s="2">
        <v>14.087677633666763</v>
      </c>
      <c r="F192" s="3">
        <f>0.000196851912956901*E192 ^ 6 + -0.00729392640033088*E192 ^ 5 + 0.097427546392679*E192 ^ 4 + -0.623724777284113*E192 ^ 3 + 1.28824712084078*E192 ^ 2 + -4.10598805116221*E192 ^ 1 + 217.069257698179</f>
        <v>-6.3064821063107956E-6</v>
      </c>
      <c r="G192" s="3">
        <f>3.31074477159393E-06*E192 ^ 6 + -0.00012358971002545*E192 ^ 5 + 0.00166450890968854*E192 ^ 4 + -0.0112293045934387*E192 ^ 3 + 0.0337239480782113*E192 ^ 2 + 0.354469069767234*E192 ^ 1 + 2.73752310711195</f>
        <v>5.8918098283280553</v>
      </c>
      <c r="H192" s="4">
        <f>-0.0000351843551723903*E192 ^ 6 + 0.00131372148709408*E192 ^ 5 + -0.0177066434361547*E192 ^ 4 + 0.119658656450231*E192 ^ 3 + -0.359633047751412*E192 ^ 2 + -3.78568858708584*E192 ^ 1 + 3570.81172791054</f>
        <v>3537.1588710029664</v>
      </c>
    </row>
    <row r="193" spans="3:8" x14ac:dyDescent="0.2">
      <c r="C193" s="24" t="s">
        <v>77</v>
      </c>
      <c r="D193" s="1" t="s">
        <v>388</v>
      </c>
      <c r="E193" s="2">
        <v>14.069213615914254</v>
      </c>
      <c r="F193" s="3">
        <f>0.000221902289945503*E193 ^ 6 + -0.0082075093744079*E193 ^ 5 + 0.10944039470566*E193 ^ 4 + -0.699155357343633*E193 ^ 3 + 1.44446796145838*E193 ^ 2 + -4.67006117128947*E193 ^ 1 + 242.233319092235</f>
        <v>-6.424210965860766E-6</v>
      </c>
      <c r="G193" s="3">
        <f>3.72966677719082E-06*E193 ^ 6 + -0.000138990225906358*E193 ^ 5 + 0.00186808769023524*E193 ^ 4 + -0.0125487804989878*E193 ^ 3 + 0.0372892153779269*E193 ^ 2 + 0.394439448658595*E193 ^ 1 + 3.04991224646394</f>
        <v>6.5351747519365384</v>
      </c>
      <c r="H193" s="4">
        <f>-0.0000395568547620455*E193 ^ 6 + 0.00147466438367665*E193 ^ 5 + -0.0198416605729414*E193 ^ 4 + 0.133582100381374*E193 ^ 3 + -0.397055863280289*E193 ^ 2 + -4.21310140829403*E193 ^ 1 + 3567.47578539704</f>
        <v>3530.3162967852868</v>
      </c>
    </row>
    <row r="194" spans="3:8" x14ac:dyDescent="0.2">
      <c r="C194" s="24" t="s">
        <v>77</v>
      </c>
      <c r="D194" s="1" t="s">
        <v>280</v>
      </c>
      <c r="E194" s="2">
        <v>14.04941456993093</v>
      </c>
      <c r="F194" s="3">
        <f>0.000247238013480296*E194 ^ 6 + -0.00912828479213009*E194 ^ 5 + 0.121506109326058*E194 ^ 4 + -0.774654554633157*E194 ^ 3 + 1.60041904570739*E194 ^ 2 + -5.24512116344596*E194 ^ 1 + 267.304944708585</f>
        <v>-6.2685139141649415E-6</v>
      </c>
      <c r="G194" s="3">
        <f>4.15029531842675E-06*E194 ^ 6 + -0.000154402971480463*E194 ^ 5 + 0.002071253243281*E194 ^ 4 + -0.013861776176841*E194 ^ 3 + 0.0408084956206681*E194 ^ 2 + 0.434044020758449*E194 ^ 1 + 3.3605746541519</f>
        <v>7.1713199376729406</v>
      </c>
      <c r="H194" s="4">
        <f>-0.0000439143854098406*E194 ^ 6 + 0.00163459300639494*E194 ^ 5 + -0.0219593635787749*E194 ^ 4 + 0.147373135051705*E194 ^ 3 + -0.433719185963803*E194 ^ 2 + -4.63636865703997*E194 ^ 1 + 3564.158212987</f>
        <v>3523.5631235868636</v>
      </c>
    </row>
    <row r="195" spans="3:8" x14ac:dyDescent="0.2">
      <c r="C195" s="24" t="s">
        <v>78</v>
      </c>
      <c r="D195" s="1" t="s">
        <v>281</v>
      </c>
      <c r="E195" s="2">
        <v>14.118028215472807</v>
      </c>
      <c r="F195" s="3">
        <f>0.000267356136094263*E195 ^ 6 + -0.00991770906416193*E195 ^ 5 + 0.132598919075478*E195 ^ 4 + -0.847910074026747*E195 ^ 3 + 1.74971415468164*E195 ^ 2 + -5.65969592965567*E195 ^ 1 + 294.859605644669</f>
        <v>-1.3781113182176341E-5</v>
      </c>
      <c r="G195" s="3">
        <f>4.53833746907568E-06*E195 ^ 6 + -0.000169696349508464*E195 ^ 5 + 0.00228643230157434*E195 ^ 4 + -0.0153226564375203*E195 ^ 3 + 0.0449837944761573*E195 ^ 2 + 0.481011401922385*E195 ^ 1 + 3.71811663681398</f>
        <v>7.9502629494172385</v>
      </c>
      <c r="H195" s="4">
        <f>-0.0000365291716042253*E195 ^ 6 + 0.00135374675827896*E195 ^ 5 + -0.018284351898746*E195 ^ 4 + 0.12992835107509*E195 ^ 3 + -0.459963813355875*E195 ^ 2 + -3.88607529064999*E195 ^ 1 + 3576.50892409587</f>
        <v>3539.2154892396297</v>
      </c>
    </row>
    <row r="196" spans="3:8" x14ac:dyDescent="0.2">
      <c r="C196" s="24" t="s">
        <v>14</v>
      </c>
      <c r="D196" s="1" t="s">
        <v>287</v>
      </c>
      <c r="E196" s="2">
        <v>-14.841155572110337</v>
      </c>
      <c r="F196" s="3">
        <f>2.04319671071147E-07*E196 ^ 6 + -4.84203008825741E-06*E196 ^ 5 + -0.0000848691748462559*E196 ^ 4 + 0.00219803057006541*E196 ^ 3 + -0.0383942845721562*E196 ^ 2 + 0.0457391319570761*E196 ^ 1 + 14.7684617198382</f>
        <v>-1.3654836816812121E-6</v>
      </c>
      <c r="G196" s="3">
        <f>-3.02868237525932E-08*E196 ^ 6 + 2.25638208851432E-06*E196 ^ 5 + -0.000061950390397775*E196 ^ 4 + 0.000719983653045114*E196 ^ 3 + -0.00350606464905643*E196 ^ 2 + 0.0350194286509458*E196 ^ 1 + 0.300813827636418</f>
        <v>-8.2984669207860282</v>
      </c>
      <c r="H196" s="4">
        <f>3.59314774758104E-06*E196 ^ 6 + -0.000308143268215953*E196 ^ 5 + 0.00952756707588843*E196 ^ 4 + -0.118323574014746*E196 ^ 3 + 0.475009658533745*E196 ^ 2 + -4.27976848829249*E196 ^ 1 + 3579.09803500038</f>
        <v>4856.5158842417886</v>
      </c>
    </row>
    <row r="197" spans="3:8" x14ac:dyDescent="0.2">
      <c r="C197" s="24" t="s">
        <v>13</v>
      </c>
      <c r="D197" s="1" t="s">
        <v>288</v>
      </c>
      <c r="E197" s="2">
        <v>-10.442494828441845</v>
      </c>
      <c r="F197" s="3">
        <f>-8.43469939690681E-08*E197 ^ 6 + 0.0000188999575800134*E197 ^ 5 + -0.00074760193122758*E197 ^ 4 + 0.00871185629483388*E197 ^ 3 + -0.0761304633344045*E197 ^ 2 + 0.0153990435560136*E197 ^ 1 + 29.7287565786711</f>
        <v>7.216820063860041E-5</v>
      </c>
      <c r="G197" s="3">
        <f>-3.76856838540047E-08*E197 ^ 6 + 2.78871970481684E-06*E197 ^ 5 + -0.0000724743816163665*E197 ^ 4 + 0.000707006097784082*E197 ^ 3 + -0.0024936545401923*E197 ^ 2 + 0.0612675701813976*E197 ^ 1 + 0.545402491653689</f>
        <v>-2.4283151903524161</v>
      </c>
      <c r="H197" s="4">
        <f>2.35903125660801E-06*E197 ^ 6 + -0.000190283206373696*E197 ^ 5 + 0.00541330545885497*E197 ^ 4 + -0.0591621520762111*E197 ^ 3 + 0.216624321876672*E197 ^ 2 + -3.79087200072465*E197 ^ 1 + 3567.41442919435</f>
        <v>3789.0470235609796</v>
      </c>
    </row>
    <row r="198" spans="3:8" x14ac:dyDescent="0.2">
      <c r="C198" s="24" t="s">
        <v>36</v>
      </c>
      <c r="D198" s="1" t="s">
        <v>289</v>
      </c>
      <c r="E198" s="2">
        <v>21.472641572809248</v>
      </c>
      <c r="F198" s="3">
        <f>-3.47310853882717E-07*E198 ^ 6 + 0.0000411571296523653*E198 ^ 5 + -0.00137665857728024*E198 ^ 4 + 0.0150352109067332*E198 ^ 3 + -0.116268019272956*E198 ^ 2 + -0.0524399692593687*E198 ^ 1 + 44.7082947609809</f>
        <v>-5.2130923450022237E-5</v>
      </c>
      <c r="G198" s="3">
        <f>-4.56566402263431E-08*E198 ^ 6 + 3.30372470726233E-06*E198 ^ 5 + -0.0000810131702966664*E198 ^ 4 + 0.000663638318821844*E198 ^ 3 + -0.00151679833081727*E198 ^ 2 + 0.0863897170653134*E198 ^ 1 + 0.790884783644446</f>
        <v>1.9001239454602969</v>
      </c>
      <c r="H198" s="4">
        <f>4.26951795994601E-06*E198 ^ 6 + -0.000315748921644521*E198 ^ 5 + 0.0080626858787659*E198 ^ 4 + -0.0725707664375367*E198 ^ 3 + 0.132352713124501*E198 ^ 2 + -5.26622658460585*E198 ^ 1 + 3564.34428219315</f>
        <v>3484.9929665833588</v>
      </c>
    </row>
    <row r="199" spans="3:8" x14ac:dyDescent="0.2">
      <c r="C199" s="24" t="s">
        <v>73</v>
      </c>
      <c r="D199" s="1" t="s">
        <v>290</v>
      </c>
      <c r="E199" s="2">
        <v>21.816192475359998</v>
      </c>
      <c r="F199" s="3">
        <f>-6.28860238002554E-07*E199 ^ 6 + 0.0000640295788834123*E199 ^ 5 + -0.00201385947414542*E199 ^ 4 + 0.0211368082960885*E199 ^ 3 + -0.150318415901075*E199 ^ 2 + -0.022314231156298*E199 ^ 1 + 60.120397625761</f>
        <v>1.3786153428441139E-4</v>
      </c>
      <c r="G199" s="3">
        <f>-5.44415541946326E-08*E199 ^ 6 + 3.99063712745163E-06*E199 ^ 5 + -0.000097105203803412*E199 ^ 4 + 0.00072201634982021*E199 ^ 3 + -0.000685386918363346*E199 ^ 2 + 0.115830369368313*E199 ^ 1 + 1.0477193237782</f>
        <v>2.600511631205042</v>
      </c>
      <c r="H199" s="4">
        <f>1.73577987206228E-06*E199 ^ 6 + -0.000139409016497118*E199 ^ 5 + 0.00385960533032392*E199 ^ 4 + -0.0387854402855338*E199 ^ 3 + 0.106861208634965*E199 ^ 2 + -2.85178275176261*E199 ^ 1 + 3575.70717791494</f>
        <v>3534.1205977111026</v>
      </c>
    </row>
    <row r="200" spans="3:8" x14ac:dyDescent="0.2">
      <c r="C200" s="24" t="s">
        <v>75</v>
      </c>
      <c r="D200" s="1" t="s">
        <v>291</v>
      </c>
      <c r="E200" s="2">
        <v>21.849326727119479</v>
      </c>
      <c r="F200" s="3">
        <f>-9.09873557207286E-07*E200 ^ 6 + 0.000087769060078209*E200 ^ 5 + -0.00269292314182096*E200 ^ 4 + 0.028033784360552*E200 ^ 3 + -0.190231549305736*E200 ^ 2 + -0.0505745858515442*E200 ^ 1 + 75.1798558228728</f>
        <v>2.301176550645323E-4</v>
      </c>
      <c r="G200" s="3">
        <f>-6.28056353100809E-08*E200 ^ 6 + 4.61397755884314E-06*E200 ^ 5 + -0.000110816563764602*E200 ^ 4 + 0.000757515289201513*E200 ^ 3 + 0.0000439228177569791*E200 ^ 2 + 0.142749642707165*E200 ^ 1 + 1.295233548298</f>
        <v>3.2233563299272436</v>
      </c>
      <c r="H200" s="4">
        <f>1.25303920597171E-06*E200 ^ 6 + -0.0000919075342445667*E200 ^ 5 + 0.00220120716949708*E200 ^ 4 + -0.0148938546643539*E200 ^ 3 + -0.00244230271949361*E200 ^ 2 + -2.85528389358885*E200 ^ 1 + 3574.11087311476</f>
        <v>3535.5416930327879</v>
      </c>
    </row>
    <row r="201" spans="3:8" x14ac:dyDescent="0.2">
      <c r="C201" s="24" t="s">
        <v>75</v>
      </c>
      <c r="D201" s="1" t="s">
        <v>292</v>
      </c>
      <c r="E201" s="2">
        <v>21.79377544580818</v>
      </c>
      <c r="F201" s="3">
        <f>-1.20006135755241E-06*E201 ^ 6 + 0.000111758889947553*E201 ^ 5 + -0.00336225751629965*E201 ^ 4 + 0.0346510690215871*E201 ^ 3 + -0.229252812213586*E201 ^ 2 + -0.10182979625697*E201 ^ 1 + 90.0477210690486</f>
        <v>2.5788337170240538E-4</v>
      </c>
      <c r="G201" s="3">
        <f>-7.17120679770887E-08*E201 ^ 6 + 5.22428797548899E-06*E201 ^ 5 + -0.000122611283464725*E201 ^ 4 + 0.000755389192998306*E201 ^ 3 + 0.000919965140740017*E201 ^ 2 + 0.168406088105165*E201 ^ 1 + 1.53786733513377</f>
        <v>3.8054031363268943</v>
      </c>
      <c r="H201" s="4">
        <f>1.42584328217978E-06*E201 ^ 6 + -0.000103564319240737*E201 ^ 5 + 0.00241780957578268*E201 ^ 4 + -0.0145813787068099*E201 ^ 3 + -0.0211088794439825*E201 ^ 2 + -3.36736157975473*E201 ^ 1 + 3569.25298648288</f>
        <v>3523.9472444274315</v>
      </c>
    </row>
    <row r="202" spans="3:8" x14ac:dyDescent="0.2">
      <c r="C202" s="24" t="s">
        <v>76</v>
      </c>
      <c r="D202" s="1" t="s">
        <v>293</v>
      </c>
      <c r="E202" s="2">
        <v>21.707166781601817</v>
      </c>
      <c r="F202" s="3">
        <f>-1.45123974908327E-06*E202 ^ 6 + 0.000132006094940204*E202 ^ 5 + -0.00390630173422683*E202 ^ 4 + 0.0397062849413799*E202 ^ 3 + -0.264886393705992*E202 ^ 2 + -0.163653496187686*E202 ^ 1 + 105.158721264589</f>
        <v>2.2911350913545903E-4</v>
      </c>
      <c r="G202" s="3">
        <f>-7.8914333927673E-08*E202 ^ 6 + 5.62266520909441E-06*E202 ^ 5 + -0.000126058484600887*E202 ^ 4 + 0.000627369493361083*E202 ^ 3 + 0.00234173169985098*E202 ^ 2 + 0.193398783495893*E202 ^ 1 + 1.78677564545335</f>
        <v>4.3597246169253827</v>
      </c>
      <c r="H202" s="4">
        <f>3.12922881304765E-06*E202 ^ 6 + -0.000239642110014616*E202 ^ 5 + 0.00627620167982409*E202 ^ 4 + -0.0571817598871869*E202 ^ 3 + 0.0940237443144882*E202 ^ 2 + -4.01421875921296*E202 ^ 1 + 3569.91274571107</f>
        <v>3508.0986493835289</v>
      </c>
    </row>
    <row r="203" spans="3:8" x14ac:dyDescent="0.2">
      <c r="C203" s="24" t="s">
        <v>76</v>
      </c>
      <c r="D203" s="1" t="s">
        <v>294</v>
      </c>
      <c r="E203" s="2">
        <v>21.611369938835423</v>
      </c>
      <c r="F203" s="3">
        <f>-1.73585408674316E-06*E203 ^ 6 + 0.000154988715836096*E203 ^ 5 + -0.00453125364044685*E203 ^ 4 + 0.0457566649770141*E203 ^ 3 + -0.303755360357092*E203 ^ 2 + -0.243964432934845*E203 ^ 1 + 119.922449110854</f>
        <v>1.6514978412374148E-4</v>
      </c>
      <c r="G203" s="3">
        <f>-8.60349905006011E-08*E203 ^ 6 + 6.03990173963845E-06*E203 ^ 5 + -0.000130879044217798*E203 ^ 4 + 0.000529151111594939*E203 ^ 3 + 0.00357269106992104*E203 ^ 2 + 0.217420397828906*E203 ^ 1 + 2.02686512375611</f>
        <v>4.8939353869286784</v>
      </c>
      <c r="H203" s="4">
        <f>0.0000040725000622436*E203 ^ 6 + -0.000309519948140004*E203 ^ 5 + 0.00806022883069347*E203 ^ 4 + -0.0734229025021069*E203 ^ 3 + 0.119699266018566*E203 ^ 2 + -4.75687628008671*E203 ^ 1 + 3565.24863213547</f>
        <v>3491.2427788651544</v>
      </c>
    </row>
    <row r="204" spans="3:8" x14ac:dyDescent="0.2">
      <c r="C204" s="24" t="s">
        <v>76</v>
      </c>
      <c r="D204" s="1" t="s">
        <v>295</v>
      </c>
      <c r="E204" s="2">
        <v>21.507735282135144</v>
      </c>
      <c r="F204" s="3">
        <f>-2.02286845633278E-06*E204 ^ 6 + 0.000177959446532075*E204 ^ 5 + -0.00515107393263082*E204 ^ 4 + 0.0517597636853508*E204 ^ 3 + -0.343355029947724*E204 ^ 2 + -0.338308365057512*E204 ^ 1 + 134.597046458574</f>
        <v>6.6759305525465606E-5</v>
      </c>
      <c r="G204" s="3">
        <f>-9.21692731803828E-08*E204 ^ 6 + 6.36682699477809E-06*E204 ^ 5 + -0.000132802591899952*E204 ^ 4 + 0.0003951230656331*E204 ^ 3 + 0.00491583009594087*E204 ^ 2 + 0.240663384670596*E204 ^ 1 + 2.26476527609264</f>
        <v>5.4071245949092814</v>
      </c>
      <c r="H204" s="4">
        <f>5.18864063862912E-06*E204 ^ 6 + -0.00039082472132976*E204 ^ 5 + 0.0101023151409452*E204 ^ 4 + -0.0917032900070655*E204 ^ 3 + 0.14703346933384*E204 ^ 2 + -5.54597719236755*E204 ^ 1 + 3560.44088687913</f>
        <v>3473.439598777371</v>
      </c>
    </row>
    <row r="205" spans="3:8" x14ac:dyDescent="0.2">
      <c r="C205" s="24" t="s">
        <v>77</v>
      </c>
      <c r="D205" s="1" t="s">
        <v>296</v>
      </c>
      <c r="E205" s="2">
        <v>21.88027472003915</v>
      </c>
      <c r="F205" s="3">
        <f>-2.29101854652529E-06*E205 ^ 6 + 0.000202870731148634*E205 ^ 5 + -0.00593222449612411*E205 ^ 4 + 0.0600593789779643*E205 ^ 3 + -0.379959712150314*E205 ^ 2 + -0.192341395179491*E205 ^ 1 + 150.647557227232</f>
        <v>-1.5930461125890361E-4</v>
      </c>
      <c r="G205" s="3">
        <f>-0.0000001068560236143*E205 ^ 6 + 7.74438468176746E-06*E205 ^ 5 + -0.000175051770420794*E205 ^ 4 + 0.000826649605867858*E205 ^ 3 + 0.00430036953017017*E205 ^ 2 + 0.277002617720009*E205 ^ 1 + 2.53735096355317</f>
        <v>6.3071118016001666</v>
      </c>
      <c r="H205" s="4">
        <f>1.13488160531573E-06*E205 ^ 6 + -0.0000820591344748425*E205 ^ 5 + 0.0018462236828221*E205 ^ 4 + -0.00848029708860163*E205 ^ 3 + -0.0478045211361339*E205 ^ 2 + -2.95469123244425*E205 ^ 1 + 3572.94931831639</f>
        <v>3532.7408607806669</v>
      </c>
    </row>
    <row r="206" spans="3:8" x14ac:dyDescent="0.2">
      <c r="C206" s="24" t="s">
        <v>77</v>
      </c>
      <c r="D206" s="1" t="s">
        <v>297</v>
      </c>
      <c r="E206" s="2">
        <v>21.846333866416266</v>
      </c>
      <c r="F206" s="3">
        <f>-2.58686490162903E-06*E206 ^ 6 + 0.000227178466230572*E206 ^ 5 + -0.00660845959607742*E206 ^ 4 + 0.066751911850507*E206 ^ 3 + -0.419374147151486*E206 ^ 2 + -0.24381785636156*E206 ^ 1 + 165.510597877278</f>
        <v>-3.3052436580760514E-4</v>
      </c>
      <c r="G206" s="3">
        <f>-1.15555512177105E-07*E206 ^ 6 + 8.34141695927202E-06*E206 ^ 5 + -0.000186545477393317*E206 ^ 4 + 0.000821969764709407*E206 ^ 3 + 0.00518084249916095*E206 ^ 2 + 0.302637305456201*E206 ^ 1 + 2.77997451831679</f>
        <v>6.8891100168656259</v>
      </c>
      <c r="H206" s="4">
        <f>1.22276427260899E-06*E206 ^ 6 + -0.0000879960005615493*E206 ^ 5 + 0.00195511931301637*E206 ^ 4 + -0.00824891264413513*E206 ^ 3 + -0.0579813200936988*E206 ^ 2 + -3.22727861810503*E206 ^ 1 + 3570.35854824724</f>
        <v>3526.557665193418</v>
      </c>
    </row>
    <row r="207" spans="3:8" x14ac:dyDescent="0.2">
      <c r="C207" s="24" t="s">
        <v>78</v>
      </c>
      <c r="D207" s="1" t="s">
        <v>298</v>
      </c>
      <c r="E207" s="2">
        <v>21.947477983401111</v>
      </c>
      <c r="F207" s="3">
        <f>-2.77453588298053E-06*E207 ^ 6 + 0.000244400695328321*E207 ^ 5 + -0.00713379180936546*E207 ^ 4 + 0.0723130848137809*E207 ^ 3 + -0.458747918500544*E207 ^ 2 + -0.205610285856334*E207 ^ 1 + 181.740852894886</f>
        <v>-4.5259684711140835E-4</v>
      </c>
      <c r="G207" s="3">
        <f>-1.21521004939456E-07*E207 ^ 6 + 8.81177363419691E-06*E207 ^ 5 + -0.000196702566158091*E207 ^ 4 + 0.00081615360440315*E207 ^ 3 + 0.00613150754098074*E207 ^ 2 + 0.333307932664309*E207 ^ 1 + 3.05704719864077</f>
        <v>7.6051039485048495</v>
      </c>
      <c r="H207" s="4">
        <f>0.0000014935353446406*E207 ^ 6 + -0.000105179470011591*E207 ^ 5 + 0.00234591430302744*E207 ^ 4 + -0.0113794638329952*E207 ^ 3 + -0.0808337868798307*E207 ^ 2 + -2.54172477456984*E207 ^ 1 + 3581.69715104647</f>
        <v>3542.2974001721191</v>
      </c>
    </row>
    <row r="208" spans="3:8" x14ac:dyDescent="0.2">
      <c r="C208" s="24" t="s">
        <v>78</v>
      </c>
      <c r="D208" s="1" t="s">
        <v>299</v>
      </c>
      <c r="E208" s="2">
        <v>21.918335127006635</v>
      </c>
      <c r="F208" s="3">
        <f>-3.06712507848838E-06*E208 ^ 6 + 0.000268703923768522*E208 ^ 5 + -0.00781897259410706*E208 ^ 4 + 0.0792678339745256*E208 ^ 3 + -0.500455487458833*E208 ^ 2 + -0.254663838842184*E208 ^ 1 + 196.710760830563</f>
        <v>-6.3258191141812858E-4</v>
      </c>
      <c r="G208" s="3">
        <f>-1.29621841637522E-07*E208 ^ 6 + 9.37771172144187E-06*E208 ^ 5 + -0.00020777374019013*E208 ^ 4 + 0.000812625897251576*E208 ^ 3 + 0.00696708166162836*E208 ^ 2 + 0.35919109590452*E208 ^ 1 + 3.30233227664848</f>
        <v>8.1922538653864407</v>
      </c>
      <c r="H208" s="4">
        <f>1.54255916680968E-06*E208 ^ 6 + -0.000106548912267471*E208 ^ 5 + 0.00227715649331486*E208 ^ 4 + -0.0082828709771024*E208 ^ 3 + -0.108645168298015*E208 ^ 2 + -2.77847774826558*E208 ^ 1 + 3579.80986527444</f>
        <v>3537.0974395991889</v>
      </c>
    </row>
    <row r="209" spans="3:8" x14ac:dyDescent="0.2">
      <c r="C209" s="24" t="s">
        <v>78</v>
      </c>
      <c r="D209" s="1" t="s">
        <v>389</v>
      </c>
      <c r="E209" s="2">
        <v>21.889739512532756</v>
      </c>
      <c r="F209" s="3">
        <f>-3.36620931927272E-06*E209 ^ 6 + 0.000293518452117151*E209 ^ 5 + -0.00851911714555133*E209 ^ 4 + 0.0864195130181634*E209 ^ 3 + -0.54310531334698*E209 ^ 2 + -0.307152825693106*E209 ^ 1 + 211.644223195452</f>
        <v>-8.2724674152245825E-4</v>
      </c>
      <c r="G209" s="3">
        <f>-1.37680262513896E-07*E209 ^ 6 + 9.94319217712756E-06*E209 ^ 5 + -0.000218933645196887*E209 ^ 4 + 0.000812282087823627*E209 ^ 3 + 0.00777023363274832*E209 ^ 2 + 0.384927915336529*E209 ^ 1 + 3.54671674284013</f>
        <v>8.7752352616551903</v>
      </c>
      <c r="H209" s="4">
        <f>1.55745271538483E-06*E209 ^ 6 + -0.000105043926217692*E209 ^ 5 + 0.00212064218157701*E209 ^ 4 + -0.0040776762874419*E209 ^ 3 + -0.140809087575584*E209 ^ 2 + -3.00997189291373*E209 ^ 1 + 3577.88383792916</f>
        <v>3532.0582266455876</v>
      </c>
    </row>
    <row r="210" spans="3:8" x14ac:dyDescent="0.2">
      <c r="C210" s="24" t="s">
        <v>79</v>
      </c>
      <c r="D210" s="1" t="s">
        <v>390</v>
      </c>
      <c r="E210" s="2">
        <v>21.90893573200767</v>
      </c>
      <c r="F210" s="3">
        <f>-3.96877254998604E-06*E210 ^ 6 + 0.000344855784294332*E210 ^ 5 + -0.0100085766199376*E210 ^ 4 + 0.102045595216678*E210 ^ 3 + -0.630837119010243*E210 ^ 2 + -0.360007590792432*E210 ^ 1 + 241.674370300258</f>
        <v>7.5191138648733613E-8</v>
      </c>
      <c r="G210" s="3">
        <f>-1.55903124176017E-07*E210 ^ 6 + 0.0000113620283650064*E210 ^ 5 + -0.000253038872884047*E210 ^ 4 + 0.000989112302616891*E210 ^ 3 + 0.00864904237691581*E210 ^ 2 + 0.439419023896809*E210 ^ 1 + 4.03960282746173</f>
        <v>10.031683759378176</v>
      </c>
      <c r="H210" s="4">
        <f>7.39981229351494E-07*E210 ^ 6 + -0.0000346269234568751*E210 ^ 5 + -0.0000788506877101657*E210 ^ 4 + 0.0244572799539459*E210 ^ 3 + -0.256781129881114*E210 ^ 2 + -2.93536466148035*E210 ^ 1 + 3575.96131565546</f>
        <v>3534.4738364343075</v>
      </c>
    </row>
    <row r="211" spans="3:8" x14ac:dyDescent="0.2">
      <c r="C211" s="24" t="s">
        <v>13</v>
      </c>
      <c r="D211" s="1" t="s">
        <v>305</v>
      </c>
      <c r="E211" s="2">
        <v>-18.844601928572985</v>
      </c>
      <c r="F211" s="3">
        <f>-1.08132840238061E-08*E211 ^ 6 + 1.16362177421228E-06*E211 ^ 5 + -0.0000448613619304913*E211 ^ 4 + 0.000612111838518522*E211 ^ 3 + -0.0140636132755952*E211 ^ 2 + 0.0127328948036635*E211 ^ 1 + 18.2375335783319</f>
        <v>-2.5554976552655262E-6</v>
      </c>
      <c r="G211" s="3">
        <f>5.13357309977109E-10*E211 ^ 6 + -5.49444726068716E-08*E211 ^ 5 + 3.55823876851259E-06*E211 ^ 4 + -0.000161250840108223*E211 ^ 3 + 0.00285985759392926*E211 ^ 2 + 0.0233468631494677*E211 ^ 1 + 0.515583410747084</f>
        <v>2.7726064365988758</v>
      </c>
      <c r="H211" s="4">
        <f>-6.43455581491533E-08*E211 ^ 6 + 2.20988889792587E-06*E211 ^ 5 + 0.0000676853353756921*E211 ^ 4 + 0.000661687673430251*E211 ^ 3 + -0.12022284695491*E211 ^ 2 + -1.00480519813706*E211 ^ 1 + 3575.29235547018</f>
        <v>3547.5083808744739</v>
      </c>
    </row>
    <row r="212" spans="3:8" x14ac:dyDescent="0.2">
      <c r="C212" s="24" t="s">
        <v>73</v>
      </c>
      <c r="D212" s="1" t="s">
        <v>306</v>
      </c>
      <c r="E212" s="2">
        <v>37.671243145007459</v>
      </c>
      <c r="F212" s="3">
        <f>2.39898917167592E-08*E212 ^ 6 + -1.91148444526882E-06*E212 ^ 5 + 0.0000587752058910534*E212 ^ 4 + -0.00138675695341579*E212 ^ 3 + -0.00243433212099348*E212 ^ 2 + -0.0406870481346566*E212 ^ 1 + 37.2106395371686</f>
        <v>1.9392047631328069E-4</v>
      </c>
      <c r="G212" s="3">
        <f>-1.57758863272045E-09*E212 ^ 6 + 1.85067875697615E-07*E212 ^ 5 + -5.14150202906945E-06*E212 ^ 4 + -0.0000839456416696104*E212 ^ 3 + 0.00301480343555651*E212 ^ 2 + 0.0648876261430241*E212 ^ 1 + 1.00463384278593</f>
        <v>2.4168676719794973</v>
      </c>
      <c r="H212" s="4">
        <f>1.35103221661628E-07*E212 ^ 6 + -0.0000174118307055573*E212 ^ 5 + 0.000744773294968345*E212 ^ 4 + -0.00998109287661577*E212 ^ 3 + -0.0118827675675821*E212 ^ 2 + -1.36208221576358*E212 ^ 1 + 3577.84767994041</f>
        <v>3541.137433254095</v>
      </c>
    </row>
    <row r="213" spans="3:8" x14ac:dyDescent="0.2">
      <c r="C213" s="24" t="s">
        <v>75</v>
      </c>
      <c r="D213" s="1" t="s">
        <v>307</v>
      </c>
      <c r="E213" s="2">
        <v>46.556640646663567</v>
      </c>
      <c r="F213" s="3">
        <f>5.9243059024447E-08*E213 ^ 6 + -0.000005186305077969*E213 ^ 5 + 0.000177372961749718*E213 ^ 4 + -0.00375070222606345*E213 ^ 3 + 0.0114336643922533*E213 ^ 2 + -0.101236654401024*E213 ^ 1 + 56.2076005878199</f>
        <v>7.7126460965359911E-5</v>
      </c>
      <c r="G213" s="3">
        <f>-3.9733141595728E-09*E213 ^ 6 + 4.42307576706665E-07*E213 ^ 5 + -0.0000137312869372432*E213 ^ 4 + -0.0000226151786162311*E213 ^ 3 + 0.0032931032919168*E213 ^ 2 + 0.106090735954674*E213 ^ 1 + 1.49457383764416</f>
        <v>3.0622506353088985</v>
      </c>
      <c r="H213" s="4">
        <f>2.72813720073633E-07*E213 ^ 6 + -0.0000362400446331706*E213 ^ 5 + 0.00166067451754806*E213 ^ 4 + -0.028273503895213*E213 ^ 3 + 0.113376051007029*E213 ^ 2 + -1.73661981237704*E213 ^ 1 + 3579.43473028032</f>
        <v>3544.6412064529741</v>
      </c>
    </row>
    <row r="214" spans="3:8" x14ac:dyDescent="0.2">
      <c r="C214" s="24" t="s">
        <v>76</v>
      </c>
      <c r="D214" s="1" t="s">
        <v>308</v>
      </c>
      <c r="E214" s="2">
        <v>45.547296304253045</v>
      </c>
      <c r="F214" s="3">
        <f>8.86945210606628E-08*E214 ^ 6 + -8.01316920847595E-06*E214 ^ 5 + 0.000290609761261979*E214 ^ 4 + -0.00639951307455419*E214 ^ 3 + 0.0331642472628922*E214 ^ 2 + -0.231594685857479*E214 ^ 1 + 74.6026968935013</f>
        <v>7.0525575664248663E-4</v>
      </c>
      <c r="G214" s="3">
        <f>-7.44321174675718E-09*E214 ^ 6 + 7.93133046810297E-07*E214 ^ 5 + -0.0000248915266168697*E214 ^ 4 + 0.0000589890901044155*E214 ^ 3 + 0.00367626940995614*E214 ^ 2 + 0.143330105495351*E214 ^ 1 + 1.96075653377364</f>
        <v>3.5800333020407868</v>
      </c>
      <c r="H214" s="4">
        <f>2.13612466083456E-07*E214 ^ 6 + -0.0000376966525270465*E214 ^ 5 + 0.0021282726623369*E214 ^ 4 + -0.0465943410126542*E214 ^ 3 + 0.382420254249732*E214 ^ 2 + -3.64718816437142*E214 ^ 1 + 3565.86469118668</f>
        <v>3467.7164782312429</v>
      </c>
    </row>
    <row r="215" spans="3:8" x14ac:dyDescent="0.2">
      <c r="C215" s="24" t="s">
        <v>77</v>
      </c>
      <c r="D215" s="1" t="s">
        <v>309</v>
      </c>
      <c r="E215" s="2">
        <v>38.799623317890983</v>
      </c>
      <c r="F215" s="3">
        <f>1.18611608495975E-07*E215 ^ 6 + -0.0000102717562643788*E215 ^ 5 + 0.000344674704759436*E215 ^ 4 + -0.00715759895411406*E215 ^ 3 + 0.0329920558735283*E215 ^ 2 + -0.213702863350032*E215 ^ 1 + 94.1076825613812</f>
        <v>2.0620055927622616E-4</v>
      </c>
      <c r="G215" s="3">
        <f>-8.81525476015107E-09*E215 ^ 6 + 1.00388004153393E-06*E215 ^ 5 + -0.0000347783754948498*E215 ^ 4 + 0.000199615180410303*E215 ^ 3 + 0.00319554985279565*E215 ^ 2 + 0.189650144497282*E215 ^ 1 + 2.47062823496158</f>
        <v>5.6787621188316777</v>
      </c>
      <c r="H215" s="4">
        <f>1.17634403174139E-07*E215 ^ 6 + -0.0000168791632389981*E215 ^ 5 + 0.000805539179353194*E215 ^ 4 + -0.0139181233342197*E215 ^ 3 + 0.0739954800767833*E215 ^ 2 + -1.83767032858765*E215 ^ 1 + 3578.91224818653</f>
        <v>3548.7601061328887</v>
      </c>
    </row>
    <row r="216" spans="3:8" x14ac:dyDescent="0.2">
      <c r="C216" s="24" t="s">
        <v>77</v>
      </c>
      <c r="D216" s="1" t="s">
        <v>310</v>
      </c>
      <c r="E216" s="2">
        <v>38.810967623048114</v>
      </c>
      <c r="F216" s="3">
        <f>1.61146617722204E-07*E216 ^ 6 + -0.000014503376534814*E216 ^ 5 + 0.000510408776402903*E216 ^ 4 + -0.0105034853871668*E216 ^ 3 + 0.0542150235916877*E216 ^ 2 + -0.311837294500631*E216 ^ 1 + 112.813100563701</f>
        <v>2.7623905225482304E-6</v>
      </c>
      <c r="G216" s="3">
        <f>-1.12215330484171E-08*E216 ^ 6 + 1.23152364845218E-06*E216 ^ 5 + -0.0000407464228788757*E216 ^ 4 + 0.000191006270783749*E216 ^ 3 + 0.00402000692030874*E216 ^ 2 + 0.227951863804755*E216 ^ 1 + 2.94915992894406</f>
        <v>6.662928522899259</v>
      </c>
      <c r="H216" s="4">
        <f>3.28860866663866E-07*E216 ^ 6 + -0.000045032147433916*E216 ^ 5 + 0.00214589036761162*E216 ^ 4 + -0.0401795339008826*E216 ^ 3 + 0.252853618076311*E216 ^ 2 + -2.57049961848965*E216 ^ 1 + 3574.9029190182</f>
        <v>3534.3853256843922</v>
      </c>
    </row>
    <row r="217" spans="3:8" x14ac:dyDescent="0.2">
      <c r="C217" s="24" t="s">
        <v>78</v>
      </c>
      <c r="D217" s="1" t="s">
        <v>311</v>
      </c>
      <c r="E217" s="2">
        <v>39.064659257257219</v>
      </c>
      <c r="F217" s="3">
        <f>1.89635395496291E-07*E217 ^ 6 + -0.0000164901205697149*E217 ^ 5 + 0.000549117967183967*E217 ^ 4 + -0.0108915839327706*E217 ^ 3 + 0.050809760862926*E217 ^ 2 + -0.327853990986931*E217 ^ 1 + 132.006990671088</f>
        <v>1.1507964501333845E-5</v>
      </c>
      <c r="G217" s="3">
        <f>-1.29348476956928E-08*E217 ^ 6 + 1.47405921954081E-06*E217 ^ 5 + -0.0000517045828338434*E217 ^ 4 + 0.000352088628354808*E217 ^ 3 + 0.0032655530136247*E217 ^ 2 + 0.272462584322703*E217 ^ 1 + 3.44668439368242</f>
        <v>7.7855056870156023</v>
      </c>
      <c r="H217" s="4">
        <f>2.03906547415583E-07*E217 ^ 6 + -0.0000244205445346754*E217 ^ 5 + 0.000977289844098021*E217 ^ 4 + -0.0126042364574635*E217 ^ 3 + 0.00708372778074273*E217 ^ 2 + -1.89887142378245*E217 ^ 1 + 3578.6750565995</f>
        <v>3542.8565224077015</v>
      </c>
    </row>
    <row r="218" spans="3:8" x14ac:dyDescent="0.2">
      <c r="C218" s="24" t="s">
        <v>79</v>
      </c>
      <c r="D218" s="1" t="s">
        <v>312</v>
      </c>
      <c r="E218" s="2">
        <v>39.216945555221024</v>
      </c>
      <c r="F218" s="3">
        <f>2.17738356206486E-07*E218 ^ 6 + -0.0000187455799220816*E218 ^ 5 + 0.000615918479042427*E218 ^ 4 + -0.0122085850184219*E218 ^ 3 + 0.0588421539638023*E218 ^ 2 + -0.387954992577816*E218 ^ 1 + 150.986329794323</f>
        <v>5.6078641478052305E-5</v>
      </c>
      <c r="G218" s="3">
        <f>-1.53243114297288E-08*E218 ^ 6 + 1.76309726831299E-06*E218 ^ 5 + -0.0000631191365230514*E218 ^ 4 + 0.00048966316089881*E218 ^ 3 + 0.00297259057248621*E218 ^ 2 + 0.314474223200808*E218 ^ 1 + 3.93583515175408</f>
        <v>8.8760188003783274</v>
      </c>
      <c r="H218" s="4">
        <f>1.29659103464946E-07*E218 ^ 6 + -0.0000148601615189337*E218 ^ 5 + 0.000539256573008615*E218 ^ 4 + -0.0046428035483428*E218 ^ 3 + -0.0298292849957598*E218 ^ 2 + -1.94557838469266*E218 ^ 1 + 3578.95510163405</f>
        <v>3545.504095892662</v>
      </c>
    </row>
    <row r="219" spans="3:8" x14ac:dyDescent="0.2">
      <c r="C219" s="24" t="s">
        <v>79</v>
      </c>
      <c r="D219" s="1" t="s">
        <v>313</v>
      </c>
      <c r="E219" s="2">
        <v>39.242535947431321</v>
      </c>
      <c r="F219" s="3">
        <f>2.52506001656032E-07*E219 ^ 6 + -0.0000217310052660276*E219 ^ 5 + 0.000712718394635006*E219 ^ 4 + -0.014001969085016*E219 ^ 3 + 0.0681652065699194*E219 ^ 2 + -0.470846863892509*E219 ^ 1 + 169.662607456557</f>
        <v>1.2671961025034761E-4</v>
      </c>
      <c r="G219" s="3">
        <f>-1.76524512657335E-08*E219 ^ 6 + 2.02241629928034E-06*E219 ^ 5 + -0.0000723160986986458*E219 ^ 4 + 0.000575554945526647*E219 ^ 3 + 0.0029442541082919*E219 ^ 2 + 0.354300506953174*E219 ^ 1 + 4.41320630823907</f>
        <v>9.8807978646068939</v>
      </c>
      <c r="H219" s="4">
        <f>1.43814642581021E-07*E219 ^ 6 + -0.0000162390597104967*E219 ^ 5 + 0.00057399196613187*E219 ^ 4 + -0.00437987694722328*E219 ^ 3 + -0.0392637357808645*E219 ^ 2 + -2.23498905144564*E219 ^ 1 + 3575.97772628126</f>
        <v>3538.2972964088217</v>
      </c>
    </row>
    <row r="220" spans="3:8" x14ac:dyDescent="0.2">
      <c r="C220" s="24" t="s">
        <v>80</v>
      </c>
      <c r="D220" s="1" t="s">
        <v>314</v>
      </c>
      <c r="E220" s="2">
        <v>39.570751814269961</v>
      </c>
      <c r="F220" s="3">
        <f>2.69393536911504E-07*E220 ^ 6 + -0.0000230216454083004*E220 ^ 5 + 0.000751311006792139*E220 ^ 4 + -0.0151370716667176*E220 ^ 3 + 0.0788746109751271*E220 ^ 2 + -0.441842856740386*E220 ^ 1 + 189.126077729376</f>
        <v>5.8998802560950026E-4</v>
      </c>
      <c r="G220" s="3">
        <f>-2.02758342993949E-08*E220 ^ 6 + 2.36627705796637E-06*E220 ^ 5 + -0.0000871146617502715*E220 ^ 4 + 0.000777836545305576*E220 ^ 3 + 0.00255414035162472*E220 ^ 2 + 0.401823490795304*E220 ^ 1 + 4.9211574581132</f>
        <v>11.161038421839732</v>
      </c>
      <c r="H220" s="4">
        <f>8.12198276306539E-09*E220 ^ 6 + -6.59960801869567E-07*E220 ^ 5 + -0.0000288900159058463*E220 ^ 4 + 0.0032571620854787*E220 ^ 3 + -0.0408771293582501*E220 ^ 2 + -1.3877537797938*E220 ^ 1 + 3581.06443994672</f>
        <v>3560.2787091823748</v>
      </c>
    </row>
    <row r="221" spans="3:8" x14ac:dyDescent="0.2">
      <c r="C221" s="24" t="s">
        <v>80</v>
      </c>
      <c r="D221" s="1" t="s">
        <v>315</v>
      </c>
      <c r="E221" s="2">
        <v>39.611627192211635</v>
      </c>
      <c r="F221" s="3">
        <f>3.0011866049273E-07*E221 ^ 6 + -0.000025667383626689*E221 ^ 5 + 0.000839291476466223*E221 ^ 4 + -0.0169189224514573*E221 ^ 3 + 0.0900852604935694*E221 ^ 2 + -0.51047668528403*E221 ^ 1 + 207.905695555737</f>
        <v>2.3164900824212964E-6</v>
      </c>
      <c r="G221" s="3">
        <f>-2.2812570788698E-08*E221 ^ 6 + 2.65384659402962E-06*E221 ^ 5 + -0.0000976264220184074*E221 ^ 4 + 0.0008848180116657*E221 ^ 3 + 0.00251423688658316*E221 ^ 2 + 0.442695234682911*E221 ^ 1 + 5.40254455898495</f>
        <v>12.208176935975363</v>
      </c>
      <c r="H221" s="4">
        <f>2.35525869959604E-09*E221 ^ 6 + -3.35502024584489E-07*E221 ^ 5 + -0.0000270809259275174*E221 ^ 4 + 0.00287206077567984*E221 ^ 3 + -0.031204223085379*E221 ^ 2 + -1.55219068408932*E221 ^ 1 + 3579.33029190705</f>
        <v>3557.0984877138244</v>
      </c>
    </row>
    <row r="222" spans="3:8" x14ac:dyDescent="0.2">
      <c r="C222" s="24" t="s">
        <v>80</v>
      </c>
      <c r="D222" s="1" t="s">
        <v>316</v>
      </c>
      <c r="E222" s="2">
        <v>39.640233150619515</v>
      </c>
      <c r="F222" s="3">
        <f>3.3119824831163E-07*E222 ^ 6 + -0.0000283956333736256*E222 ^ 5 + 0.000932933162808179*E222 ^ 4 + -0.0188516035108961*E222 ^ 3 + 0.102764189498303*E222 ^ 2 + -0.584017487586715*E222 ^ 1 + 226.650045373318</f>
        <v>4.6027961104755377E-6</v>
      </c>
      <c r="G222" s="3">
        <f>-2.5419204767761E-08*E222 ^ 6 + 2.94397589743689E-06*E222 ^ 5 + -0.000107991783575902*E222 ^ 4 + 0.000984288244022413*E222 ^ 3 + 0.00255987882785653*E222 ^ 2 + 0.483193937893314*E222 ^ 1 + 5.88258459031916</f>
        <v>13.247181597447385</v>
      </c>
      <c r="H222" s="4">
        <f>3.11194604561895E-09*E222 ^ 6 + -1.04605083741424E-06*E222 ^ 5 + 0.0000320302559247367*E222 ^ 4 + 0.00115853078044529*E222 ^ 3 + -0.0102176035109803*E222 ^ 2 + -1.73094526099619*E222 ^ 1 + 3577.60693449437</f>
        <v>3553.876280347612</v>
      </c>
    </row>
    <row r="223" spans="3:8" x14ac:dyDescent="0.2">
      <c r="C223" s="24" t="s">
        <v>81</v>
      </c>
      <c r="D223" s="1" t="s">
        <v>317</v>
      </c>
      <c r="E223" s="2">
        <v>39.871629633695029</v>
      </c>
      <c r="F223" s="3">
        <f>3.77721406734577E-07*E223 ^ 6 + -0.0000329753401049458*E223 ^ 5 + 0.00109833420181166*E223 ^ 4 + -0.0216198630153529*E223 ^ 3 + 0.109805421226001*E223 ^ 2 + -0.550174059962342*E223 ^ 1 + 247.195881730355</f>
        <v>3.7761472157171738E-5</v>
      </c>
      <c r="G223" s="3">
        <f>-2.6021451658898E-08*E223 ^ 6 + 3.01189327380767E-06*E223 ^ 5 + -0.000109500113270737*E223 ^ 4 + 0.000938564255309004*E223 ^ 3 + 0.00323843591933127*E223 ^ 2 + 0.530574757327096*E223 ^ 1 + 6.43285181464954</f>
        <v>14.441215166190224</v>
      </c>
      <c r="H223" s="4">
        <f>1.64980936723227E-07*E223 ^ 6 + -0.0000187095526191726*E223 ^ 5 + 0.000697334881502132*E223 ^ 4 + -0.00741357083144607*E223 ^ 3 + -0.0316457979640973*E223 ^ 2 + -1.08318164414155*E223 ^ 1 + 3589.25009492565</f>
        <v>3565.750210543154</v>
      </c>
    </row>
    <row r="224" spans="3:8" x14ac:dyDescent="0.2">
      <c r="C224" s="24" t="s">
        <v>81</v>
      </c>
      <c r="D224" s="1" t="s">
        <v>391</v>
      </c>
      <c r="E224" s="2">
        <v>39.902490902429179</v>
      </c>
      <c r="F224" s="3">
        <f>4.11814493911557E-07*E224 ^ 6 + -0.0000358551096426064*E224 ^ 5 + 0.00118804227328326*E224 ^ 4 + -0.023201326700486*E224 ^ 3 + 0.116454109976572*E224 ^ 2 + -0.615569997765175*E224 ^ 1 + 266.114675859849</f>
        <v>8.4804741334210121E-5</v>
      </c>
      <c r="G224" s="3">
        <f>-2.81641892545508E-08*E224 ^ 6 + 3.25910628864059E-06*E224 ^ 5 + -0.00011861713904552*E224 ^ 4 + 0.00103101986249861*E224 ^ 3 + 0.00310498732925609*E224 ^ 2 + 0.57172165518376*E224 ^ 1 + 6.91964047399644</f>
        <v>15.471765467837832</v>
      </c>
      <c r="H224" s="4">
        <f>1.68371051416406E-07*E224 ^ 6 + -0.0000185084119003006*E224 ^ 5 + 0.000651641838509283*E224 ^ 4 + -0.00545442391652933*E224 ^ 3 + -0.0569741989737434*E224 ^ 2 + -1.20674586437446*E224 ^ 1 + 3588.24351455215</f>
        <v>3562.1850634555308</v>
      </c>
    </row>
    <row r="225" spans="3:8" x14ac:dyDescent="0.2">
      <c r="C225" s="24" t="s">
        <v>81</v>
      </c>
      <c r="D225" s="1" t="s">
        <v>392</v>
      </c>
      <c r="E225" s="2">
        <v>39.93410318896963</v>
      </c>
      <c r="F225" s="3">
        <f>4.45373316648631E-07*E225 ^ 6 + -0.0000386110287481559*E225 ^ 5 + 0.00126981082721527*E225 ^ 4 + -0.0245867109941336*E225 ^ 3 + 0.121470425145241*E225 ^ 2 + -0.682573309358902*E225 ^ 1 + 285.000792088968</f>
        <v>1.8753279721295257E-4</v>
      </c>
      <c r="G225" s="3">
        <f>-3.02988262251128E-08*E225 ^ 6 + 3.50970452660227E-06*E225 ^ 5 + -0.000128085772424326*E225 ^ 4 + 0.00113445811391195*E225 ^ 3 + 0.002856173597499*E225 ^ 2 + 0.61284803705745*E225 ^ 1 + 7.40515367634408</f>
        <v>16.497235753381364</v>
      </c>
      <c r="H225" s="4">
        <f>1.63484080764064E-07*E225 ^ 6 + -0.0000171606757179172*E225 ^ 5 + 0.000549206673951797*E225 ^ 4 + -0.00233168234050968*E225 ^ 3 + -0.0903475139857539*E225 ^ 2 + -1.32211544256725*E225 ^ 1 + 3587.16558501569</f>
        <v>3558.7365512663118</v>
      </c>
    </row>
    <row r="226" spans="3:8" x14ac:dyDescent="0.2">
      <c r="C226" s="24" t="s">
        <v>36</v>
      </c>
      <c r="D226" s="1" t="s">
        <v>322</v>
      </c>
      <c r="E226" s="2">
        <v>45.473502522254535</v>
      </c>
      <c r="F226" s="3">
        <f>1.53776180645027E-08*E226 ^ 6 + -1.88988666212843E-06*E226 ^ 5 + 0.0000820714942278594*E226 ^ 4 + -0.00165550684258754*E226 ^ 3 + 0.00890671003276274*E226 ^ 2 + -0.174199964136055*E226 ^ 1 + 25.7454282898242</f>
        <v>-5.6296775600728211E-4</v>
      </c>
      <c r="G226" s="3">
        <f>-8.54583125674708E-10*E226 ^ 6 + 1.46184617603356E-07*E226 ^ 5 + -9.08970278606644E-06*E226 ^ 4 + 0.000239354125578639*E226 ^ 3 + -0.00286456717016618*E226 ^ 2 + 0.0639891551631857*E226 ^ 1 + 0.691164912438671</f>
        <v>2.1855642515389588</v>
      </c>
      <c r="H226" s="4">
        <f>-3.26382334482856E-08*E226 ^ 6 + 0.0000012447226645155*E226 ^ 5 + 0.000163361007649129*E226 ^ 4 + -0.00948518437316995*E226 ^ 3 + 0.132512211066951*E226 ^ 2 + -3.06212729824879*E226 ^ 1 + 3567.40561453563</f>
        <v>3462.2293733283545</v>
      </c>
    </row>
    <row r="227" spans="3:8" x14ac:dyDescent="0.2">
      <c r="C227" s="24" t="s">
        <v>74</v>
      </c>
      <c r="D227" s="1" t="s">
        <v>393</v>
      </c>
      <c r="E227" s="2">
        <v>44.637488252331451</v>
      </c>
      <c r="F227" s="3">
        <f>1.54838313246786E-09*E227 ^ 6 + -1.61308291349956E-07*E227 ^ 5 + 8.46158909493633E-06*E227 ^ 4 + -0.000594507757494837*E227 ^ 3 + -0.00315136633011168*E227 ^ 2 + -0.0722770749504064*E227 ^ 1 + 45.1258248213484</f>
        <v>2.713091213735197E-5</v>
      </c>
      <c r="G227" s="3">
        <f>-1.40728238748136E-09*E227 ^ 6 + 1.98831703199755E-07*E227 ^ 5 + -9.38781123609194E-06*E227 ^ 4 + 0.000124296804384542*E227 ^ 3 + 0.000179399174498099*E227 ^ 2 + 0.0894140323517052*E227 ^ 1 + 1.09640448165527</f>
        <v>3.3334005125161292</v>
      </c>
      <c r="H227" s="4">
        <f>4.50136761584094E-08*E227 ^ 6 + -7.76137788455384E-06*E227 ^ 5 + 0.000478025683393791*E227 ^ 4 + -0.0113716801688663*E227 ^ 3 + 0.0810474694218731*E227 ^ 2 + -1.73807486555935*E227 ^ 1 + 3577.59309619041</f>
        <v>3528.543334825727</v>
      </c>
    </row>
    <row r="228" spans="3:8" x14ac:dyDescent="0.2">
      <c r="C228" s="24" t="s">
        <v>76</v>
      </c>
      <c r="D228" s="1" t="s">
        <v>323</v>
      </c>
      <c r="E228" s="2">
        <v>48.230310440548401</v>
      </c>
      <c r="F228" s="3">
        <f>-3.09735760033869E-09*E228 ^ 6 + 7.92626145088604E-07*E228 ^ 5 + -0.0000614360879417345*E228 ^ 4 + 0.00156733182275498*E228 ^ 3 + -0.0238710569813318*E228 ^ 2 + -0.157808386793271*E228 ^ 1 + 51.8601148578793</f>
        <v>-3.4218610364433744E-4</v>
      </c>
      <c r="G228" s="3">
        <f>-1.66263902431375E-09*E228 ^ 6 + 2.71022258940962E-07*E228 ^ 5 + -0.0000157880453369293*E228 ^ 4 + 0.000365052387761032*E228 ^ 3 + -0.00343876425974804*E228 ^ 2 + 0.115093730926636*E228 ^ 1 + 1.37823643070441</f>
        <v>4.2589815198435002</v>
      </c>
      <c r="H228" s="4">
        <f>-2.63097731647727E-08*E228 ^ 6 + 2.92188635113786E-06*E228 ^ 5 + -0.0000956013622203755*E228 ^ 4 + 0.000738253818221216*E228 ^ 3 + 0.0245583935072653*E228 ^ 2 + -2.1916276352749*E228 ^ 1 + 3577.1887048607</f>
        <v>3525.5183485272732</v>
      </c>
    </row>
    <row r="229" spans="3:8" x14ac:dyDescent="0.2">
      <c r="C229" s="24" t="s">
        <v>76</v>
      </c>
      <c r="D229" s="1" t="s">
        <v>394</v>
      </c>
      <c r="E229" s="2">
        <v>46.549718542310053</v>
      </c>
      <c r="F229" s="3">
        <f>-1.18276421582948E-09*E229 ^ 6 + -1.27191953446407E-07*E229 ^ 5 + 0.000030271554294028*E229 ^ 4 + -0.00185509637928113*E229 ^ 3 + 0.0115796843844653*E229 ^ 2 + -0.249349010725205*E229 ^ 1 + 71.3324557447712</f>
        <v>5.6378523581201989E-5</v>
      </c>
      <c r="G229" s="3">
        <f>-3.70277982162054E-09*E229 ^ 6 + 4.98702637341011E-07*E229 ^ 5 + -0.0000231667704194157*E229 ^ 4 + 0.000368576939082892*E229 ^ 3 + -0.00154041006746223*E229 ^ 2 + 0.146090006754418*E229 ^ 1 + 1.79455744657364</f>
        <v>4.9855065154258114</v>
      </c>
      <c r="H229" s="4">
        <f>2.94566678156874E-08*E229 ^ 6 + -9.84614976349698E-06*E229 ^ 5 + 0.000901621940622503*E229 ^ 4 + -0.0305891673544657*E229 ^ 3 + 0.377959793800396*E229 ^ 2 + -3.92825071440725*E229 ^ 1 + 3568.96215148475</f>
        <v>3500.7287612628061</v>
      </c>
    </row>
    <row r="230" spans="3:8" x14ac:dyDescent="0.2">
      <c r="C230" s="24" t="s">
        <v>77</v>
      </c>
      <c r="D230" s="1" t="s">
        <v>324</v>
      </c>
      <c r="E230" s="2">
        <v>48.621737889111152</v>
      </c>
      <c r="F230" s="3">
        <f>-1.83063232436822E-08*E230 ^ 6 + 3.02891155932384E-06*E230 ^ 5 + -0.000181880568061492*E230 ^ 4 + 0.00426466627160307*E230 ^ 3 + -0.0536324140166319*E230 ^ 2 + -0.126405245457611*E230 ^ 1 + 78.0322855012863</f>
        <v>2.8333807904346031E-6</v>
      </c>
      <c r="G230" s="3">
        <f>-2.46443975405499E-09*E230 ^ 6 + 3.91619193065996E-07*E230 ^ 5 + -0.0000220019125437701*E230 ^ 4 + 0.000471631058909461*E230 ^ 3 + -0.00380461851043707*E230 ^ 2 + 0.166868521610617*E230 ^ 1 + 2.13328733441593</f>
        <v>6.355952144446638</v>
      </c>
      <c r="H230" s="4">
        <f>6.53502611462689E-09*E230 ^ 6 + -1.93780392519976E-06*E230 ^ 5 + 0.000165240833220254*E230 ^ 4 + -0.0050588352644623*E230 ^ 3 + 0.0552582552494182*E230 ^ 2 + -1.51195895916254*E230 ^ 1 + 3581.75494298132</f>
        <v>3540.6570966513955</v>
      </c>
    </row>
    <row r="231" spans="3:8" x14ac:dyDescent="0.2">
      <c r="C231" s="24" t="s">
        <v>77</v>
      </c>
      <c r="D231" s="1" t="s">
        <v>395</v>
      </c>
      <c r="E231" s="2">
        <v>46.954563703092219</v>
      </c>
      <c r="F231" s="3">
        <f>-7.77133772485403E-09*E231 ^ 6 + 0.0000007579995010379*E231 ^ 5 + -0.0000128644887013265*E231 ^ 4 + -0.00106872982203111*E231 ^ 3 + -0.00115679615876564*E231 ^ 2 + -0.184699318226594*E231 ^ 1 + 94.671955357232</f>
        <v>1.2246569806961816E-4</v>
      </c>
      <c r="G231" s="3">
        <f>-4.34885731029801E-09*E231 ^ 6 + 5.90136371485842E-07*E231 ^ 5 + -0.0000275464687555931*E231 ^ 4 + 0.000418790441958663*E231 ^ 3 + -0.0010656611968224*E231 ^ 2 + 0.191834696437039*E231 ^ 1 + 2.39952146627978</f>
        <v>6.5985558221443386</v>
      </c>
      <c r="H231" s="4">
        <f>3.04403581774805E-08*E231 ^ 6 + -6.07915151094669E-06*E231 ^ 5 + 0.000426207120381948*E231 ^ 4 + -0.0114489982622458*E231 ^ 3 + 0.101144680952861*E231 ^ 2 + -1.92630485423101*E231 ^ 1 + 3579.50275039558</f>
        <v>3537.2773038112286</v>
      </c>
    </row>
    <row r="232" spans="3:8" x14ac:dyDescent="0.2">
      <c r="C232" s="24" t="s">
        <v>78</v>
      </c>
      <c r="D232" s="1" t="s">
        <v>325</v>
      </c>
      <c r="E232" s="2">
        <v>48.653997582816615</v>
      </c>
      <c r="F232" s="3">
        <f>-3.30914452635548E-08*E232 ^ 6 + 5.22229450251693E-06*E232 ^ 5 + -0.000301553930944674*E232 ^ 4 + 0.00700387318111523*E232 ^ 3 + -0.0846459597516251*E232 ^ 2 + -0.111595848730373*E232 ^ 1 + 104.098624421436</f>
        <v>1.2482022782478452E-5</v>
      </c>
      <c r="G232" s="3">
        <f>-3.20334660267377E-09*E232 ^ 6 + 5.02682320204497E-07*E232 ^ 5 + -0.000027711215460973*E232 ^ 4 + 0.000568784389054302*E232 ^ 3 + -0.00417415339550035*E232 ^ 2 + 0.217481252630448*E232 ^ 1 + 2.88416843171358</f>
        <v>8.3681765953855134</v>
      </c>
      <c r="H232" s="4">
        <f>3.46090750425981E-08*E232 ^ 6 + -5.71427979029559E-06*E232 ^ 5 + 0.000336214668854558*E232 ^ 4 + -0.0076025321028989*E232 ^ 3 + 0.0488899627900523*E232 ^ 2 + -1.4537961461523*E232 ^ 1 + 3582.21066020827</f>
        <v>3536.7783239982255</v>
      </c>
    </row>
    <row r="233" spans="3:8" x14ac:dyDescent="0.2">
      <c r="C233" s="24" t="s">
        <v>79</v>
      </c>
      <c r="D233" s="1" t="s">
        <v>396</v>
      </c>
      <c r="E233" s="2">
        <v>47.498062270542427</v>
      </c>
      <c r="F233" s="3">
        <f>-2.25540674332167E-08*E233 ^ 6 + 0.0000030533742585303*E233 ^ 5 + -0.000144641942563561*E233 ^ 4 + 0.0021089787212831*E233 ^ 3 + -0.0367186115546613*E233 ^ 2 + -0.149399710469599*E233 ^ 1 + 120.956848748808</f>
        <v>1.3056381304465958E-4</v>
      </c>
      <c r="G233" s="3">
        <f>-4.83511551811497E-09*E233 ^ 6 + 6.77181384461552E-07*E233 ^ 5 + -0.0000328294507490414*E233 ^ 4 + 0.00052709351450328*E233 ^ 3 + -0.00162200938293337*E233 ^ 2 + 0.243886485374356*E233 ^ 1 + 3.15875714465627</f>
        <v>8.6616459932004588</v>
      </c>
      <c r="H233" s="4">
        <f>3.76088066437245E-08*E233 ^ 6 + -5.31753442795632E-06*E233 ^ 5 + 0.000260884168968247*E233 ^ 4 + -0.00424472771620088*E233 ^ 3 + 0.00555381826925746*E233 ^ 2 + -1.44325282824627*E233 ^ 1 + 3583.61963869017</f>
        <v>3546.9044629119944</v>
      </c>
    </row>
    <row r="234" spans="3:8" x14ac:dyDescent="0.2">
      <c r="C234" s="24" t="s">
        <v>79</v>
      </c>
      <c r="D234" s="1" t="s">
        <v>326</v>
      </c>
      <c r="E234" s="2">
        <v>48.67213711573654</v>
      </c>
      <c r="F234" s="3">
        <f>-4.91440846689472E-08*E234 ^ 6 + 7.60836730047637E-06*E234 ^ 5 + -0.000431827184333856*E234 ^ 4 + 0.00997363382793585*E234 ^ 3 + -0.116455600251386*E234 ^ 2 + -0.114775900780229*E234 ^ 1 + 130.044034674637</f>
        <v>3.0519256995376054E-5</v>
      </c>
      <c r="G234" s="3">
        <f>-4.0256895121651E-09*E234 ^ 6 + 6.28060812699009E-07*E234 ^ 5 + -0.0000343359150783881*E234 ^ 4 + 0.000691091667139701*E234 ^ 3 + -0.00476924709079487*E234 ^ 2 + 0.267605067657372*E234 ^ 1 + 3.62998215876321</f>
        <v>10.381120557712697</v>
      </c>
      <c r="H234" s="4">
        <f>3.25806026937859E-08*E234 ^ 6 + -5.05863542933503E-06*E234 ^ 5 + 0.000275240675846698*E234 ^ 4 + -0.00546188131108256*E234 ^ 3 + 0.0286251019941884*E234 ^ 2 + -1.65223679818214*E234 ^ 1 + 3580.82003310746</f>
        <v>3534.4912492722196</v>
      </c>
    </row>
    <row r="235" spans="3:8" x14ac:dyDescent="0.2">
      <c r="C235" s="24" t="s">
        <v>80</v>
      </c>
      <c r="D235" s="1" t="s">
        <v>397</v>
      </c>
      <c r="E235" s="2">
        <v>47.966081147999809</v>
      </c>
      <c r="F235" s="3">
        <f>-3.92587680886537E-08*E235 ^ 6 + 5.56330695197987E-06*E235 ^ 5 + -0.000282639791327295*E235 ^ 4 + 0.00524157722309858*E235 ^ 3 + -0.0691019229463623*E235 ^ 2 + -0.101418268944592*E235 ^ 1 + 147.109817654918</f>
        <v>1.3887157288650087E-4</v>
      </c>
      <c r="G235" s="3">
        <f>-5.68030866657062E-09*E235 ^ 6 + 8.12219791473791E-07*E235 ^ 5 + -0.0000403454142312075*E235 ^ 4 + 0.000675259710163931*E235 ^ 3 + -0.00232410890914037*E235 ^ 2 + 0.297061287765185*E235 ^ 1 + 3.91313152462516</f>
        <v>10.816564826343658</v>
      </c>
      <c r="H235" s="4">
        <f>1.17113216036835E-08*E235 ^ 6 + -1.45309836600337E-06*E235 ^ 5 + 0.0000528823175850792*E235 ^ 4 + 0.0000611696893180279*E235 ^ 3 + -0.0155849801307907*E235 ^ 2 + -0.99263765071632*E235 ^ 1 + 3584.66913801557</f>
        <v>3561.5596479928745</v>
      </c>
    </row>
    <row r="236" spans="3:8" x14ac:dyDescent="0.2">
      <c r="C236" s="24" t="s">
        <v>80</v>
      </c>
      <c r="D236" s="1" t="s">
        <v>327</v>
      </c>
      <c r="E236" s="2">
        <v>49.008606171081389</v>
      </c>
      <c r="F236" s="3">
        <f>-6.49793942151608E-08*E236 ^ 6 + 0.0000100199488867092*E236 ^ 5 + -0.000566304566530881*E236 ^ 4 + 0.0130733395585544*E236 ^ 3 + -0.149002146391554*E236 ^ 2 + -0.0582463871515338*E236 ^ 1 + 156.258488588541</f>
        <v>2.9087887298828718E-5</v>
      </c>
      <c r="G236" s="3">
        <f>-4.88499153404128E-09*E236 ^ 6 + 7.66586179692164E-07*E236 ^ 5 + -0.0000421582265334835*E236 ^ 4 + 0.000850681592642756*E236 ^ 3 + -0.00562029476126278*E236 ^ 2 + 0.321996063365435*E236 ^ 1 + 4.38699007257558</f>
        <v>12.644504404932679</v>
      </c>
      <c r="H236" s="4">
        <f>6.74251044671461E-09*E236 ^ 6 + -9.47668255202877E-07*E236 ^ 5 + 0.0000396458514464184*E236 ^ 4 + -0.0000965674922277194*E236 ^ 3 + -0.00691597225198075*E236 ^ 2 + -1.0755029592579*E236 ^ 1 + 3582.98467000066</f>
        <v>3556.5041058363668</v>
      </c>
    </row>
    <row r="237" spans="3:8" x14ac:dyDescent="0.2">
      <c r="C237" s="24" t="s">
        <v>80</v>
      </c>
      <c r="D237" s="1" t="s">
        <v>398</v>
      </c>
      <c r="E237" s="2">
        <v>48.670077921531124</v>
      </c>
      <c r="F237" s="3">
        <f>-7.32293306351698E-08*E237 ^ 6 + 0.0000110130112853439*E237 ^ 5 + -0.000605316937368854*E237 ^ 4 + 0.0134514194624731*E237 ^ 3 + -0.153663942764527*E237 ^ 2 + -0.0732544999065234*E237 ^ 1 + 179.011501551679</f>
        <v>8.3807649900791148E-5</v>
      </c>
      <c r="G237" s="3">
        <f>-6.11543096147029E-09*E237 ^ 6 + 9.26129270682334E-07*E237 ^ 5 + -0.000049045418691576*E237 ^ 4 + 0.000929941562487267*E237 ^ 3 + -0.00520304068861274*E237 ^ 2 + 0.363972305916162*E237 ^ 1 + 4.96902050313523</f>
        <v>14.007780474231151</v>
      </c>
      <c r="H237" s="4">
        <f>2.36580314558841E-09*E237 ^ 6 + -3.32897491838452E-07*E237 ^ 5 + 9.18985354795892E-06*E237 ^ 4 + 0.000535803276952236*E237 ^ 3 + -0.00925785042917122*E237 ^ 2 + -1.23429634079409*E237 ^ 1 + 3580.89530522288</f>
        <v>3552.7624559294809</v>
      </c>
    </row>
    <row r="238" spans="3:8" x14ac:dyDescent="0.2">
      <c r="C238" s="24" t="s">
        <v>81</v>
      </c>
      <c r="D238" s="1" t="s">
        <v>329</v>
      </c>
      <c r="E238" s="2">
        <v>49.044545428608799</v>
      </c>
      <c r="F238" s="3">
        <f>-9.32585363379815E-08*E238 ^ 6 + 0.000014207469834033*E238 ^ 5 + -0.000793881028647438*E238 ^ 4 + 0.0182567841419669*E238 ^ 3 + -0.209306849298815*E238 ^ 2 + 0.00121545788909234*E238 ^ 1 + 209.216793880102</f>
        <v>5.2459199281429392E-5</v>
      </c>
      <c r="G238" s="3">
        <f>-6.360205778136E-09*E238 ^ 6 + 9.86203722013333E-07*E238 ^ 5 + -0.0000532392760520265*E238 ^ 4 + 0.00102963365341319*E238 ^ 3 + -0.00615389848329828*E238 ^ 2 + 0.425836929674167*E238 ^ 1 + 5.92388487064828</f>
        <v>16.773111634122127</v>
      </c>
      <c r="H238" s="4">
        <f>3.93911735804349E-08*E238 ^ 6 + -6.01288142013851E-06*E238 ^ 5 + 0.000323167174302065*E238 ^ 4 + -0.00638345148554122*E238 ^ 3 + 0.0210637074972823*E238 ^ 2 + -0.883333075547739*E238 ^ 1 + 3590.22352642177</f>
        <v>3556.2689152283865</v>
      </c>
    </row>
    <row r="239" spans="3:8" x14ac:dyDescent="0.2">
      <c r="C239" s="24" t="s">
        <v>82</v>
      </c>
      <c r="D239" s="1" t="s">
        <v>330</v>
      </c>
      <c r="E239" s="2">
        <v>-16.123481423819126</v>
      </c>
      <c r="F239" s="3">
        <f>-1.10461226257164E-07*E239 ^ 6 + 0.0000167555257574324*E239 ^ 5 + -0.000930983205212001*E239 ^ 4 + 0.0212482479591491*E239 ^ 3 + -0.237869094937585*E239 ^ 2 + 0.0159442969785362*E239 ^ 1 + 234.275672142628</f>
        <v>9.8154372949466051E-5</v>
      </c>
      <c r="G239" s="3">
        <f>-7.38837386338548E-09*E239 ^ 6 + 1.14451591615497E-06*E239 ^ 5 + -0.0000617631693277951*E239 ^ 4 + 0.00119472076257519*E239 ^ 3 + -0.00692552949168744*E239 ^ 2 + 0.47613963926045*E239 ^ 1 + 6.63196009238585</f>
        <v>-13.404297519499217</v>
      </c>
      <c r="H239" s="4">
        <f>1.99157991039559E-08*E239 ^ 6 + -3.20488860526535E-06*E239 ^ 5 + 0.000184269696127073*E239 ^ 4 + -0.00412223378618736*E239 ^ 3 + 0.0301769325994698*E239 ^ 2 + -0.90975419643542*E239 ^ 1 + 3581.7962745376</f>
        <v>3637.8839024012868</v>
      </c>
    </row>
    <row r="240" spans="3:8" x14ac:dyDescent="0.2">
      <c r="C240" s="24" t="s">
        <v>82</v>
      </c>
      <c r="D240" s="1" t="s">
        <v>331</v>
      </c>
      <c r="E240" s="2">
        <v>-16.123481423819126</v>
      </c>
      <c r="F240" s="3">
        <f>-1.10461226257164E-07*E240 ^ 6 + 0.0000167555257574324*E240 ^ 5 + -0.000930983205212001*E240 ^ 4 + 0.0212482479591491*E240 ^ 3 + -0.237869094937585*E240 ^ 2 + 0.0159442969785362*E240 ^ 1 + 234.275672142628</f>
        <v>9.8154372949466051E-5</v>
      </c>
      <c r="G240" s="3">
        <f>-7.38837386338548E-09*E240 ^ 6 + 1.14451591615497E-06*E240 ^ 5 + -0.0000617631693277951*E240 ^ 4 + 0.00119472076257519*E240 ^ 3 + -0.00692552949168744*E240 ^ 2 + 0.47613963926045*E240 ^ 1 + 6.63196009238585</f>
        <v>-13.404297519499217</v>
      </c>
      <c r="H240" s="4">
        <f>1.99157991039559E-08*E240 ^ 6 + -3.20488860526535E-06*E240 ^ 5 + 0.000184269696127073*E240 ^ 4 + -0.00412223378618736*E240 ^ 3 + 0.0301769325994698*E240 ^ 2 + -0.90975419643542*E240 ^ 1 + 3581.7962745376</f>
        <v>3637.8839024012868</v>
      </c>
    </row>
    <row r="241" spans="3:8" x14ac:dyDescent="0.2">
      <c r="C241" s="24" t="s">
        <v>83</v>
      </c>
      <c r="D241" s="1" t="s">
        <v>332</v>
      </c>
      <c r="E241" s="2">
        <v>-15.906705189732747</v>
      </c>
      <c r="F241" s="3">
        <f>-1.41373593626281E-07*E241 ^ 6 + 0.0000213985225639195*E241 ^ 5 + -0.00118701673178442*E241 ^ 4 + 0.0271459335013169*E241 ^ 3 + -0.302523694387505*E241 ^ 2 + 0.0640110418510591*E241 ^ 1 + 286.895028344955</f>
        <v>4.6706477064617502E-5</v>
      </c>
      <c r="G241" s="3">
        <f>-9.0308604777635E-09*E241 ^ 6 + 1.39822394089842E-06*E241 ^ 5 + -0.0000753597304142996*E241 ^ 4 + 0.00145051249841783*E241 ^ 3 + -0.00820023509903875*E241 ^ 2 + 0.580643640603958*E241 ^ 1 + 8.15444379802243</f>
        <v>-15.389279653078296</v>
      </c>
      <c r="H241" s="4">
        <f>1.65161944811456E-08*E241 ^ 6 + -2.50486739811911E-06*E241 ^ 5 + 0.000130994844585727*E241 ^ 4 + -0.00233453627374898*E241 ^ 3 + 0.00654215238942302*E241 ^ 2 + -0.847316867854986*E241 ^ 1 + 3585.16428642561</f>
        <v>3620.8983752494851</v>
      </c>
    </row>
    <row r="242" spans="3:8" x14ac:dyDescent="0.2">
      <c r="C242" s="24" t="s">
        <v>75</v>
      </c>
      <c r="D242" s="1" t="s">
        <v>338</v>
      </c>
      <c r="E242" s="2">
        <v>66.566194084412132</v>
      </c>
      <c r="F242" s="3">
        <f>4.83268146619706E-10*E242 ^ 6 + -1.23302847011221E-07*E242 ^ 5 + 0.0000129709161714362*E242 ^ 4 + -0.000727864870194158*E242 ^ 3 + 0.0133843402764736*E242 ^ 2 + -0.0987326002618935*E242 ^ 1 + 26.3905802307744</f>
        <v>2.5488247317184687E-6</v>
      </c>
      <c r="G242" s="3">
        <f>-1.14978451683159E-10*E242 ^ 6 + 2.5620145473464E-08*E242 ^ 5 + -1.87265517759572E-06*E242 ^ 4 + 0.0000356299584489215*E242 ^ 3 + 0.000783980303059533*E242 ^ 2 + 0.0178409583958638*E242 ^ 1 + 1.72794212079915</f>
        <v>3.6123418374750167</v>
      </c>
      <c r="H242" s="4">
        <f>3.53730579310668E-09*E242 ^ 6 + -8.9755805319611E-07*E242 ^ 5 + 0.0000815794235751158*E242 ^ 4 + -0.00291034299286597*E242 ^ 3 + 0.0246224664329859*E242 ^ 2 + -0.430858973525372*E242 ^ 1 + 3576.33045309487</f>
        <v>3534.7336560437993</v>
      </c>
    </row>
    <row r="243" spans="3:8" x14ac:dyDescent="0.2">
      <c r="C243" s="24" t="s">
        <v>76</v>
      </c>
      <c r="D243" s="1" t="s">
        <v>339</v>
      </c>
      <c r="E243" s="2">
        <v>-21.15836584167301</v>
      </c>
      <c r="F243" s="3">
        <f>-1.18875482858818E-09*E243 ^ 6 + 2.98517662335059E-07*E243 ^ 5 + -0.0000284823254194053*E243 ^ 4 + 0.00123325248992579*E243 ^ 3 + -0.0294855594319872*E243 ^ 2 + 0.180551635502147*E243 ^ 1 + 35.7824299519975</f>
        <v>4.8758713973029444E-6</v>
      </c>
      <c r="G243" s="3">
        <f>1.18144767206511E-10*E243 ^ 6 + -2.6291669929209E-08*E243 ^ 5 + 2.31731189397329E-06*E243 ^ 4 + -0.000110441122537188*E243 ^ 3 + 0.00266161019711084*E243 ^ 2 + 0.0234497699555505*E243 ^ 1 + 2.43722315128611</f>
        <v>4.7652245190805145</v>
      </c>
      <c r="H243" s="4">
        <f>-5.3140450367152E-09*E243 ^ 6 + 1.09402382273441E-06*E243 ^ 5 + -0.0000807556361549754*E243 ^ 4 + 0.00277285186354673*E243 ^ 3 + -0.0491862641501793*E243 ^ 2 + -0.370326713261252*E243 ^ 1 + 3557.44508123871</f>
        <v>3495.6958265968519</v>
      </c>
    </row>
    <row r="244" spans="3:8" x14ac:dyDescent="0.2">
      <c r="C244" s="24" t="s">
        <v>77</v>
      </c>
      <c r="D244" s="1" t="s">
        <v>340</v>
      </c>
      <c r="E244" s="2">
        <v>-39.449395296037167</v>
      </c>
      <c r="F244" s="3">
        <f>-8.23732138526021E-10*E244 ^ 6 + 1.77030307757812E-07*E244 ^ 5 + -0.0000112462630038299*E244 ^ 4 + 0.00005798817097967*E244 ^ 3 + -0.00143690366333882*E244 ^ 2 + 0.0153125903423544*E244 ^ 1 + 53.6566620687571</f>
        <v>-2.1387562360075663E-4</v>
      </c>
      <c r="G244" s="3">
        <f>-2.43605263313094E-10*E244 ^ 6 + 5.1388466930261E-08*E244 ^ 5 + -3.46857692270362E-06*E244 ^ 4 + 0.0000462598249878681*E244 ^ 3 + 0.00225314668524798*E244 ^ 2 + 0.0342270902194652*E244 ^ 1 + 3.37077382882715</f>
        <v>-11.541707415993542</v>
      </c>
      <c r="H244" s="4">
        <f>3.05589257911226E-09*E244 ^ 6 + -7.67989156709371E-07*E244 ^ 5 + 0.0000695129518332027*E244 ^ 4 + -0.00241175989190936*E244 ^ 3 + 0.0164503409465113*E244 ^ 2 + -0.484453064147072*E244 ^ 1 + 3571.34778171689</f>
        <v>4017.3759962495878</v>
      </c>
    </row>
    <row r="245" spans="3:8" x14ac:dyDescent="0.2">
      <c r="C245" s="24" t="s">
        <v>78</v>
      </c>
      <c r="D245" s="1" t="s">
        <v>341</v>
      </c>
      <c r="E245" s="2">
        <v>-21.886567221637243</v>
      </c>
      <c r="F245" s="3">
        <f>-2.3710342813148E-09*E245 ^ 6 + 5.74742050050142E-07*E245 ^ 5 + -0.0000511828899489192*E245 ^ 4 + 0.00198771319016534*E245 ^ 3 + -0.0442674492045798*E245 ^ 2 + 0.299842984827535*E245 ^ 1 + 63.4986551489172</f>
        <v>4.6434013611929004E-6</v>
      </c>
      <c r="G245" s="3">
        <f>6.00824253294032E-12*E245 ^ 6 + -3.95202995908136E-09*E245 ^ 5 + 9.59580790683716E-07*E245 ^ 4 + -0.000106114614621778*E245 ^ 3 + 0.00419734705207443*E245 ^ 2 + 0.0404071799939733*E245 ^ 1 + 4.12533341672997</f>
        <v>6.6047959039078705</v>
      </c>
      <c r="H245" s="4">
        <f>2.73142096702374E-10*E245 ^ 6 + -6.85639468911057E-08*E245 ^ 5 + 3.58138446588657E-06*E245 ^ 4 + 0.000341927791756882*E245 ^ 3 + -0.0276035030328629*E245 ^ 2 + -0.295788912083708*E245 ^ 1 + 3574.0622720984</f>
        <v>3564.9247272636985</v>
      </c>
    </row>
    <row r="246" spans="3:8" x14ac:dyDescent="0.2">
      <c r="C246" s="24" t="s">
        <v>79</v>
      </c>
      <c r="D246" s="1" t="s">
        <v>342</v>
      </c>
      <c r="E246" s="2">
        <v>-20.223344992671166</v>
      </c>
      <c r="F246" s="3">
        <f>-2.65451034043437E-09*E246 ^ 6 + 6.76293781205982E-07*E246 ^ 5 + -0.0000652939964275586*E246 ^ 4 + 0.00286065333448763*E246 ^ 3 + -0.0664149579530452*E246 ^ 2 + 0.430802233376963*E246 ^ 1 + 72.9263129436233</f>
        <v>2.6527406475906901E-5</v>
      </c>
      <c r="G246" s="3">
        <f>1.71851351824988E-10*E246 ^ 6 + -3.61812891091755E-08*E246 ^ 5 + 2.89047127528554E-06*E246 ^ 4 + -0.000127320370472357*E246 ^ 3 + 0.00284546087711358*E246 ^ 2 + 0.0764193749493487*E246 ^ 1 + 4.92074693689038</f>
        <v>6.2097372244509561</v>
      </c>
      <c r="H246" s="4">
        <f>-1.19819848809363E-09*E246 ^ 6 + 2.49113010904292E-07*E246 ^ 5 + -0.0000196199391219423*E246 ^ 4 + 0.000870209785097012*E246 ^ 3 + -0.0207678995129106*E246 ^ 2 + -0.487938404272954*E246 ^ 1 + 3572.7275798392</f>
        <v>3562.6976465615749</v>
      </c>
    </row>
    <row r="247" spans="3:8" x14ac:dyDescent="0.2">
      <c r="C247" s="24" t="s">
        <v>80</v>
      </c>
      <c r="D247" s="1" t="s">
        <v>343</v>
      </c>
      <c r="E247" s="2">
        <v>-22.108369227673805</v>
      </c>
      <c r="F247" s="3">
        <f>-3.59009104340534E-09*E247 ^ 6 + 8.62138025583837E-07*E247 ^ 5 + -0.0000750077918012505*E247 ^ 4 + 0.00277939874593085*E247 ^ 3 + -0.0589776243164378*E247 ^ 2 + 0.421605278946263*E247 ^ 1 + 91.0753166959437</f>
        <v>5.6179240175424638E-6</v>
      </c>
      <c r="G247" s="3">
        <f>-1.15823859076431E-10*E247 ^ 6 + 2.11891621890095E-08*E247 ^ 5 + -6.8350384127549E-07*E247 ^ 4 + -0.0000903781681304459*E247 ^ 3 + 0.00562373733263986*E247 ^ 2 + 0.0580259021264814*E247 ^ 1 + 5.79780159634451</f>
        <v>7.9516164568460344</v>
      </c>
      <c r="H247" s="4">
        <f>7.85179496055122E-11*E247 ^ 6 + 1.34471721025864E-08*E247 ^ 5 + -6.34093141904384E-06*E247 ^ 4 + 0.000683823164360403*E247 ^ 3 + -0.0246225463806345*E247 ^ 2 + -0.187491836618218*E247 ^ 1 + 3577.90976322376</f>
        <v>3561.0536704312649</v>
      </c>
    </row>
    <row r="248" spans="3:8" x14ac:dyDescent="0.2">
      <c r="C248" s="24" t="s">
        <v>80</v>
      </c>
      <c r="D248" s="1" t="s">
        <v>344</v>
      </c>
      <c r="E248" s="2">
        <v>-20.846334152233357</v>
      </c>
      <c r="F248" s="3">
        <f>-3.86491233988456E-09*E248 ^ 6 + 9.5996639225308E-07*E248 ^ 5 + -0.000088650240415739*E248 ^ 4 + 0.00363130213354035*E248 ^ 3 + -0.0809096337322912*E248 ^ 2 + 0.552848696174089*E248 ^ 1 + 100.420495995557</f>
        <v>2.5845962156267888E-5</v>
      </c>
      <c r="G248" s="3">
        <f>5.14659332545668E-11*E248 ^ 6 + -1.17032809394652E-08*E248 ^ 5 + 1.33303363164764E-06*E248 ^ 4 + -0.000115670064756333*E248 ^ 3 + 0.00432515713398725*E248 ^ 2 + 0.0939245549641168*E248 ^ 1 + 6.58584317681363</f>
        <v>7.8573611475891036</v>
      </c>
      <c r="H248" s="4">
        <f>-3.68089447019778E-10*E248 ^ 6 + 9.45830366721038E-08*E248 ^ 5 + -0.0000101648003706058*E248 ^ 4 + 0.000618670834972311*E248 ^ 3 + -0.0164932291997116*E248 ^ 2 + -0.324788181872122*E248 ^ 1 + 3575.10593845009</f>
        <v>3566.7822736142034</v>
      </c>
    </row>
    <row r="249" spans="3:8" x14ac:dyDescent="0.2">
      <c r="C249" s="24" t="s">
        <v>80</v>
      </c>
      <c r="D249" s="1" t="s">
        <v>345</v>
      </c>
      <c r="E249" s="2">
        <v>-19.932480424015303</v>
      </c>
      <c r="F249" s="3">
        <f>-4.14700994801528E-09*E249 ^ 6 + 1.05931499322148E-06*E249 ^ 5 + -0.000102394006368292*E249 ^ 4 + 0.00448489295186976*E249 ^ 3 + -0.102805035430919*E249 ^ 2 + 0.683449525345845*E249 ^ 1 + 109.740686317498</f>
        <v>5.1185077651894062E-5</v>
      </c>
      <c r="G249" s="3">
        <f>2.18043455133506E-10*E249 ^ 6 + -4.43915657474108E-08*E249 ^ 5 + 3.33220873486137E-06*E249 ^ 4 + -0.000140527384962753*E249 ^ 3 + 0.00303021233888342*E249 ^ 2 + 0.129636478258007*E249 ^ 1 + 7.37060354733631</f>
        <v>7.7827491543455647</v>
      </c>
      <c r="H249" s="4">
        <f>-8.69101139031841E-10*E249 ^ 6 + 1.87278531828159E-07*E249 ^ 5 + -0.0000149058405011165*E249 ^ 4 + 0.000592281072645245*E249 ^ 3 + -0.00952456154257021*E249 ^ 2 + -0.443400985019814*E249 ^ 1 + 3572.37785105775</f>
        <v>3569.7447266114718</v>
      </c>
    </row>
    <row r="250" spans="3:8" x14ac:dyDescent="0.2">
      <c r="C250" s="24" t="s">
        <v>81</v>
      </c>
      <c r="D250" s="1" t="s">
        <v>346</v>
      </c>
      <c r="E250" s="2">
        <v>-21.233062216007184</v>
      </c>
      <c r="F250" s="3">
        <f>-5.09041713158255E-09*E250 ^ 6 + 0.0000012447228178345*E250 ^ 5 + -0.000111927981393762*E250 ^ 4 + 0.00440523219185193*E250 ^ 3 + -0.0962833543667171*E250 ^ 2 + 0.676113619284393*E250 ^ 1 + 128.523839506769</f>
        <v>2.4186564701267343E-5</v>
      </c>
      <c r="G250" s="3">
        <f>-6.65596121757256E-11*E250 ^ 6 + 1.19255888122092E-08*E250 ^ 5 + -1.09993198794781E-07*E250 ^ 4 + -0.000109283598459386*E250 ^ 3 + 0.00581326972495126*E250 ^ 2 + 0.11153016751156*E250 ^ 1 + 8.30947697401212</f>
        <v>9.528443745347424</v>
      </c>
      <c r="H250" s="4">
        <f>8.71476056707015E-10*E250 ^ 6 + -1.9816165786065E-07*E250 ^ 5 + 0.0000144726488184012*E250 ^ 4 + -0.000147953942659563*E250 ^ 3 + -0.0152541499608143*E250 ^ 2 + -0.285757481798602*E250 ^ 1 + 3584.96983543754</f>
        <v>3589.4532373557522</v>
      </c>
    </row>
    <row r="251" spans="3:8" x14ac:dyDescent="0.2">
      <c r="C251" s="24" t="s">
        <v>81</v>
      </c>
      <c r="D251" s="1" t="s">
        <v>399</v>
      </c>
      <c r="E251" s="2">
        <v>-20.404037930877578</v>
      </c>
      <c r="F251" s="3">
        <f>-5.39771029557213E-09*E251 ^ 6 + 1.35038459243748E-06*E251 ^ 5 + -0.000126292080976345*E251 ^ 4 + 0.00528865343608504*E251 ^ 3 + -0.1188187744936*E251 ^ 2 + 0.806370782459971*E251 ^ 1 + 137.900977911648</f>
        <v>5.1382423180257319E-5</v>
      </c>
      <c r="G251" s="3">
        <f>9.89458839786421E-11*E251 ^ 6 + -2.0460872548595E-08*E251 ^ 5 + 1.85246160861564E-06*E251 ^ 4 + -0.000131758506986176*E251 ^ 3 + 0.00444399023948928*E251 ^ 2 + 0.147478959454209*E251 ^ 1 + 9.10161744929245</f>
        <v>9.4624254748438297</v>
      </c>
      <c r="H251" s="4">
        <f>2.38116060556393E-10*E251 ^ 6 + -6.1771167621833E-08*E251 ^ 5 + 0.0000042683967640729*E251 ^ 4 + 0.000136727129891477*E251 ^ 3 + -0.0153686385496729*E251 ^ 2 + -0.40706301797244*E251 ^ 1 + 3582.85243811223</f>
        <v>3584.5738308969694</v>
      </c>
    </row>
    <row r="252" spans="3:8" x14ac:dyDescent="0.2">
      <c r="C252" s="24" t="s">
        <v>82</v>
      </c>
      <c r="D252" s="1" t="s">
        <v>347</v>
      </c>
      <c r="E252" s="2">
        <v>-19.781291049401119</v>
      </c>
      <c r="F252" s="3">
        <f>-5.64824467281922E-09*E252 ^ 6 + 1.44347030267801E-06*E252 ^ 5 + -0.000139535127686046*E252 ^ 4 + 0.00611589044495288*E252 ^ 3 + -0.13986557122998*E252 ^ 2 + 0.94638636599955*E252 ^ 1 + 146.865014288358</f>
        <v>7.5836727120304204E-5</v>
      </c>
      <c r="G252" s="3">
        <f>2.61740613624778E-10*E252 ^ 6 + -5.2279115239321E-08*E252 ^ 5 + 3.77538287916676E-06*E252 ^ 4 + -0.000154472798237465*E252 ^ 3 + 0.00318364124673362*E252 ^ 2 + 0.184067501232803*E252 ^ 1 + 9.85163284038886</f>
        <v>9.4040744191251271</v>
      </c>
      <c r="H252" s="4">
        <f>-6.4309512184492E-10*E252 ^ 6 + 1.24823680962402E-07*E252 ^ 5 + -8.50672196220679E-06*E252 ^ 4 + 0.000326152944967825*E252 ^ 3 + -0.00760249819538821*E252 ^ 2 + -0.33252830974721*E252 ^ 1 + 3575.98032147159</f>
        <v>3575.3396423946715</v>
      </c>
    </row>
    <row r="253" spans="3:8" x14ac:dyDescent="0.2">
      <c r="C253" s="24" t="s">
        <v>82</v>
      </c>
      <c r="D253" s="1" t="s">
        <v>348</v>
      </c>
      <c r="E253" s="2">
        <v>-20.710986808053018</v>
      </c>
      <c r="F253" s="3">
        <f>-6.68645904484654E-09*E253 ^ 6 + 1.64832143923997E-06*E253 ^ 5 + -0.000150435081148335*E253 ^ 4 + 0.00606704713520107*E253 ^ 3 + -0.133002040982831*E253 ^ 2 + 0.927119091171674*E253 ^ 1 + 164.639126437621</f>
        <v>5.286857864916783E-5</v>
      </c>
      <c r="G253" s="3">
        <f>-2.65379634841408E-11*E253 ^ 6 + 5.12508748290786E-09*E253 ^ 5 + 2.19436587956409E-07*E253 ^ 4 + -0.000118528663557262*E253 ^ 3 + 0.00592034869973273*E253 ^ 2 + 0.164329378759345*E253 ^ 1 + 10.6918206959043</f>
        <v>10.899644974184039</v>
      </c>
      <c r="H253" s="4">
        <f>2.14403523279701E-10*E253 ^ 6 + -5.64080547690994E-08*E253 ^ 5 + 4.36878169457368E-06*E253 ^ 4 + 0.0000407497880709049*E253 ^ 3 + -0.0102384674236392*E253 ^ 2 + -0.312979482116589*E253 ^ 1 + 3574.41987135333</f>
        <v>3577.1839340592455</v>
      </c>
    </row>
    <row r="254" spans="3:8" x14ac:dyDescent="0.2">
      <c r="C254" s="24" t="s">
        <v>83</v>
      </c>
      <c r="D254" s="1" t="s">
        <v>400</v>
      </c>
      <c r="E254" s="2">
        <v>-20.18819726286619</v>
      </c>
      <c r="F254" s="3">
        <f>-6.86384930946089E-09*E254 ^ 6 + 1.72839024641662E-06*E254 ^ 5 + -0.000163029634161774*E254 ^ 4 + 0.00689679261053681*E254 ^ 3 + -0.154746030249019*E254 ^ 2 + 1.06543187252544*E254 ^ 1 + 174.665816986241</f>
        <v>7.5800649852908464E-5</v>
      </c>
      <c r="G254" s="3">
        <f>1.4261530484774E-10*E254 ^ 6 + -2.8054952111603E-08*E254 ^ 5 + 2.23883905578815E-06*E254 ^ 4 + -0.000143305327226695*E254 ^ 3 + 0.00464354375808082*E254 ^ 2 + 0.201457564573774*E254 ^ 1 + 11.546785744073</f>
        <v>11.026994169390216</v>
      </c>
      <c r="H254" s="4">
        <f>-1.76115543019492E-10*E254 ^ 6 + 3.36675991225493E-08*E254 ^ 5 + -2.80654350278458E-06*E254 ^ 4 + 0.000219956101792983*E254 ^ 3 + -0.00818733373584423*E254 ^ 2 + -0.316220888633587*E254 ^ 1 + 3579.98328681769</f>
        <v>3580.6295544261525</v>
      </c>
    </row>
    <row r="255" spans="3:8" x14ac:dyDescent="0.2">
      <c r="C255" s="24" t="s">
        <v>83</v>
      </c>
      <c r="D255" s="1" t="s">
        <v>349</v>
      </c>
      <c r="E255" s="2">
        <v>-19.704899666572189</v>
      </c>
      <c r="F255" s="3">
        <f>-7.13993034991671E-09*E255 ^ 6 + 0.0000018266916954774*E255 ^ 5 + -0.00017673718880476*E255 ^ 4 + 0.00775303414815359*E255 ^ 3 + -0.176808896656694*E255 ^ 2 + 1.19710763352079*E255 ^ 1 + 184.050195890328</f>
        <v>1.0050056914678862E-4</v>
      </c>
      <c r="G255" s="3">
        <f>3.09703448288443E-10*E255 ^ 6 + -6.09153268551559E-08*E255 ^ 5 + 4.25363561230901E-06*E255 ^ 4 + -0.000168519039268951*E255 ^ 3 + 0.0033411159219449*E255 ^ 2 + 0.237347541958227*E255 ^ 1 + 12.3387149788204</f>
        <v>11.088846767841604</v>
      </c>
      <c r="H255" s="4">
        <f>-4.45757185760636E-10*E255 ^ 6 + 8.72408704216487E-08*E255 ^ 5 + -6.16230564254573E-06*E255 ^ 4 + 0.000266105872881016*E255 ^ 3 + -0.00607372838185028*E255 ^ 2 + -0.379749162486006*E255 ^ 1 + 3578.72543787426</f>
        <v>3580.5997137997465</v>
      </c>
    </row>
    <row r="256" spans="3:8" x14ac:dyDescent="0.2">
      <c r="C256" s="24" t="s">
        <v>83</v>
      </c>
      <c r="D256" s="1" t="s">
        <v>350</v>
      </c>
      <c r="E256" s="2">
        <v>-20.443508299910953</v>
      </c>
      <c r="F256" s="3">
        <f>-8.18323256391226E-09*E256 ^ 6 + 2.03378623489564E-06*E256 ^ 5 + -0.000187933148230896*E256 ^ 4 + 0.00771869946138712*E256 ^ 3 + -0.170150727853442*E256 ^ 2 + 1.17859854434483*E256 ^ 1 + 201.842758582777</f>
        <v>7.9270448907209357E-5</v>
      </c>
      <c r="G256" s="3">
        <f>2.08085227583355E-11*E256 ^ 6 + -3.19701621934887E-09*E256 ^ 5 + 6.53736588680454E-07*E256 ^ 4 + -0.000130307862832411*E256 ^ 3 + 0.00604393351589431*E256 ^ 2 + 0.217739005072458*E256 ^ 1 + 13.1799046390023</f>
        <v>12.49502674506604</v>
      </c>
      <c r="H256" s="4">
        <f>6.50306608876288E-11*E256 ^ 6 + -1.36364961592688E-08*E256 ^ 5 + -9.22023629908809E-09*E256 ^ 4 + 0.00020712024863513*E256 ^ 3 + -0.010693750486452*E256 ^ 2 + -0.350415330237516*E256 ^ 1 + 3577.37137891061</f>
        <v>3578.3479586773747</v>
      </c>
    </row>
    <row r="257" spans="3:8" x14ac:dyDescent="0.2">
      <c r="C257" s="24" t="s">
        <v>83</v>
      </c>
      <c r="D257" s="1" t="s">
        <v>401</v>
      </c>
      <c r="E257" s="2">
        <v>-19.995251843726098</v>
      </c>
      <c r="F257" s="3">
        <f>-8.4647510454724E-09*E257 ^ 6 + 2.13328074000852E-06*E257 ^ 5 + -0.000201731324619827*E257 ^ 4 + 0.00857723234057499*E257 ^ 3 + -0.192195887291948*E257 ^ 2 + 1.30903043804305*E257 ^ 1 + 211.191098582582</f>
        <v>1.0669172920074743E-4</v>
      </c>
      <c r="G257" s="3">
        <f>1.8820456094373E-10*E257 ^ 6 + -3.60624389062141E-08*E257 ^ 5 + 2.66404559812955E-06*E257 ^ 4 + -0.000155228029089495*E257 ^ 3 + 0.00473807800485595*E257 ^ 2 + 0.253478780147938*E257 ^ 1 + 13.968047163423</f>
        <v>12.588080019049414</v>
      </c>
      <c r="H257" s="4">
        <f>-1.85548907453469E-10*E257 ^ 6 + 3.55871335323789E-08*E257 ^ 5 + -2.99535669500854E-06*E257 ^ 4 + 0.000237908816171599*E257 ^ 3 + -0.00824041419810694*E257 ^ 2 + -0.415254281929678*E257 ^ 1 + 3576.0886479539</f>
        <v>3578.5908417557089</v>
      </c>
    </row>
    <row r="258" spans="3:8" x14ac:dyDescent="0.2">
      <c r="C258" s="24" t="s">
        <v>83</v>
      </c>
      <c r="D258" s="1" t="s">
        <v>351</v>
      </c>
      <c r="E258" s="2">
        <v>-19.609187794406747</v>
      </c>
      <c r="F258" s="3">
        <f>-8.74576926249949E-09*E258 ^ 6 + 2.23263454359025E-06*E258 ^ 5 + -0.000215508805511912*E258 ^ 4 + 0.00943392109001615*E258 ^ 3 + -0.214163972448117*E258 ^ 2 + 1.43844345097159*E258 ^ 1 + 220.524820202987</f>
        <v>1.3124580880230496E-4</v>
      </c>
      <c r="G258" s="3">
        <f>3.56004352626032E-10*E258 ^ 6 + -6.8985590858792E-08*E258 ^ 5 + 4.67757408752133E-06*E258 ^ 4 + -0.000180321891989511*E258 ^ 3 + 0.00344090445825364*E258 ^ 2 + 0.289046015398963*E258 ^ 1 + 14.7543682595148</f>
        <v>12.681017378225253</v>
      </c>
      <c r="H258" s="4">
        <f>-4.17494540399094E-10*E258 ^ 6 + 8.04130259120702E-08*E258 ^ 5 + -0.0000055949890363738*E258 ^ 4 + 0.000252991227131927*E258 ^ 3 + -0.00549736531294401*E258 ^ 2 + -0.481137569652656*E258 ^ 1 + 3574.7974069486</f>
        <v>3579.1265571349636</v>
      </c>
    </row>
    <row r="259" spans="3:8" x14ac:dyDescent="0.2">
      <c r="C259" s="24" t="s">
        <v>84</v>
      </c>
      <c r="D259" s="1" t="s">
        <v>352</v>
      </c>
      <c r="E259" s="2">
        <v>-20.294515027960752</v>
      </c>
      <c r="F259" s="3">
        <f>-9.60582184178533E-09*E259 ^ 6 + 2.40361151130071E-06*E259 ^ 5 + -0.000224180189059062*E259 ^ 4 + 0.00931804004256657*E259 ^ 3 + -0.206107998322629*E259 ^ 2 + 1.43873887127078*E259 ^ 1 + 238.948652337027</f>
        <v>1.0219855465720684E-4</v>
      </c>
      <c r="G259" s="3">
        <f>6.76314974294763E-11*E259 ^ 6 + -1.14379996002235E-08*E259 ^ 5 + 1.08345566807372E-06*E259 ^ 4 + -0.000142913753866282*E259 ^ 3 + 0.00625604852934334*E259 ^ 2 + 0.27203010509723*E259 ^ 1 + 15.658654919911</f>
        <v>14.13705765357216</v>
      </c>
      <c r="H259" s="4">
        <f>-1.51675552988708E-10*E259 ^ 6 + 3.86215778362849E-08*E259 ^ 5 + -4.16458658075022E-06*E259 ^ 4 + 0.000270595212944598*E259 ^ 3 + -0.00685176314334788*E259 ^ 2 + -0.289622444568658*E259 ^ 1 + 3578.67618097436</f>
        <v>3578.6200841830896</v>
      </c>
    </row>
    <row r="260" spans="3:8" x14ac:dyDescent="0.2">
      <c r="C260" s="24" t="s">
        <v>84</v>
      </c>
      <c r="D260" s="1" t="s">
        <v>402</v>
      </c>
      <c r="E260" s="2">
        <v>-19.932033404376913</v>
      </c>
      <c r="F260" s="3">
        <f>-9.86605907644594E-09*E260 ^ 6 + 2.49820947083615E-06*E260 ^ 5 + -0.000237566533282199*E260 ^ 4 + 0.0101617544913454*E260 ^ 3 + -0.227974817291644*E260 ^ 2 + 1.57155918546995*E260 ^ 1 + 248.338347269581</f>
        <v>1.277219638780025E-4</v>
      </c>
      <c r="G260" s="3">
        <f>2.35477483788833E-10*E260 ^ 6 + -4.45487722879434E-08*E260 ^ 5 + 3.12563782396917E-06*E260 ^ 4 + -0.000169435456345978*E260 ^ 3 + 0.00498108529320024*E260 ^ 2 + 0.308000324818547*E260 ^ 1 + 16.4510840512519</f>
        <v>14.280892602525672</v>
      </c>
      <c r="H260" s="4">
        <f>-2.82879241140476E-10*E260 ^ 6 + 6.24113727100105E-08*E260 ^ 5 + -5.28198252019341E-06*E260 ^ 4 + 0.000251939454509587*E260 ^ 3 + -0.0045568415107599*E260 ^ 2 + -0.326325858595146*E260 ^ 1 + 3577.8320081033</f>
        <v>3579.4831678588198</v>
      </c>
    </row>
    <row r="261" spans="3:8" x14ac:dyDescent="0.2">
      <c r="C261" s="24" t="s">
        <v>84</v>
      </c>
      <c r="D261" s="1" t="s">
        <v>353</v>
      </c>
      <c r="E261" s="2">
        <v>-19.60995876816823</v>
      </c>
      <c r="F261" s="3">
        <f>-1.01293915330054E-08*E261 ^ 6 + 2.59348579638431E-06*E261 ^ 5 + -0.000251003811508046*E261 ^ 4 + 0.0110068852971168*E261 ^ 3 + -0.249850589379146*E261 ^ 2 + 1.70436019840528*E261 ^ 1 + 257.720976217362</f>
        <v>1.5075780015649798E-4</v>
      </c>
      <c r="G261" s="3">
        <f>4.02974256513791E-10*E261 ^ 6 + -7.75666921667928E-08*E261 ^ 5 + 5.15982596659445E-06*E261 ^ 4 + -0.000195709342939579*E261 ^ 3 + 0.00370471679833029*E261 ^ 2 + 0.343937507008646*E261 ^ 1 + 17.2425684156084</f>
        <v>14.409348671754248</v>
      </c>
      <c r="H261" s="4">
        <f>-4.26895417297998E-10*E261 ^ 6 + 8.91026109136322E-08*E261 ^ 5 + -6.64711893037549E-06*E261 ^ 4 + 0.000243865523890673*E261 ^ 3 + -0.00252442565697026*E261 ^ 2 + -0.359868404354908*E261 ^ 1 + 3577.00085161965</f>
        <v>3579.9824575808698</v>
      </c>
    </row>
    <row r="262" spans="3:8" x14ac:dyDescent="0.2">
      <c r="C262" s="24" t="s">
        <v>84</v>
      </c>
      <c r="D262" s="1" t="s">
        <v>354</v>
      </c>
      <c r="E262" s="2">
        <v>-20.130590540873438</v>
      </c>
      <c r="F262" s="3">
        <f>-1.12123478314873E-08*E262 ^ 6 + 2.80983616250988E-06*E262 ^ 5 + -0.000262951033888373*E262 ^ 4 + 0.0109955959167653*E262 ^ 3 + -0.243344012659262*E262 ^ 2 + 1.68827037355253*E262 ^ 1 + 275.514924281645</f>
        <v>1.3352105355579624E-4</v>
      </c>
      <c r="G262" s="3">
        <f>1.0531366285141E-10*E262 ^ 6 + -1.77861566805496E-08*E262 ^ 5 + 1.38588765570107E-06*E262 ^ 4 + -0.000151417236122428*E262 ^ 3 + 0.00633782700769638*E262 ^ 2 + 0.324842540137711*E262 ^ 1 + 18.0842818342821</f>
        <v>15.641973765023929</v>
      </c>
      <c r="H262" s="4">
        <f>-4.25349941836112E-10*E262 ^ 6 + 9.46629260825487E-08*E262 ^ 5 + -7.99675377878494E-06*E262 ^ 4 + 0.00036429325919116*E262 ^ 3 + -0.00697762965249686*E262 ^ 2 + -0.326644228822815*E262 ^ 1 + 3576.13117330024</f>
        <v>3575.2528131971039</v>
      </c>
    </row>
    <row r="263" spans="3:8" x14ac:dyDescent="0.2">
      <c r="C263" s="24" t="s">
        <v>76</v>
      </c>
      <c r="D263" s="1" t="s">
        <v>362</v>
      </c>
      <c r="E263" s="2">
        <v>94.081016216918371</v>
      </c>
      <c r="F263" s="3">
        <f>6.95068749378737E-11*E263 ^ 6 + -2.53078680120186E-08*E263 ^ 5 + 3.84288359296437E-06*E263 ^ 4 + -0.000302761653155177*E263 ^ 3 + 0.0081848642243319*E263 ^ 2 + -0.110307338211184*E263 ^ 1 + 27.3207474554718</f>
        <v>-2.6657075519764817E-4</v>
      </c>
      <c r="G263" s="3">
        <f>-2.91610694463382E-11*E263 ^ 6 + 8.95841832285742E-09*E263 ^ 5 + -9.00829397464306E-07*E263 ^ 4 + 0.0000252532525036542*E263 ^ 3 + 0.000496295692607061*E263 ^ 2 + 0.0198463498365399*E263 ^ 1 + 2.19522172538887</f>
        <v>4.7179092865807934</v>
      </c>
      <c r="H263" s="4">
        <f>4.87555891807927E-10*E263 ^ 6 + -1.76087213192786E-07*E263 ^ 5 + 0.0000224542477961228*E263 ^ 4 + -0.00111137578923169*E263 ^ 3 + 0.0142142196481748*E263 ^ 2 + -0.531531693082303*E263 ^ 1 + 3561.63106508231</f>
        <v>3511.3257993630841</v>
      </c>
    </row>
    <row r="264" spans="3:8" x14ac:dyDescent="0.2">
      <c r="C264" s="24" t="s">
        <v>77</v>
      </c>
      <c r="D264" s="1" t="s">
        <v>363</v>
      </c>
      <c r="E264" s="2">
        <v>108.12414873319764</v>
      </c>
      <c r="F264" s="3">
        <f>1.03595688897802E-10*E264 ^ 6 + -3.00745369034494E-08*E264 ^ 5 + 3.09759019340637E-06*E264 ^ 4 + -0.000141200822468983*E264 ^ 3 + 0.000518763589672212*E264 ^ 2 + -0.117999414571156*E264 ^ 1 + 40.7248858856608</f>
        <v>5.6181662309739977E-4</v>
      </c>
      <c r="G264" s="3">
        <f>-1.41609736543823E-11*E264 ^ 6 + 5.32890144714736E-09*E264 ^ 5 + -7.08787013439139E-07*E264 ^ 4 + 0.0000358893766131504*E264 ^ 3 + -0.000360934180126747*E264 ^ 2 + 0.0178656344626335*E264 ^ 1 + 4.28197624409161</f>
        <v>6.609573999903632</v>
      </c>
      <c r="H264" s="4">
        <f>7.00255387608509E-11*E264 ^ 6 + -3.47177036315885E-08*E264 ^ 5 + 5.71069112567041E-06*E264 ^ 4 + -0.000346599281526009*E264 ^ 3 + 0.00432406863567588*E264 ^ 2 + -0.169039828963388*E264 ^ 1 + 3563.55670815457</f>
        <v>3537.0551586350039</v>
      </c>
    </row>
    <row r="265" spans="3:8" x14ac:dyDescent="0.2">
      <c r="C265" s="24" t="s">
        <v>79</v>
      </c>
      <c r="D265" s="1" t="s">
        <v>364</v>
      </c>
      <c r="E265" s="2">
        <v>98.540917736915262</v>
      </c>
      <c r="F265" s="3">
        <f>-3.40509311036236E-11*E265 ^ 6 + 2.24279281364089E-09*E265 ^ 5 + 1.70079487037683E-06*E265 ^ 4 + -0.000303527407013256*E265 ^ 3 + 0.0106538323489494*E265 ^ 2 + -0.192619895504225*E265 ^ 1 + 55.932459465646</f>
        <v>-1.9803535072782097E-4</v>
      </c>
      <c r="G265" s="3">
        <f>-5.32293820565895E-11*E265 ^ 6 + 1.69652562987689E-08*E265 ^ 5 + -1.82998102068541E-06*E265 ^ 4 + 0.0000641848844398615*E265 ^ 3 + 0.00020051823071597*E265 ^ 2 + 0.0492662709881778*E265 ^ 1 + 4.6832470867215</f>
        <v>9.2475407076833136</v>
      </c>
      <c r="H265" s="4">
        <f>4.02471772965949E-10*E265 ^ 6 + -0.0000001295678906173*E265 ^ 5 + 0.0000142543875037751*E265 ^ 4 + -0.000531626287907914*E265 ^ 3 + 0.0000308146570739806*E265 ^ 2 + -0.323299317809516*E265 ^ 1 + 3574.2566844873</f>
        <v>3542.6783872190499</v>
      </c>
    </row>
    <row r="266" spans="3:8" x14ac:dyDescent="0.2">
      <c r="C266" s="24" t="s">
        <v>79</v>
      </c>
      <c r="D266" s="1" t="s">
        <v>403</v>
      </c>
      <c r="E266" s="2">
        <v>105.0078658705133</v>
      </c>
      <c r="F266" s="3">
        <f>3.59249886783885E-12*E266 ^ 6 + -3.9256300630646E-09*E266 ^ 5 + 1.16056736188762E-06*E266 ^ 4 + -0.000154439276088213*E266 ^ 3 + 0.00324309817948023*E266 ^ 2 + -0.205753966240468*E266 ^ 1 + 68.8627947053762</f>
        <v>1.33582841172597E-4</v>
      </c>
      <c r="G266" s="3">
        <f>-3.96494676813553E-11*E266 ^ 6 + 1.36116779708233E-08*E266 ^ 5 + -1.64634176148262E-06*E266 ^ 4 + 0.0000740663316375475*E266 ^ 3 + -0.000633191174586452*E266 ^ 2 + 0.0459933770253383*E266 ^ 1 + 6.70849132515212</f>
        <v>10.773096509223658</v>
      </c>
      <c r="H266" s="4">
        <f>2.95050239304709E-10*E266 ^ 6 + -1.01372475813639E-07*E266 ^ 5 + 0.0000122895945982374*E266 ^ 4 + -0.000557191973498126*E266 ^ 3 + 0.00492953473335087*E266 ^ 2 + -0.322113208398364*E266 ^ 1 + 3560.72085646682</f>
        <v>3531.6343383823869</v>
      </c>
    </row>
    <row r="267" spans="3:8" x14ac:dyDescent="0.2">
      <c r="C267" s="24" t="s">
        <v>80</v>
      </c>
      <c r="D267" s="1" t="s">
        <v>365</v>
      </c>
      <c r="E267" s="2">
        <v>109.54068214801006</v>
      </c>
      <c r="F267" s="3">
        <f>6.89045366484662E-11*E267 ^ 6 + -1.23249267399261E-08*E267 ^ 5 + -1.52199745769323E-07*E267 ^ 4 + 0.000103118837930557*E267 ^ 3 + -0.00869490734883334*E267 ^ 2 + -0.146325200534276*E267 ^ 1 + 82.0772188362513</f>
        <v>-1.4524996231557452E-5</v>
      </c>
      <c r="G267" s="3">
        <f>-1.49181046426934E-11*E267 ^ 6 + 6.26954829969289E-09*E267 ^ 5 + -9.30298755820653E-07*E267 ^ 4 + 0.0000495457601373022*E267 ^ 3 + -0.000348691239522775*E267 ^ 2 + 0.0318755158342853*E267 ^ 1 + 8.81653173224323</f>
        <v>12.410728252632801</v>
      </c>
      <c r="H267" s="4">
        <f>4.09803552280151E-11*E267 ^ 6 + -1.65512782744274E-08*E267 ^ 5 + 2.34830100642428E-06*E267 ^ 4 + -0.000114636584465916*E267 ^ 3 + 0.000227850240333629*E267 ^ 2 + -0.094688808379148*E267 ^ 1 + 3567.5884210718</f>
        <v>3557.1385085130014</v>
      </c>
    </row>
    <row r="268" spans="3:8" x14ac:dyDescent="0.2">
      <c r="C268" s="24" t="s">
        <v>81</v>
      </c>
      <c r="D268" s="1" t="s">
        <v>366</v>
      </c>
      <c r="E268" s="2">
        <v>104.91985256131915</v>
      </c>
      <c r="F268" s="3">
        <f>-9.79145228831682E-11*E268 ^ 6 + 2.30606934215636E-08*E268 ^ 5 + -8.99101190373211E-07*E268 ^ 4 + -0.000162581429424954*E268 ^ 3 + 0.00599990190687659*E268 ^ 2 + -0.287296757992173*E268 ^ 1 + 98.243465453431</f>
        <v>3.9806984331391959E-4</v>
      </c>
      <c r="G268" s="3">
        <f>-6.40919560081586E-11*E268 ^ 6 + 2.17232059360553E-08*E268 ^ 5 + -2.58439999144853E-06*E268 ^ 4 + 0.000113011649745251*E268 ^ 3 + -0.000904764051186278*E268 ^ 2 + 0.0762887717650059*E268 ^ 1 + 9.31221063624538</f>
        <v>15.400985310456193</v>
      </c>
      <c r="H268" s="4">
        <f>2.66941219422849E-10*E268 ^ 6 + -9.16116319770719E-08*E268 ^ 5 + 0.0000111444769570489*E268 ^ 4 + -0.000514843694993893*E268 ^ 3 + 0.00512290724230993*E268 ^ 2 + -0.23404642621136*E268 ^ 1 + 3582.26128934927</f>
        <v>3561.2785174616547</v>
      </c>
    </row>
    <row r="269" spans="3:8" x14ac:dyDescent="0.2">
      <c r="C269" s="24" t="s">
        <v>81</v>
      </c>
      <c r="D269" s="1" t="s">
        <v>404</v>
      </c>
      <c r="E269" s="2">
        <v>107.38336062753423</v>
      </c>
      <c r="F269" s="3">
        <f>-2.8754772035953E-11*E269 ^ 6 + 1.31865853438104E-08*E269 ^ 5 + -2.01583609189289E-06*E269 ^ 4 + 0.0000858724307285386*E269 ^ 3 + -0.00591561723610208*E269 ^ 2 + -0.234485487129978*E269 ^ 1 + 110.907423005449</f>
        <v>-6.9371679956020671E-7</v>
      </c>
      <c r="G269" s="3">
        <f>-3.99742737454163E-11*E269 ^ 6 + 1.4439354843493E-08*E269 ^ 5 + -0.0000018556516798106*E269 ^ 4 + 0.0000870420194990792*E269 ^ 3 + -0.000607158967631857*E269 ^ 2 + 0.0603442147984143*E269 ^ 1 + 11.3469629063536</f>
        <v>16.744967935822665</v>
      </c>
      <c r="H269" s="4">
        <f>1.83953766912829E-10*E269 ^ 6 + -6.5394657972023E-08*E269 ^ 5 + 8.31289083287712E-06*E269 ^ 4 + -0.000396544647644191*E269 ^ 3 + 0.00349403569284798*E269 ^ 2 + -0.210959705578919*E269 ^ 1 + 3575.96233378334</f>
        <v>3556.2355541696325</v>
      </c>
    </row>
    <row r="270" spans="3:8" x14ac:dyDescent="0.2">
      <c r="C270" s="24" t="s">
        <v>82</v>
      </c>
      <c r="D270" s="1" t="s">
        <v>367</v>
      </c>
      <c r="E270" s="2">
        <v>109.82758728392251</v>
      </c>
      <c r="F270" s="3">
        <f>3.65004417642864E-11*E270 ^ 6 + 4.61998235093892E-09*E270 ^ 5 + -3.28433727362841E-06*E270 ^ 4 + 0.000339962731301269*E270 ^ 3 + -0.0177845252725297*E270 ^ 2 + -0.175990842933208*E270 ^ 1 + 123.452582796992</f>
        <v>1.6946808813145253E-4</v>
      </c>
      <c r="G270" s="3">
        <f>-1.63605522844633E-11*E270 ^ 6 + 7.36648392894579E-09*E270 ^ 5 + -1.15859087935764E-06*E270 ^ 4 + 0.0000628260445434754*E270 ^ 3 + -0.000325677516316459*E270 ^ 2 + 0.0456829551058656*E270 ^ 1 + 13.3552752098265</f>
        <v>18.103662141174915</v>
      </c>
      <c r="H270" s="4">
        <f>3.09924142580804E-11*E270 ^ 6 + -1.53023602463563E-08*E270 ^ 5 + 2.57418275918065E-06*E270 ^ 4 + -0.000149601745780756*E270 ^ 3 + 0.0011764140339663*E270 ^ 2 + -0.0963137489135975*E270 ^ 1 + 3569.25861006705</f>
        <v>3559.0842934997945</v>
      </c>
    </row>
    <row r="271" spans="3:8" x14ac:dyDescent="0.2">
      <c r="C271" s="24" t="s">
        <v>82</v>
      </c>
      <c r="D271" s="1" t="s">
        <v>368</v>
      </c>
      <c r="E271" s="2">
        <v>106.18322858088925</v>
      </c>
      <c r="F271" s="3">
        <f>-1.33784410119961E-10*E271 ^ 6 + 4.11402233564469E-08*E271 ^ 5 + -4.16902551325036E-06*E271 ^ 4 + 0.0000813120834117325*E271 ^ 3 + -0.00321177508190699*E271 ^ 2 + -0.315481035139085*E271 ^ 1 + 138.771334518425</f>
        <v>-8.8373707285427372E-7</v>
      </c>
      <c r="G271" s="3">
        <f>-6.62394149505535E-11*E271 ^ 6 + 2.30247203549945E-08*E271 ^ 5 + -0.0000028338252930005*E271 ^ 4 + 0.000127176266729859*E271 ^ 3 + -0.000892782153607928*E271 ^ 2 + 0.0894549912907164*E271 ^ 1 + 13.7288397832012</f>
        <v>21.02759808592301</v>
      </c>
      <c r="H271" s="4">
        <f>1.63834136288186E-10*E271 ^ 6 + -5.77035068245063E-08*E271 ^ 5 + 7.25136021963263E-06*E271 ^ 4 + -0.00034192619133269*E271 ^ 3 + 0.00316732876110834*E271 ^ 2 + -0.191148799173706*E271 ^ 1 + 3568.50348467531</f>
        <v>3552.2990354612912</v>
      </c>
    </row>
    <row r="272" spans="3:8" x14ac:dyDescent="0.2">
      <c r="C272" s="24" t="s">
        <v>83</v>
      </c>
      <c r="D272" s="1" t="s">
        <v>405</v>
      </c>
      <c r="E272" s="2">
        <v>108.30221313185481</v>
      </c>
      <c r="F272" s="3">
        <f>-6.5194672806483E-11*E272 ^ 6 + 3.16645617644686E-08*E272 ^ 5 + -5.36087340934942E-06*E272 ^ 4 + 0.000334220741628831*E272 ^ 3 + -0.0151428827447435*E272 ^ 2 + -0.259593773858635*E272 ^ 1 + 152.106214037248</f>
        <v>-2.7373419584364456E-6</v>
      </c>
      <c r="G272" s="3">
        <f>-4.17077175630064E-11*E272 ^ 6 + 1.56992086712053E-08*E272 ^ 5 + -2.11441614498815E-06*E272 ^ 4 + 0.000102385167148205*E272 ^ 3 + -0.000613585290125003*E272 ^ 2 + 0.0748164663201672*E272 ^ 1 + 15.8589243499484</f>
        <v>22.543450718260623</v>
      </c>
      <c r="H272" s="4">
        <f>7.48560139970616E-11*E272 ^ 6 + -2.77202316050101E-08*E272 ^ 5 + 3.67504376680789E-06*E272 ^ 4 + -0.000175830116645991*E272 ^ 3 + 0.00104886317511029*E272 ^ 2 + -0.124489542846357*E272 ^ 1 + 3572.96747501237</f>
        <v>3561.7967790853877</v>
      </c>
    </row>
    <row r="273" spans="3:8" x14ac:dyDescent="0.2">
      <c r="C273" s="24" t="s">
        <v>83</v>
      </c>
      <c r="D273" s="1" t="s">
        <v>369</v>
      </c>
      <c r="E273" s="2">
        <v>109.95556787175262</v>
      </c>
      <c r="F273" s="3">
        <f>5.03362939165694E-12*E273 ^ 6 + 2.14337334108899E-08*E273 ^ 5 + -6.43076425345418E-06*E273 ^ 4 + 0.000579519196546213*E273 ^ 3 + -0.0269574146086423*E273 ^ 2 + -0.205982542428606*E273 ^ 1 + 164.780723618903</f>
        <v>-2.3180561470326211E-7</v>
      </c>
      <c r="G273" s="3">
        <f>-1.74478681681781E-11*E273 ^ 6 + 8.37840242267706E-09*E273 ^ 5 + -1.38255562506033E-06*E273 ^ 4 + 0.000076293480444456*E273 ^ 3 + -0.000313631215837402*E273 ^ 2 + 0.0594052749510537*E273 ^ 1 + 17.8864457989022</f>
        <v>23.784601576954913</v>
      </c>
      <c r="H273" s="4">
        <f>3.61959387300255E-11*E273 ^ 6 + -1.59578720293051E-08*E273 ^ 5 + 2.48358776157838E-06*E273 ^ 4 + -0.00013246207276102*E273 ^ 3 + 0.00055321175415931*E273 ^ 2 + -0.0994446109061344*E273 ^ 1 + 3569.57898631127</f>
        <v>3559.7579985147572</v>
      </c>
    </row>
    <row r="274" spans="3:8" x14ac:dyDescent="0.2">
      <c r="C274" s="24" t="s">
        <v>83</v>
      </c>
      <c r="D274" s="1" t="s">
        <v>370</v>
      </c>
      <c r="E274" s="2">
        <v>107.10952559597168</v>
      </c>
      <c r="F274" s="3">
        <f>-1.66849504958081E-10*E274 ^ 6 + 5.8627859482581E-08*E274 ^ 5 + -7.41509072436986E-06*E274 ^ 4 + 0.000326794989482909*E274 ^ 3 + -0.0124908994965505*E274 ^ 2 + -0.345230584099275*E274 ^ 1 + 180.097793817628</f>
        <v>-3.3594903641187557E-6</v>
      </c>
      <c r="G274" s="3">
        <f>-6.73860124606027E-11*E274 ^ 6 + 2.40904758812018E-08*E274 ^ 5 + -0.0000030690697074454*E274 ^ 4 + 0.000141465030749922*E274 ^ 3 + -0.000896748284187303*E274 ^ 2 + 0.103210919536294*E274 ^ 1 + 18.2592284054766</f>
        <v>26.780845910756241</v>
      </c>
      <c r="H274" s="4">
        <f>1.17207653943253E-10*E274 ^ 6 + -4.08350676002402E-08*E274 ^ 5 + 5.04701452687249E-06*E274 ^ 4 + -0.000222929926488766*E274 ^ 3 + 0.00109154264344508*E274 ^ 2 + -0.169796580045497*E274 ^ 1 + 3568.95318036546</f>
        <v>3554.9342279810776</v>
      </c>
    </row>
    <row r="275" spans="3:8" x14ac:dyDescent="0.2">
      <c r="C275" s="24" t="s">
        <v>84</v>
      </c>
      <c r="D275" s="1" t="s">
        <v>371</v>
      </c>
      <c r="E275" s="2">
        <v>110.20699725553048</v>
      </c>
      <c r="F275" s="3">
        <f>-2.87183040135472E-11*E275 ^ 6 + 3.89115029526765E-08*E275 ^ 5 + -0.0000096539138428764*E275 ^ 4 + 0.000822287944475168*E275 ^ 3 + -0.0360991208718407*E275 ^ 2 + -0.232322123275636*E275 ^ 1 + 206.352663765259</f>
        <v>-1.1292089823200513E-6</v>
      </c>
      <c r="G275" s="3">
        <f>-1.88826754803963E-11*E275 ^ 6 + 9.52838931017533E-09*E275 ^ 5 + -1.62928104721119E-06*E275 ^ 4 + 0.0000912399114665008*E275 ^ 3 + -0.000318543643685365*E275 ^ 2 + 0.0740400431950955*E275 ^ 1 + 22.4573195335175</f>
        <v>29.605351684480723</v>
      </c>
      <c r="H275" s="4">
        <f>1.21662570703066E-11*E275 ^ 6 + -6.10258879910428E-09*E275 ^ 5 + 1.02074238984724E-06*E275 ^ 4 + -0.0000504663264158947*E275 ^ 3 + -0.000390698075936812*E275 ^ 2 + -0.0623800312217697*E275 ^ 1 + 3571.88004353498</f>
        <v>3565.8711963631017</v>
      </c>
    </row>
    <row r="276" spans="3:8" x14ac:dyDescent="0.2">
      <c r="C276" s="24" t="s">
        <v>84</v>
      </c>
      <c r="D276" s="1" t="s">
        <v>372</v>
      </c>
      <c r="E276" s="2">
        <v>107.90785637616904</v>
      </c>
      <c r="F276" s="3">
        <f>-2.04009081808207E-10*E276 ^ 6 + 7.73896398936731E-08*E276 ^ 5 + -0.0000107994734637662*E276 ^ 4 + 0.000577004021076426*E276 ^ 3 + -0.0217170095765068*E276 ^ 2 + -0.36853913666896*E276 ^ 1 + 221.7099319272</f>
        <v>-9.1678521414451097E-6</v>
      </c>
      <c r="G276" s="3">
        <f>-6.92985719185931E-11*E276 ^ 6 + 2.5432881439794E-08*E276 ^ 5 + -3.34173823154538E-06*E276 ^ 4 + 0.00015768955991483*E276 ^ 3 + -0.000914219262212981*E276 ^ 2 + 0.118342986833762*E276 ^ 1 + 22.8338777781104</f>
        <v>32.698618538927356</v>
      </c>
      <c r="H276" s="4">
        <f>3.54775864314019E-11*E276 ^ 6 + -1.3490173839224E-08*E276 ^ 5 + 1.80044542486707E-06*E276 ^ 4 + -0.0000776336466881973*E276 ^ 3 + -0.000210907164481595*E276 ^ 2 + -0.10018055584215*E276 ^ 1 + 3571.53706311112</f>
        <v>3563.4788724586356</v>
      </c>
    </row>
    <row r="277" spans="3:8" x14ac:dyDescent="0.2">
      <c r="C277" s="24" t="s">
        <v>85</v>
      </c>
      <c r="D277" s="1" t="s">
        <v>373</v>
      </c>
      <c r="E277" s="2">
        <v>110.12430704653458</v>
      </c>
      <c r="F277" s="3">
        <f>-6.46139905280962E-11*E277 ^ 6 + 5.72014289280416E-08*E277 ^ 5 + -0.0000129713798850796*E277 ^ 4 + 0.00106892848267663*E277 ^ 3 + -0.0453082488322296*E277 ^ 2 + -0.259386692217346*E277 ^ 1 + 246.994783556351</f>
        <v>-2.4470590460623498E-6</v>
      </c>
      <c r="G277" s="3">
        <f>-2.10378997363278E-11*E277 ^ 6 + 1.08863361166492E-08*E277 ^ 5 + -0.0000018937332921485*E277 ^ 4 + 0.000106602219536751*E277 ^ 3 + -0.000333360607546569*E277 ^ 2 + 0.0881090403982025*E277 ^ 1 + 26.8764538441414</f>
        <v>35.183906114681946</v>
      </c>
      <c r="H277" s="4">
        <f>-1.64655866207321E-11*E277 ^ 6 + 3.37105176581988E-09*E277 ^ 5 + -1.14134016603642E-07*E277 ^ 4 + 4.96885861400648E-06*E277 ^ 3 + -0.00119558321033536*E277 ^ 2 + -0.0491062958803755*E277 ^ 1 + 3566.70555915012</f>
        <v>3561.8789125471853</v>
      </c>
    </row>
  </sheetData>
  <dataValidations count="1">
    <dataValidation type="list" allowBlank="1" showInputMessage="1" showErrorMessage="1" sqref="J11">
      <formula1>liste_bis60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import_données60HZ">
                <anchor moveWithCells="1" sizeWithCells="1">
                  <from>
                    <xdr:col>5</xdr:col>
                    <xdr:colOff>323850</xdr:colOff>
                    <xdr:row>4</xdr:row>
                    <xdr:rowOff>0</xdr:rowOff>
                  </from>
                  <to>
                    <xdr:col>7</xdr:col>
                    <xdr:colOff>447675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Valeurs_Cibles">
                <anchor moveWithCells="1" sizeWithCells="1">
                  <from>
                    <xdr:col>3</xdr:col>
                    <xdr:colOff>695325</xdr:colOff>
                    <xdr:row>4</xdr:row>
                    <xdr:rowOff>104775</xdr:rowOff>
                  </from>
                  <to>
                    <xdr:col>4</xdr:col>
                    <xdr:colOff>609600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50HZ</vt:lpstr>
      <vt:lpstr>val</vt:lpstr>
      <vt:lpstr>60HZ</vt:lpstr>
    </vt:vector>
  </TitlesOfParts>
  <Company>WILO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Elfassi Youssef</dc:creator>
  <cp:lastModifiedBy>Elfassi Youssef</cp:lastModifiedBy>
  <dcterms:created xsi:type="dcterms:W3CDTF">2013-10-09T07:34:07Z</dcterms:created>
  <dcterms:modified xsi:type="dcterms:W3CDTF">2013-11-25T14:18:58Z</dcterms:modified>
</cp:coreProperties>
</file>