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3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Z12" i="1" l="1"/>
  <c r="AY12" i="1"/>
  <c r="AX12" i="1"/>
  <c r="AW12" i="1"/>
  <c r="AV12" i="1"/>
  <c r="AT12" i="1"/>
  <c r="AS12" i="1"/>
  <c r="AR12" i="1"/>
  <c r="AQ12" i="1"/>
  <c r="AP12" i="1"/>
  <c r="AN12" i="1"/>
  <c r="AM12" i="1"/>
  <c r="AL12" i="1"/>
  <c r="AK12" i="1"/>
  <c r="AJ12" i="1"/>
  <c r="AH12" i="1"/>
  <c r="AG12" i="1"/>
  <c r="AF12" i="1"/>
  <c r="AE12" i="1"/>
  <c r="AD12" i="1"/>
  <c r="AB12" i="1"/>
  <c r="AA12" i="1"/>
  <c r="Z12" i="1"/>
  <c r="Y12" i="1"/>
  <c r="X12" i="1"/>
  <c r="V12" i="1"/>
  <c r="U12" i="1"/>
  <c r="T12" i="1"/>
  <c r="S12" i="1"/>
  <c r="R12" i="1"/>
  <c r="P12" i="1"/>
  <c r="O12" i="1"/>
  <c r="N12" i="1"/>
  <c r="M12" i="1"/>
  <c r="L12" i="1"/>
  <c r="J12" i="1"/>
  <c r="I12" i="1"/>
  <c r="H12" i="1"/>
  <c r="G12" i="1"/>
  <c r="F12" i="1"/>
  <c r="AZ11" i="1"/>
  <c r="AY11" i="1"/>
  <c r="AX11" i="1"/>
  <c r="AW11" i="1"/>
  <c r="AV11" i="1"/>
  <c r="AT11" i="1"/>
  <c r="AS11" i="1"/>
  <c r="AR11" i="1"/>
  <c r="AQ11" i="1"/>
  <c r="AP11" i="1"/>
  <c r="AN11" i="1"/>
  <c r="AM11" i="1"/>
  <c r="AL11" i="1"/>
  <c r="AK11" i="1"/>
  <c r="AJ11" i="1"/>
  <c r="AH11" i="1"/>
  <c r="AG11" i="1"/>
  <c r="AF11" i="1"/>
  <c r="AE11" i="1"/>
  <c r="AD11" i="1"/>
  <c r="AB11" i="1"/>
  <c r="AA11" i="1"/>
  <c r="Z11" i="1"/>
  <c r="Y11" i="1"/>
  <c r="X11" i="1"/>
  <c r="V11" i="1"/>
  <c r="U11" i="1"/>
  <c r="T11" i="1"/>
  <c r="S11" i="1"/>
  <c r="R11" i="1"/>
  <c r="P11" i="1"/>
  <c r="O11" i="1"/>
  <c r="N11" i="1"/>
  <c r="M11" i="1"/>
  <c r="L11" i="1"/>
  <c r="J11" i="1"/>
  <c r="I11" i="1"/>
  <c r="H11" i="1"/>
  <c r="G11" i="1"/>
  <c r="F11" i="1"/>
  <c r="AZ10" i="1"/>
  <c r="AY10" i="1"/>
  <c r="AX10" i="1"/>
  <c r="AW10" i="1"/>
  <c r="AV10" i="1"/>
  <c r="AT10" i="1"/>
  <c r="AS10" i="1"/>
  <c r="AR10" i="1"/>
  <c r="AQ10" i="1"/>
  <c r="AP10" i="1"/>
  <c r="AN10" i="1"/>
  <c r="AM10" i="1"/>
  <c r="AL10" i="1"/>
  <c r="AK10" i="1"/>
  <c r="AJ10" i="1"/>
  <c r="AH10" i="1"/>
  <c r="AG10" i="1"/>
  <c r="AF10" i="1"/>
  <c r="AE10" i="1"/>
  <c r="AD10" i="1"/>
  <c r="AB10" i="1"/>
  <c r="AA10" i="1"/>
  <c r="Z10" i="1"/>
  <c r="Y10" i="1"/>
  <c r="X10" i="1"/>
  <c r="V10" i="1"/>
  <c r="U10" i="1"/>
  <c r="T10" i="1"/>
  <c r="S10" i="1"/>
  <c r="R10" i="1"/>
  <c r="P10" i="1"/>
  <c r="O10" i="1"/>
  <c r="N10" i="1"/>
  <c r="M10" i="1"/>
  <c r="L10" i="1"/>
  <c r="J10" i="1"/>
  <c r="I10" i="1"/>
  <c r="H10" i="1"/>
  <c r="G10" i="1"/>
  <c r="F10" i="1"/>
</calcChain>
</file>

<file path=xl/sharedStrings.xml><?xml version="1.0" encoding="utf-8"?>
<sst xmlns="http://schemas.openxmlformats.org/spreadsheetml/2006/main" count="81" uniqueCount="39">
  <si>
    <t>mini</t>
  </si>
  <si>
    <t>Q
(m3/h)</t>
  </si>
  <si>
    <t>Hmt
(mCE)</t>
  </si>
  <si>
    <t>P0tot
(W)</t>
  </si>
  <si>
    <t>P1tot
(W)</t>
  </si>
  <si>
    <t>P2
(W)</t>
  </si>
  <si>
    <t>N
(min-1)</t>
  </si>
  <si>
    <t>ref 1</t>
  </si>
  <si>
    <t>ref 2</t>
  </si>
  <si>
    <t>ref 3</t>
  </si>
  <si>
    <t>Qmax =</t>
  </si>
  <si>
    <t>Valeur de Q pour que (Hmt = 0)</t>
  </si>
  <si>
    <t>on la trouve avec valeur cible</t>
  </si>
  <si>
    <t>1/</t>
  </si>
  <si>
    <t>2/</t>
  </si>
  <si>
    <t>une fois Qmax determiné on cree notre tableau de valeur :</t>
  </si>
  <si>
    <t>Q</t>
  </si>
  <si>
    <t>Hmt</t>
  </si>
  <si>
    <t>Potot</t>
  </si>
  <si>
    <t xml:space="preserve">P2 </t>
  </si>
  <si>
    <t>N</t>
  </si>
  <si>
    <t>10%Qmax</t>
  </si>
  <si>
    <t xml:space="preserve">on fais 10% de Qmax et les valeur de Hmt,P0…N on les trouve automatiquement grâce à la formule </t>
  </si>
  <si>
    <t>20%Qmax</t>
  </si>
  <si>
    <t>30%Qmax</t>
  </si>
  <si>
    <t>40%Qmax</t>
  </si>
  <si>
    <t>50%Qmax</t>
  </si>
  <si>
    <t>60%Qmax</t>
  </si>
  <si>
    <t>70%Qmax</t>
  </si>
  <si>
    <t>80%Qmax</t>
  </si>
  <si>
    <t>100%Qmax</t>
  </si>
  <si>
    <t>90%Qmax</t>
  </si>
  <si>
    <t>120%Qmax</t>
  </si>
  <si>
    <t>pour 90% on refai la meme chose</t>
  </si>
  <si>
    <t>P1tot</t>
  </si>
  <si>
    <t>,,,</t>
  </si>
  <si>
    <t>courbe mini</t>
  </si>
  <si>
    <t>3/</t>
  </si>
  <si>
    <t>tracer les 5 graphe et chaque graphe avec 8 courbe (de 100% à courbe mini)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</si>
</sst>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sz val="10"/>
      <color theme="1" tint="0.249977111117893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B4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">
    <xf numFmtId="0" fontId="0" fillId="0" borderId="0" xfId="0"/>
    <xf numFmtId="9" fontId="0" fillId="0" borderId="1" xfId="0" applyNumberFormat="1" applyBorder="1" applyAlignment="1">
      <alignment horizontal="centerContinuous" vertical="center"/>
    </xf>
    <xf numFmtId="9" fontId="0" fillId="0" borderId="2" xfId="0" applyNumberForma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9" fontId="2" fillId="0" borderId="1" xfId="0" applyNumberFormat="1" applyFont="1" applyBorder="1" applyAlignment="1">
      <alignment horizontal="centerContinuous" vertical="center"/>
    </xf>
    <xf numFmtId="2" fontId="3" fillId="2" borderId="4" xfId="1" applyNumberFormat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 applyAlignment="1">
      <alignment horizontal="center" vertical="center" wrapText="1"/>
    </xf>
    <xf numFmtId="1" fontId="3" fillId="2" borderId="4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Continuous" vertical="center"/>
    </xf>
    <xf numFmtId="2" fontId="1" fillId="3" borderId="5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/>
    </xf>
    <xf numFmtId="0" fontId="2" fillId="0" borderId="0" xfId="2"/>
    <xf numFmtId="0" fontId="6" fillId="0" borderId="0" xfId="2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2" applyFont="1" applyFill="1" applyBorder="1" applyAlignment="1">
      <alignment horizontal="centerContinuous" vertical="center"/>
    </xf>
    <xf numFmtId="0" fontId="0" fillId="0" borderId="5" xfId="0" applyBorder="1"/>
    <xf numFmtId="9" fontId="0" fillId="0" borderId="0" xfId="0" applyNumberFormat="1"/>
  </cellXfs>
  <cellStyles count="3">
    <cellStyle name="Normal" xfId="0" builtinId="0"/>
    <cellStyle name="Normal 10" xfId="2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14</xdr:row>
      <xdr:rowOff>142875</xdr:rowOff>
    </xdr:from>
    <xdr:to>
      <xdr:col>2</xdr:col>
      <xdr:colOff>38100</xdr:colOff>
      <xdr:row>16</xdr:row>
      <xdr:rowOff>57150</xdr:rowOff>
    </xdr:to>
    <xdr:cxnSp macro="">
      <xdr:nvCxnSpPr>
        <xdr:cNvPr id="3" name="Connecteur droit avec flèche 2"/>
        <xdr:cNvCxnSpPr/>
      </xdr:nvCxnSpPr>
      <xdr:spPr>
        <a:xfrm>
          <a:off x="1485900" y="2514600"/>
          <a:ext cx="22860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9</xdr:row>
      <xdr:rowOff>114300</xdr:rowOff>
    </xdr:from>
    <xdr:to>
      <xdr:col>15</xdr:col>
      <xdr:colOff>200025</xdr:colOff>
      <xdr:row>19</xdr:row>
      <xdr:rowOff>0</xdr:rowOff>
    </xdr:to>
    <xdr:cxnSp macro="">
      <xdr:nvCxnSpPr>
        <xdr:cNvPr id="7" name="Connecteur droit avec flèche 6"/>
        <xdr:cNvCxnSpPr/>
      </xdr:nvCxnSpPr>
      <xdr:spPr>
        <a:xfrm flipH="1" flipV="1">
          <a:off x="4933950" y="1676400"/>
          <a:ext cx="7000875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BJ44"/>
  <sheetViews>
    <sheetView tabSelected="1" workbookViewId="0">
      <selection activeCell="H37" sqref="H37"/>
    </sheetView>
  </sheetViews>
  <sheetFormatPr baseColWidth="10" defaultRowHeight="12.75" x14ac:dyDescent="0.2"/>
  <sheetData>
    <row r="8" spans="1:62" x14ac:dyDescent="0.2">
      <c r="E8" s="1">
        <v>1</v>
      </c>
      <c r="F8" s="2"/>
      <c r="G8" s="3"/>
      <c r="H8" s="3"/>
      <c r="I8" s="3"/>
      <c r="J8" s="4"/>
      <c r="K8" s="1">
        <v>0.9</v>
      </c>
      <c r="L8" s="2"/>
      <c r="M8" s="3"/>
      <c r="N8" s="3"/>
      <c r="O8" s="3"/>
      <c r="P8" s="4"/>
      <c r="Q8" s="1">
        <v>0.8</v>
      </c>
      <c r="R8" s="2"/>
      <c r="S8" s="3"/>
      <c r="T8" s="3"/>
      <c r="U8" s="3"/>
      <c r="V8" s="4"/>
      <c r="W8" s="1">
        <v>0.7</v>
      </c>
      <c r="X8" s="2"/>
      <c r="Y8" s="3"/>
      <c r="Z8" s="3"/>
      <c r="AA8" s="3"/>
      <c r="AB8" s="4"/>
      <c r="AC8" s="1">
        <v>0.6</v>
      </c>
      <c r="AD8" s="2"/>
      <c r="AE8" s="3"/>
      <c r="AF8" s="3"/>
      <c r="AG8" s="3"/>
      <c r="AH8" s="4"/>
      <c r="AI8" s="1">
        <v>0.5</v>
      </c>
      <c r="AJ8" s="2"/>
      <c r="AK8" s="3"/>
      <c r="AL8" s="3"/>
      <c r="AM8" s="3"/>
      <c r="AN8" s="4"/>
      <c r="AO8" s="1">
        <v>0.4</v>
      </c>
      <c r="AP8" s="2"/>
      <c r="AQ8" s="3"/>
      <c r="AR8" s="3"/>
      <c r="AS8" s="3"/>
      <c r="AT8" s="4"/>
      <c r="AU8" s="5" t="s">
        <v>0</v>
      </c>
      <c r="AV8" s="2"/>
      <c r="AW8" s="3"/>
      <c r="AX8" s="3"/>
      <c r="AY8" s="3"/>
      <c r="AZ8" s="4"/>
    </row>
    <row r="9" spans="1:62" ht="21" x14ac:dyDescent="0.2">
      <c r="E9" s="6" t="s">
        <v>1</v>
      </c>
      <c r="F9" s="7" t="s">
        <v>2</v>
      </c>
      <c r="G9" s="8" t="s">
        <v>3</v>
      </c>
      <c r="H9" s="8" t="s">
        <v>4</v>
      </c>
      <c r="I9" s="8" t="s">
        <v>5</v>
      </c>
      <c r="J9" s="9" t="s">
        <v>6</v>
      </c>
      <c r="K9" s="6" t="s">
        <v>1</v>
      </c>
      <c r="L9" s="7" t="s">
        <v>2</v>
      </c>
      <c r="M9" s="8" t="s">
        <v>3</v>
      </c>
      <c r="N9" s="8" t="s">
        <v>4</v>
      </c>
      <c r="O9" s="8" t="s">
        <v>5</v>
      </c>
      <c r="P9" s="9" t="s">
        <v>6</v>
      </c>
      <c r="Q9" s="6" t="s">
        <v>1</v>
      </c>
      <c r="R9" s="7" t="s">
        <v>2</v>
      </c>
      <c r="S9" s="8" t="s">
        <v>3</v>
      </c>
      <c r="T9" s="8" t="s">
        <v>4</v>
      </c>
      <c r="U9" s="8" t="s">
        <v>5</v>
      </c>
      <c r="V9" s="9" t="s">
        <v>6</v>
      </c>
      <c r="W9" s="6" t="s">
        <v>1</v>
      </c>
      <c r="X9" s="7" t="s">
        <v>2</v>
      </c>
      <c r="Y9" s="8" t="s">
        <v>3</v>
      </c>
      <c r="Z9" s="8" t="s">
        <v>4</v>
      </c>
      <c r="AA9" s="8" t="s">
        <v>5</v>
      </c>
      <c r="AB9" s="9" t="s">
        <v>6</v>
      </c>
      <c r="AC9" s="6" t="s">
        <v>1</v>
      </c>
      <c r="AD9" s="7" t="s">
        <v>2</v>
      </c>
      <c r="AE9" s="8" t="s">
        <v>3</v>
      </c>
      <c r="AF9" s="8" t="s">
        <v>4</v>
      </c>
      <c r="AG9" s="8" t="s">
        <v>5</v>
      </c>
      <c r="AH9" s="9" t="s">
        <v>6</v>
      </c>
      <c r="AI9" s="6" t="s">
        <v>1</v>
      </c>
      <c r="AJ9" s="7" t="s">
        <v>2</v>
      </c>
      <c r="AK9" s="8" t="s">
        <v>3</v>
      </c>
      <c r="AL9" s="8" t="s">
        <v>4</v>
      </c>
      <c r="AM9" s="8" t="s">
        <v>5</v>
      </c>
      <c r="AN9" s="9" t="s">
        <v>6</v>
      </c>
      <c r="AO9" s="6" t="s">
        <v>1</v>
      </c>
      <c r="AP9" s="7" t="s">
        <v>2</v>
      </c>
      <c r="AQ9" s="8" t="s">
        <v>3</v>
      </c>
      <c r="AR9" s="8" t="s">
        <v>4</v>
      </c>
      <c r="AS9" s="8" t="s">
        <v>5</v>
      </c>
      <c r="AT9" s="9" t="s">
        <v>6</v>
      </c>
      <c r="AU9" s="6" t="s">
        <v>1</v>
      </c>
      <c r="AV9" s="7" t="s">
        <v>2</v>
      </c>
      <c r="AW9" s="8" t="s">
        <v>3</v>
      </c>
      <c r="AX9" s="8" t="s">
        <v>4</v>
      </c>
      <c r="AY9" s="8" t="s">
        <v>5</v>
      </c>
      <c r="AZ9" s="9" t="s">
        <v>6</v>
      </c>
    </row>
    <row r="10" spans="1:62" s="15" customFormat="1" x14ac:dyDescent="0.2">
      <c r="A10"/>
      <c r="B10" s="10" t="s">
        <v>7</v>
      </c>
      <c r="C10" s="10"/>
      <c r="D10" s="10"/>
      <c r="E10" s="11">
        <v>0</v>
      </c>
      <c r="F10" s="12">
        <f>-0.0000148356333703661*E10 ^ 6 + 0.00100570221361047*E10 ^ 5 + -0.0195055311753532*E10 ^ 4 + 0.136377849784629*E10 ^ 3 + -0.57841808546786*E10 ^ 2 + -0.229985699626071*E10 ^ 1 + 46.9347748123679</f>
        <v>46.934774812367898</v>
      </c>
      <c r="G10" s="13">
        <f>(0.0137775743590823*E10 ^ 6 + -0.480029886537857*E10 ^ 5 + 6.42828582292268*E10 ^ 4 + -42.1613130176946*E10 ^ 3 + 130.013325091986*E10 ^ 2 + -15.7013221985394*E10 ^ 1 + 556.007670223718)/1000</f>
        <v>0.556007670223718</v>
      </c>
      <c r="H10" s="13">
        <f>(0.00852668510349048*E10 ^ 6 + -0.305537073520226*E10 ^ 5 + 4.28445500835524*E10 ^ 4 + -30.2708414012428*E10 ^ 3 + 101.56011658194*E10 ^ 2 + 2.52281559776855*E10 ^ 1 + 519.643391448432)/1000</f>
        <v>0.51964339144843197</v>
      </c>
      <c r="I10" s="13">
        <f>(0.00717743060625489*E10 ^ 6 + -0.259539051323815*E10 ^ 5 + 3.6771771710986*E10 ^ 4 + -26.1908994755142*E10 ^ 3 + 87.9189195176511*E10 ^ 2 + 2.71960779230812*E10 ^ 1 + 409.813908551442)/1000</f>
        <v>0.40981390855144201</v>
      </c>
      <c r="J10" s="12">
        <f>0.000199771109152926*E10 ^ 6 + -0.00773000161841579*E10 ^ 5 + 0.114399690770574*E10 ^ 4 + -0.756851462613823*E10 ^ 3 + 1.96874389124121*E10 ^ 2 + -2.32152427457663*E10 ^ 1 + 3436.87638237473</f>
        <v>3436.8763823747299</v>
      </c>
      <c r="K10" s="11">
        <v>0</v>
      </c>
      <c r="L10" s="12">
        <f>0.0000101320807240059*K10 ^ 6 + 0.00036206492948307*K10 ^ 5 + -0.0124209026779684*K10 ^ 4 + 0.0908992951494339*K10 ^ 3 + -0.433229338427662*K10 ^ 2 + -0.347896113995847*K10 ^ 1 + 38.010712872092</f>
        <v>38.010712872092</v>
      </c>
      <c r="M10" s="13">
        <f>(0.0158903203216326*K10 ^ 6 + -0.49947173994939*K10 ^ 5 + 6.06049441038534*K10 ^ 4 + -36.3709126181131*K10 ^ 3 + 103.012805959634*K10 ^ 2 + 0.192816578602851*K10 ^ 1 + 429.312966103726)/1000</f>
        <v>0.42931296610372599</v>
      </c>
      <c r="N10" s="13">
        <f>(0.0102164037878513*K10 ^ 6 + -0.327636722976879*K10 ^ 5 + 4.12629384271707*K10 ^ 4 + -26.4456956566462*K10 ^ 3 + 80.6016346474596*K10 ^ 2 + 14.3585399717676*K10 ^ 1 + 387.932833591218)/1000</f>
        <v>0.387932833591218</v>
      </c>
      <c r="O10" s="13">
        <f>(0.00860690583846582*K10 ^ 6 + -0.277781104123563*K10 ^ 5 + 3.52172313185547*K10 ^ 4 + -22.6508772042416*K10 ^ 3 + 68.7312384881526*K10 ^ 2 + 13.5693038879551*K10 ^ 1 + 301.862970383726)/1000</f>
        <v>0.301862970383726</v>
      </c>
      <c r="P10" s="12">
        <f>0.000152853598210569*K10 ^ 6 + -0.00541737140791305*K10 ^ 5 + 0.0734653432547929*K10 ^ 4 + -0.448889736916275*K10 ^ 3 + 1.12643048059292*K10 ^ 2 + -1.44463348300606*K10 ^ 1 + 3092.34996814943</f>
        <v>3092.34996814943</v>
      </c>
      <c r="Q10" s="11">
        <v>0</v>
      </c>
      <c r="R10" s="12">
        <f>0.0000821330256891846*Q10 ^ 6 + -0.00134240684678835*Q10 ^ 5 + 0.00363140323858592*Q10 ^ 4 + 0.0114501340821096*Q10 ^ 3 + -0.243014191646267*Q10 ^ 2 + -0.470008794769908*Q10 ^ 1 + 30.0456211961505</f>
        <v>30.045621196150499</v>
      </c>
      <c r="S10" s="13">
        <f>(0.0173269159091017*Q10 ^ 6 + -0.487435260008086*Q10 ^ 5 + 5.33918890253807*Q10 ^ 4 + -29.4008052792824*Q10 ^ 3 + 76.5503596900687*Q10 ^ 2 + 12.3529761724323*Q10 ^ 1 + 321.794208946973)/1000</f>
        <v>0.32179420894697303</v>
      </c>
      <c r="T10" s="13">
        <f>(0.0120951740168347*Q10 ^ 6 + -0.342839292271842*Q10 ^ 5 + 3.84002572168566*Q10 ^ 4 + -22.1998107948389*Q10 ^ 3 + 60.8832380390511*Q10 ^ 2 + 22.4177573182219*Q10 ^ 1 + 280.039767279093)/1000</f>
        <v>0.28003976727909297</v>
      </c>
      <c r="U10" s="13">
        <f>(0.0102588162856813*Q10 ^ 6 + -0.291441211012717*Q10 ^ 5 + 3.26677969924232*Q10 ^ 4 + -18.8121466777576*Q10 ^ 3 + 50.9665734603273*Q10 ^ 2 + 20.7233706585546*Q10 ^ 1 + 214.672353435167)/1000</f>
        <v>0.214672353435167</v>
      </c>
      <c r="V10" s="12">
        <f>0.000275447147238766*Q10 ^ 6 + -0.00867758149591369*Q10 ^ 5 + 0.104602021938814*Q10 ^ 4 + -0.568126073283988*Q10 ^ 3 + 1.26723429066548*Q10 ^ 2 + -1.44463348300451*Q10 ^ 1 + 2748.75552724393</f>
        <v>2748.7555272439299</v>
      </c>
      <c r="W10" s="11">
        <v>0</v>
      </c>
      <c r="X10" s="12">
        <f>0.000255445443292966*W10 ^ 6 + -0.00480773289619886*W10 ^ 5 + 0.0298927580143017*W10 ^ 4 + -0.0890948070354885*W10 ^ 3 + -0.0532669423561802*W10 ^ 2 + -0.553939657946807*W10 ^ 1 + 23.0020445521393</f>
        <v>23.002044552139299</v>
      </c>
      <c r="Y10" s="13">
        <f>(0.015797434341604*W10 ^ 6 + -0.393928038523399*W10 ^ 5 + 3.90494811038633*W10 ^ 4 + -20.2214293790776*W10 ^ 3 + 49.615183914109*W10 ^ 2 + 21.5202172279113*W10 ^ 1 + 231.943237454255)/1000</f>
        <v>0.23194323745425502</v>
      </c>
      <c r="Z10" s="13">
        <f>(0.0135384217970826*W10 ^ 6 + -0.330716540962128*W10 ^ 5 + 3.22956328392778*W10 ^ 4 + -16.7817017139079*W10 ^ 3 + 41.3612380924489*W10 ^ 2 + 27.6450648606395*W10 ^ 1 + 193.389723095838)/1000</f>
        <v>0.19338972309583802</v>
      </c>
      <c r="AA10" s="13">
        <f>(0.0117241201608941*W10 ^ 6 + -0.28512927270101*W10 ^ 5 + 2.75667927878238*W10 ^ 4 + -14.0665985958041*W10 ^ 3 + 33.7621091603034*W10 ^ 2 + 25.0724274342364*W10 ^ 1 + 145.749623789069)/1000</f>
        <v>0.145749623789069</v>
      </c>
      <c r="AB10" s="12">
        <f>-0.000114559806856201*W10 ^ 6 + 0.00258778366079426*W10 ^ 5 + -0.0212455402482514*W10 ^ 4 + 0.0605103853263255*W10 ^ 3 + 0.084044248320835*W10 ^ 2 + -0.567742691433395*W10 ^ 1 + 2404.50870501457</f>
        <v>2404.5087050145698</v>
      </c>
      <c r="AC10" s="11">
        <v>0</v>
      </c>
      <c r="AD10" s="12">
        <f>-0.0000817982727506619*AC10 ^ 6 + 0.00419906455955656*AC10 ^ 5 + -0.0560738641129613*AC10 ^ 4 + 0.271874900934567*AC10 ^ 3 + -0.749139756057516*AC10 ^ 2 + -0.00250488125235701*AC10 ^ 1 + 17.2506248432795</f>
        <v>17.2506248432795</v>
      </c>
      <c r="AE10" s="13">
        <f>(0.0281304095392218*AC10 ^ 6 + -0.572742700773878*AC10 ^ 5 + 4.60810088529494*AC10 ^ 4 + -19.5000813572449*AC10 ^ 3 + 39.2566830483105*AC10 ^ 2 + 24.228459883103*AC10 ^ 1 + 183.177349986419)/1000</f>
        <v>0.18317734998641899</v>
      </c>
      <c r="AF10" s="13">
        <f>(0.020732511158776*AC10 ^ 6 + -0.43744872387032*AC10 ^ 5 + 3.70512546562825*AC10 ^ 4 + -16.7765357531267*AC10 ^ 3 + 35.7821312098462*AC10 ^ 2 + 22.336656839901*AC10 ^ 1 + 141.83771066339)/1000</f>
        <v>0.14183771066338999</v>
      </c>
      <c r="AG10" s="13">
        <f>(0.0178571614509633*AC10 ^ 6 + -0.374323210896558*AC10 ^ 5 + 3.13157625622735*AC10 ^ 4 + -13.9050998419453*AC10 ^ 3 + 28.9642188986276*AC10 ^ 2 + 19.332250428708*AC10 ^ 1 + 100.653438901542)/1000</f>
        <v>0.10065343890154201</v>
      </c>
      <c r="AH10" s="12">
        <f>0.00302210678183965*AC10 ^ 6 + -0.0626570141558522*AC10 ^ 5 + 0.491779208101277*AC10 ^ 4 + -1.84602830866285*AC10 ^ 3 + 3.45060873548578*AC10 ^ 2 + -2.7154133831179*AC10 ^ 1 + 2085.65445434233</f>
        <v>2085.6544543423302</v>
      </c>
      <c r="AI10" s="11">
        <v>0</v>
      </c>
      <c r="AJ10" s="12">
        <f>-0.00177538425660265*AI10 ^ 6 + 0.0356836283615244*AI10 ^ 5 + -0.273519029974101*AI10 ^ 4 + 0.948096670984503*AI10 ^ 3 + -1.70036003356199*AI10 ^ 2 + 0.54828805054766*AI10 ^ 1 + 11.9305503668941</f>
        <v>11.930550366894099</v>
      </c>
      <c r="AK10" s="13">
        <f>(0.047702561204205*AI10 ^ 6 + -0.740707305919874*AI10 ^ 5 + 4.45451407498771*AI10 ^ 4 + -14.3177548082962*AI10 ^ 3 + 21.9404228743979*AI10 ^ 2 + 26.7343151015799*AI10 ^ 1 + 135.367997502579)/1000</f>
        <v>0.135367997502579</v>
      </c>
      <c r="AL10" s="13">
        <f>(0.0289421491555287*AI10 ^ 6 + -0.518174604885405*AI10 ^ 5 + 3.77225321571143*AI10 ^ 4 + -14.9105809007128*AI10 ^ 3 + 27.3710388853149*AI10 ^ 2 + 16.9693159965151*AI10 ^ 1 + 95.3312858141065)/1000</f>
        <v>9.5331285814106492E-2</v>
      </c>
      <c r="AM10" s="13">
        <f>(0.025607587904406*AI10 ^ 6 + -0.453183527308405*AI10 ^ 5 + 3.23462269086196*AI10 ^ 4 + -12.4301586677225*AI10 ^ 3 + 22.2381987696507*AI10 ^ 2 + 13.9165705563425*AI10 ^ 1 + 62.627310927339)/1000</f>
        <v>6.2627310927339003E-2</v>
      </c>
      <c r="AN10" s="12">
        <f>0.0075199687473846*AI10 ^ 6 + -0.129925584553525*AI10 ^ 5 + 0.849794471598642*AI10 ^ 4 + -2.65828076447325*AI10 ^ 3 + 4.14073048258097*AI10 ^ 2 + -2.7154133831169*AI10 ^ 1 + 1738.04537861861</f>
        <v>1738.0453786186099</v>
      </c>
      <c r="AO10" s="11">
        <v>0</v>
      </c>
      <c r="AP10" s="12">
        <f>-0.00877594309963187*AO10 ^ 6 + 0.133106415162999*AO10 ^ 5 + -0.774194671498769*AO10 ^ 4 + 2.08604230867407*AO10 ^ 3 + -2.81300441860729*AO10 ^ 2 + 0.947653593388681*AO10 ^ 1 + 7.77999937728909</f>
        <v>7.7799993772890899</v>
      </c>
      <c r="AQ10" s="13">
        <f>(0.0799912195671247*AO10 ^ 6 + -0.78105459102999*AO10 ^ 5 + 2.4009032539837*AO10 ^ 4 + -3.14111555083947*AO10 ^ 3 + 0.207316682249067*AO10 ^ 2 + 28.2676468373723*AO10 ^ 1 + 95.338403152198)/1000</f>
        <v>9.5338403152197992E-2</v>
      </c>
      <c r="AR10" s="13">
        <f>(0.0406665318004909*AO10 ^ 6 + -0.603160274739009*AO10 ^ 5 + 3.7261380278187*AO10 ^ 4 + -12.8258089927525*AO10 ^ 3 + 20.0025985611853*AO10 ^ 2 + 11.9979073012087*AO10 ^ 1 + 60.1445553348317)/1000</f>
        <v>6.0144555334831699E-2</v>
      </c>
      <c r="AS10" s="13">
        <f>(0.041044760811709*AO10 ^ 6 + -0.592437915571495*AO10 ^ 5 + 3.49875143043364*AO10 ^ 4 + -11.3243945849123*AO10 ^ 3 + 16.8870427392628*AO10 ^ 2 + 9.35112963502659*AO10 ^ 1 + 36.1298118790695)/1000</f>
        <v>3.6129811879069502E-2</v>
      </c>
      <c r="AT10" s="12">
        <f>0.0125248541043216*AO10 ^ 6 + -0.215833919054772*AO10 ^ 5 + 1.4063093645113*AO10 ^ 4 + -4.3481295073502*AO10 ^ 3 + 6.53103921401159*AO10 ^ 2 + -3.89046725984078*AO10 ^ 1 + 1406.86763149574</f>
        <v>1406.8676314957399</v>
      </c>
      <c r="AU10" s="11">
        <v>0</v>
      </c>
      <c r="AV10" s="12">
        <f>-0.0457513349665009*AU10 ^ 6 + 0.494766899431034*AU10 ^ 5 + -2.05448688230491*AU10 ^ 4 + 3.98933466436411*AU10 ^ 3 + -3.81724534722619*AU10 ^ 2 + 1.03772846050744*AU10 ^ 1 + 4.00362502823296</f>
        <v>4.0036250282329604</v>
      </c>
      <c r="AW10" s="13">
        <f>(0.0725825105397783*AU10 ^ 6 + 0.863032489915694*AU10 ^ 5 + -10.224124933077*AU10 ^ 4 + 31.5866995274002*AU10 ^ 3 + -39.6890832751315*AU10 ^ 2 + 29.0364750200428*AU10 ^ 1 + 56.7645179947681)/1000</f>
        <v>5.6764517994768102E-2</v>
      </c>
      <c r="AX10" s="13">
        <f>(0.0654670374644625*AU10 ^ 6 + -0.770902341343882*AU10 ^ 5 + 3.86108842921477*AU10 ^ 4 + -10.8187011463167*AU10 ^ 3 + 13.0275925206886*AU10 ^ 2 + 6.69210659442045*AU10 ^ 1 + 27.3068490255511)/1000</f>
        <v>2.7306849025551097E-2</v>
      </c>
      <c r="AY10" s="13">
        <f>(0.0487629779677051*AU10 ^ 6 + -0.573650630992093*AU10 ^ 5 + 2.87608304162597*AU10 ^ 4 + -8.09015167221715*AU10 ^ 3 + 9.79530186562928*AU10 ^ 2 + 4.98554733072018*AU10 ^ 1 + 15.716300670525)/1000</f>
        <v>1.5716300670524999E-2</v>
      </c>
      <c r="AZ10" s="12">
        <f>0.451154968504656*AU10 ^ 6 + -4.53492014154647*AU10 ^ 5 + 17.2254759814917*AU10 ^ 4 + -30.9286221115506*AU10 ^ 3 + 26.6370883468788*AU10 ^ 2 + -8.78145657473649*AU10 ^ 1 + 1007.81070865254</f>
        <v>1007.81070865254</v>
      </c>
      <c r="BA10" s="14"/>
      <c r="BB10" s="14"/>
      <c r="BC10" s="14"/>
      <c r="BD10" s="14"/>
      <c r="BE10" s="14"/>
      <c r="BF10" s="14"/>
      <c r="BG10" s="14"/>
      <c r="BH10" s="14"/>
      <c r="BI10" s="14"/>
      <c r="BJ10" s="14"/>
    </row>
    <row r="11" spans="1:62" s="15" customFormat="1" x14ac:dyDescent="0.2">
      <c r="A11"/>
      <c r="B11" s="10" t="s">
        <v>8</v>
      </c>
      <c r="C11" s="10"/>
      <c r="D11" s="10"/>
      <c r="E11" s="11">
        <v>0</v>
      </c>
      <c r="F11" s="12">
        <f>0.00309237303007431*E11 ^ 6 + -0.0632734582260718*E11 ^ 5 + 0.469748435580724*E11 ^ 4 + -1.49368179091193*E11 ^ 3 + 0.437298627378111*E11 ^ 2 + -1.26164258462749*E11 ^ 1 + 70.8432842507611</f>
        <v>70.843284250761101</v>
      </c>
      <c r="G11" s="13">
        <f>(0.00828996450963048*E11 ^ 6 + -0.360481581470614*E11 ^ 5 + 5.22642200484906*E11 ^ 4 + -35.6092383362796*E11 ^ 3 + 86.417298512564*E11 ^ 2 + 149.541728604585*E11 ^ 1 + 667.824793921637)/1000</f>
        <v>0.66782479392163707</v>
      </c>
      <c r="H11" s="13">
        <f>(0.0856866320514985*E11 ^ 6 + -1.91222979764288*E11 ^ 5 + 16.5678145131472*E11 ^ 4 + -71.7134715721517*E11 ^ 3 + 132.308973356334*E11 ^ 2 + 131.207938533807*E11 ^ 1 + 618.728677260332)/1000</f>
        <v>0.61872867726033198</v>
      </c>
      <c r="I11" s="13">
        <f>(0.0735307364710872*E11 ^ 6 + -1.65897405081531*E11 ^ 5 + 14.5185378872444*E11 ^ 4 + -63.0251113363107*E11 ^ 3 + 115.165887941754*E11 ^ 2 + 114.012534537822*E11 ^ 1 + 496.095681146137)/1000</f>
        <v>0.496095681146137</v>
      </c>
      <c r="J11" s="12">
        <f>0.00502485911939633*E11 ^ 6 + -0.114052408510704*E11 ^ 5 + 0.963065342289389*E11 ^ 4 + -3.34146547193265*E11 ^ 3 + 3.37605681181479*E11 ^ 2 + -3.18708446609753*E11 ^ 1 + 3277.93600094553</f>
        <v>3277.9360009455299</v>
      </c>
      <c r="K11" s="11">
        <v>0</v>
      </c>
      <c r="L11" s="12">
        <f>0.00374137231085759*K11 ^ 6 + -0.0676857752699725*K11 ^ 5 + 0.434566036100006*K11 ^ 4 + -1.13296652938752*K11 ^ 3 + -0.461380795409196*K11 ^ 2 + -0.513417610184877*K11 ^ 1 + 57.2794678706808</f>
        <v>57.279467870680797</v>
      </c>
      <c r="M11" s="13">
        <f>(-0.0188685972349524*K11 ^ 6 + 0.0979421803395491*K11 ^ 5 + 2.2928385652693*K11 ^ 4 + -25.9357493432365*K11 ^ 3 + 68.7931728497155*K11 ^ 2 + 118.762254678314*K11 ^ 1 + 523.730361335623)/1000</f>
        <v>0.52373036133562301</v>
      </c>
      <c r="N11" s="13">
        <f>(0.0557851498195062*K11 ^ 6 + -1.24570102190852*K11 ^ 5 + 11.1086563447502*K11 ^ 4 + -51.3139188638952*K11 ^ 3 + 99.3492646302958*K11 ^ 2 + 102.500608935132*K11 ^ 1 + 477.703026701403)/1000</f>
        <v>0.47770302670140302</v>
      </c>
      <c r="O11" s="13">
        <f>(0.0484119545437851*K11 ^ 6 + -1.08854911350268*K11 ^ 5 + 9.73023420898011*K11 ^ 4 + -44.602781178653*K11 ^ 3 + 84.8538748168267*K11 ^ 2 + 88.6272394318716*K11 ^ 1 + 379.727219985148)/1000</f>
        <v>0.37972721998514802</v>
      </c>
      <c r="P11" s="12">
        <f>0.00337179805423818*K11 ^ 6 + -0.0800110289305029*K11 ^ 5 + 0.660452904563211*K11 ^ 4 + -2.06263300736379*K11 ^ 3 + 1.40416351961845*K11 ^ 2 + -1.25108869492051*K11 ^ 1 + 2951.5734101356</f>
        <v>2951.5734101356002</v>
      </c>
      <c r="Q11" s="11">
        <v>0</v>
      </c>
      <c r="R11" s="12">
        <f>0.00474833828704608*Q11 ^ 6 + -0.0735230665700593*Q11 ^ 5 + 0.388000966724174*Q11 ^ 4 + -0.721796270655345*Q11 ^ 3 + -1.35787729894186*Q11 ^ 2 + 0.0870779639440531*Q11 ^ 1 + 45.1169336598366</f>
        <v>45.116933659836597</v>
      </c>
      <c r="S11" s="13">
        <f>(-0.0842221386653794*Q11 ^ 6 + 0.993142547477442*Q11 ^ 5 + -2.16247723954832*Q11 ^ 4 + -14.9276988010508*Q11 ^ 3 + 52.489048594174*Q11 ^ 2 + 89.5616916832109*Q11 ^ 1 + 398.624435440614)/1000</f>
        <v>0.39862443544061399</v>
      </c>
      <c r="T11" s="13">
        <f>(-0.0262316466810853*Q11 ^ 6 + 0.0865163655937198*Q11 ^ 5 + 3.02809564501308*Q11 ^ 4 + -28.3400745687262*Q11 ^ 3 + 69.0669254273268*Q11 ^ 2 + 75.5094237780072*Q11 ^ 1 + 357.266370396921)/1000</f>
        <v>0.357266370396921</v>
      </c>
      <c r="U11" s="13">
        <f>(-0.0187718611496871*Q11 ^ 6 + 0.0199864163562019*Q11 ^ 5 + 2.83641701815294*Q11 ^ 4 + -24.314656431455*Q11 ^ 3 + 57.4443625181861*Q11 ^ 2 + 64.9808602040513*Q11 ^ 1 + 281.250539694096)/1000</f>
        <v>0.28125053969409602</v>
      </c>
      <c r="V11" s="12">
        <f>0.00607608957836545*Q11 ^ 6 + -0.128162197463853*Q11 ^ 5 + 0.940371420754078*Q11 ^ 4 + -2.61051989994345*Q11 ^ 3 + 1.57968395957038*Q11 ^ 2 + -1.25108869492096*Q11 ^ 1 + 2623.62080900942</f>
        <v>2623.6208090094201</v>
      </c>
      <c r="W11" s="11">
        <v>0</v>
      </c>
      <c r="X11" s="12">
        <f>0.00494660240411176*W11 ^ 6 + -0.061151844820342*W11 ^ 5 + 0.216997454223947*W11 ^ 4 + 0*W11 ^ 3 + -2.46644997908296*W11 ^ 2 + 0.671214229428287*W11 ^ 1 + 34.4545682212435</f>
        <v>34.454568221243498</v>
      </c>
      <c r="Y11" s="13">
        <f>(-0.237748482276913*W11 ^ 6 + 2.79332549971277*W11 ^ 5 + -9.71962022256062*W11 ^ 4 + 0*W11 ^ 3 + 36.0378840580975*W11 ^ 2 + 64.1266810573827*W11 ^ 1 + 292.858859375496)/1000</f>
        <v>0.29285885937549605</v>
      </c>
      <c r="Z11" s="13">
        <f>(-0.234743760770395*W11 ^ 6 + 2.79697473420397*W11 ^ 5 + -9.91335541298531*W11 ^ 4 + 0*W11 ^ 3 + 40.3631463130372*W11 ^ 2 + 52.3544331419133*W11 ^ 1 + 257.322430441937)/1000</f>
        <v>0.25732243044193698</v>
      </c>
      <c r="AA11" s="13">
        <f>(-0.186177016877269*W11 ^ 6 + 2.22333605178467*W11 ^ 5 + -7.90818031464456*W11 ^ 4 + 0*W11 ^ 3 + 32.0836304413895*W11 ^ 2 + 44.844589336191*W11 ^ 1 + 200.364542212261)/1000</f>
        <v>0.20036454221226099</v>
      </c>
      <c r="AB11" s="12">
        <f>-0.0062047542886177*W11 ^ 6 + 0.0377423421403041*W11 ^ 5 + -0.000364453163335825*W11 ^ 4 + 0*W11 ^ 3 + -1.21223210928138*W11 ^ 2 + 0.684907076253213*W11 ^ 1 + 2296.78121510462</f>
        <v>2296.7812151046201</v>
      </c>
      <c r="AC11" s="11">
        <v>0</v>
      </c>
      <c r="AD11" s="12">
        <f>0.00725834782867216*AC11 ^ 6 + -0.079982858077581*AC11 ^ 5 + 0.249338369912246*AC11 ^ 4 + 0.0113851492798426*AC11 ^ 3 + -2.42167748656376*AC11 ^ 2 + 0.364728831913426*AC11 ^ 1 + 26.4469825803393</f>
        <v>26.446982580339299</v>
      </c>
      <c r="AE11" s="13">
        <f>(-0.392268777447822*AC11 ^ 6 + 3.87495165277161*AC11 ^ 5 + -11.2638042096457*AC11 ^ 4 + -0.968190375630229*AC11 ^ 3 + 30.5122032394421*AC11 ^ 2 + 59.4837469544717*AC11 ^ 1 + 228.994819085221)/1000</f>
        <v>0.22899481908522099</v>
      </c>
      <c r="AF11" s="13">
        <f>(-0.347165017299759*AC11 ^ 6 + 3.53106084077614*AC11 ^ 5 + -10.6489234192513*AC11 ^ 4 + -0.598842314458942*AC11 ^ 3 + 31.0319756635175*AC11 ^ 2 + 50.6384703134343*AC11 ^ 1 + 189.06356139485)/1000</f>
        <v>0.18906356139485</v>
      </c>
      <c r="AG11" s="13">
        <f>(-0.274770972615689*AC11 ^ 6 + 2.82299357455206*AC11 ^ 5 + -8.64887603265778*AC11 ^ 4 + -0.0571212284089722*AC11 ^ 3 + 24.4768954631767*AC11 ^ 2 + 41.5077952850396*AC11 ^ 1 + 140.384980918723)/1000</f>
        <v>0.14038498091872298</v>
      </c>
      <c r="AH11" s="12">
        <f>-0.0040651888681251*AC11 ^ 6 + 0.0440283464661472*AC11 ^ 5 + -0.108558300458815*AC11 ^ 4 + -0.00947476310335517*AC11 ^ 3 + 0.0292390154908334*AC11 ^ 2 + -0.439245293451234*AC11 ^ 1 + 2012.76470877902</f>
        <v>2012.7647087790201</v>
      </c>
      <c r="AI11" s="11">
        <v>0</v>
      </c>
      <c r="AJ11" s="12">
        <f>0.00897794742825444*AI11 ^ 6 + -0.0950598282697097*AI11 ^ 5 + 0.271417421526762*AI11 ^ 4 + 0.0110616622924588*AI11 ^ 3 + -2.2515664037826*AI11 ^ 2 + 0.0660048490253147*AI11 ^ 1 + 18.3532649387821</f>
        <v>18.3532649387821</v>
      </c>
      <c r="AK11" s="13">
        <f>(-0.654791990208479*AI11 ^ 6 + 5.14733943908475*AI11 ^ 5 + -11.8743802802142*AI11 ^ 4 + -1.54007280192727*AI11 ^ 3 + 19.2694142704726*AI11 ^ 2 + 52.333534205125*AI11 ^ 1 + 163.028850814929)/1000</f>
        <v>0.16302885081492899</v>
      </c>
      <c r="AL11" s="13">
        <f>(-0.469913053017787*AI11 ^ 6 + 3.89676502942878*AI11 ^ 5 + -9.59402054847827*AI11 ^ 4 + -0.926656555140725*AI11 ^ 3 + 16.2455634522953*AI11 ^ 2 + 46.3005815944767*AI11 ^ 1 + 123.509837477159)/1000</f>
        <v>0.12350983747715899</v>
      </c>
      <c r="AM11" s="13">
        <f>(-0.38529131976696*AI11 ^ 6 + 3.25499428588614*AI11 ^ 5 + -8.24064157888545*AI11 ^ 4 + -0.127946995031962*AI11 ^ 3 + 13.7493026138534*AI11 ^ 2 + 35.6509349927376*AI11 ^ 1 + 85.8854552607848)/1000</f>
        <v>8.5885455260784796E-2</v>
      </c>
      <c r="AN11" s="12">
        <f>-0.010115490764068*AI11 ^ 6 + 0.0912971792300665*AI11 ^ 5 + -0.187588743186338*AI11 ^ 4 + -0.0136436588778862*AI11 ^ 3 + 0.0350868185944911*AI11 ^ 2 + -0.439245293452225*AI11 ^ 1 + 1677.30392398251</f>
        <v>1677.30392398251</v>
      </c>
      <c r="AO11" s="11">
        <v>0</v>
      </c>
      <c r="AP11" s="12">
        <f>0.00521768744713165*AO11 ^ 6 + -0.088581495757076*AO11 ^ 5 + 0.260881550447648*AO11 ^ 4 + 0.0180204132421032*AO11 ^ 3 + -2.11599441998603*AO11 ^ 2 + -0.183904492386274*AO11 ^ 1 + 12.2570173701189</f>
        <v>12.2570173701189</v>
      </c>
      <c r="AQ11" s="13">
        <f>(-1.16982628315689*AO11 ^ 6 + 7.06495742392982*AO11 ^ 5 + -12.8448094351864*AO11 ^ 4 + 0.14398461422521*AO11 ^ 3 + 5.73193626081475*AO11 ^ 2 + 46.3132721101859*AO11 ^ 1 + 111.995891259445)/1000</f>
        <v>0.11199589125944501</v>
      </c>
      <c r="AR11" s="13">
        <f>(-0.493549602026252*AO11 ^ 6 + 3.35918885133629*AO11 ^ 5 + -6.96310247811307*AO11 ^ 4 + -0.083124533431132*AO11 ^ 3 + 1.34562437810225*AO11 ^ 2 + 41.8339971284144*AO11 ^ 1 + 77.1560911195975)/1000</f>
        <v>7.7156091119597509E-2</v>
      </c>
      <c r="AS11" s="13">
        <f>(-0.497877959278086*AO11 ^ 6 + 3.44499396758585*AO11 ^ 5 + -7.2043973870476*AO11 ^ 4 + 0.000733905704661654*AO11 ^ 3 + 4.58762053473563*AO11 ^ 2 + 29.9986724247336*AO11 ^ 1 + 49.9000696362892)/1000</f>
        <v>4.99000696362892E-2</v>
      </c>
      <c r="AT11" s="12">
        <f>0.0105117409415668*AO11 ^ 6 + 0.0300827015165676*AO11 ^ 5 + -0.299341941520277*AO11 ^ 4 + -0.0218298541929112*AO11 ^ 3 + 1.413838872137*AO11 ^ 2 + -1.25071813052348*AO11 ^ 1 + 1371.23986974081</f>
        <v>1371.23986974081</v>
      </c>
      <c r="AU11" s="11">
        <v>0</v>
      </c>
      <c r="AV11" s="12">
        <f>-0.0248082784215648*AU11 ^ 6 + 0*AU11 ^ 5 + 0.167255503240892*AU11 ^ 4 + 0*AU11 ^ 3 + -1.68561363677927*AU11 ^ 2 + -0.32192504841961*AU11 ^ 1 + 6.57386555019278</f>
        <v>6.5738655501927798</v>
      </c>
      <c r="AW11" s="13">
        <f>(-0.564630938512217*AU11 ^ 6 + 0*AU11 ^ 5 + 3.51197181563356*AU11 ^ 4 + 0*AU11 ^ 3 + -18.3766449157158*AU11 ^ 2 + 36.4916160171519*AU11 ^ 1 + 64.2376834438058)/1000</f>
        <v>6.4237683443805801E-2</v>
      </c>
      <c r="AX11" s="13">
        <f>(0.00370089782136008*AU11 ^ 6 + 0*AU11 ^ 5 + -0.347686128561926*AU11 ^ 4 + 0*AU11 ^ 3 + -8.12934658738699*AU11 ^ 2 + 28.2053139307202*AU11 ^ 1 + 35.7814608805715)/1000</f>
        <v>3.5781460880571499E-2</v>
      </c>
      <c r="AY11" s="13">
        <f>(0.00522815742346822*AU11 ^ 6 + 0*AU11 ^ 5 + -0.28690546509848*AU11 ^ 4 + 0*AU11 ^ 3 + -6.03663103062312*AU11 ^ 2 + 21.2026580920304*AU11 ^ 1 + 22.0657032741103)/1000</f>
        <v>2.2065703274110303E-2</v>
      </c>
      <c r="AZ11" s="12">
        <f>0.505397550282424*AU11 ^ 6 + 0*AU11 ^ 5 + -3.46899247007408*AU11 ^ 4 + 0*AU11 ^ 3 + 7.85722663379491*AU11 ^ 2 + -3.498404324547*AU11 ^ 1 + 1001.02335171211</f>
        <v>1001.02335171211</v>
      </c>
      <c r="BA11" s="14"/>
      <c r="BB11" s="14"/>
      <c r="BC11" s="14"/>
      <c r="BD11" s="14"/>
      <c r="BE11" s="14"/>
      <c r="BF11" s="14"/>
      <c r="BG11" s="14"/>
      <c r="BH11" s="14"/>
      <c r="BI11" s="14"/>
      <c r="BJ11" s="14"/>
    </row>
    <row r="12" spans="1:62" s="15" customFormat="1" x14ac:dyDescent="0.2">
      <c r="A12"/>
      <c r="B12" s="10" t="s">
        <v>9</v>
      </c>
      <c r="C12" s="10"/>
      <c r="D12" s="10"/>
      <c r="E12" s="11">
        <v>0</v>
      </c>
      <c r="F12" s="12">
        <f>2.01370995942236E-07*E12 ^ 6 + -0.0000168318735645255*E12 ^ 5 + 0.000498445950162153*E12 ^ 4 + -0.00680514280212868*E12 ^ 3 + 0.0283592308397468*E12 ^ 2 + -0.163153855527626*E12 ^ 1 + 30.9967438003715</f>
        <v>30.996743800371501</v>
      </c>
      <c r="G12" s="13">
        <f>(0.0000122701708846467*E12 ^ 6 + -0.00121684194753207*E12 ^ 5 + 0.0487212533668809*E12 ^ 4 + -1.05726890798724*E12 ^ 3 + 10.495211706885*E12 ^ 2 + 61.8549615890327*E12 ^ 1 + 931.823147124941)/1000</f>
        <v>0.93182314712494096</v>
      </c>
      <c r="H12" s="13">
        <f>(9.17200349241323E-06*E12 ^ 6 + -0.000855473184454516*E12 ^ 5 + 0.0324601807457566*E12 ^ 4 + -0.707915506910079*E12 ^ 3 + 7.0025755679119*E12 ^ 2 + 72.8968397590524*E12 ^ 1 + 860.300125978279)/1000</f>
        <v>0.86030012597827898</v>
      </c>
      <c r="I12" s="13">
        <f>(7.21449510988163E-06*E12 ^ 6 + -0.000698809885652812*E12 ^ 5 + 0.0278645912036515*E12 ^ 4 + -0.63462297260682*E12 ^ 3 + 6.3848280440677*E12 ^ 2 + 64.1673053751368*E12 ^ 1 + 704.200593142586)/1000</f>
        <v>0.70420059314258598</v>
      </c>
      <c r="J12" s="12">
        <f>-0.0000010508685130044*E12 ^ 6 + 0.000091790151522382*E12 ^ 5 + -0.0029717407726576*E12 ^ 4 + 0.0461608999436162*E12 ^ 3 + -0.387372753114883*E12 ^ 2 + 1.20285345927578*E12 ^ 1 + 3365.52695514893</f>
        <v>3365.52695514893</v>
      </c>
      <c r="K12" s="11">
        <v>0</v>
      </c>
      <c r="L12" s="12">
        <f>3.91112060540937E-07*K12 ^ 6 + -0.0000300975844207002*K12 ^ 5 + 0.00083361973145494*K12 ^ 4 + -0.0107048942700466*K12 ^ 3 + 0.0489324111207848*K12 ^ 2 + -0.191665565656383*K12 ^ 1 + 25.1086201213237</f>
        <v>25.1086201213237</v>
      </c>
      <c r="M12" s="13">
        <f>(0.0000130970734667464*K12 ^ 6 + -0.00109980857312845*K12 ^ 5 + 0.0377519169578447*K12 ^ 4 + -0.74659388965474*K12 ^ 3 + 6.74318546520319*K12 ^ 2 + 59.0258085887558*K12 ^ 1 + 725.287236704453)/1000</f>
        <v>0.72528723670445294</v>
      </c>
      <c r="N12" s="13">
        <f>(7.36766449851823E-06*K12 ^ 6 + -0.000560618450485529*K12 ^ 5 + 0.0178041597798131*K12 ^ 4 + -0.384729731894748*K12 ^ 3 + 3.61172807175835*K12 ^ 2 + 67.2980716354984*K12 ^ 1 + 657.658498953696)/1000</f>
        <v>0.65765849895369599</v>
      </c>
      <c r="O12" s="13">
        <f>(1.74502986548206E-06*K12 ^ 6 + -0.000134734204792697*K12 ^ 5 + 0.00628466557205824*K12 ^ 4 + -0.243772889699837*K12 ^ 3 + 2.92860330693516*K12 ^ 2 + 59.2824506349507*K12 ^ 1 + 528.095892620364)/1000</f>
        <v>0.52809589262036405</v>
      </c>
      <c r="P12" s="12">
        <f>-2.13504742210632E-06*K12 ^ 6 + 0.000174028932383579*K12 ^ 5 + -0.0053241138695566*K12 ^ 4 + 0.0775382806337577*K12 ^ 3 + -0.572566783875095*K12 ^ 2 + 1.77798320722301*K12 ^ 1 + 3029.59113826417</f>
        <v>3029.5911382641698</v>
      </c>
      <c r="Q12" s="11">
        <v>0</v>
      </c>
      <c r="R12" s="12">
        <f>7.94401894047474E-07*Q12 ^ 6 + -0.0000554155128983525*Q12 ^ 5 + 0.00140715419640814*Q12 ^ 4 + -0.0165939411067027*Q12 ^ 3 + 0.0754957196303429*Q12 ^ 2 + -0.225971698710606*Q12 ^ 1 + 19.8310408220771</f>
        <v>19.8310408220771</v>
      </c>
      <c r="S12" s="13">
        <f>(0.0000125735856076492*Q12 ^ 6 + -0.000810379516316604*Q12 ^ 5 + 0.0214264356411987*Q12 ^ 4 + -0.388944523296971*Q12 ^ 3 + 3.16689328749771*Q12 ^ 2 + 54.6725064522664*Q12 ^ 1 + 547.802384366534)/1000</f>
        <v>0.54780238436653406</v>
      </c>
      <c r="T12" s="13">
        <f>(2.19567534770496E-06*Q12 ^ 6 + -0.000013013501916528*Q12 ^ 5 + -0.00267641196284104*Q12 ^ 4 + -0.0260564713994198*Q12 ^ 3 + 0.49868324960466*Q12 ^ 2 + 60.3955709769577*Q12 ^ 1 + 486.797716073561)/1000</f>
        <v>0.48679771607356098</v>
      </c>
      <c r="U12" s="13">
        <f>(-0.0000103964839611876*Q12 ^ 6 + 0.000845985587681035*Q12 ^ 5 + -0.0233479532657498*Q12 ^ 4 + 0.183442759162317*Q12 ^ 3 + -0.165726145058676*Q12 ^ 2 + 53.088483198947*Q12 ^ 1 + 382.583272979099)/1000</f>
        <v>0.382583272979099</v>
      </c>
      <c r="V12" s="12">
        <f>-3.84742478112435E-06*Q12 ^ 6 + 0.000278760699552696*Q12 ^ 5 + -0.0075806230681703*Q12 ^ 4 + 0.0981343864269828*Q12 ^ 3 + -0.64413763185855*Q12 ^ 2 + 1.77798320722016*Q12 ^ 1 + 2692.96990067926</f>
        <v>2692.9699006792598</v>
      </c>
      <c r="W12" s="11">
        <v>0</v>
      </c>
      <c r="X12" s="12">
        <f>1.69465059978227E-06*W12 ^ 6 + -0.00010466973434806*W12 ^ 5 + 0.00236875893916446*W12 ^ 4 + -0.0248874694020667*W12 ^ 3 + 0.105377273518112*W12 ^ 2 + -0.248721288135599*W12 ^ 1 + 15.1826179599685</f>
        <v>15.1826179599685</v>
      </c>
      <c r="Y12" s="13">
        <f>(6.27895438486527E-06*W12 ^ 6 + -0.0000175484997348096*W12 ^ 5 + -0.00833110162140583*W12 ^ 4 + 0.0944136917143658*W12 ^ 3 + -0.494392320212455*W12 ^ 2 + 49.8086721389625*W12 ^ 1 + 398.705691249835)/1000</f>
        <v>0.39870569124983501</v>
      </c>
      <c r="Z12" s="13">
        <f>(-0.0000125992332619481*W12 ^ 6 + 0.00115922950095925*W12 ^ 5 + -0.0368386993425595*W12 ^ 4 + 0.440107318116612*W12 ^ 3 + -2.59136081249507*W12 ^ 2 + 53.2611601014308*W12 ^ 1 + 346.300528079649)/1000</f>
        <v>0.34630052807964901</v>
      </c>
      <c r="AA12" s="13">
        <f>(-0.0000385921393108569*W12 ^ 6 + 0.00270927535664607*W12 ^ 5 + -0.06902889192109*W12 ^ 4 + 0.70648030899025*W12 ^ 3 + -3.09474142176267*W12 ^ 2 + 46.5510070994292*W12 ^ 1 + 265.62148410427)/1000</f>
        <v>0.26562148410427</v>
      </c>
      <c r="AB12" s="12">
        <f>-8.74980538795545E-06*W12 ^ 6 + 0.000568807220121761*W12 ^ 5 + -0.0139673972278454*W12 ^ 4 + 0.16214513200606*W12 ^ 3 + -0.918924939798999*W12 ^ 2 + 2.35311295516654*W12 ^ 1 + 2356.82845758445</f>
        <v>2356.82845758445</v>
      </c>
      <c r="AC12" s="11">
        <v>0</v>
      </c>
      <c r="AD12" s="12">
        <f>3.36220088305258E-06*AC12 ^ 6 + -0.000178114519593224*AC12 ^ 5 + 0.00346625289945136*AC12 ^ 4 + -0.0314066900549275*AC12 ^ 3 + 0.116247927480847*AC12 ^ 2 + -0.239569750969025*AC12 ^ 1 + 11.5756724700452</f>
        <v>11.5756724700452</v>
      </c>
      <c r="AE12" s="13">
        <f>(0.0000147196550760689*AC12 ^ 6 + -0.0002200766738318*AC12 ^ 5 + -0.00692634440236376*AC12 ^ 4 + 0.0709725058247529*AC12 ^ 3 + -0.377447839277719*AC12 ^ 2 + 40.7660409953789*AC12 ^ 1 + 321.459368248199)/1000</f>
        <v>0.32145936824819898</v>
      </c>
      <c r="AF12" s="13">
        <f>(-0.0000107747924538568*AC12 ^ 6 + 0.00113498750361681*AC12 ^ 5 + -0.0351714790975757*AC12 ^ 4 + 0.374443464999146*AC12 ^ 3 + -2.02894408647333*AC12 ^ 2 + 41.6391698657253*AC12 ^ 1 + 273.079326723299)/1000</f>
        <v>0.27307932672329899</v>
      </c>
      <c r="AG12" s="13">
        <f>(-0.0000519189346102066*AC12 ^ 6 + 0.00325303386942622*AC12 ^ 5 + -0.0734039237532399*AC12 ^ 4 + 0.653150493685748*AC12 ^ 3 + -2.49068497702039*AC12 ^ 2 + 35.7461109632677*AC12 ^ 1 + 191.004011064943)/1000</f>
        <v>0.191004011064943</v>
      </c>
      <c r="AH12" s="12">
        <f>-0.000010125217044133*AC12 ^ 6 + 0.000572885699721101*AC12 ^ 5 + -0.0123478911267711*AC12 ^ 4 + 0.127495249696402*AC12 ^ 3 + -0.659569087031507*AC12 ^ 2 + 1.69118552925305*AC12 ^ 1 + 2054.55727168379</f>
        <v>2054.5572716837901</v>
      </c>
      <c r="AI12" s="11">
        <v>0</v>
      </c>
      <c r="AJ12" s="12">
        <f>7.28140535757781E-06*AI12 ^ 6 + -0.000321436045095854*AI12 ^ 5 + 0.00522699743668183*AI12 ^ 4 + -0.0396669286404029*AI12 ^ 3 + 0.12445287449405*AI12 ^ 2 + -0.217451574642616*AI12 ^ 1 + 8.07373761218462</f>
        <v>8.0737376121846207</v>
      </c>
      <c r="AK12" s="13">
        <f>(0.0000217241542519857*AI12 ^ 6 + -0.000099770357064615*AI12 ^ 5 + -0.0124137980115373*AI12 ^ 4 + 0.0969591109335974*AI12 ^ 3 + -0.380874352405139*AI12 ^ 2 + 29.9148083175807*AI12 ^ 1 + 241.485930100223)/1000</f>
        <v>0.24148593010022298</v>
      </c>
      <c r="AL12" s="13">
        <f>(-2.82137815838288E-06*AI12 ^ 6 + 0.000958056664484874*AI12 ^ 5 + -0.0309042436961042*AI12 ^ 4 + 0.281021296246987*AI12 ^ 3 + -1.3250410857622*AI12 ^ 2 + 28.4345344809488*AI12 ^ 1 + 199.183521415199)/1000</f>
        <v>0.19918352141519902</v>
      </c>
      <c r="AM12" s="13">
        <f>(-0.0000702607799513426*AI12 ^ 6 + 0.00390395285410897*AI12 ^ 5 + -0.0768753797131414*AI12 ^ 4 + 0.583423215933314*AI12 ^ 3 + -1.89724786388448*AI12 ^ 2 + 24.6259529742805*AI12 ^ 1 + 123.254164854655)/1000</f>
        <v>0.123254164854655</v>
      </c>
      <c r="AN12" s="12">
        <f>-0.0000251947800752418*AI12 ^ 6 + 0.0011879357869409*AI12 ^ 5 + -0.0213371558670454*AI12 ^ 4 + 0.183593159562684*AI12 ^ 3 + -0.79148290443726*AI12 ^ 2 + 1.69118552925224*AI12 ^ 1 + 1712.13105973649</f>
        <v>1712.13105973649</v>
      </c>
      <c r="AO12" s="11">
        <v>0</v>
      </c>
      <c r="AP12" s="12">
        <f>0.0000197063899149796*AO12 ^ 6 + -0.000696518987193161*AO12 ^ 5 + 0.00909841530790491*AO12 ^ 4 + -0.0556023535775847*AO12 ^ 3 + 0.142671619809026*AO12 ^ 2 + -0.20150226829911*AO12 ^ 1 + 5.36818009823792</f>
        <v>5.3681800982379198</v>
      </c>
      <c r="AQ12" s="13">
        <f>(0.0000626892286978062*AO12 ^ 6 + -0.000751021409017814*AO12 ^ 5 + -0.00820593088509736*AO12 ^ 4 + 0.0304937826856317*AO12 ^ 3 + 0.0582195353602985*AO12 ^ 2 + 19.8448020553913*AO12 ^ 1 + 174.647052945507)/1000</f>
        <v>0.174647052945507</v>
      </c>
      <c r="AR12" s="13">
        <f>(0.0000739271852909212*AO12 ^ 6 + -0.00128985077359751*AO12 ^ 5 + -0.000689438479627755*AO12 ^ 4 + 0.0200303590668472*AO12 ^ 3 + -0.11291898791046*AO12 ^ 2 + 16.8922641379406*AO12 ^ 1 + 139.322697365537)/1000</f>
        <v>0.13932269736553701</v>
      </c>
      <c r="AS12" s="13">
        <f>(-0.0000722610287247009*AO12 ^ 6 + 0.00401007596833345*AO12 ^ 5 + -0.0717824784314053*AO12 ^ 4 + 0.453135897936038*AO12 ^ 3 + -1.18833140841747*AO12 ^ 2 + 15.9908355369215*AO12 ^ 1 + 75.0415141430109)/1000</f>
        <v>7.5041514143010898E-2</v>
      </c>
      <c r="AT12" s="12">
        <f>-2.66480545662196E-06*AO12 ^ 6 + 0.000152593405650214*AO12 ^ 5 + -0.00347821899272088*AO12 ^ 4 + 0.0395054883149578*AO12 ^ 3 + -0.237176714525654*AO12 ^ 2 + 0.823406482672391*AO12 ^ 1 + 1392.6505769587</f>
        <v>1392.6505769587</v>
      </c>
      <c r="AU12" s="11">
        <v>0</v>
      </c>
      <c r="AV12" s="12">
        <f>0.0000648410196853437*AU12 ^ 6 + -0.00170924260143001*AU12 ^ 5 + 0.0166951666327885*AU12 ^ 4 + -0.076448558249811*AU12 ^ 3 + 0.149118953503723*AU12 ^ 2 + -0.159070701343287*AU12 ^ 1 + 2.84280354070153</f>
        <v>2.8428035407015302</v>
      </c>
      <c r="AW12" s="13">
        <f>(0.000202832618332125*AU12 ^ 6 + -0.00320296341042918*AU12 ^ 5 + 0.0152409511631495*AU12 ^ 4 + -0.130623275550106*AU12 ^ 3 + 0.550332985499653*AU12 ^ 2 + 8.38340089357984*AU12 ^ 1 + 108.209156088288)/1000</f>
        <v>0.108209156088288</v>
      </c>
      <c r="AX12" s="13">
        <f>(0.000439879111734479*AU12 ^ 6 + -0.00941076211401603*AU12 ^ 5 + 0.0724585827582719*AU12 ^ 4 + -0.337771368350081*AU12 ^ 3 + 0.754234134831894*AU12 ^ 2 + 8.01097573306296*AU12 ^ 1 + 68.7670768392371)/1000</f>
        <v>6.8767076839237107E-2</v>
      </c>
      <c r="AY12" s="13">
        <f>(0.000156699529361156*AU12 ^ 6 + -0.00124259910314158*AU12 ^ 5 + -0.0172163358174759*AU12 ^ 4 + 0.127434370060566*AU12 ^ 3 + -0.297994796446585*AU12 ^ 2 + 7.84496203833264*AU12 ^ 1 + 35.3599734075632)/1000</f>
        <v>3.5359973407563201E-2</v>
      </c>
      <c r="AZ12" s="12">
        <f>0.000485279691146671*AU12 ^ 6 + -0.0129077100257519*AU12 ^ 5 + 0.126265402544005*AU12 ^ 4 + -0.555456257536259*AU12 ^ 3 + 1.04498414062379*AU12 ^ 2 + -0.24322099533534*AU12 ^ 1 + 1006.97901966853</f>
        <v>1006.97901966853</v>
      </c>
      <c r="BA12" s="14"/>
      <c r="BB12" s="14"/>
      <c r="BC12" s="14"/>
      <c r="BD12" s="14"/>
      <c r="BE12" s="14"/>
      <c r="BF12" s="14"/>
      <c r="BG12" s="14"/>
      <c r="BH12" s="14"/>
      <c r="BI12" s="14"/>
      <c r="BJ12" s="14"/>
    </row>
    <row r="15" spans="1:62" x14ac:dyDescent="0.2">
      <c r="B15" s="19" t="s">
        <v>12</v>
      </c>
    </row>
    <row r="17" spans="1:9" x14ac:dyDescent="0.2">
      <c r="A17" t="s">
        <v>13</v>
      </c>
      <c r="C17" s="16" t="s">
        <v>10</v>
      </c>
      <c r="D17" s="17" t="s">
        <v>11</v>
      </c>
      <c r="E17" s="17"/>
      <c r="F17" s="17"/>
      <c r="G17" s="18"/>
    </row>
    <row r="20" spans="1:9" x14ac:dyDescent="0.2">
      <c r="A20" t="s">
        <v>14</v>
      </c>
      <c r="C20" t="s">
        <v>15</v>
      </c>
      <c r="I20" t="s">
        <v>22</v>
      </c>
    </row>
    <row r="22" spans="1:9" x14ac:dyDescent="0.2">
      <c r="C22" s="20" t="s">
        <v>16</v>
      </c>
      <c r="D22" s="20" t="s">
        <v>17</v>
      </c>
      <c r="E22" s="20" t="s">
        <v>18</v>
      </c>
      <c r="F22" s="20" t="s">
        <v>34</v>
      </c>
      <c r="G22" s="20" t="s">
        <v>19</v>
      </c>
      <c r="H22" s="20" t="s">
        <v>20</v>
      </c>
    </row>
    <row r="23" spans="1:9" x14ac:dyDescent="0.2">
      <c r="A23" s="21">
        <v>1</v>
      </c>
      <c r="C23" s="20" t="s">
        <v>21</v>
      </c>
      <c r="D23" s="20"/>
      <c r="E23" s="20"/>
      <c r="F23" s="20"/>
      <c r="G23" s="20"/>
      <c r="H23" s="20"/>
    </row>
    <row r="24" spans="1:9" x14ac:dyDescent="0.2">
      <c r="C24" s="20" t="s">
        <v>23</v>
      </c>
      <c r="D24" s="20"/>
      <c r="E24" s="20"/>
      <c r="F24" s="20"/>
      <c r="G24" s="20"/>
      <c r="H24" s="20"/>
    </row>
    <row r="25" spans="1:9" x14ac:dyDescent="0.2">
      <c r="C25" s="20" t="s">
        <v>24</v>
      </c>
      <c r="D25" s="20"/>
      <c r="E25" s="20"/>
      <c r="F25" s="20"/>
      <c r="G25" s="20"/>
      <c r="H25" s="20"/>
    </row>
    <row r="26" spans="1:9" x14ac:dyDescent="0.2">
      <c r="C26" s="20" t="s">
        <v>25</v>
      </c>
      <c r="D26" s="20"/>
      <c r="E26" s="20"/>
      <c r="F26" s="20"/>
      <c r="G26" s="20"/>
      <c r="H26" s="20"/>
    </row>
    <row r="27" spans="1:9" x14ac:dyDescent="0.2">
      <c r="C27" s="20" t="s">
        <v>26</v>
      </c>
      <c r="D27" s="20"/>
      <c r="E27" s="20"/>
      <c r="F27" s="20"/>
      <c r="G27" s="20"/>
      <c r="H27" s="20"/>
    </row>
    <row r="28" spans="1:9" x14ac:dyDescent="0.2">
      <c r="C28" s="20" t="s">
        <v>27</v>
      </c>
      <c r="D28" s="20"/>
      <c r="E28" s="20"/>
      <c r="F28" s="20"/>
      <c r="G28" s="20"/>
      <c r="H28" s="20"/>
    </row>
    <row r="29" spans="1:9" x14ac:dyDescent="0.2">
      <c r="C29" s="20" t="s">
        <v>28</v>
      </c>
      <c r="D29" s="20"/>
      <c r="E29" s="20"/>
      <c r="F29" s="20"/>
      <c r="G29" s="20"/>
      <c r="H29" s="20"/>
    </row>
    <row r="30" spans="1:9" x14ac:dyDescent="0.2">
      <c r="C30" s="20" t="s">
        <v>29</v>
      </c>
      <c r="D30" s="20"/>
      <c r="E30" s="20"/>
      <c r="F30" s="20"/>
      <c r="G30" s="20"/>
      <c r="H30" s="20"/>
    </row>
    <row r="31" spans="1:9" x14ac:dyDescent="0.2">
      <c r="C31" s="20" t="s">
        <v>31</v>
      </c>
      <c r="D31" s="20"/>
      <c r="E31" s="20"/>
      <c r="F31" s="20"/>
      <c r="G31" s="20"/>
      <c r="H31" s="20"/>
    </row>
    <row r="32" spans="1:9" x14ac:dyDescent="0.2">
      <c r="C32" s="20" t="s">
        <v>30</v>
      </c>
      <c r="D32" s="20"/>
      <c r="E32" s="20"/>
      <c r="F32" s="20"/>
      <c r="G32" s="20"/>
      <c r="H32" s="20"/>
    </row>
    <row r="33" spans="1:8" x14ac:dyDescent="0.2">
      <c r="C33" s="20" t="s">
        <v>32</v>
      </c>
      <c r="D33" s="20"/>
      <c r="E33" s="20"/>
      <c r="F33" s="20"/>
      <c r="G33" s="20"/>
      <c r="H33" s="20"/>
    </row>
    <row r="36" spans="1:8" x14ac:dyDescent="0.2">
      <c r="A36" s="21">
        <v>0.9</v>
      </c>
      <c r="C36" t="s">
        <v>33</v>
      </c>
    </row>
    <row r="38" spans="1:8" x14ac:dyDescent="0.2">
      <c r="A38" t="s">
        <v>35</v>
      </c>
    </row>
    <row r="40" spans="1:8" x14ac:dyDescent="0.2">
      <c r="A40" t="s">
        <v>36</v>
      </c>
    </row>
    <row r="44" spans="1:8" x14ac:dyDescent="0.2">
      <c r="A44" t="s">
        <v>37</v>
      </c>
      <c r="B44" t="s">
        <v>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Elfassi Youssef</cp:lastModifiedBy>
  <dcterms:created xsi:type="dcterms:W3CDTF">2013-11-15T08:18:08Z</dcterms:created>
  <dcterms:modified xsi:type="dcterms:W3CDTF">2013-11-15T08:40:24Z</dcterms:modified>
</cp:coreProperties>
</file>