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65" windowWidth="20595" windowHeight="91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Z25" i="1" l="1"/>
  <c r="AY25" i="1"/>
  <c r="AX25" i="1"/>
  <c r="AW25" i="1"/>
  <c r="AV25" i="1"/>
  <c r="AT25" i="1"/>
  <c r="AS25" i="1"/>
  <c r="AR25" i="1"/>
  <c r="AQ25" i="1"/>
  <c r="AP25" i="1"/>
  <c r="AN25" i="1"/>
  <c r="AM25" i="1"/>
  <c r="AL25" i="1"/>
  <c r="AK25" i="1"/>
  <c r="AJ25" i="1"/>
  <c r="AH25" i="1"/>
  <c r="AG25" i="1"/>
  <c r="AF25" i="1"/>
  <c r="AE25" i="1"/>
  <c r="AD25" i="1"/>
  <c r="AB25" i="1"/>
  <c r="AA25" i="1"/>
  <c r="Z25" i="1"/>
  <c r="Y25" i="1"/>
  <c r="X25" i="1"/>
  <c r="V25" i="1"/>
  <c r="U25" i="1"/>
  <c r="T25" i="1"/>
  <c r="S25" i="1"/>
  <c r="R25" i="1"/>
  <c r="P25" i="1"/>
  <c r="O25" i="1"/>
  <c r="N25" i="1"/>
  <c r="M25" i="1"/>
  <c r="L25" i="1"/>
  <c r="J25" i="1"/>
  <c r="I25" i="1"/>
  <c r="H25" i="1"/>
  <c r="G25" i="1"/>
  <c r="F25" i="1"/>
  <c r="AZ24" i="1" l="1"/>
  <c r="AY24" i="1"/>
  <c r="AX24" i="1"/>
  <c r="AW24" i="1"/>
  <c r="AV24" i="1"/>
  <c r="AT24" i="1"/>
  <c r="AS24" i="1"/>
  <c r="AR24" i="1"/>
  <c r="AQ24" i="1"/>
  <c r="AP24" i="1"/>
  <c r="AN24" i="1"/>
  <c r="AM24" i="1"/>
  <c r="AL24" i="1"/>
  <c r="AK24" i="1"/>
  <c r="AJ24" i="1"/>
  <c r="AH24" i="1"/>
  <c r="AG24" i="1"/>
  <c r="AF24" i="1"/>
  <c r="AE24" i="1"/>
  <c r="AD24" i="1"/>
  <c r="AB24" i="1"/>
  <c r="AA24" i="1"/>
  <c r="Z24" i="1"/>
  <c r="Y24" i="1"/>
  <c r="X24" i="1"/>
  <c r="V24" i="1"/>
  <c r="U24" i="1"/>
  <c r="T24" i="1"/>
  <c r="S24" i="1"/>
  <c r="R24" i="1"/>
  <c r="P24" i="1"/>
  <c r="O24" i="1"/>
  <c r="N24" i="1"/>
  <c r="M24" i="1"/>
  <c r="L24" i="1"/>
  <c r="J24" i="1"/>
  <c r="I24" i="1"/>
  <c r="H24" i="1"/>
  <c r="G24" i="1"/>
  <c r="F24" i="1"/>
  <c r="AZ23" i="1" l="1"/>
  <c r="AY23" i="1"/>
  <c r="AX23" i="1"/>
  <c r="AW23" i="1"/>
  <c r="AV23" i="1"/>
  <c r="AT23" i="1"/>
  <c r="AS23" i="1"/>
  <c r="AR23" i="1"/>
  <c r="AQ23" i="1"/>
  <c r="AP23" i="1"/>
  <c r="AN23" i="1"/>
  <c r="AM23" i="1"/>
  <c r="AL23" i="1"/>
  <c r="AK23" i="1"/>
  <c r="AJ23" i="1"/>
  <c r="AH23" i="1"/>
  <c r="AG23" i="1"/>
  <c r="AF23" i="1"/>
  <c r="AE23" i="1"/>
  <c r="AD23" i="1"/>
  <c r="AB23" i="1"/>
  <c r="AA23" i="1"/>
  <c r="Z23" i="1"/>
  <c r="Y23" i="1"/>
  <c r="X23" i="1"/>
  <c r="V23" i="1"/>
  <c r="U23" i="1"/>
  <c r="T23" i="1"/>
  <c r="S23" i="1"/>
  <c r="R23" i="1"/>
  <c r="P23" i="1"/>
  <c r="O23" i="1"/>
  <c r="N23" i="1"/>
  <c r="M23" i="1"/>
  <c r="L23" i="1"/>
  <c r="J23" i="1"/>
  <c r="I23" i="1"/>
  <c r="H23" i="1"/>
  <c r="G23" i="1"/>
  <c r="F23" i="1"/>
  <c r="AZ22" i="1" l="1"/>
  <c r="AY22" i="1"/>
  <c r="AX22" i="1"/>
  <c r="AW22" i="1"/>
  <c r="AV22" i="1"/>
  <c r="AT22" i="1"/>
  <c r="AS22" i="1"/>
  <c r="AR22" i="1"/>
  <c r="AQ22" i="1"/>
  <c r="AP22" i="1"/>
  <c r="AN22" i="1"/>
  <c r="AM22" i="1"/>
  <c r="AL22" i="1"/>
  <c r="AK22" i="1"/>
  <c r="AJ22" i="1"/>
  <c r="AH22" i="1"/>
  <c r="AG22" i="1"/>
  <c r="AF22" i="1"/>
  <c r="AE22" i="1"/>
  <c r="AD22" i="1"/>
  <c r="AB22" i="1"/>
  <c r="AA22" i="1"/>
  <c r="Z22" i="1"/>
  <c r="Y22" i="1"/>
  <c r="X22" i="1"/>
  <c r="V22" i="1"/>
  <c r="U22" i="1"/>
  <c r="T22" i="1"/>
  <c r="S22" i="1"/>
  <c r="R22" i="1"/>
  <c r="P22" i="1"/>
  <c r="O22" i="1"/>
  <c r="N22" i="1"/>
  <c r="M22" i="1"/>
  <c r="L22" i="1"/>
  <c r="J22" i="1"/>
  <c r="I22" i="1"/>
  <c r="H22" i="1"/>
  <c r="G22" i="1"/>
  <c r="F22" i="1"/>
  <c r="AZ21" i="1" l="1"/>
  <c r="AY21" i="1"/>
  <c r="AX21" i="1"/>
  <c r="AW21" i="1"/>
  <c r="AV21" i="1"/>
  <c r="AT21" i="1"/>
  <c r="AS21" i="1"/>
  <c r="AR21" i="1"/>
  <c r="AQ21" i="1"/>
  <c r="AP21" i="1"/>
  <c r="AN21" i="1"/>
  <c r="AM21" i="1"/>
  <c r="AL21" i="1"/>
  <c r="AK21" i="1"/>
  <c r="AJ21" i="1"/>
  <c r="AH21" i="1"/>
  <c r="AG21" i="1"/>
  <c r="AF21" i="1"/>
  <c r="AE21" i="1"/>
  <c r="AD21" i="1"/>
  <c r="AB21" i="1"/>
  <c r="AA21" i="1"/>
  <c r="Z21" i="1"/>
  <c r="Y21" i="1"/>
  <c r="X21" i="1"/>
  <c r="V21" i="1"/>
  <c r="U21" i="1"/>
  <c r="T21" i="1"/>
  <c r="S21" i="1"/>
  <c r="R21" i="1"/>
  <c r="P21" i="1"/>
  <c r="O21" i="1"/>
  <c r="N21" i="1"/>
  <c r="M21" i="1"/>
  <c r="L21" i="1"/>
  <c r="J21" i="1"/>
  <c r="I21" i="1"/>
  <c r="H21" i="1"/>
  <c r="G21" i="1"/>
  <c r="F21" i="1"/>
  <c r="AZ20" i="1" l="1"/>
  <c r="AY20" i="1"/>
  <c r="AX20" i="1"/>
  <c r="AW20" i="1"/>
  <c r="AV20" i="1"/>
  <c r="AT20" i="1"/>
  <c r="AS20" i="1"/>
  <c r="AR20" i="1"/>
  <c r="AQ20" i="1"/>
  <c r="AP20" i="1"/>
  <c r="AN20" i="1"/>
  <c r="AM20" i="1"/>
  <c r="AL20" i="1"/>
  <c r="AK20" i="1"/>
  <c r="AJ20" i="1"/>
  <c r="AH20" i="1"/>
  <c r="AG20" i="1"/>
  <c r="AF20" i="1"/>
  <c r="AE20" i="1"/>
  <c r="AD20" i="1"/>
  <c r="AB20" i="1"/>
  <c r="AA20" i="1"/>
  <c r="Z20" i="1"/>
  <c r="Y20" i="1"/>
  <c r="X20" i="1"/>
  <c r="V20" i="1"/>
  <c r="U20" i="1"/>
  <c r="T20" i="1"/>
  <c r="S20" i="1"/>
  <c r="R20" i="1"/>
  <c r="P20" i="1"/>
  <c r="O20" i="1"/>
  <c r="N20" i="1"/>
  <c r="M20" i="1"/>
  <c r="L20" i="1"/>
  <c r="J20" i="1"/>
  <c r="I20" i="1"/>
  <c r="H20" i="1"/>
  <c r="G20" i="1"/>
  <c r="F20" i="1"/>
  <c r="AZ19" i="1" l="1"/>
  <c r="AY19" i="1"/>
  <c r="AX19" i="1"/>
  <c r="AW19" i="1"/>
  <c r="AV19" i="1"/>
  <c r="AT19" i="1"/>
  <c r="AS19" i="1"/>
  <c r="AR19" i="1"/>
  <c r="AQ19" i="1"/>
  <c r="AP19" i="1"/>
  <c r="AN19" i="1"/>
  <c r="AM19" i="1"/>
  <c r="AL19" i="1"/>
  <c r="AK19" i="1"/>
  <c r="AJ19" i="1"/>
  <c r="AH19" i="1"/>
  <c r="AG19" i="1"/>
  <c r="AF19" i="1"/>
  <c r="AE19" i="1"/>
  <c r="AD19" i="1"/>
  <c r="AB19" i="1"/>
  <c r="AA19" i="1"/>
  <c r="Z19" i="1"/>
  <c r="Y19" i="1"/>
  <c r="X19" i="1"/>
  <c r="V19" i="1"/>
  <c r="U19" i="1"/>
  <c r="T19" i="1"/>
  <c r="S19" i="1"/>
  <c r="R19" i="1"/>
  <c r="P19" i="1"/>
  <c r="O19" i="1"/>
  <c r="N19" i="1"/>
  <c r="M19" i="1"/>
  <c r="L19" i="1"/>
  <c r="J19" i="1"/>
  <c r="I19" i="1"/>
  <c r="H19" i="1"/>
  <c r="G19" i="1"/>
  <c r="F19" i="1"/>
  <c r="AZ18" i="1" l="1"/>
  <c r="AY18" i="1"/>
  <c r="AX18" i="1"/>
  <c r="AW18" i="1"/>
  <c r="AV18" i="1"/>
  <c r="AT18" i="1"/>
  <c r="AS18" i="1"/>
  <c r="AR18" i="1"/>
  <c r="AQ18" i="1"/>
  <c r="AP18" i="1"/>
  <c r="AN18" i="1"/>
  <c r="AM18" i="1"/>
  <c r="AL18" i="1"/>
  <c r="AK18" i="1"/>
  <c r="AJ18" i="1"/>
  <c r="AH18" i="1"/>
  <c r="AG18" i="1"/>
  <c r="AF18" i="1"/>
  <c r="AE18" i="1"/>
  <c r="AD18" i="1"/>
  <c r="AB18" i="1"/>
  <c r="AA18" i="1"/>
  <c r="Z18" i="1"/>
  <c r="Y18" i="1"/>
  <c r="X18" i="1"/>
  <c r="V18" i="1"/>
  <c r="U18" i="1"/>
  <c r="T18" i="1"/>
  <c r="S18" i="1"/>
  <c r="R18" i="1"/>
  <c r="P18" i="1"/>
  <c r="O18" i="1"/>
  <c r="N18" i="1"/>
  <c r="M18" i="1"/>
  <c r="L18" i="1"/>
  <c r="J18" i="1"/>
  <c r="I18" i="1"/>
  <c r="H18" i="1"/>
  <c r="G18" i="1"/>
  <c r="F18" i="1"/>
  <c r="AZ17" i="1" l="1"/>
  <c r="AY17" i="1"/>
  <c r="AX17" i="1"/>
  <c r="AW17" i="1"/>
  <c r="AV17" i="1"/>
  <c r="AT17" i="1"/>
  <c r="AS17" i="1"/>
  <c r="AR17" i="1"/>
  <c r="AQ17" i="1"/>
  <c r="AP17" i="1"/>
  <c r="AN17" i="1"/>
  <c r="AM17" i="1"/>
  <c r="AL17" i="1"/>
  <c r="AK17" i="1"/>
  <c r="AJ17" i="1"/>
  <c r="AH17" i="1"/>
  <c r="AG17" i="1"/>
  <c r="AF17" i="1"/>
  <c r="AE17" i="1"/>
  <c r="AD17" i="1"/>
  <c r="AB17" i="1"/>
  <c r="AA17" i="1"/>
  <c r="Z17" i="1"/>
  <c r="Y17" i="1"/>
  <c r="X17" i="1"/>
  <c r="V17" i="1"/>
  <c r="U17" i="1"/>
  <c r="T17" i="1"/>
  <c r="S17" i="1"/>
  <c r="R17" i="1"/>
  <c r="P17" i="1"/>
  <c r="O17" i="1"/>
  <c r="N17" i="1"/>
  <c r="M17" i="1"/>
  <c r="L17" i="1"/>
  <c r="J17" i="1"/>
  <c r="I17" i="1"/>
  <c r="H17" i="1"/>
  <c r="G17" i="1"/>
  <c r="F17" i="1"/>
  <c r="AZ16" i="1" l="1"/>
  <c r="AY16" i="1"/>
  <c r="AX16" i="1"/>
  <c r="AW16" i="1"/>
  <c r="AV16" i="1"/>
  <c r="AT16" i="1"/>
  <c r="AS16" i="1"/>
  <c r="AR16" i="1"/>
  <c r="AQ16" i="1"/>
  <c r="AP16" i="1"/>
  <c r="AN16" i="1"/>
  <c r="AM16" i="1"/>
  <c r="AL16" i="1"/>
  <c r="AK16" i="1"/>
  <c r="AJ16" i="1"/>
  <c r="AH16" i="1"/>
  <c r="AG16" i="1"/>
  <c r="AF16" i="1"/>
  <c r="AE16" i="1"/>
  <c r="AD16" i="1"/>
  <c r="AB16" i="1"/>
  <c r="AA16" i="1"/>
  <c r="Z16" i="1"/>
  <c r="Y16" i="1"/>
  <c r="X16" i="1"/>
  <c r="V16" i="1"/>
  <c r="U16" i="1"/>
  <c r="T16" i="1"/>
  <c r="S16" i="1"/>
  <c r="R16" i="1"/>
  <c r="P16" i="1"/>
  <c r="O16" i="1"/>
  <c r="N16" i="1"/>
  <c r="M16" i="1"/>
  <c r="L16" i="1"/>
  <c r="J16" i="1"/>
  <c r="I16" i="1"/>
  <c r="H16" i="1"/>
  <c r="G16" i="1"/>
  <c r="F16" i="1"/>
  <c r="AZ15" i="1" l="1"/>
  <c r="AY15" i="1"/>
  <c r="AX15" i="1"/>
  <c r="AW15" i="1"/>
  <c r="AV15" i="1"/>
  <c r="AT15" i="1"/>
  <c r="AS15" i="1"/>
  <c r="AR15" i="1"/>
  <c r="AQ15" i="1"/>
  <c r="AP15" i="1"/>
  <c r="AN15" i="1"/>
  <c r="AM15" i="1"/>
  <c r="AL15" i="1"/>
  <c r="AK15" i="1"/>
  <c r="AJ15" i="1"/>
  <c r="AH15" i="1"/>
  <c r="AG15" i="1"/>
  <c r="AF15" i="1"/>
  <c r="AE15" i="1"/>
  <c r="AD15" i="1"/>
  <c r="AB15" i="1"/>
  <c r="AA15" i="1"/>
  <c r="Z15" i="1"/>
  <c r="Y15" i="1"/>
  <c r="X15" i="1"/>
  <c r="V15" i="1"/>
  <c r="U15" i="1"/>
  <c r="T15" i="1"/>
  <c r="S15" i="1"/>
  <c r="R15" i="1"/>
  <c r="P15" i="1"/>
  <c r="O15" i="1"/>
  <c r="N15" i="1"/>
  <c r="M15" i="1"/>
  <c r="L15" i="1"/>
  <c r="J15" i="1"/>
  <c r="I15" i="1"/>
  <c r="H15" i="1"/>
  <c r="G15" i="1"/>
  <c r="F15" i="1"/>
  <c r="AZ14" i="1" l="1"/>
  <c r="AY14" i="1"/>
  <c r="AX14" i="1"/>
  <c r="AW14" i="1"/>
  <c r="AV14" i="1"/>
  <c r="AT14" i="1"/>
  <c r="AS14" i="1"/>
  <c r="AR14" i="1"/>
  <c r="AQ14" i="1"/>
  <c r="AP14" i="1"/>
  <c r="AN14" i="1"/>
  <c r="AM14" i="1"/>
  <c r="AL14" i="1"/>
  <c r="AK14" i="1"/>
  <c r="AJ14" i="1"/>
  <c r="AH14" i="1"/>
  <c r="AG14" i="1"/>
  <c r="AF14" i="1"/>
  <c r="AE14" i="1"/>
  <c r="AD14" i="1"/>
  <c r="AB14" i="1"/>
  <c r="AA14" i="1"/>
  <c r="Z14" i="1"/>
  <c r="Y14" i="1"/>
  <c r="X14" i="1"/>
  <c r="V14" i="1"/>
  <c r="U14" i="1"/>
  <c r="T14" i="1"/>
  <c r="S14" i="1"/>
  <c r="R14" i="1"/>
  <c r="P14" i="1"/>
  <c r="O14" i="1"/>
  <c r="N14" i="1"/>
  <c r="M14" i="1"/>
  <c r="L14" i="1"/>
  <c r="J14" i="1"/>
  <c r="I14" i="1"/>
  <c r="H14" i="1"/>
  <c r="G14" i="1"/>
  <c r="F14" i="1"/>
</calcChain>
</file>

<file path=xl/sharedStrings.xml><?xml version="1.0" encoding="utf-8"?>
<sst xmlns="http://schemas.openxmlformats.org/spreadsheetml/2006/main" count="62" uniqueCount="20">
  <si>
    <t>mini</t>
  </si>
  <si>
    <t>Q
(m3/h)</t>
  </si>
  <si>
    <t>Hmt
(mCE)</t>
  </si>
  <si>
    <t>P0tot
(W)</t>
  </si>
  <si>
    <t>P1tot
(W)</t>
  </si>
  <si>
    <t>P2
(W)</t>
  </si>
  <si>
    <t>N
(min-1)</t>
  </si>
  <si>
    <t>MVIE 3202</t>
  </si>
  <si>
    <t>MVIE 3203</t>
  </si>
  <si>
    <t>MVIE 403</t>
  </si>
  <si>
    <t>MVIE 204</t>
  </si>
  <si>
    <t>MVIE 214</t>
  </si>
  <si>
    <t>MVIE 410</t>
  </si>
  <si>
    <t>MVIE 806</t>
  </si>
  <si>
    <t>MVIE 1603</t>
  </si>
  <si>
    <t>MVIE 1602</t>
  </si>
  <si>
    <t>MVIE 803</t>
  </si>
  <si>
    <t>MVIE 406</t>
  </si>
  <si>
    <t>MVIE 208</t>
  </si>
  <si>
    <t>equations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</si>
</sst>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9" x14ac:knownFonts="1"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name val="Arial"/>
      <family val="2"/>
    </font>
    <font>
      <b/>
      <sz val="8"/>
      <color theme="0"/>
      <name val="Verdana"/>
      <family val="2"/>
    </font>
    <font>
      <sz val="8"/>
      <name val="Verdana"/>
      <family val="2"/>
    </font>
    <font>
      <b/>
      <sz val="13"/>
      <color theme="1"/>
      <name val="Verdana"/>
      <family val="2"/>
    </font>
    <font>
      <sz val="10"/>
      <name val="Verdana"/>
      <family val="2"/>
    </font>
    <font>
      <b/>
      <sz val="10"/>
      <color theme="1" tint="0.249977111117893"/>
      <name val="Verdana"/>
      <family val="2"/>
    </font>
    <font>
      <b/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B4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009C8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27">
    <xf numFmtId="0" fontId="0" fillId="0" borderId="0" xfId="0"/>
    <xf numFmtId="2" fontId="1" fillId="3" borderId="1" xfId="1" applyNumberFormat="1" applyFont="1" applyFill="1" applyBorder="1" applyAlignment="1">
      <alignment horizontal="center"/>
    </xf>
    <xf numFmtId="0" fontId="5" fillId="0" borderId="0" xfId="0" applyFont="1"/>
    <xf numFmtId="0" fontId="6" fillId="0" borderId="3" xfId="2" applyFont="1" applyBorder="1"/>
    <xf numFmtId="0" fontId="7" fillId="0" borderId="3" xfId="2" applyFont="1" applyBorder="1" applyAlignment="1">
      <alignment horizontal="center" vertical="center"/>
    </xf>
    <xf numFmtId="0" fontId="6" fillId="0" borderId="3" xfId="1" applyFont="1" applyFill="1" applyBorder="1"/>
    <xf numFmtId="2" fontId="6" fillId="0" borderId="3" xfId="1" applyNumberFormat="1" applyFont="1" applyFill="1" applyBorder="1"/>
    <xf numFmtId="0" fontId="6" fillId="0" borderId="0" xfId="2" applyFont="1" applyBorder="1"/>
    <xf numFmtId="0" fontId="7" fillId="0" borderId="0" xfId="2" applyFont="1" applyBorder="1" applyAlignment="1">
      <alignment horizontal="center" vertical="center"/>
    </xf>
    <xf numFmtId="0" fontId="6" fillId="0" borderId="0" xfId="1" applyFont="1" applyFill="1" applyBorder="1"/>
    <xf numFmtId="2" fontId="6" fillId="0" borderId="0" xfId="1" applyNumberFormat="1" applyFont="1" applyFill="1" applyBorder="1"/>
    <xf numFmtId="0" fontId="6" fillId="0" borderId="0" xfId="2" applyFont="1"/>
    <xf numFmtId="9" fontId="0" fillId="0" borderId="4" xfId="0" applyNumberFormat="1" applyBorder="1" applyAlignment="1">
      <alignment horizontal="centerContinuous" vertical="center"/>
    </xf>
    <xf numFmtId="9" fontId="0" fillId="0" borderId="5" xfId="0" applyNumberFormat="1" applyBorder="1" applyAlignment="1">
      <alignment horizontal="centerContinuous" vertical="center"/>
    </xf>
    <xf numFmtId="0" fontId="0" fillId="0" borderId="5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9" fontId="2" fillId="0" borderId="4" xfId="0" applyNumberFormat="1" applyFont="1" applyBorder="1" applyAlignment="1">
      <alignment horizontal="centerContinuous" vertical="center"/>
    </xf>
    <xf numFmtId="0" fontId="2" fillId="0" borderId="0" xfId="2"/>
    <xf numFmtId="2" fontId="3" fillId="2" borderId="2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1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7" fillId="0" borderId="1" xfId="2" applyFont="1" applyBorder="1" applyAlignment="1">
      <alignment horizontal="centerContinuous" vertical="center"/>
    </xf>
    <xf numFmtId="0" fontId="8" fillId="0" borderId="1" xfId="2" applyFont="1" applyFill="1" applyBorder="1" applyAlignment="1">
      <alignment horizontal="centerContinuous" vertical="center"/>
    </xf>
    <xf numFmtId="0" fontId="0" fillId="0" borderId="1" xfId="0" applyBorder="1" applyAlignment="1">
      <alignment horizontal="centerContinuous" vertical="center"/>
    </xf>
    <xf numFmtId="164" fontId="4" fillId="0" borderId="1" xfId="1" applyNumberFormat="1" applyFont="1" applyFill="1" applyBorder="1" applyAlignment="1">
      <alignment horizontal="center" vertical="center"/>
    </xf>
    <xf numFmtId="165" fontId="4" fillId="0" borderId="1" xfId="1" applyNumberFormat="1" applyFont="1" applyFill="1" applyBorder="1" applyAlignment="1">
      <alignment horizontal="center" vertical="center"/>
    </xf>
  </cellXfs>
  <cellStyles count="4">
    <cellStyle name="Normal" xfId="0" builtinId="0"/>
    <cellStyle name="Normal 10" xfId="2"/>
    <cellStyle name="Normal 10 2" xfId="3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J25"/>
  <sheetViews>
    <sheetView showGridLines="0" tabSelected="1" workbookViewId="0">
      <selection activeCell="D9" sqref="D9"/>
    </sheetView>
  </sheetViews>
  <sheetFormatPr baseColWidth="10" defaultRowHeight="12.75" x14ac:dyDescent="0.2"/>
  <cols>
    <col min="3" max="3" width="17.375" bestFit="1" customWidth="1"/>
  </cols>
  <sheetData>
    <row r="3" spans="1:62" x14ac:dyDescent="0.2">
      <c r="A3" s="3"/>
      <c r="B3" s="4"/>
      <c r="C3" s="5"/>
      <c r="D3" s="5"/>
      <c r="E3" s="5"/>
      <c r="F3" s="5"/>
      <c r="G3" s="6"/>
      <c r="H3" s="5"/>
      <c r="I3" s="3"/>
    </row>
    <row r="4" spans="1:62" x14ac:dyDescent="0.2">
      <c r="A4" s="7"/>
      <c r="B4" s="8"/>
      <c r="C4" s="9"/>
      <c r="D4" s="9"/>
      <c r="E4" s="9"/>
      <c r="F4" s="9"/>
      <c r="G4" s="10"/>
      <c r="H4" s="9"/>
      <c r="I4" s="7"/>
    </row>
    <row r="5" spans="1:62" ht="15.75" x14ac:dyDescent="0.2">
      <c r="B5" s="2"/>
    </row>
    <row r="6" spans="1:62" ht="15.75" x14ac:dyDescent="0.2">
      <c r="B6" s="2" t="s">
        <v>19</v>
      </c>
    </row>
    <row r="12" spans="1:62" x14ac:dyDescent="0.2">
      <c r="E12" s="12">
        <v>1</v>
      </c>
      <c r="F12" s="13"/>
      <c r="G12" s="14"/>
      <c r="H12" s="14"/>
      <c r="I12" s="14"/>
      <c r="J12" s="15"/>
      <c r="K12" s="12">
        <v>0.9</v>
      </c>
      <c r="L12" s="13"/>
      <c r="M12" s="14"/>
      <c r="N12" s="14"/>
      <c r="O12" s="14"/>
      <c r="P12" s="15"/>
      <c r="Q12" s="12">
        <v>0.8</v>
      </c>
      <c r="R12" s="13"/>
      <c r="S12" s="14"/>
      <c r="T12" s="14"/>
      <c r="U12" s="14"/>
      <c r="V12" s="15"/>
      <c r="W12" s="12">
        <v>0.7</v>
      </c>
      <c r="X12" s="13"/>
      <c r="Y12" s="14"/>
      <c r="Z12" s="14"/>
      <c r="AA12" s="14"/>
      <c r="AB12" s="15"/>
      <c r="AC12" s="12">
        <v>0.6</v>
      </c>
      <c r="AD12" s="13"/>
      <c r="AE12" s="14"/>
      <c r="AF12" s="14"/>
      <c r="AG12" s="14"/>
      <c r="AH12" s="15"/>
      <c r="AI12" s="12">
        <v>0.5</v>
      </c>
      <c r="AJ12" s="13"/>
      <c r="AK12" s="14"/>
      <c r="AL12" s="14"/>
      <c r="AM12" s="14"/>
      <c r="AN12" s="15"/>
      <c r="AO12" s="12">
        <v>0.4</v>
      </c>
      <c r="AP12" s="13"/>
      <c r="AQ12" s="14"/>
      <c r="AR12" s="14"/>
      <c r="AS12" s="14"/>
      <c r="AT12" s="15"/>
      <c r="AU12" s="16" t="s">
        <v>0</v>
      </c>
      <c r="AV12" s="13"/>
      <c r="AW12" s="14"/>
      <c r="AX12" s="14"/>
      <c r="AY12" s="14"/>
      <c r="AZ12" s="15"/>
    </row>
    <row r="13" spans="1:62" ht="21" x14ac:dyDescent="0.2">
      <c r="E13" s="18" t="s">
        <v>1</v>
      </c>
      <c r="F13" s="19" t="s">
        <v>2</v>
      </c>
      <c r="G13" s="20" t="s">
        <v>3</v>
      </c>
      <c r="H13" s="20" t="s">
        <v>4</v>
      </c>
      <c r="I13" s="20" t="s">
        <v>5</v>
      </c>
      <c r="J13" s="21" t="s">
        <v>6</v>
      </c>
      <c r="K13" s="18" t="s">
        <v>1</v>
      </c>
      <c r="L13" s="19" t="s">
        <v>2</v>
      </c>
      <c r="M13" s="20" t="s">
        <v>3</v>
      </c>
      <c r="N13" s="20" t="s">
        <v>4</v>
      </c>
      <c r="O13" s="20" t="s">
        <v>5</v>
      </c>
      <c r="P13" s="21" t="s">
        <v>6</v>
      </c>
      <c r="Q13" s="18" t="s">
        <v>1</v>
      </c>
      <c r="R13" s="19" t="s">
        <v>2</v>
      </c>
      <c r="S13" s="20" t="s">
        <v>3</v>
      </c>
      <c r="T13" s="20" t="s">
        <v>4</v>
      </c>
      <c r="U13" s="20" t="s">
        <v>5</v>
      </c>
      <c r="V13" s="21" t="s">
        <v>6</v>
      </c>
      <c r="W13" s="18" t="s">
        <v>1</v>
      </c>
      <c r="X13" s="19" t="s">
        <v>2</v>
      </c>
      <c r="Y13" s="20" t="s">
        <v>3</v>
      </c>
      <c r="Z13" s="20" t="s">
        <v>4</v>
      </c>
      <c r="AA13" s="20" t="s">
        <v>5</v>
      </c>
      <c r="AB13" s="21" t="s">
        <v>6</v>
      </c>
      <c r="AC13" s="18" t="s">
        <v>1</v>
      </c>
      <c r="AD13" s="19" t="s">
        <v>2</v>
      </c>
      <c r="AE13" s="20" t="s">
        <v>3</v>
      </c>
      <c r="AF13" s="20" t="s">
        <v>4</v>
      </c>
      <c r="AG13" s="20" t="s">
        <v>5</v>
      </c>
      <c r="AH13" s="21" t="s">
        <v>6</v>
      </c>
      <c r="AI13" s="18" t="s">
        <v>1</v>
      </c>
      <c r="AJ13" s="19" t="s">
        <v>2</v>
      </c>
      <c r="AK13" s="20" t="s">
        <v>3</v>
      </c>
      <c r="AL13" s="20" t="s">
        <v>4</v>
      </c>
      <c r="AM13" s="20" t="s">
        <v>5</v>
      </c>
      <c r="AN13" s="21" t="s">
        <v>6</v>
      </c>
      <c r="AO13" s="18" t="s">
        <v>1</v>
      </c>
      <c r="AP13" s="19" t="s">
        <v>2</v>
      </c>
      <c r="AQ13" s="20" t="s">
        <v>3</v>
      </c>
      <c r="AR13" s="20" t="s">
        <v>4</v>
      </c>
      <c r="AS13" s="20" t="s">
        <v>5</v>
      </c>
      <c r="AT13" s="21" t="s">
        <v>6</v>
      </c>
      <c r="AU13" s="18" t="s">
        <v>1</v>
      </c>
      <c r="AV13" s="19" t="s">
        <v>2</v>
      </c>
      <c r="AW13" s="20" t="s">
        <v>3</v>
      </c>
      <c r="AX13" s="20" t="s">
        <v>4</v>
      </c>
      <c r="AY13" s="20" t="s">
        <v>5</v>
      </c>
      <c r="AZ13" s="21" t="s">
        <v>6</v>
      </c>
    </row>
    <row r="14" spans="1:62" s="11" customFormat="1" x14ac:dyDescent="0.2">
      <c r="B14" s="22" t="s">
        <v>7</v>
      </c>
      <c r="C14" s="23"/>
      <c r="D14" s="24"/>
      <c r="E14" s="1">
        <v>0</v>
      </c>
      <c r="F14" s="25">
        <f>-7.51429396501974E-09*E14 ^ 6 + 1.54744012170338E-06*E14 ^ 5 + -0.000121178267221055*E14 ^ 4 + 0.00422886877031795*E14 ^ 3 + -0.0706377173559819*E14 ^ 2 + 0.301476807316723*E14 ^ 1 + 44.3409235108653</f>
        <v>44.340923510865302</v>
      </c>
      <c r="G14" s="26">
        <f>(1.02394659848577E-06*E14 ^ 6 + -0.000185526506362546*E14 ^ 5 + 0.0127712764983828*E14 ^ 4 + -0.45230876887872*E14 ^ 3 + 7.80570552166032*E14 ^ 2 + 53.088689530559*E14 ^ 1 + 2744.14802460705)/1000</f>
        <v>2.7441480246070502</v>
      </c>
      <c r="H14" s="26">
        <f>(8.82886432871443E-07*E14 ^ 6 + -0.000156771441416382*E14 ^ 5 + 0.0105356938524848*E14 ^ 4 + -0.369769540024636*E14 ^ 3 + 6.40399768023273*E14 ^ 2 + 58.8648217764146*E14 ^ 1 + 2600.89594583145)/1000</f>
        <v>2.60089594583145</v>
      </c>
      <c r="I14" s="26">
        <f>(8.43989142263585E-07*E14 ^ 6 + -0.000153872292995798*E14 ^ 5 + 0.0106906069283063*E14 ^ 4 + -0.382506367522905*E14 ^ 3 + 6.55583605366372*E14 ^ 2 + 50.914200243791*E14 ^ 1 + 2322.96377886073)/1000</f>
        <v>2.3229637788607302</v>
      </c>
      <c r="J14" s="25">
        <f>1.88388792335088E-09*E14 ^ 6 + -4.84127384008327E-07*E14 ^ 5 + 0.0000460864992906024*E14 ^ 4 + -0.0019364207521825*E14 ^ 3 + 0.0336876516562766*E14 ^ 2 + -0.251861825770372*E14 ^ 1 + 3296.12869020085</f>
        <v>3296.1286902008501</v>
      </c>
      <c r="K14" s="1">
        <v>0</v>
      </c>
      <c r="L14" s="25">
        <f>-1.14609192137971E-08*K14 ^ 6 + 2.14222813179281E-06*K14 ^ 5 + -0.000151602905815823*K14 ^ 4 + 0.00476179334311152*K14 ^ 3 + -0.0711245157603648*K14 ^ 2 + 0.266903314429024*K14 ^ 1 + 35.9214452410085</f>
        <v>35.921445241008499</v>
      </c>
      <c r="M14" s="26">
        <f>(1.34190367005396E-06*K14 ^ 6 + -0.000211810245041774*K14 ^ 5 + 0.01257757248544*K14 ^ 4 + -0.385138668978148*K14 ^ 3 + 5.74563050024434*K14 ^ 2 + 52.1285577335504*K14 ^ 1 + 2100.50791623759)/1000</f>
        <v>2.1005079162375901</v>
      </c>
      <c r="N14" s="26">
        <f>(1.19706347837281E-06*K14 ^ 6 + -0.000184517069250329*K14 ^ 5 + 0.0106263890264778*K14 ^ 4 + -0.319248124475278*K14 ^ 3 + 4.73738665980417*K14 ^ 2 + 55.065648537797*K14 ^ 1 + 1967.42161186777)/1000</f>
        <v>1.9674216118677701</v>
      </c>
      <c r="O14" s="26">
        <f>(1.13350895172946E-06*K14 ^ 6 + -0.000179465849785938*K14 ^ 5 + 0.0107374701034496*K14 ^ 4 + -0.33257307444251*K14 ^ 3 + 4.97100083479944*K14 ^ 2 + 46.8144768620903*K14 ^ 1 + 1745.54305918323)/1000</f>
        <v>1.7455430591832302</v>
      </c>
      <c r="P14" s="25">
        <f>-2.5437108770084E-09*K14 ^ 6 + 3.75710113373905E-07*K14 ^ 5 + -0.000019013846846187*K14 ^ 4 + 0.00041977084460674*K14 ^ 3 + -0.00608159712742669*K14 ^ 2 + 0.0451242422480338*K14 ^ 1 + 2965.36814051222</f>
        <v>2965.3681405122202</v>
      </c>
      <c r="Q14" s="1">
        <v>0</v>
      </c>
      <c r="R14" s="25">
        <f>-1.81103786461916E-08*Q14 ^ 6 + 3.03635266078445E-06*Q14 ^ 5 + -0.000191800290577713*Q14 ^ 4 + 0.0053499996287709*Q14 ^ 3 + -0.0704994124248413*Q14 ^ 2 + 0.225780422678699*Q14 ^ 1 + 28.4115212620733</f>
        <v>28.4115212620733</v>
      </c>
      <c r="S14" s="26">
        <f>(1.77323258499292E-06*Q14 ^ 6 + -0.000238793318402477*Q14 ^ 5 + 0.0118824885227382*Q14 ^ 4 + -0.304280424784285*Q14 ^ 3 + 3.75918734967085*Q14 ^ 2 + 49.5178355199506*Q14 ^ 1 + 1559.670906367)/1000</f>
        <v>1.559670906367</v>
      </c>
      <c r="T14" s="26">
        <f>(0.0000016598021357938*Q14 ^ 6 + -0.000218263512915126*Q14 ^ 5 + 0.0105032158324092*Q14 ^ 4 + -0.261267657910927*Q14 ^ 3 + 3.1739833540557*Q14 ^ 2 + 50.0313861811347*Q14 ^ 1 + 1441.70979191669)/1000</f>
        <v>1.4417097919166899</v>
      </c>
      <c r="U14" s="26">
        <f>(1.55865501107946E-06*Q14 ^ 6 + -0.000210631599036278*Q14 ^ 5 + 0.0106022901927417*Q14 ^ 4 + -0.27683340788705*Q14 ^ 3 + 3.50415371517826*Q14 ^ 2 + 41.7579983095909*Q14 ^ 1 + 1269.68614013739)/1000</f>
        <v>1.26968614013739</v>
      </c>
      <c r="V14" s="25">
        <f>-4.58384959650612E-09*Q14 ^ 6 + 6.0181495455977E-07*Q14 ^ 5 + -0.0000270724499044158*Q14 ^ 4 + 0.000531272475214002*Q14 ^ 3 + -0.00684179676844754*Q14 ^ 2 + 0.0451242422484358*Q14 ^ 1 + 2635.88279156642</f>
        <v>2635.8827915664201</v>
      </c>
      <c r="W14" s="1">
        <v>0</v>
      </c>
      <c r="X14" s="25">
        <f>-3.08517552931386E-08*W14 ^ 6 + 4.57252313027582E-06*W14 ^ 5 + -0.000253922456308893*W14 ^ 4 + 0.0061953280312539*W14 ^ 3 + -0.0708491172591762*W14 ^ 2 + 0.19174859856581*W14 ^ 1 + 21.7611077789834</f>
        <v>21.761107778983401</v>
      </c>
      <c r="Y14" s="26">
        <f>(2.33061308567116E-06*W14 ^ 6 + -0.000255522660319545*W14 ^ 5 + 0.0098709054652325*W14 ^ 4 + -0.191292890827123*W14 ^ 3 + 1.68653524732717*W14 ^ 2 + 46.2701384459541*W14 ^ 1 + 1111.80996887367)/1000</f>
        <v>1.11180996887367</v>
      </c>
      <c r="Z14" s="26">
        <f>(2.35363416437153E-06*W14 ^ 6 + -0.000254330040839547*W14 ^ 5 + 0.00961215399228217*W14 ^ 4 + -0.180907880466194*W14 ^ 3 + 1.56388974973261*W14 ^ 2 + 44.7725919983786*W14 ^ 1 + 1012.42172474769)/1000</f>
        <v>1.0124217247476899</v>
      </c>
      <c r="AA14" s="26">
        <f>(2.19405508465976E-06*W14 ^ 6 + -0.000244128859181434*W14 ^ 5 + 0.00979553132590004*W14 ^ 4 + -0.202193329274783*W14 ^ 3 + 2.02008989453805*W14 ^ 2 + 36.6790694674947*W14 ^ 1 + 884.148287256155)/1000</f>
        <v>0.88414828725615491</v>
      </c>
      <c r="AB14" s="25">
        <f>-2.90828797221485E-08*W14 ^ 6 + 4.06969677126744E-06*W14 ^ 5 + -0.000215185679278702*W14 ^ 4 + 0.00533969289888456*W14 ^ 3 + -0.063763609265382*W14 ^ 2 + 0.342110310267226*W14 ^ 1 + 2305.50480210063</f>
        <v>2305.5048021006301</v>
      </c>
      <c r="AC14" s="1">
        <v>0</v>
      </c>
      <c r="AD14" s="25">
        <f>-4.06890557375138E-08*AC14 ^ 6 + 5.42825713499874E-06*AC14 ^ 5 + -0.000266961365393914*AC14 ^ 4 + 0.00558868207599675*AC14 ^ 3 + -0.0545438099853714*AC14 ^ 2 + 0.0977831147931687*AC14 ^ 1 + 16.6623647818638</f>
        <v>16.662364781863801</v>
      </c>
      <c r="AE14" s="26">
        <f>(3.62442197239228E-06*AC14 ^ 6 + -0.000331632140846656*AC14 ^ 5 + 0.0105674091901942*AC14 ^ 4 + -0.173449017952981*AC14 ^ 3 + 1.35119705673203*AC14 ^ 2 + 37.1188343558705*AC14 ^ 1 + 864.065209428973)/1000</f>
        <v>0.86406520942897302</v>
      </c>
      <c r="AF14" s="26">
        <f>(3.62954911128572E-06*AC14 ^ 6 + -0.000317334127511842*AC14 ^ 5 + 0.00942783473104278*AC14 ^ 4 + -0.142159535022312*AC14 ^ 3 + 1.06046789098324*AC14 ^ 2 + 34.2825212355162*AC14 ^ 1 + 772.213127715907)/1000</f>
        <v>0.772213127715907</v>
      </c>
      <c r="AG14" s="26">
        <f>(3.28313781432628E-06*AC14 ^ 6 + -0.000295788574091853*AC14 ^ 5 + 0.00943277473433274*AC14 ^ 4 + -0.161932953799665*AC14 ^ 3 + 1.48227861983294*AC14 ^ 2 + 27.7447260145736*AC14 ^ 1 + 639.290491900339)/1000</f>
        <v>0.63929049190033904</v>
      </c>
      <c r="AH14" s="25">
        <f>-5.22465301304366E-09*AC14 ^ 6 + 1.17402360531111E-06*AC14 ^ 5 + -0.0000774339346948209*AC14 ^ 4 + 0.00215289925883306*AC14 ^ 3 + -0.0279588266558307*AC14 ^ 2 + 0.174012026423938*AC14 ^ 1 + 2019.35569038513</f>
        <v>2019.3556903851299</v>
      </c>
      <c r="AI14" s="1">
        <v>0</v>
      </c>
      <c r="AJ14" s="25">
        <f>-3.38082637574958E-08*AI14 ^ 6 + 4.58804278876054E-06*AI14 ^ 5 + -0.000209618536501236*AI14 ^ 4 + 0.00365586713516883*AI14 ^ 3 + -0.0292101116902275*AI14 ^ 2 + 0.00111942064003689*AI14 ^ 1 + 11.540424656434</f>
        <v>11.540424656434</v>
      </c>
      <c r="AK14" s="26">
        <f>(4.98403668299996E-06*AI14 ^ 6 + -0.000353156536420502*AI14 ^ 5 + 0.00831688733291469*AI14 ^ 4 + -0.109957416413663*AI14 ^ 3 + 0.815465104354284*AI14 ^ 2 + 25.9638361003786*AI14 ^ 1 + 610.828863080817)/1000</f>
        <v>0.61082886308081696</v>
      </c>
      <c r="AL14" s="26">
        <f>(0.0000049395291095232*AI14 ^ 6 + -0.000309531162840885*AI14 ^ 5 + 0.00564770237797725*AI14 ^ 4 + -0.0517514564071991*AI14 ^ 3 + 0.388368242214328*AI14 ^ 2 + 22.08094535116*AI14 ^ 1 + 532.000545528364)/1000</f>
        <v>0.53200054552836396</v>
      </c>
      <c r="AM14" s="26">
        <f>(4.31228086894601E-06*AI14 ^ 6 + -0.000279859411824665*AI14 ^ 5 + 0.00578657061050517*AI14 ^ 4 + -0.0742711718042374*AI14 ^ 3 + 0.755288505414479*AI14 ^ 2 + 18.0289890779564*AI14 ^ 1 + 409.213002761576)/1000</f>
        <v>0.40921300276157596</v>
      </c>
      <c r="AN14" s="25">
        <f>-1.3000608585568E-08*AI14 ^ 6 + 2.43445534798518E-06*AI14 ^ 5 + -0.000133805839153005*AI14 ^ 4 + 0.0031001749327242*AI14 ^ 3 + -0.0335505919870207*AI14 ^ 2 + 0.174012026423972*AI14 ^ 1 + 1682.79640865427</f>
        <v>1682.79640865427</v>
      </c>
      <c r="AO14" s="1">
        <v>0</v>
      </c>
      <c r="AP14" s="25">
        <f>5.98661383647553E-08*AO14 ^ 6 + -1.69646647366284E-06*AO14 ^ 5 + -0.0000201212751393965*AO14 ^ 4 + 0.000289797717151364*AO14 ^ 3 + -0.000797831289336592*AO14 ^ 2 + -0.0743185179465074*AO14 ^ 1 + 7.68271572760865</f>
        <v>7.6827157276086497</v>
      </c>
      <c r="AQ14" s="26">
        <f>(6.56242785962509E-06*AO14 ^ 6 + -0.000297861248453685*AO14 ^ 5 + 0.00314488210790897*AO14 ^ 4 + -0.0289008654223576*AO14 ^ 3 + 0.425858625149989*AO14 ^ 2 + 16.6638977214271*AO14 ^ 1 + 415.969842987115)/1000</f>
        <v>0.41596984298711498</v>
      </c>
      <c r="AR14" s="26">
        <f>(0.0000064967058317568*AO14 ^ 6 + -0.000192483080286972*AO14 ^ 5 + -0.00208785275238593*AO14 ^ 4 + 0.0615378604236215*AO14 ^ 3 + -0.0772645756865875*AO14 ^ 2 + 12.2704639836127*AO14 ^ 1 + 352.087747468544)/1000</f>
        <v>0.35208774746854404</v>
      </c>
      <c r="AS14" s="26">
        <f>(5.59169995365901E-06*AO14 ^ 6 + -0.000180515027841719*AO14 ^ 5 + -0.00079821461723592*AO14 ^ 4 + 0.0257758710620848*AO14 ^ 3 + 0.231698044674215*AO14 ^ 2 + 10.7941720894568*AO14 ^ 1 + 249.644781972695)/1000</f>
        <v>0.24964478197269499</v>
      </c>
      <c r="AT14" s="25">
        <f>1.0433079189202E-07*AO14 ^ 6 + -8.61218913638034E-06*AO14 ^ 5 + 0.000258286260506457*AO14 ^ 4 + -0.00341235857307318*AO14 ^ 3 + 0.0177342951978685*AO14 ^ 2 + 0.00473099406488453*AO14 ^ 1 + 1375.04293836076</f>
        <v>1375.04293836076</v>
      </c>
      <c r="AU14" s="1">
        <v>0</v>
      </c>
      <c r="AV14" s="25">
        <f>6.22343064588088E-07*AU14 ^ 6 + -0.0000297680493908315*AU14 ^ 5 + 0.000545855797688772*AU14 ^ 4 + -0.00574863814349732*AU14 ^ 3 + 0.0298922553134029*AU14 ^ 2 + -0.111348057803899*AU14 ^ 1 + 4.10324155854165</f>
        <v>4.10324155854165</v>
      </c>
      <c r="AW14" s="26">
        <f>(-0.0000187846909934628*AU14 ^ 6 + 0.00132085522331234*AU14 ^ 5 + -0.0319529930148106*AU14 ^ 4 + 0.28064551385399*AU14 ^ 3 + -0.603121918009726*AU14 ^ 2 + 5.31664508472701*AU14 ^ 1 + 234.968243487636)/1000</f>
        <v>0.23496824348763598</v>
      </c>
      <c r="AX14" s="26">
        <f>(5.44527926096745E-06*AU14 ^ 6 + 0.000242565779140257*AU14 ^ 5 + -0.015240187444718*AU14 ^ 4 + 0.176835933109451*AU14 ^ 3 + -0.408794781570231*AU14 ^ 2 + 5.12174699403003*AU14 ^ 1 + 170.460403270104)/1000</f>
        <v>0.17046040327010401</v>
      </c>
      <c r="AY14" s="26">
        <f>(-1.76818228929747E-06*AU14 ^ 6 + 0.000580662811879917*AU14 ^ 5 + -0.0207006696562924*AU14 ^ 4 + 0.211249598416578*AU14 ^ 3 + -0.437854755759213*AU14 ^ 2 + 4.3388533878282*AU14 ^ 1 + 118.560279761209)/1000</f>
        <v>0.118560279761209</v>
      </c>
      <c r="AZ14" s="25">
        <f>4.64688616541857E-06*AU14 ^ 6 + -0.000251455658401109*AU14 ^ 5 + 0.00508117281463907*AU14 ^ 4 + -0.0474345862491769*AU14 ^ 3 + 0.202654648980549*AU14 ^ 2 + -0.304289437973932*AU14 ^ 1 + 1002.85817319395</f>
        <v>1002.8581731939501</v>
      </c>
      <c r="BA14" s="17"/>
      <c r="BB14" s="17"/>
      <c r="BC14" s="17"/>
      <c r="BD14" s="17"/>
      <c r="BE14" s="17"/>
      <c r="BF14" s="17"/>
      <c r="BG14" s="17"/>
      <c r="BH14" s="17"/>
      <c r="BI14" s="17"/>
      <c r="BJ14" s="17"/>
    </row>
    <row r="15" spans="1:62" s="11" customFormat="1" x14ac:dyDescent="0.2">
      <c r="B15" s="22" t="s">
        <v>8</v>
      </c>
      <c r="C15" s="23"/>
      <c r="D15" s="24"/>
      <c r="E15" s="1">
        <v>0</v>
      </c>
      <c r="F15" s="25">
        <f>-1.28478370899035E-09*E15 ^ 6 + 3.12480777647145E-07*E15 ^ 5 + -0.0000273321243604953*E15 ^ 4 + 0.000678601899901244*E15 ^ 3 + -0.00688948487828277*E15 ^ 2 + -0.211677881345501*E15 ^ 1 + 63.0967160082542</f>
        <v>63.096716008254198</v>
      </c>
      <c r="G15" s="26">
        <f>(1.96708459513683E-06*E15 ^ 6 + -0.000326080713878753*E15 ^ 5 + 0.0195169156988064*E15 ^ 4 + -0.557918229458003*E15 ^ 3 + 6.84196163288902*E15 ^ 2 + 125.737067595314*E15 ^ 1 + 3781.17774580043)/1000</f>
        <v>3.7811777458004299</v>
      </c>
      <c r="H15" s="26">
        <f>(1.60123432697899E-06*E15 ^ 6 + -0.00025949725790058*E15 ^ 5 + 0.014995345547049*E15 ^ 4 + -0.417072138890871*E15 ^ 3 + 4.93690959155917*E15 ^ 2 + 130.267266785901*E15 ^ 1 + 3585.71111125168)/1000</f>
        <v>3.5857111112516802</v>
      </c>
      <c r="I15" s="26">
        <f>(1.39775259544604E-06*E15 ^ 6 + -0.000226618591646866*E15 ^ 5 + 0.013071308016787*E15 ^ 4 + -0.358432685718037*E15 ^ 3 + 3.87507317571799*E15 ^ 2 + 126.86199234067*E15 ^ 1 + 3135.28775569518)/1000</f>
        <v>3.1352877556951797</v>
      </c>
      <c r="J15" s="25">
        <f>9.92560295282607E-09*E15 ^ 6 + -1.38895864752026E-06*E15 ^ 5 + 0.0000675800787841417*E15 ^ 4 + -0.00130081859277669*E15 ^ 3 + 0.0060301921622981*E15 ^ 2 + -0.0169958700955744*E15 ^ 1 + 3200.18455500734</f>
        <v>3200.1845550073399</v>
      </c>
      <c r="K15" s="1">
        <v>0</v>
      </c>
      <c r="L15" s="25">
        <f>-4.01334007775949E-09*K15 ^ 6 + 8.33564430911479E-07*K15 ^ 5 + -0.0000640504206369374*K15 ^ 4 + 0.00181869391645505*K15 ^ 3 + -0.0242976350335092*K15 ^ 2 + -0.076496091217685*K15 ^ 1 + 50.9349944712561</f>
        <v>50.934994471256097</v>
      </c>
      <c r="M15" s="26">
        <f>(2.26551084362938E-06*K15 ^ 6 + -0.000328006823585963*K15 ^ 5 + 0.0167839744477713*K15 ^ 4 + -0.406623332554832*K15 ^ 3 + 4.02676186255838*K15 ^ 2 + 112.700848691116*K15 ^ 1 + 2868.98985128451)/1000</f>
        <v>2.86898985128451</v>
      </c>
      <c r="N15" s="26">
        <f>(1.91509880632067E-06*K15 ^ 6 + -0.000270130685354898*K15 ^ 5 + 0.0132025012828746*K15 ^ 4 + -0.303581508642724*K15 ^ 3 + 2.712248119824*K15 ^ 2 + 114.949123180569*K15 ^ 1 + 2693.90430373673)/1000</f>
        <v>2.6939043037367303</v>
      </c>
      <c r="O15" s="26">
        <f>(1.54679059986341E-06*K15 ^ 6 + -0.000215514621845464*K15 ^ 5 + 0.0102561398567211*K15 ^ 4 + -0.225546845727976*K15 ^ 3 + 1.62228457867744*K15 ^ 2 + 111.899395651528*K15 ^ 1 + 2318.51989190421)/1000</f>
        <v>2.3185198919042098</v>
      </c>
      <c r="P15" s="25">
        <f>-5.67339700081761E-09*K15 ^ 6 + 1.02484874721372E-06*K15 ^ 5 + -0.0000639633768092415*K15 ^ 4 + 0.0016638432856628*K15 ^ 3 + -0.018580724868869*K15 ^ 2 + 0.125603624623262*K15 ^ 1 + 2878.06652113507</f>
        <v>2878.0665211350702</v>
      </c>
      <c r="Q15" s="1">
        <v>0</v>
      </c>
      <c r="R15" s="25">
        <f>-9.00743500875917E-09*Q15 ^ 6 + 1.69541994291394E-06*Q15 ^ 5 + -0.000117950411254584*Q15 ^ 4 + 0.00327531625695215*Q15 ^ 3 + -0.0430105051221395*Q15 ^ 2 + 0.0403877242775102*Q15 ^ 1 + 40.1582539097735</f>
        <v>40.158253909773499</v>
      </c>
      <c r="S15" s="26">
        <f>(2.70503703865913E-06*Q15 ^ 6 + -0.000329448578584023*Q15 ^ 5 + 0.0135201774023738*Q15 ^ 4 + -0.249512909705806*Q15 ^ 3 + 1.48317500948044*Q15 ^ 2 + 98.7858758296682*Q15 ^ 1 + 2111.64316186701)/1000</f>
        <v>2.11164316186701</v>
      </c>
      <c r="T15" s="26">
        <f>(2.46371311759333E-06*Q15 ^ 6 + -0.000293203190742427*Q15 ^ 5 + 0.0114569668653739*Q15 ^ 4 + -0.192831493666427*Q15 ^ 3 + 0.760408426007062*Q15 ^ 2 + 99.1679039441673*Q15 ^ 1 + 1961.12427721179)/1000</f>
        <v>1.9611242772117901</v>
      </c>
      <c r="U15" s="26">
        <f>(1.78990610610432E-06*Q15 ^ 6 + -0.000203691978464146*Q15 ^ 5 + 0.00712999867055682*Q15 ^ 4 + -0.0943172278231326*Q15 ^ 3 + -0.312308670521285*Q15 ^ 2 + 96.376094167493*Q15 ^ 1 + 1658.44887302476)/1000</f>
        <v>1.65844887302476</v>
      </c>
      <c r="V15" s="25">
        <f>-1.0223645614657E-08*Q15 ^ 6 + 1.64160952892228E-06*Q15 ^ 5 + -0.000091072854870921*Q15 ^ 4 + 0.00210580165841561*Q15 ^ 3 + -0.0209033154774589*Q15 ^ 2 + 0.125603624623148*Q15 ^ 1 + 2558.28135212006</f>
        <v>2558.2813521200601</v>
      </c>
      <c r="W15" s="1">
        <v>0</v>
      </c>
      <c r="X15" s="25">
        <f>-2.19458691736663E-08*W15 ^ 6 + 3.56330872830369E-06*W15 ^ 5 + -0.000215291978645456*W15 ^ 4 + 0.00544093572050567*W15 ^ 3 + -0.0648295793040564*W15 ^ 2 + 0.146410328206195*W15 ^ 1 + 30.6260597876741</f>
        <v>30.626059787674102</v>
      </c>
      <c r="Y15" s="26">
        <f>(0.0000027475818020594*W15 ^ 6 + -0.000255965067521647*W15 ^ 5 + 0.00646277379744682*W15 ^ 4 + -0.0318366323627542*W15 ^ 3 + -1.10490772088952*W15 ^ 2 + 84.9333272666627*W15 ^ 1 + 1488.98293196072)/1000</f>
        <v>1.48898293196072</v>
      </c>
      <c r="Z15" s="26">
        <f>(2.87885368387928E-06*W15 ^ 6 + -0.000270447617485393*W15 ^ 5 + 0.00698652555133024*W15 ^ 4 + -0.0350317531082739*W15 ^ 3 + -1.22566286778009*W15 ^ 2 + 83.8399859484447*W15 ^ 1 + 1365.64457167652)/1000</f>
        <v>1.36564457167652</v>
      </c>
      <c r="AA15" s="26">
        <f>(1.67863135621886E-06*W15 ^ 6 + -0.000130519411771637*W15 ^ 5 + 0.00106523766743842*W15 ^ 4 + 0.0793061053954002*W15 ^ 3 + -2.19275702181869*W15 ^ 2 + 81.1416415824882*W15 ^ 1 + 1131.96938219783)/1000</f>
        <v>1.1319693821978301</v>
      </c>
      <c r="AB15" s="25">
        <f>-9.89217072817373E-08*W15 ^ 6 + 0.0000113859440800179*W15 ^ 5 + -0.000468917440734386*W15 ^ 4 + 0.00815560146029926*W15 ^ 3 + -0.0563935670374393*W15 ^ 2 + 0.268203119341776*W15 ^ 1 + 2236.86317770497</f>
        <v>2236.86317770497</v>
      </c>
      <c r="AC15" s="1">
        <v>0</v>
      </c>
      <c r="AD15" s="25">
        <f>-2.93173664004339E-08*AC15 ^ 6 + 4.51712370591463E-06*AC15 ^ 5 + -0.00024650520917435*AC15 ^ 4 + 0.00531172418751817*AC15 ^ 3 + -0.0528184424194847*AC15 ^ 2 + 0.0589635465273771*AC15 ^ 1 + 24.0165202905665</f>
        <v>24.016520290566501</v>
      </c>
      <c r="AE15" s="26">
        <f>(0.0000058354669807126*AC15 ^ 6 + -0.000489456257232995*AC15 ^ 5 + 0.0124321071205883*AC15 ^ 4 + -0.115928624458874*AC15 ^ 3 + -0.202586661142955*AC15 ^ 2 + 65.7732814636071*AC15 ^ 1 + 1177.36501376739)/1000</f>
        <v>1.1773650137673901</v>
      </c>
      <c r="AF15" s="26">
        <f>(5.77521409523425E-06*AC15 ^ 6 + -0.000475923972736518*AC15 ^ 5 + 0.0115693399409122*AC15 ^ 4 + -0.0888191055098227*AC15 ^ 3 + -0.568115071979517*AC15 ^ 2 + 63.3103009553037*AC15 ^ 1 + 1063.27427186775)/1000</f>
        <v>1.0632742718677499</v>
      </c>
      <c r="AG15" s="26">
        <f>(0.0000035960712389584*AC15 ^ 6 + -0.000268989819259507*AC15 ^ 5 + 0.00458634398166372*AC15 ^ 4 + 0.0146913271238936*AC15 ^ 3 + -1.18815160229682*AC15 ^ 2 + 59.9609146185422*AC15 ^ 1 + 837.406615828961)/1000</f>
        <v>0.83740661582896103</v>
      </c>
      <c r="AH15" s="25">
        <f>-9.3279034143142E-08*AC15 ^ 6 + 7.90577445200746E-06*AC15 ^ 5 + -0.000206024171114159*AC15 ^ 4 + 0.00107435485130364*AC15 ^ 3 + 0.0159189343477754*AC15 ^ 2 + 0.0520425336833527*AC15 ^ 1 + 1976.31334114239</f>
        <v>1976.3133411423901</v>
      </c>
      <c r="AI15" s="1">
        <v>0</v>
      </c>
      <c r="AJ15" s="25">
        <f>-2.81995619077159E-08*AI15 ^ 6 + 4.86522828763929E-06*AI15 ^ 5 + -0.000245961065928014*AI15 ^ 4 + 0.00427122748719625*AI15 ^ 3 + -0.0319883689508691*AI15 ^ 2 + -0.0360616259728224*AI15 ^ 1 + 16.7908276647029</f>
        <v>16.790827664702899</v>
      </c>
      <c r="AK15" s="26">
        <f>(0.0000128751583906306*AI15 ^ 6 + -0.000943353947952112*AI15 ^ 5 + 0.0227888296001311*AI15 ^ 4 + -0.250705112599433*AI15 ^ 3 + 1.11841885877248*AI15 ^ 2 + 40.8210223277623*AI15 ^ 1 + 833.237941886333)/1000</f>
        <v>0.83323794188633304</v>
      </c>
      <c r="AL15" s="26">
        <f>(0.000011787875124633*AI15 ^ 6 + -0.000826443120083732*AI15 ^ 5 + 0.0182543887598597*AI15 ^ 4 + -0.165864800500444*AI15 ^ 3 + 0.417104038961909*AI15 ^ 2 + 37.4993725291708*AI15 ^ 1 + 735.560483840923)/1000</f>
        <v>0.73556048384092299</v>
      </c>
      <c r="AM15" s="26">
        <f>(0.000007682154992098*AI15 ^ 6 + -0.000523159004614054*AI15 ^ 5 + 0.0105769818297697*AI15 ^ 4 + -0.0865091036195846*AI15 ^ 3 + 0.125233681900719*AI15 ^ 2 + 35.3502243306509*AI15 ^ 1 + 537.299399161394)/1000</f>
        <v>0.53729939916139402</v>
      </c>
      <c r="AN15" s="25">
        <f>-0.0000002321080862388*AI15 ^ 6 + 0.0000163934139036615*AI15 ^ 5 + -0.000356009767684644*AI15 ^ 4 + 0.00154707098586921*AI15 ^ 3 + 0.0191027212173705*AI15 ^ 2 + 0.0520425336833209*AI15 ^ 1 + 1646.92778428533</f>
        <v>1646.9277842853301</v>
      </c>
      <c r="AO15" s="1">
        <v>0</v>
      </c>
      <c r="AP15" s="25">
        <f>3.23507778756207E-08*AO15 ^ 6 + 2.48373496432527E-06*AO15 ^ 5 + -0.000185459209723019*AO15 ^ 4 + 0.00232618040153394*AO15 ^ 3 + -0.0083826088939473*AO15 ^ 2 + -0.111393663846025*AO15 ^ 1 + 11.4791789730499</f>
        <v>11.479178973049899</v>
      </c>
      <c r="AQ15" s="26">
        <f>(0.0000373498883043328*AO15 ^ 6 + -0.00230590523148228*AO15 ^ 5 + 0.0501167552449985*AO15 ^ 4 + -0.538682419430122*AO15 ^ 3 + 2.99490361036217*AO15 ^ 2 + 21.4531026738217*AO15 ^ 1 + 577.078253135564)/1000</f>
        <v>0.57707825313556393</v>
      </c>
      <c r="AR15" s="26">
        <f>(0.0000318517759166035*AO15 ^ 6 + -0.00185985324654908*AO15 ^ 5 + 0.0369144397667447*AO15 ^ 4 + -0.353943944005957*AO15 ^ 3 + 1.86759570974539*AO15 ^ 2 + 18.1002971871504*AO15 ^ 1 + 497.257226611243)/1000</f>
        <v>0.49725722661124305</v>
      </c>
      <c r="AS15" s="26">
        <f>(0.0000215424624991285*AO15 ^ 6 + -0.00127644571438245*AO15 ^ 5 + 0.0257839820551421*AO15 ^ 4 + -0.268138823487538*AO15 ^ 3 + 1.54681236991364*AO15 ^ 2 + 18.5860825329052*AO15 ^ 1 + 335.305912823284)/1000</f>
        <v>0.33530591282328404</v>
      </c>
      <c r="AT15" s="25">
        <f>5.42468083945623E-08*AO15 ^ 6 + -8.76273197636793E-06*AO15 ^ 5 + 0.000459751937604241*AO15 ^ 4 + -0.0103126695123499*AO15 ^ 3 + 0.0937251490296521*AO15 ^ 2 + -0.131294441579885*AO15 ^ 1 + 1356.8769247394</f>
        <v>1356.8769247394</v>
      </c>
      <c r="AU15" s="1">
        <v>0</v>
      </c>
      <c r="AV15" s="25">
        <f>3.42553591570399E-07*AU15 ^ 6 + -0.0000105763292272061*AU15 ^ 5 + 0.0000831949115128007*AU15 ^ 4 + -0.00156510859102335*AU15 ^ 3 + 0.0179423514569688*AU15 ^ 2 + -0.141384581702344*AU15 ^ 1 + 6.38677963553245</f>
        <v>6.3867796355324504</v>
      </c>
      <c r="AW15" s="26">
        <f>(0.000105531422215816*AU15 ^ 6 + -0.00544569227484533*AU15 ^ 5 + 0.105100412543751*AU15 ^ 4 + -1.03822708970465*AU15 ^ 3 + 5.60721706333121*AU15 ^ 2 + -2.28725780758804*AU15 ^ 1 + 335.450875919432)/1000</f>
        <v>0.33545087591943201</v>
      </c>
      <c r="AX15" s="26">
        <f>(0.0000727808234029194*AU15 ^ 6 + -0.00341619548666023*AU15 ^ 5 + 0.0567819525280184*AU15 ^ 4 + -0.478309690285304*AU15 ^ 3 + 2.36843860399434*AU15 ^ 2 + 5.33187435956948*AU15 ^ 1 + 250.653428440137)/1000</f>
        <v>0.25065342844013699</v>
      </c>
      <c r="AY15" s="26">
        <f>(0.000054356044196685*AU15 ^ 6 + -0.00270640313919655*AU15 ^ 5 + 0.0495398323666398*AU15 ^ 4 + -0.486990999192774*AU15 ^ 3 + 2.72005798087025*AU15 ^ 2 + 4.16020706508444*AU15 ^ 1 + 165.495051290765)/1000</f>
        <v>0.165495051290765</v>
      </c>
      <c r="AZ15" s="25">
        <f>6.24938511796612E-06*AU15 ^ 6 + -0.000384261769042178*AU15 ^ 5 + 0.00891737190314251*AU15 ^ 4 + -0.0956096969330028*AU15 ^ 3 + 0.448417730889262*AU15 ^ 2 + -0.533673204901342*AU15 ^ 1 + 1004.88238992282</f>
        <v>1004.88238992282</v>
      </c>
      <c r="BA15" s="17"/>
      <c r="BB15" s="17"/>
      <c r="BC15" s="17"/>
      <c r="BD15" s="17"/>
      <c r="BE15" s="17"/>
      <c r="BF15" s="17"/>
      <c r="BG15" s="17"/>
      <c r="BH15" s="17"/>
      <c r="BI15" s="17"/>
      <c r="BJ15" s="17"/>
    </row>
    <row r="16" spans="1:62" s="11" customFormat="1" x14ac:dyDescent="0.2">
      <c r="B16" s="22" t="s">
        <v>9</v>
      </c>
      <c r="C16" s="23"/>
      <c r="D16" s="24"/>
      <c r="E16" s="1">
        <v>0</v>
      </c>
      <c r="F16" s="25">
        <f>0.000150675482015666*E16 ^ 6 + -0.00452444330307927*E16 ^ 5 + 0.0494031175354075*E16 ^ 4 + -0.259484025419275*E16 ^ 3 + 0.431510307707717*E16 ^ 2 + -0.999949497712023*E16 ^ 1 + 46.0293374475771</f>
        <v>46.029337447577099</v>
      </c>
      <c r="G16" s="26">
        <f>(0.00342169736616397*E16 ^ 6 + -0.131257968867793*E16 ^ 5 + 2.03207928363103*E16 ^ 4 + -16.4165157893423*E16 ^ 3 + 58.5207687594039*E16 ^ 2 + 73.645457705448*E16 ^ 1 + 571.927808143595)/1000</f>
        <v>0.57192780814359501</v>
      </c>
      <c r="H16" s="26">
        <f>(0.00474748209093026*E16 ^ 6 + -0.165374774466018*E16 ^ 5 + 2.27053355968724*E16 ^ 4 + -16.0285561162594*E16 ^ 3 + 49.7677272506403*E16 ^ 2 + 90.0495869891381*E16 ^ 1 + 527.416148696443)/1000</f>
        <v>0.52741614869644293</v>
      </c>
      <c r="I16" s="26">
        <f>(0.00308415155748906*E16 ^ 6 + -0.111841518217588*E16 ^ 5 + 1.61990308989692*E16 ^ 4 + -12.1967126852754*E16 ^ 3 + 39.5427337324931*E16 ^ 2 + 80.3719640076829*E16 ^ 1 + 419.001020079519)/1000</f>
        <v>0.419001020079519</v>
      </c>
      <c r="J16" s="25">
        <f>-0.000304105522044183*E16 ^ 6 + 0.00974560313756356*E16 ^ 5 + -0.118353838710418*E16 ^ 4 + 0.732996091155054*E16 ^ 3 + -2.59272137690386*E16 ^ 2 + 2.61229653513764*E16 ^ 1 + 3430.90265610236</f>
        <v>3430.9026561023602</v>
      </c>
      <c r="K16" s="1">
        <v>0</v>
      </c>
      <c r="L16" s="25">
        <f>0.000191512548304777*K16 ^ 6 + -0.00502436287778186*K16 ^ 5 + 0.0469930809436236*K16 ^ 4 + -0.209918064867929*K16 ^ 3 + 0.224013684827416*K16 ^ 2 + -0.672698701547367*K16 ^ 1 + 37.2437515670709</f>
        <v>37.243751567070902</v>
      </c>
      <c r="M16" s="26">
        <f>(0.0051988262121955*K16 ^ 6 + -0.173755968883128*K16 ^ 5 + 2.32406631291401*K16 ^ 4 + -16.165613055803*K16 ^ 3 + 49.4440955288949*K16 ^ 2 + 68.179854345063*K16 ^ 1 + 444.337241751761)/1000</f>
        <v>0.44433724175176098</v>
      </c>
      <c r="N16" s="26">
        <f>(0.00668302743674843*K16 ^ 6 + -0.209812697680806*K16 ^ 5 + 2.59375123298965*K16 ^ 4 + -16.4473991966417*K16 ^ 3 + 45.7763915287844*K16 ^ 2 + 74.1559743579125*K16 ^ 1 + 399.409517168978)/1000</f>
        <v>0.39940951716897805</v>
      </c>
      <c r="O16" s="26">
        <f>(0.00543757553778243*K16 ^ 6 + -0.171851322888941*K16 ^ 5 + 2.14131321873997*K16 ^ 4 + -13.6869569700798*K16 ^ 3 + 38.0031225158877*K16 ^ 2 + 66.2853418283202*K16 ^ 1 + 313.135782214341)/1000</f>
        <v>0.31313578221434102</v>
      </c>
      <c r="P16" s="25">
        <f>-0.00107825765504434*K16 ^ 6 + 0.033865386494335*K16 ^ 5 + -0.407143764135678*K16 ^ 4 + 2.35710969437206*K16 ^ 3 + -6.62964934034808*K16 ^ 2 + 6.4007728102113*K16 ^ 1 + 3089.67636667327</f>
        <v>3089.67636667327</v>
      </c>
      <c r="Q16" s="1">
        <v>0</v>
      </c>
      <c r="R16" s="25">
        <f>0.000259424247424787*Q16 ^ 6 + -0.00592585532736921*Q16 ^ 5 + 0.0473253502434138*Q16 ^ 4 + -0.17817938961551*Q16 ^ 3 + 0.0863504443402914*Q16 ^ 2 + -0.457510254915047*Q16 ^ 1 + 29.351712599508</f>
        <v>29.351712599508001</v>
      </c>
      <c r="S16" s="26">
        <f>(0.00856247557964426*Q16 ^ 6 + -0.247634080497054*Q16 ^ 5 + 2.82864607429662*Q16 ^ 4 + -16.5438116008193*Q16 ^ 3 + 41.9324483213912*Q16 ^ 2 + 60.3958463106997*Q16 ^ 1 + 334.551430621584)/1000</f>
        <v>0.33455143062158404</v>
      </c>
      <c r="T16" s="26">
        <f>(0.0101523201897352*Q16 ^ 6 + -0.285708042239215*Q16 ^ 5 + 3.16039086083173*Q16 ^ 4 + -17.7715257786146*Q16 ^ 3 + 43.5955673156082*Q16 ^ 2 + 57.8365841918676*Q16 ^ 1 + 292.199609400922)/1000</f>
        <v>0.29219960940092199</v>
      </c>
      <c r="U16" s="26">
        <f>(0.0100650485082795*Q16 ^ 6 + -0.277791371706115*Q16 ^ 5 + 2.98628788025416*Q16 ^ 4 + -16.1377687569198*Q16 ^ 3 + 37.8657108682802*Q16 ^ 2 + 51.9323943365151*Q16 ^ 1 + 225.700890805121)/1000</f>
        <v>0.22570089080512099</v>
      </c>
      <c r="V16" s="25">
        <f>-0.00194305530617401*Q16 ^ 6 + 0.0542458009739579*Q16 ^ 5 + -0.579702742294775*Q16 ^ 4 + 2.98321695693994*Q16 ^ 3 + -7.45835550789272*Q16 ^ 2 + 6.40077281021296*Q16 ^ 1 + 2746.37899259846</f>
        <v>2746.3789925984602</v>
      </c>
      <c r="W16" s="1">
        <v>0</v>
      </c>
      <c r="X16" s="25">
        <f>0.000319408710253017*W16 ^ 6 + -0.00590354970217505*W16 ^ 5 + 0.0349513534876091*W16 ^ 4 + -0.0872994759198404*W16 ^ 3 + -0.153459564289107*W16 ^ 2 + -0.194698627517275*W16 ^ 1 + 22.4344942449138</f>
        <v>22.4344942449138</v>
      </c>
      <c r="Y16" s="26">
        <f>(0.0141319472294041*W16 ^ 6 + -0.346219918737568*W16 ^ 5 + 3.30254091809694*W16 ^ 4 + -15.8980743643403*W16 ^ 3 + 32.3107342096928*W16 ^ 2 + 53.9113846242504*W16 ^ 1 + 242.86115441764)/1000</f>
        <v>0.24286115441764</v>
      </c>
      <c r="Z16" s="26">
        <f>(0.0157993037622557*W16 ^ 6 + -0.390275758283062*W16 ^ 5 + 3.78432141122427*W16 ^ 4 + -18.5761048040925*W16 ^ 3 + 39.6557374268765*W16 ^ 2 + 44.7743013518924*W16 ^ 1 + 205.342398736932)/1000</f>
        <v>0.20534239873693202</v>
      </c>
      <c r="AA16" s="26">
        <f>(0.0186602060268704*W16 ^ 6 + -0.442799334632017*W16 ^ 5 + 4.05173069135495*W16 ^ 4 + -18.3564436391722*W16 ^ 3 + 36.0366478206921*W16 ^ 2 + 40.4152488610799*W16 ^ 1 + 155.969325673329)/1000</f>
        <v>0.155969325673329</v>
      </c>
      <c r="AB16" s="25">
        <f>-0.00576721130130654*W16 ^ 6 + 0.144492115869725*W16 ^ 5 + -1.38560282623804*W16 ^ 4 + 6.29698288516175*W16 ^ 3 + -13.3437820510393*W16 ^ 2 + 10.1892490852912*W16 ^ 1 + 2404.53137777565</f>
        <v>2404.5313777756501</v>
      </c>
      <c r="AC16" s="1">
        <v>0</v>
      </c>
      <c r="AD16" s="25">
        <f>0.000521725324992063*AC16 ^ 6 + -0.00879227990430962*AC16 ^ 5 + 0.0498268174790038*AC16 ^ 4 + -0.138866492678486*AC16 ^ 3 + -0.0351583887776875*AC16 ^ 2 + -0.306972479939024*AC16 ^ 1 + 16.8463878582803</f>
        <v>16.846387858280298</v>
      </c>
      <c r="AE16" s="26">
        <f>(0.0515018087203478*AC16 ^ 6 + -1.08691423000439*AC16 ^ 5 + 8.94877871138992*AC16 ^ 4 + -36.5064351249397*AC16 ^ 3 + 67.5637020043528*AC16 ^ 2 + 16.5952575270535*AC16 ^ 1 + 198.170592512323)/1000</f>
        <v>0.198170592512323</v>
      </c>
      <c r="AF16" s="26">
        <f>(0.0346272748957533*AC16 ^ 6 + -0.725278409961869*AC16 ^ 5 + 5.94756194524725*AC16 ^ 4 + -24.4231099704761*AC16 ^ 3 + 44.0598535124463*AC16 ^ 2 + 31.1207385462059*AC16 ^ 1 + 163.15098687564)/1000</f>
        <v>0.16315098687564</v>
      </c>
      <c r="AG16" s="26">
        <f>(-0.00652444895539749*AC16 ^ 6 + 0.160582192813147*AC16 ^ 5 + -1.47651652168698*AC16 ^ 4 + 5.79220325636011*AC16 ^ 3 + -14.3486710207925*AC16 ^ 2 + 64.8681101821365*AC16 ^ 1 + 115.810025840405)/1000</f>
        <v>0.11581002584040501</v>
      </c>
      <c r="AH16" s="25">
        <f>0.0811559993067024*AC16 ^ 6 + -1.70608664198142*AC16 ^ 5 + 13.9431506689975*AC16 ^ 4 + -55.310887047337*AC16 ^ 3 + 106.475648987048*AC16 ^ 2 + -79.6539660993398*AC16 ^ 1 + 2085.675396723</f>
        <v>2085.6753967230002</v>
      </c>
      <c r="AI16" s="1">
        <v>0</v>
      </c>
      <c r="AJ16" s="25">
        <f>-0.00166902712561456*AI16 ^ 6 + 0.0347587509541649*AI16 ^ 5 + -0.280714235384703*AI16 ^ 4 + 1.03544007109969*AI16 ^ 3 + -2.00743817980196*AI16 ^ 2 + 0.973845296964725*AI16 ^ 1 + 11.6711146988208</f>
        <v>11.6711146988208</v>
      </c>
      <c r="AK16" s="26">
        <f>(0.122138146539914*AI16 ^ 6 + -2.19510751782563*AI16 ^ 5 + 15.4266959599277*AI16 ^ 4 + -53.5056119245499*AI16 ^ 3 + 85.5588442231655*AI16 ^ 2 + -4.13043860341884*AI16 ^ 1 + 152.666056712639)/1000</f>
        <v>0.152666056712639</v>
      </c>
      <c r="AL16" s="26">
        <f>(0.0341062177085536*AI16 ^ 6 + -0.611896407521661*AI16 ^ 5 + 4.31629490497016*AI16 ^ 4 + -15.4138799871933*AI16 ^ 3 + 22.0678178603942*AI16 ^ 2 + 32.6801922826459*AI16 ^ 1 + 121.463765258517)/1000</f>
        <v>0.121463765258517</v>
      </c>
      <c r="AM16" s="26">
        <f>(-0.158761011024756*AI16 ^ 6 + 2.80149707310169*AI16 ^ 5 + -19.0616740333736*AI16 ^ 4 + 61.7415934416183*AI16 ^ 3 + -99.0370601269773*AI16 ^ 2 + 97.646512985318*AI16 ^ 1 + 79.0598625802214)/1000</f>
        <v>7.9059862580221407E-2</v>
      </c>
      <c r="AN16" s="25">
        <f>0.201942096194807*AI16 ^ 6 + -3.53774126081184*AI16 ^ 5 + 24.0937643560218*AI16 ^ 4 + -79.6476773481459*AI16 ^ 3 + 127.770778784428*AI16 ^ 2 + -79.6539660993225*AI16 ^ 1 + 1738.0628306025</f>
        <v>1738.0628306025001</v>
      </c>
      <c r="AO16" s="1">
        <v>0</v>
      </c>
      <c r="AP16" s="25">
        <f>-0.00581870381478979*AO16 ^ 6 + 0.0943661102892862*AO16 ^ 5 + -0.594468745749698*AO16 ^ 4 + 1.73316742000189*AO16 ^ 3 + -2.60096498930068*AO16 ^ 2 + 1.06550728567448*AO16 ^ 1 + 7.62574959837619</f>
        <v>7.6257495983761903</v>
      </c>
      <c r="AQ16" s="26">
        <f>(0.474728281147831*AO16 ^ 6 + -6.84394190291571*AO16 ^ 5 + 38.590709269874*AO16 ^ 4 + -106.846755306355*AO16 ^ 3 + 139.748805076259*AO16 ^ 2 + -36.8562362665078*AO16 ^ 1 + 112.83281097078)/1000</f>
        <v>0.11283281097078</v>
      </c>
      <c r="AR16" s="26">
        <f>(0.0699900395053341*AO16 ^ 6 + -0.997423584384805*AO16 ^ 5 + 5.59952830765143*AO16 ^ 4 + -15.8916702192836*AO16 ^ 3 + 17.823758226203*AO16 ^ 2 + 22.0403740070296*AO16 ^ 1 + 86.2926744717521)/1000</f>
        <v>8.6292674471752095E-2</v>
      </c>
      <c r="AS16" s="26">
        <f>(-0.720020063266093*AO16 ^ 6 + 10.1754794673798*AO16 ^ 5 + -55.4382514435455*AO16 ^ 4 + 144.381386714729*AO16 ^ 3 + -182.557497996597*AO16 ^ 2 + 112.501082142405*AO16 ^ 1 + 50.8154684276919)/1000</f>
        <v>5.0815468427691898E-2</v>
      </c>
      <c r="AT16" s="25">
        <f>0.347921311118976*AO16 ^ 6 + -6.10445074715861*AO16 ^ 5 + 41.5916982937897*AO16 ^ 4 + -137.309952920958*AO16 ^ 3 + 219.378281952236*AO16 ^ 2 + -135.597745027142*AO16 ^ 1 + 1406.88259880649</f>
        <v>1406.88259880649</v>
      </c>
      <c r="AU16" s="1">
        <v>0</v>
      </c>
      <c r="AV16" s="25">
        <f>-0.0100377916748406*AU16 ^ 6 + 0.122188514618796*AU16 ^ 5 + -0.586849510132274*AU16 ^ 4 + 1.27034516385694*AU16 ^ 3 + -1.49700819074257*AU16 ^ 2 + 0.361036065374234*AU16 ^ 1 + 3.93211828934067</f>
        <v>3.9321182893406701</v>
      </c>
      <c r="AW16" s="26">
        <f>(2.73881770212538*AU16 ^ 6 + -28.9537698675108*AU16 ^ 5 + 119.679107339633*AU16 ^ 4 + -241.705713060821*AU16 ^ 3 + 233.891467256697*AU16 ^ 2 + -70.6054637551103*AU16 ^ 1 + 71.6372635101876)/1000</f>
        <v>7.1637263510187593E-2</v>
      </c>
      <c r="AX16" s="26">
        <f>(0.76413884773464*AU16 ^ 6 + -7.85303512572866*AU16 ^ 5 + 31.421822592544*AU16 ^ 4 + -61.4010258207384*AU16 ^ 3 + 54.7062739310768*AU16 ^ 2 + -2.65734559401744*AU16 ^ 1 + 42.1885407573139)/1000</f>
        <v>4.2188540757313903E-2</v>
      </c>
      <c r="AY16" s="26">
        <f>(-3.17352006781771*AU16 ^ 6 + 32.6315246145735*AU16 ^ 5 + -129.311485419593*AU16 ^ 4 + 245.321878001805*AU16 ^ 3 + -224.686066679121*AU16 ^ 2 + 91.4292110315434*AU16 ^ 1 + 25.2574863597958)/1000</f>
        <v>2.52574863597958E-2</v>
      </c>
      <c r="AZ16" s="25">
        <f>12.6595600507491*AU16 ^ 6 + -129.976659035234*AU16 ^ 5 + 517.861073759749*AU16 ^ 4 + -998.745071296817*AU16 ^ 3 + 930.720927523377*AU16 ^ 2 + -334.729177000491*AU16 ^ 1 + 1007.82081900228</f>
        <v>1007.82081900228</v>
      </c>
      <c r="BA16" s="17"/>
      <c r="BB16" s="17"/>
      <c r="BC16" s="17"/>
      <c r="BD16" s="17"/>
      <c r="BE16" s="17"/>
      <c r="BF16" s="17"/>
      <c r="BG16" s="17"/>
      <c r="BH16" s="17"/>
      <c r="BI16" s="17"/>
      <c r="BJ16" s="17"/>
    </row>
    <row r="17" spans="2:62" s="11" customFormat="1" x14ac:dyDescent="0.2">
      <c r="B17" s="22" t="s">
        <v>10</v>
      </c>
      <c r="C17" s="23"/>
      <c r="D17" s="24"/>
      <c r="E17" s="1">
        <v>0</v>
      </c>
      <c r="F17" s="25">
        <f>0.0019191607699795*E17 ^ 6 + -0.0400597820624469*E17 ^ 5 + 0.297722314582916*E17 ^ 4 + -0.931320421983288*E17 ^ 3 + 0.0712931450760465*E17 ^ 2 + -1.20063372344042*E17 ^ 1 + 63.4075594736823</f>
        <v>63.407559473682298</v>
      </c>
      <c r="G17" s="26">
        <f>(0.0783105714330109*E17 ^ 6 + -1.83596273358561*E17 ^ 5 + 16.4515509075476*E17 ^ 4 + -70.8517546764013*E17 ^ 3 + 123.306731036485*E17 ^ 2 + 147.824490003942*E17 ^ 1 + 604.556095554612)/1000</f>
        <v>0.60455609555461209</v>
      </c>
      <c r="H17" s="26">
        <f>(0.0282955804068188*E17 ^ 6 + -0.73729986493352*E17 ^ 5 + 7.45475195513898*E17 ^ 4 + -37.1336063157951*E17 ^ 3 + 66.8209700014549*E17 ^ 2 + 179.097793854345*E17 ^ 1 + 555.62409022841)/1000</f>
        <v>0.55562409022840997</v>
      </c>
      <c r="I17" s="26">
        <f>(0.0183298220654237*E17 ^ 6 + -0.510440092757579*E17 ^ 5 + 5.50866903066248*E17 ^ 4 + -29.2673434645183*E17 ^ 3 + 55.348674400684*E17 ^ 2 + 151.212949535355*E17 ^ 1 + 458.988129279847)/1000</f>
        <v>0.458988129279847</v>
      </c>
      <c r="J17" s="25">
        <f>0.0000798396101177618*E17 ^ 6 + -0.00669229691287337*E17 ^ 5 + 0.0953476358129175*E17 ^ 4 + -0.355056117113707*E17 ^ 3 + -0.281114618500947*E17 ^ 2 + 0.331182652951578*E17 ^ 1 + 3460.35566300207</f>
        <v>3460.3556630020698</v>
      </c>
      <c r="K17" s="1">
        <v>0</v>
      </c>
      <c r="L17" s="25">
        <f>0.00585382869429518*K17 ^ 6 + -0.11569162174497*K17 ^ 5 + 0.845965650881389*K17 ^ 4 + -2.80897512220839*K17 ^ 3 + 3.14904425476875*K17 ^ 2 + -3.13749827926934*K17 ^ 1 + 51.5838917854741</f>
        <v>51.583891785474101</v>
      </c>
      <c r="M17" s="26">
        <f>(0.0791508740501278*K17 ^ 6 + -1.67911134296325*K17 ^ 5 + 13.6474769907806*K17 ^ 4 + -53.8316180412177*K17 ^ 3 + 82.0633767991604*K17 ^ 2 + 140.617344929411*K17 ^ 1 + 472.685754082738)/1000</f>
        <v>0.472685754082738</v>
      </c>
      <c r="N17" s="26">
        <f>(0.0314826755766554*K17 ^ 6 + -0.744257764108782*K17 ^ 5 + 6.82539500902993*K17 ^ 4 + -31.1059988682745*K17 ^ 3 + 48.6601065002001*K17 ^ 2 + 154.102232315562*K17 ^ 1 + 425.369136105489)/1000</f>
        <v>0.42536913610548904</v>
      </c>
      <c r="O17" s="26">
        <f>(0.0163416194535472*K17 ^ 6 + -0.427108084151952*K17 ^ 5 + 4.29315549144397*K17 ^ 4 + -21.3660006808911*K17 ^ 3 + 33.2656108898732*K17 ^ 2 + 138.33346785287*K17 ^ 1 + 342.657824159188)/1000</f>
        <v>0.342657824159188</v>
      </c>
      <c r="P17" s="25">
        <f>-0.00885683459872435*K17 ^ 6 + 0.168159532510712*K17 ^ 5 + -1.21091166010987*K17 ^ 4 + 4.20944682887296*K17 ^ 3 + -7.37714043022843*K17 ^ 2 + 4.76300853642403*K17 ^ 1 + 3116.61699326899</f>
        <v>3116.61699326899</v>
      </c>
      <c r="Q17" s="1">
        <v>0</v>
      </c>
      <c r="R17" s="25">
        <f>0.0150736841688396*Q17 ^ 6 + -0.269586150326855*Q17 ^ 5 + 1.80338108864014*Q17 ^ 4 + -5.56594516888463*Q17 ^ 3 + 6.83508237198312*Q17 ^ 2 + -4.97477304797131*Q17 ^ 1 + 40.8895047566489</f>
        <v>40.889504756648897</v>
      </c>
      <c r="S17" s="26">
        <f>(0.0701209112159892*Q17 ^ 6 + -1.33001415422463*Q17 ^ 5 + 9.72394326712626*Q17 ^ 4 + -35.1825789775459*Q17 ^ 3 + 44.1049239827541*Q17 ^ 2 + 129.063721053186*Q17 ^ 1 + 358.325662272212)/1000</f>
        <v>0.35832566227221202</v>
      </c>
      <c r="T17" s="26">
        <f>(0.0410226785923891*Q17 ^ 6 + -0.842280422901129*Q17 ^ 5 + 6.72092524773289*Q17 ^ 4 + -26.9108658023574*Q17 ^ 3 + 34.8750849155155*Q17 ^ 2 + 127.71164769104*Q17 ^ 1 + 314.896677425616)/1000</f>
        <v>0.314896677425616</v>
      </c>
      <c r="U17" s="26">
        <f>(0.0161063178547583*Q17 ^ 6 + -0.370527016367209*Q17 ^ 5 + 3.28525202225454*Q17 ^ 4 + -14.68328851311*Q17 ^ 3 + 15.5224698355505*Q17 ^ 2 + 122.018165012913*Q17 ^ 1 + 246.582905643237)/1000</f>
        <v>0.24658290564323701</v>
      </c>
      <c r="V17" s="25">
        <f>-0.0159603035345549*Q17 ^ 6 + 0.269359055860159*Q17 ^ 5 + -1.72413007855546*Q17 ^ 4 + 5.32758114279371*Q17 ^ 3 + -8.29928298400803*Q17 ^ 2 + 4.7630085364237*Q17 ^ 1 + 2770.3262162391</f>
        <v>2770.3262162391002</v>
      </c>
      <c r="W17" s="1">
        <v>0</v>
      </c>
      <c r="X17" s="25">
        <f>0.0361765061814688*W17 ^ 6 + -0.570480805956349*W17 ^ 5 + 3.38130277816086*W17 ^ 4 + -9.3094972483723*W17 ^ 3 + 10.7987416774045*W17 ^ 2 + -6.40978716255432*W17 ^ 1 + 31.4668245209967</f>
        <v>31.466824520996699</v>
      </c>
      <c r="Y17" s="26">
        <f>(0.00975141362683434*W17 ^ 6 + -0.198266652765247*W17 ^ 5 + 1.6467275111816*W17 ^ 4 + -8.01507243114585*W17 ^ 3 + 2.65280566802203*W17 ^ 2 + 117.700188160944*W17 ^ 1 + 262.21130549982)/1000</f>
        <v>0.26221130549982002</v>
      </c>
      <c r="Z17" s="26">
        <f>(0.0408114155007736*W17 ^ 6 + -0.734246457015877*W17 ^ 5 + 5.14373068807124*W17 ^ 4 + -18.6306099938536*W17 ^ 3 + 18.128899679709*W17 ^ 2 + 104.832603800577*W17 ^ 1 + 224.346677189067)/1000</f>
        <v>0.22434667718906701</v>
      </c>
      <c r="AA17" s="26">
        <f>(0.0000575952982361337*W17 ^ 6 + -0.0465830407213652*W17 ^ 5 + 0.645633441971509*W17 ^ 4 + -4.05835571687832*W17 ^ 3 + -4.03282589525672*W17 ^ 2 + 106.487274764303*W17 ^ 1 + 170.155517099046)/1000</f>
        <v>0.170155517099046</v>
      </c>
      <c r="AB17" s="25">
        <f>-0.0627094908938393*W17 ^ 6 + 0.946902271860072*W17 ^ 5 + -5.42523858966311*W17 ^ 4 + 14.6415509793725*W17 ^ 3 + -18.5681973655955*W17 ^ 2 + 9.19483441989902*W17 ^ 1 + 2425.82191431698</f>
        <v>2425.8219143169799</v>
      </c>
      <c r="AC17" s="1">
        <v>0</v>
      </c>
      <c r="AD17" s="25">
        <f>0.055472045305752*AC17 ^ 6 + -0.748008025243989*AC17 ^ 5 + 3.7972978266469*AC17 ^ 4 + -8.97392778513907*AC17 ^ 3 + 8.77059402224317*AC17 ^ 2 + -4.75674969533689*AC17 ^ 1 + 23.4682447449893</f>
        <v>23.468244744989299</v>
      </c>
      <c r="AE17" s="26">
        <f>(0.0188887136848343*AC17 ^ 6 + -0.344273600389452*AC17 ^ 5 + 2.32623876115176*AC17 ^ 4 + -8.6501561704084*AC17 ^ 3 + 0.351981540367274*AC17 ^ 2 + 97.2018730486727*AC17 ^ 1 + 210.425333195411)/1000</f>
        <v>0.21042533319541101</v>
      </c>
      <c r="AF17" s="26">
        <f>(0.0611799500936525*AC17 ^ 6 + -0.98292404324486*AC17 ^ 5 + 5.93049987755175*AC17 ^ 4 + -17.794413576902*AC17 ^ 3 + 11.2463344499957*AC17 ^ 2 + 86.1067140786546*AC17 ^ 1 + 174.706382708926)/1000</f>
        <v>0.17470638270892599</v>
      </c>
      <c r="AG17" s="26">
        <f>(-0.0012907687161024*AC17 ^ 6 + -0.121171902371614*AC17 ^ 5 + 1.17537976084162*AC17 ^ 4 + -4.40631258100027*AC17 ^ 3 + -6.03622375989974*AC17 ^ 2 + 83.9562942806349*AC17 ^ 1 + 122.732657672255)/1000</f>
        <v>0.122732657672255</v>
      </c>
      <c r="AH17" s="25">
        <f>-0.101627901171869*AC17 ^ 6 + 1.31589938448505*AC17 ^ 5 + -6.4629473327433*AC17 ^ 4 + 14.9485207651543*AC17 ^ 3 + -16.3343856452596*AC17 ^ 2 + 7.34730964887688*AC17 ^ 1 + 2099.03845092477</f>
        <v>2099.0384509247701</v>
      </c>
      <c r="AI17" s="1">
        <v>0</v>
      </c>
      <c r="AJ17" s="25">
        <f>0.0806069964426882*AI17 ^ 6 + -0.901147761809599*AI17 ^ 5 + 3.80465289327677*AI17 ^ 4 + -7.50938670470689*AI17 ^ 3 + 5.86308646664448*AI17 ^ 2 + -3.05055405655277*AI17 ^ 1 + 16.2175613485183</f>
        <v>16.217561348518299</v>
      </c>
      <c r="AK17" s="26">
        <f>(0.0115231011404611*AI17 ^ 6 + -0.339410529408906*AI17 ^ 5 + 2.22007790375961*AI17 ^ 4 + -6.98784455045376*AI17 ^ 3 + -3.63362521346856*AI17 ^ 2 + 74.0081396295312*AI17 ^ 1 + 159.474478505641)/1000</f>
        <v>0.159474478505641</v>
      </c>
      <c r="AL17" s="26">
        <f>(0.0565675488544452*AI17 ^ 6 + -0.933973336477112*AI17 ^ 5 + 5.06507255763464*AI17 ^ 4 + -12.5481225990721*AI17 ^ 3 + 1.01020139652137*AI17 ^ 2 + 65.6631149159556*AI17 ^ 1 + 127.482305145295)/1000</f>
        <v>0.12748230514529499</v>
      </c>
      <c r="AM17" s="26">
        <f>(-0.0279717404367955*AI17 ^ 6 + -0.0446975574205393*AI17 ^ 5 + 1.08642599511681*AI17 ^ 4 + -2.82115642033183*AI17 ^ 3 + -9.43796829326401*AI17 ^ 2 + 61.5020954021466*AI17 ^ 1 + 81.3147104435739)/1000</f>
        <v>8.1314710443573898E-2</v>
      </c>
      <c r="AN17" s="25">
        <f>-0.252882739043934*AI17 ^ 6 + 2.72864896366772*AI17 ^ 5 + -11.167972990979*AI17 ^ 4 + 21.5258699018213*AI17 ^ 3 + -19.6012627743136*AI17 ^ 2 + 7.34730964887963*AI17 ^ 1 + 1749.19870910397</f>
        <v>1749.19870910397</v>
      </c>
      <c r="AO17" s="1">
        <v>0</v>
      </c>
      <c r="AP17" s="25">
        <f>0.104267105051503*AO17 ^ 6 + -0.918217300684902*AO17 ^ 5 + 3.08369609904822*AO17 ^ 4 + -4.90603409850994*AO17 ^ 3 + 2.65014843882264*AO17 ^ 2 + -1.64851036677717*AO17 ^ 1 + 10.514921638097</f>
        <v>10.514921638097</v>
      </c>
      <c r="AQ17" s="26">
        <f>(-0.0108309128629174*AO17 ^ 6 + -0.419890437469245*AO17 ^ 5 + 2.55976457558792*AO17 ^ 4 + -5.97680862963371*AO17 ^ 3 + -5.66469159123719*AO17 ^ 2 + 51.2111496034601*AO17 ^ 1 + 115.216803936055)/1000</f>
        <v>0.115216803936055</v>
      </c>
      <c r="AR17" s="26">
        <f>(-0.0278336226084912*AO17 ^ 6 + -0.343807572768648*AO17 ^ 5 + 2.38743788859918*AO17 ^ 4 + -4.43135851464616*AO17 ^ 3 + -8.8953830642241*AO17 ^ 2 + 46.377548979535*AO17 ^ 1 + 88.1023654491269)/1000</f>
        <v>8.8102365449126904E-2</v>
      </c>
      <c r="AS17" s="26">
        <f>(-0.0973400201528922*AO17 ^ 6 + -0.00551907900993388*AO17 ^ 5 + 1.441769430952*AO17 ^ 4 + -1.56711718350634*AO17 ^ 3 + -11.7837748305055*AO17 ^ 2 + 42.4631164471923*AO17 ^ 1 + 50.1809605945497)/1000</f>
        <v>5.0180960594549705E-2</v>
      </c>
      <c r="AT17" s="25">
        <f>-0.134799028626399*AO17 ^ 6 + 1.45574252780615*AO17 ^ 5 + -5.95927303353643*AO17 ^ 4 + 11.4834399072517*AO17 ^ 3 + -10.5656393894244*AO17 ^ 2 + 4.39982790228188*AO17 ^ 1 + 1412.53398352808</f>
        <v>1412.5339835280799</v>
      </c>
      <c r="AU17" s="1">
        <v>0</v>
      </c>
      <c r="AV17" s="25">
        <f>0.0122513494628276*AU17 ^ 6 + 0*AU17 ^ 5 + -0.0789562739740316*AU17 ^ 4 + 0*AU17 ^ 3 + -0.833362941747944*AU17 ^ 2 + -0.543623989739577*AU17 ^ 1 + 5.35653770598957</f>
        <v>5.3565377059895702</v>
      </c>
      <c r="AW17" s="26">
        <f>(-0.301472191328469*AU17 ^ 6 + 0*AU17 ^ 5 + 1.73369933965471*AU17 ^ 4 + 0*AU17 ^ 3 + -11.7140373590253*AU17 ^ 2 + 26.3139023086367*AU17 ^ 1 + 70.9679079020624)/1000</f>
        <v>7.0967907902062394E-2</v>
      </c>
      <c r="AX17" s="26">
        <f>(-0.214300185828244*AU17 ^ 6 + 0*AU17 ^ 5 + 1.41764045338714*AU17 ^ 4 + 0*AU17 ^ 3 + -12.2193024287212*AU17 ^ 2 + 26.6331407809006*AU17 ^ 1 + 42.0665715328496)/1000</f>
        <v>4.2066571532849602E-2</v>
      </c>
      <c r="AY17" s="26">
        <f>(-0.437389198196988*AU17 ^ 6 + 0*AU17 ^ 5 + 2.85040544956566*AU17 ^ 4 + 0*AU17 ^ 3 + -13.6011583908258*AU17 ^ 2 + 24.0763440259761*AU17 ^ 1 + 23.7860827879269)/1000</f>
        <v>2.3786082787926901E-2</v>
      </c>
      <c r="AZ17" s="25">
        <f>0.00626591221556048*AU17 ^ 6 + 0*AU17 ^ 5 + -0.021797232470116*AU17 ^ 4 + 0*AU17 ^ 3 + -0.691026187285782*AU17 ^ 2 + 1.74744612401076*AU17 ^ 1 + 1007.21881597337</f>
        <v>1007.2188159733701</v>
      </c>
      <c r="BA17" s="17"/>
      <c r="BB17" s="17"/>
      <c r="BC17" s="17"/>
      <c r="BD17" s="17"/>
      <c r="BE17" s="17"/>
      <c r="BF17" s="17"/>
      <c r="BG17" s="17"/>
      <c r="BH17" s="17"/>
      <c r="BI17" s="17"/>
      <c r="BJ17" s="17"/>
    </row>
    <row r="18" spans="2:62" s="11" customFormat="1" x14ac:dyDescent="0.2">
      <c r="B18" s="22" t="s">
        <v>11</v>
      </c>
      <c r="C18" s="23"/>
      <c r="D18" s="24"/>
      <c r="E18" s="1">
        <v>0</v>
      </c>
      <c r="F18" s="25">
        <f>0.00532084265180718*E18 ^ 6 + -0.121642266100557*E18 ^ 5 + 1.05525146434367*E18 ^ 4 + -4.28889821756547*E18 ^ 3 + 4.62881699125284*E18 ^ 2 + -10.8239779622248*E18 ^ 1 + 229.495259879786</f>
        <v>229.495259879786</v>
      </c>
      <c r="G18" s="26">
        <f>(0.224887289839946*E18 ^ 6 + -5.30959877106017*E18 ^ 5 + 48.7400536848914*E18 ^ 4 + -220.186479618537*E18 ^ 3 + 400.70854601496*E18 ^ 2 + 530.029673105406*E18 ^ 1 + 2226.04717552651)/1000</f>
        <v>2.2260471755265097</v>
      </c>
      <c r="H18" s="26">
        <f>(0.208752301177766*E18 ^ 6 + -5.38438799080668*E18 ^ 5 + 54.0012985806415*E18 ^ 4 + -262.972438742837*E18 ^ 3 + 526.914040980877*E18 ^ 2 + 378.250523025208*E18 ^ 1 + 2155.87973977258)/1000</f>
        <v>2.1558797397725797</v>
      </c>
      <c r="I18" s="26">
        <f>(0.191344734780726*E18 ^ 6 + -4.7158483294713*E18 ^ 5 + 45.077408583381*E18 ^ 4 + -209.415921682686*E18 ^ 3 + 389.574627244089*E18 ^ 2 + 439.493350923625*E18 ^ 1 + 1703.07686862858)/1000</f>
        <v>1.70307686862858</v>
      </c>
      <c r="J18" s="25">
        <f>0.00490524901395339*E18 ^ 6 + -0.113565146966757*E18 ^ 5 + 0.992081554347872*E18 ^ 4 + -3.93242860960637*E18 ^ 3 + 6.71615091369744*E18 ^ 2 + -5.75251211834728*E18 ^ 1 + 3530.51153291615</f>
        <v>3530.5115329161499</v>
      </c>
      <c r="K18" s="1">
        <v>0</v>
      </c>
      <c r="L18" s="25">
        <f>0.00743809623168403*K18 ^ 6 + -0.157224038158736*K18 ^ 5 + 1.2674815793348*K18 ^ 4 + -4.83745386591174*K18 ^ 3 + 5.23268499120949*K18 ^ 2 + -10.4111227783811*K18 ^ 1 + 185.821666704876</f>
        <v>185.82166670487601</v>
      </c>
      <c r="M18" s="26">
        <f>(0.198794341169915*K18 ^ 6 + -4.27617469941582*K18 ^ 5 + 36.0162832986194*K18 ^ 4 + -151.268264684132*K18 ^ 3 + 234.660247208183*K18 ^ 2 + 528.167824398052*K18 ^ 1 + 1684.00468109933)/1000</f>
        <v>1.6840046810993299</v>
      </c>
      <c r="N18" s="26">
        <f>(0.208512043251047*K18 ^ 6 + -4.88708770696938*K18 ^ 5 + 44.5868302217306*K18 ^ 4 + -198.269215075006*K18 ^ 3 + 344.747985303223*K18 ^ 2 + 413.588424348766*K18 ^ 1 + 1598.76500072623)/1000</f>
        <v>1.59876500072623</v>
      </c>
      <c r="O18" s="26">
        <f>(0.214537288320683*K18 ^ 6 + -4.85974946255838*K18 ^ 5 + 42.8357115407548*K18 ^ 4 + -184.552601977975*K18 ^ 3 + 314.094387088689*K18 ^ 2 + 374.499992439526*K18 ^ 1 + 1265.75493169483)/1000</f>
        <v>1.26575493169483</v>
      </c>
      <c r="P18" s="25">
        <f>0.00177512709370751*K18 ^ 6 + -0.0262370571013358*K18 ^ 5 + 0.0876551990421769*K18 ^ 4 + 0.388643929462551*K18 ^ 3 + -2.79704149474948*K18 ^ 2 + 3.52232734159199*K18 ^ 1 + 3174.81234819018</f>
        <v>3174.8123481901798</v>
      </c>
      <c r="Q18" s="1">
        <v>0</v>
      </c>
      <c r="R18" s="25">
        <f>0.0121353886305553*Q18 ^ 6 + -0.236537434514983*Q18 ^ 5 + 1.7656506194269*Q18 ^ 4 + -6.29012324717189*Q18 ^ 3 + 7.21821665332904*Q18 ^ 2 + -10.9783023704925*Q18 ^ 1 + 147.032442954261</f>
        <v>147.032442954261</v>
      </c>
      <c r="S18" s="26">
        <f>(0.108918702470798*Q18 ^ 6 + -2.23916508352082*Q18 ^ 5 + 18.4058209285573*Q18 ^ 4 + -77.5394866818711*Q18 ^ 3 + 89.3883273651692*Q18 ^ 2 + 498.452937760571*Q18 ^ 1 + 1235.76952974344)/1000</f>
        <v>1.2357695297434399</v>
      </c>
      <c r="T18" s="26">
        <f>(0.181841728723238*Q18 ^ 6 + -3.89030859803287*Q18 ^ 5 + 32.4024413867744*Q18 ^ 4 + -132.035517722193*Q18 ^ 3 + 187.681102447486*Q18 ^ 2 + 413.372043721771*Q18 ^ 1 + 1147.58696344465)/1000</f>
        <v>1.1475869634446501</v>
      </c>
      <c r="U18" s="26">
        <f>(0.239270829857769*Q18 ^ 6 + -5.01306184780557*Q18 ^ 5 + 40.9516797997423*Q18 ^ 4 + -163.969977455235*Q18 ^ 3 + 255.212542271732*Q18 ^ 2 + 302.494976245869*Q18 ^ 1 + 910.771867512507)/1000</f>
        <v>0.91077186751250705</v>
      </c>
      <c r="V18" s="25">
        <f>0.00319883666248209*Q18 ^ 6 + -0.0420266922952984*Q18 ^ 5 + 0.124805937698084*Q18 ^ 4 + 0.491877473228514*Q18 ^ 3 + -3.14667168159765*Q18 ^ 2 + 3.5223273415952*Q18 ^ 1 + 2822.05542061349</f>
        <v>2822.0554206134898</v>
      </c>
      <c r="W18" s="1">
        <v>0</v>
      </c>
      <c r="X18" s="25">
        <f>0.0191180974856718*W18 ^ 6 + -0.339102542481069*W18 ^ 5 + 2.30704072116126*W18 ^ 4 + -7.53007630911921*W18 ^ 3 + 8.31026298930382*W18 ^ 2 + -10.4899459530404*W18 ^ 1 + 112.568135812375</f>
        <v>112.568135812375</v>
      </c>
      <c r="Y18" s="26">
        <f>(-0.180592581211025*W18 ^ 6 + 2.61231187260781*W18 ^ 5 + -13.1850938206607*W18 ^ 4 + 23.4527535988807*W18 ^ 3 + -65.1062527137396*W18 ^ 2 + 467.090138105885*W18 ^ 1 + 868.171148387273)/1000</f>
        <v>0.86817114838727294</v>
      </c>
      <c r="Z18" s="26">
        <f>(0.040970996675154*W18 ^ 6 + -1.0435535967228*W18 ^ 5 + 9.6342316901295*W18 ^ 4 + -42.8276850343351*W18 ^ 3 + 25.5775822092145*W18 ^ 2 + 404.812286171733*W18 ^ 1 + 786.155279987521)/1000</f>
        <v>0.78615527998752099</v>
      </c>
      <c r="AA18" s="26">
        <f>(0.224722658618018*W18 ^ 6 + -4.49480682038555*W18 ^ 5 + 34.8856676171993*W18 ^ 4 + -132.57615972407*W18 ^ 3 + 188.144384485073*W18 ^ 2 + 244.383571853125*W18 ^ 1 + 625.657762607078)/1000</f>
        <v>0.62565776260707795</v>
      </c>
      <c r="AB18" s="25">
        <f>-0.0167124377868088*W18 ^ 6 + 0.329599669464567*W18 ^ 5 + -2.51976756310483*W18 ^ 4 + 9.31026892926215*W18 ^ 3 + -16.7868937203612*W18 ^ 2 + 12.7971668015374*W18 ^ 1 + 2467.23891303231</f>
        <v>2467.2389130323099</v>
      </c>
      <c r="AC18" s="1">
        <v>0</v>
      </c>
      <c r="AD18" s="25">
        <f>0.0251319446208595*AC18 ^ 6 + -0.400014197189325*AC18 ^ 5 + 2.41240193318804*AC18 ^ 4 + -6.91881836969271*AC18 ^ 3 + 5.89973044339197*AC18 ^ 2 + -7.82840875458217*AC18 ^ 1 + 83.0604757560048</f>
        <v>83.060475756004806</v>
      </c>
      <c r="AE18" s="26">
        <f>(-0.274740929234805*AC18 ^ 6 + 3.61091531058954*AC18 ^ 5 + -16.2783830496768*AC18 ^ 4 + 25.0501194046604*AC18 ^ 3 + -58.2623520376409*AC18 ^ 2 + 365.425352500636*AC18 ^ 1 + 656.258066578544)/1000</f>
        <v>0.65625806657854402</v>
      </c>
      <c r="AF18" s="26">
        <f>(0.0642015908282683*AC18 ^ 6 + -1.24872246119031*AC18 ^ 5 + 9.56961526312285*AC18 ^ 4 + -36.9330201087105*AC18 ^ 3 + 11.0820612829011*AC18 ^ 2 + 310.868820571228*AC18 ^ 1 + 573.586673719877)/1000</f>
        <v>0.57358667371987704</v>
      </c>
      <c r="AG18" s="26">
        <f>(0.33646809112859*AC18 ^ 6 + -5.47505488877023*AC18 ^ 5 + 35.7678529941249*AC18 ^ 4 + -118.009334346936*AC18 ^ 3 + 143.154487396175*AC18 ^ 2 + 190.657174487267*AC18 ^ 1 + 427.407018417043)/1000</f>
        <v>0.42740701841704298</v>
      </c>
      <c r="AH18" s="25">
        <f>-0.0264593256456526*AC18 ^ 6 + 0.458657149943454*AC18 ^ 5 + -3.02813740632843*AC18 ^ 4 + 9.51232613381914*AC18 ^ 3 + -14.550950982296*AC18 ^ 2 + 10.0346184108032*AC18 ^ 1 + 2124.48140851352</f>
        <v>2124.4814085135199</v>
      </c>
      <c r="AI18" s="1">
        <v>0</v>
      </c>
      <c r="AJ18" s="25">
        <f>0.0331027089140466*AI18 ^ 6 + -0.452560415697664*AI18 ^ 5 + 2.30990104902395*AI18 ^ 4 + -5.54753625137319*AI18 ^ 3 + 2.70132320625164*AI18 ^ 2 + -5.11410254094262*AI18 ^ 1 + 57.341908859676</f>
        <v>57.341908859676003</v>
      </c>
      <c r="AK18" s="26">
        <f>(-0.41217048418898*AI18 ^ 6 + 4.99733331462919*AI18 ^ 5 + -20.0021045229467*AI18 ^ 4 + 25.9271500649468*AI18 ^ 3 + -49.0333839766679*AI18 ^ 2 + 265.541182283291*AI18 ^ 1 + 466.586647006654)/1000</f>
        <v>0.46658664700665403</v>
      </c>
      <c r="AL18" s="26">
        <f>(0.09817411742543*AI18 ^ 6 + -1.29322099844106*AI18 ^ 5 + 7.71731144737961*AI18 ^ 4 + -25.8603767818613*AI18 ^ 3 + -5.51577627930646*AI18 ^ 2 + 222.020431137176*AI18 ^ 1 + 390.5820014549)/1000</f>
        <v>0.39058200145490002</v>
      </c>
      <c r="AM18" s="26">
        <f>(0.5092814485845*AI18 ^ 6 + -6.33116104335129*AI18 ^ 5 + 33.3422515760463*AI18 ^ 4 + -93.9121935006431*AI18 ^ 3 + 93.6189263858434*AI18 ^ 2 + 141.131776553839*AI18 ^ 1 + 268.602652662272)/1000</f>
        <v>0.26860265266227201</v>
      </c>
      <c r="AN18" s="25">
        <f>-0.0658392691904888*AI18 ^ 6 + 0.951071466121521*AI18 ^ 5 + -5.23262143812996*AI18 ^ 4 + 13.6977496326879*AI18 ^ 3 + -17.4611411787443*AI18 ^ 2 + 10.0346184107998*AI18 ^ 1 + 1770.40117376127</f>
        <v>1770.40117376127</v>
      </c>
      <c r="AO18" s="1">
        <v>0</v>
      </c>
      <c r="AP18" s="25">
        <f>0.0518786233889339*AO18 ^ 6 + -0.536084364311191*AO18 ^ 5 + 2.07983088203585*AO18 ^ 4 + -3.7956956160627*AO18 ^ 3 + -0.416182167724161*AO18 ^ 2 + -2.97360222225798*AO18 ^ 1 + 36.7745482582762</f>
        <v>36.774548258276198</v>
      </c>
      <c r="AQ18" s="26">
        <f>(-0.54790967320622*AO18 ^ 6 + 6.6564930663901*AO18 ^ 5 + -23.0591247558925*AO18 ^ 4 + 20.3783497079593*AO18 ^ 3 + -29.9660246757759*AO18 ^ 2 + 173.382662755676*AO18 ^ 1 + 309.973618519609)/1000</f>
        <v>0.30997361851960897</v>
      </c>
      <c r="AR18" s="26">
        <f>(0.131339040088996*AO18 ^ 6 + -0.711970568912745*AO18 ^ 5 + 2.73755468585978*AO18 ^ 4 + -11.5774758517983*AO18 ^ 3 + -16.6274252480528*AO18 ^ 2 + 143.386574347136*AO18 ^ 1 + 246.396394379034)/1000</f>
        <v>0.24639639437903402</v>
      </c>
      <c r="AS18" s="26">
        <f>(0.767467717391855*AO18 ^ 6 + -6.36299448753711*AO18 ^ 5 + 25.1071780351509*AO18 ^ 4 + -62.0994622727568*AO18 ^ 3 + 49.3038327189724*AO18 ^ 2 + 97.6218561343745*AO18 ^ 1 + 153.907335877665)/1000</f>
        <v>0.153907335877665</v>
      </c>
      <c r="AT18" s="25">
        <f>-0.0334360295827973*AO18 ^ 6 + 0.508762273622769*AO18 ^ 5 + -2.84080054648183*AO18 ^ 4 + 7.31789773122044*AO18 ^ 3 + -9.13650491918805*AO18 ^ 2 + 5.8176560160495*AO18 ^ 1 + 1422.791070571</f>
        <v>1422.7910705710001</v>
      </c>
      <c r="AU18" s="1">
        <v>0</v>
      </c>
      <c r="AV18" s="25">
        <f>-0.00924802925211338*AU18 ^ 6 + 0*AU18 ^ 5 + 0.0533650241747306*AU18 ^ 4 + 0*AU18 ^ 3 + -3.83827716885739*AU18 ^ 2 + -1.26970714778153*AU18 ^ 1 + 18.3649022490845</f>
        <v>18.364902249084501</v>
      </c>
      <c r="AW18" s="26">
        <f>(1.81683032530665*AU18 ^ 6 + 0*AU18 ^ 5 + -13.2492138128564*AU18 ^ 4 + 0*AU18 ^ 3 + 1.16486098098555*AU18 ^ 2 + 68.3180875176488*AU18 ^ 1 + 167.749422781884)/1000</f>
        <v>0.16774942278188398</v>
      </c>
      <c r="AX18" s="26">
        <f>(0.413412965593071*AU18 ^ 6 + 0*AU18 ^ 5 + -3.3036100807998*AU18 ^ 4 + 0*AU18 ^ 3 + -20.1220236192082*AU18 ^ 2 + 74.8323794878943*AU18 ^ 1 + 109.273041930114)/1000</f>
        <v>0.109273041930114</v>
      </c>
      <c r="AY18" s="26">
        <f>(1.12888077999051*AU18 ^ 6 + 0*AU18 ^ 5 + -8.74448182413018*AU18 ^ 4 + 0*AU18 ^ 3 + -1.49244764865157*AU18 ^ 2 + 55.9413046722503*AU18 ^ 1 + 65.8779891637077)/1000</f>
        <v>6.5877989163707698E-2</v>
      </c>
      <c r="AZ18" s="25">
        <f>0.113073691244288*AU18 ^ 6 + 0*AU18 ^ 5 + -0.877544566996076*AU18 ^ 4 + 0*AU18 ^ 3 + 1.20516506645464*AU18 ^ 2 + 1.71977096192349*AU18 ^ 1 + 1005.01195916378</f>
        <v>1005.01195916378</v>
      </c>
      <c r="BA18" s="17"/>
      <c r="BB18" s="17"/>
      <c r="BC18" s="17"/>
      <c r="BD18" s="17"/>
      <c r="BE18" s="17"/>
      <c r="BF18" s="17"/>
      <c r="BG18" s="17"/>
      <c r="BH18" s="17"/>
      <c r="BI18" s="17"/>
      <c r="BJ18" s="17"/>
    </row>
    <row r="19" spans="2:62" s="11" customFormat="1" x14ac:dyDescent="0.2">
      <c r="B19" s="22" t="s">
        <v>12</v>
      </c>
      <c r="C19" s="23"/>
      <c r="D19" s="24"/>
      <c r="E19" s="1">
        <v>0</v>
      </c>
      <c r="F19" s="25">
        <f>-0.000192953554133328*E19 ^ 6 + 0.00867138674383016*E19 ^ 5 + -0.14654876423287*E19 ^ 4 + 1.11181144147164*E19 ^ 3 + -4.68990815028114*E19 ^ 2 + 4.85209614421937*E19 ^ 1 + 158.350498011411</f>
        <v>158.35049801141099</v>
      </c>
      <c r="G19" s="26">
        <f>(0.00385891928161217*E19 ^ 6 + -0.138190766036933*E19 ^ 5 + 2.04870937979228*E19 ^ 4 + -17.9008460407294*E19 ^ 3 + 55.6882208255687*E19 ^ 2 + 470.947666045839*E19 ^ 1 + 1836.39065799704)/1000</f>
        <v>1.8363906579970402</v>
      </c>
      <c r="H19" s="26">
        <f>(0.00169017101062581*E19 ^ 6 + -0.101504460522493*E19 ^ 5 + 2.29194448826407*E19 ^ 4 + -25.0997869395475*E19 ^ 3 + 94.4823136834135*E19 ^ 2 + 394.107102827486*E19 ^ 1 + 1760.0759088467)/1000</f>
        <v>1.7600759088467</v>
      </c>
      <c r="I19" s="26">
        <f>(0.00347049046281438*E19 ^ 6 + -0.150982154960519*E19 ^ 5 + 2.68587024997037*E19 ^ 4 + -25.1843225634032*E19 ^ 3 + 89.6239952333805*E19 ^ 2 + 347.98089326825*E19 ^ 1 + 1391.09247379831)/1000</f>
        <v>1.3910924737983101</v>
      </c>
      <c r="J19" s="25">
        <f>-0.000322825576540466*E19 ^ 6 + 0.011823519940192*E19 ^ 5 + -0.165607275961707*E19 ^ 4 + 1.15016670200928*E19 ^ 3 + -4.26840422979193*E19 ^ 2 + 6.59852865526928*E19 ^ 1 + 3525.54061912851</f>
        <v>3525.5406191285101</v>
      </c>
      <c r="K19" s="1">
        <v>0</v>
      </c>
      <c r="L19" s="25">
        <f>-0.000189022848543604*K19 ^ 6 + 0.0083730587721506*K19 ^ 5 + -0.136562413763819*K19 ^ 4 + 0.972671583351514*K19 ^ 3 + -3.94397611704477*K19 ^ 2 + 3.51295918323921*K19 ^ 1 + 128.218534095761</f>
        <v>128.21853409576099</v>
      </c>
      <c r="M19" s="26">
        <f>(0.00987377240836895*K19 ^ 6 + -0.332473894522281*K19 ^ 5 + 4.46992655502792*K19 ^ 4 + -32.111812311931*K19 ^ 3 + 94.3992294086729*K19 ^ 2 + 324.752622507369*K19 ^ 1 + 1448.62171842393)/1000</f>
        <v>1.4486217184239298</v>
      </c>
      <c r="N19" s="26">
        <f>(0.00545408698088162*K19 ^ 6 + -0.222207444558499*K19 ^ 5 + 3.67045825997692*K19 ^ 4 + -31.4388928239774*K19 ^ 3 + 104.43325849797*K19 ^ 2 + 289.249699990473*K19 ^ 1 + 1358.23297924863)/1000</f>
        <v>1.3582329792486301</v>
      </c>
      <c r="O19" s="26">
        <f>(0.00843004552911362*K19 ^ 6 + -0.307081574494355*K19 ^ 5 + 4.48623930979798*K19 ^ 4 + -34.0800738177616*K19 ^ 3 + 106.511633554787*K19 ^ 2 + 249.333300106103*K19 ^ 1 + 1061.95512008034)/1000</f>
        <v>1.0619551200803401</v>
      </c>
      <c r="P19" s="25">
        <f>-0.0000674099491736792*K19 ^ 6 + 0.00228411206805981*K19 ^ 5 + -0.0319650302314794*K19 ^ 4 + 0.268885027587427*K19 ^ 3 + -1.461400453777*K19 ^ 2 + 3.53546141323879*K19 ^ 1 + 3171.83455225133</f>
        <v>3171.83455225133</v>
      </c>
      <c r="Q19" s="1">
        <v>0</v>
      </c>
      <c r="R19" s="25">
        <f>-0.000184860193593105*Q19 ^ 6 + 0.00829807784333773*Q19 ^ 5 + -0.131535398129024*Q19 ^ 4 + 0.876555674474327*Q19 ^ 3 + -3.39781271582835*Q19 ^ 2 + 2.51478132456104*Q19 ^ 1 + 101.350631038568</f>
        <v>101.350631038568</v>
      </c>
      <c r="S19" s="26">
        <f>(0.0203616406881593*Q19 ^ 6 + -0.6243122795426*Q19 ^ 5 + 7.56129105607127*Q19 ^ 4 + -47.1774954694417*Q19 ^ 3 + 126.818794246865*Q19 ^ 2 + 204.30145516246*Q19 ^ 1 + 1112.22301688374)/1000</f>
        <v>1.1122230168837399</v>
      </c>
      <c r="T19" s="26">
        <f>(0.0114880045803275*Q19 ^ 6 + -0.382482301347915*Q19 ^ 5 + 5.17074888009437*Q19 ^ 4 + -36.7389260721032*Q19 ^ 3 + 108.006104137464*Q19 ^ 2 + 204.068690083849*Q19 ^ 1 + 1017.59744194984)/1000</f>
        <v>1.0175974419498399</v>
      </c>
      <c r="U19" s="26">
        <f>(0.0167033222058392*Q19 ^ 6 + -0.527609557104503*Q19 ^ 5 + 6.61090744785037*Q19 ^ 4 + -42.4799031752204*Q19 ^ 3 + 116.739708610593*Q19 ^ 2 + 170.597395340633*Q19 ^ 1 + 786.102761604951)/1000</f>
        <v>0.78610276160495096</v>
      </c>
      <c r="V19" s="25">
        <f>-0.00012147491725936*Q19 ^ 6 + 0.00365870587854912*Q19 ^ 5 + -0.0455127090600604*Q19 ^ 4 + 0.340307613040458*Q19 ^ 3 + -1.64407551049977*Q19 ^ 2 + 3.53546141323994*Q19 ^ 1 + 2819.40849089007</f>
        <v>2819.40849089007</v>
      </c>
      <c r="W19" s="1">
        <v>0</v>
      </c>
      <c r="X19" s="25">
        <f>0.0000191410020389175*W19 ^ 6 + 0.00362836250462503*W19 ^ 5 + -0.0857899109863186*W19 ^ 4 + 0.605708662377654*W19 ^ 3 + -2.52420809199637*W19 ^ 2 + 1.41213954933011*W19 ^ 1 + 77.5768380726836</f>
        <v>77.5768380726836</v>
      </c>
      <c r="Y19" s="26">
        <f>(0.0452119056045508*W19 ^ 6 + -1.22361315071099*W19 ^ 5 + 12.9691068845027*W19 ^ 4 + -69.2083822023052*W19 ^ 3 + 165.432562044204*W19 ^ 2 + 98.342857112241*W19 ^ 1 + 823.627819330819)/1000</f>
        <v>0.82362781933081897</v>
      </c>
      <c r="Z19" s="26">
        <f>(0.0262976219554818*W19 ^ 6 + -0.720723208126376*W19 ^ 5 + 7.92884244294666*W19 ^ 4 + -45.787084879875*W19 ^ 3 + 116.728803127209*W19 ^ 2 + 127.650700061287*W19 ^ 1 + 732.868526712659)/1000</f>
        <v>0.73286852671265901</v>
      </c>
      <c r="AA19" s="26">
        <f>(0.0353463023001769*W19 ^ 6 + -0.956521338564065*W19 ^ 5 + 10.1617641348962*W19 ^ 4 + -54.6139473271111*W19 ^ 3 + 130.004324463277*W19 ^ 2 + 102.112971337749*W19 ^ 1 + 558.451874143213)/1000</f>
        <v>0.55845187414321296</v>
      </c>
      <c r="AB19" s="25">
        <f>0.00144710998254104*W19 ^ 6 + -0.0367609666159731*W19 ^ 5 + 0.346945369925225*W19 ^ 4 + -1.45831215779285*W19 ^ 3 + 2.33983344713678*W19 ^ 2 + 0.472394171205735*W19 ^ 1 + 2466.08642566768</f>
        <v>2466.08642566768</v>
      </c>
      <c r="AC19" s="1">
        <v>0</v>
      </c>
      <c r="AD19" s="25">
        <f>0.00539525986793957*AC19 ^ 6 + -0.115929769006881*AC19 ^ 5 + 0.95062407685609*AC19 ^ 4 + -3.80256963197783*AC19 ^ 3 + 6.58863303755374*AC19 ^ 2 + -5.79850513628725*AC19 ^ 1 + 57.4008338780189</f>
        <v>57.400833878018901</v>
      </c>
      <c r="AE19" s="26">
        <f>(0.279832556670514*AC19 ^ 6 + -6.46605162546219*AC19 ^ 5 + 58.1253243955574*AC19 ^ 4 + -255.687816324147*AC19 ^ 3 + 530.21154945596*AC19 ^ 2 + -220.066231345789*AC19 ^ 1 + 627.188367013888)/1000</f>
        <v>0.62718836701388792</v>
      </c>
      <c r="AF19" s="26">
        <f>(-0.160578169110269*AC19 ^ 6 + 3.44017627507472*AC19 ^ 5 + -27.4394254728899*AC19 ^ 4 + 97.2912672461675*AC19 ^ 3 + -160.242569057506*AC19 ^ 2 + 279.977625353984*AC19 ^ 1 + 539.339371321387)/1000</f>
        <v>0.53933937132138698</v>
      </c>
      <c r="AG19" s="26">
        <f>(0.151301922780895*AC19 ^ 6 + -3.52270683697917*AC19 ^ 5 + 32.087321995239*AC19 ^ 4 + -144.156664587428*AC19 ^ 3 + 301.380818312171*AC19 ^ 2 + -71.8690954155972*AC19 ^ 1 + 385.299611204866)/1000</f>
        <v>0.385299611204866</v>
      </c>
      <c r="AH19" s="25">
        <f>0.0380207073742119*AC19 ^ 6 + -0.871824495849756*AC19 ^ 5 + 7.7309545433158*AC19 ^ 4 + -32.9822902237765*AC19 ^ 3 + 67.0228123968324*AC19 ^ 2 + -50.0274452840345*AC19 ^ 1 + 2123.39184213443</f>
        <v>2123.3918421344301</v>
      </c>
      <c r="AI19" s="1">
        <v>0</v>
      </c>
      <c r="AJ19" s="25">
        <f>0.0196449299158078*AI19 ^ 6 + -0.358613531151385*AI19 ^ 5 + 2.51084103227185*AI19 ^ 4 + -8.52299956191311*AI19 ^ 3 + 13.1510981990554*AI19 ^ 2 + -8.97177206530577*AI19 ^ 1 + 39.7664344614046</f>
        <v>39.7664344614046</v>
      </c>
      <c r="AK19" s="26">
        <f>(0.954326970285047*AI19 ^ 6 + -18.382052697915*AI19 ^ 5 + 137.609531760086*AI19 ^ 4 + -501.59306865443*AI19 ^ 3 + 870.425068348792*AI19 ^ 2 + -427.072581015468*AI19 ^ 1 + 449.987079290678)/1000</f>
        <v>0.44998707929067805</v>
      </c>
      <c r="AL19" s="26">
        <f>(-0.88136295410693*AI19 ^ 6 + 16.0344387620496*AI19 ^ 5 + -110.422285505605*AI19 ^ 4 + 353.428133459508*AI19 ^ 3 + -530.817828886979*AI19 ^ 2 + 430.547450834041*AI19 ^ 1 + 371.184505119461)/1000</f>
        <v>0.37118450511946099</v>
      </c>
      <c r="AM19" s="26">
        <f>(0.422802138853514*AI19 ^ 6 + -8.2250062593891*AI19 ^ 5 + 62.5987284272657*AI19 ^ 4 + -233.672964320834*AI19 ^ 3 + 410.493834079214*AI19 ^ 2 + -154.570935829256*AI19 ^ 1 + 245.111927832821)/1000</f>
        <v>0.24511192783282101</v>
      </c>
      <c r="AN19" s="25">
        <f>0.0946076865734008*AI19 ^ 6 + -1.80781527459411*AI19 ^ 5 + 13.3590894508503*AI19 ^ 4 + -47.4944979222407*AI19 ^ 3 + 80.4273748762038*AI19 ^ 2 + -50.0274452840379*AI19 ^ 1 + 1769.49320177869</f>
        <v>1769.49320177869</v>
      </c>
      <c r="AO19" s="1">
        <v>0</v>
      </c>
      <c r="AP19" s="25">
        <f>0.0824615392096909*AO19 ^ 6 + -1.21798264126678*AO19 ^ 5 + 6.92588516940364*AO19 ^ 4 + -19.0518315305883*AO19 ^ 3 + 24.3989377242569*AO19 ^ 2 + -12.9182655784543*AO19 ^ 1 + 25.6076197206612</f>
        <v>25.607619720661202</v>
      </c>
      <c r="AQ19" s="26">
        <f>(3.43179117510074*AO19 ^ 6 + -52.9620466394624*AO19 ^ 5 + 317.571814680888*AO19 ^ 4 + -925.237700736151*AO19 ^ 3 + 1290.31557533281*AO19 ^ 2 + -582.621090668513*AO19 ^ 1 + 302.210195865941)/1000</f>
        <v>0.302210195865941</v>
      </c>
      <c r="AR19" s="26">
        <f>(-3.6087705661345*AO19 ^ 6 + 52.712229789825*AO19 ^ 5 + -292.468818116172*AO19 ^ 4 + 760.606255298185*AO19 ^ 3 + -927.289442347375*AO19 ^ 2 + 511.498013584374*AO19 ^ 1 + 237.165611209731)/1000</f>
        <v>0.23716561120973101</v>
      </c>
      <c r="AS19" s="26">
        <f>(1.31529771356311*AO19 ^ 6 + -20.5276862558931*AO19 ^ 5 + 125.309853879761*AO19 ^ 4 + -373.95398378274*AO19 ^ 3 + 528.966719193292*AO19 ^ 2 + -204.588489924893*AO19 ^ 1 + 142.508543554083)/1000</f>
        <v>0.14250854355408299</v>
      </c>
      <c r="AT19" s="25">
        <f>0.145145974683439*AO19 ^ 6 + -2.77952769586902*AO19 ^ 5 + 20.6129286453004*AO19 ^ 4 + -73.7045632121652*AO19 ^ 3 + 126.063186341132*AO19 ^ 2 + -80.4218277914251*AO19 ^ 1 + 1421.99687960723</f>
        <v>1421.9968796072301</v>
      </c>
      <c r="AU19" s="1">
        <v>0</v>
      </c>
      <c r="AV19" s="25">
        <f>0.490131337906757*AU19 ^ 6 + -5.18530797948645*AU19 ^ 5 + 21.151703590982*AU19 ^ 4 + -41.6828876938818*AU19 ^ 3 + 38.6458310153974*AU19 ^ 2 + -14.3642729810201*AU19 ^ 1 + 12.8442236684655</f>
        <v>12.844223668465499</v>
      </c>
      <c r="AW19" s="26">
        <f>(23.0940095490165*AU19 ^ 6 + -253.205389976655*AU19 ^ 5 + 1078.05035061566*AU19 ^ 4 + -2225.02296707196*AU19 ^ 3 + 2206.69473632835*AU19 ^ 2 + -783.273644693741*AU19 ^ 1 + 166.647934643518)/1000</f>
        <v>0.16664793464351799</v>
      </c>
      <c r="AX19" s="26">
        <f>(-15.2071363627877*AU19 ^ 6 + 157.478404872946*AU19 ^ 5 + -619.160886984214*AU19 ^ 4 + 1141.28576382903*AU19 ^ 3 + -983.192192241913*AU19 ^ 2 + 364.400848992543*AU19 ^ 1 + 106.083137573215)/1000</f>
        <v>0.106083137573215</v>
      </c>
      <c r="AY19" s="26">
        <f>(6.4308794976529*AU19 ^ 6 + -71.4149155968849*AU19 ^ 5 + 310.075179134002*AU19 ^ 4 + -656.375852849625*AU19 ^ 3 + 661.748061827079*AU19 ^ 2 + -210.408607051354*AU19 ^ 1 + 62.2621744396117)/1000</f>
        <v>6.2262174439611698E-2</v>
      </c>
      <c r="AZ19" s="25">
        <f>5.9249092668924*AU19 ^ 6 + -64.527561923088*AU19 ^ 5 + 272.321569078356*AU19 ^ 4 + -554.660687143336*AU19 ^ 3 + 541.4616918057*AU19 ^ 2 + -198.603801176694*AU19 ^ 1 + 1004.36042955163</f>
        <v>1004.36042955163</v>
      </c>
      <c r="BA19" s="17"/>
      <c r="BB19" s="17"/>
      <c r="BC19" s="17"/>
      <c r="BD19" s="17"/>
      <c r="BE19" s="17"/>
      <c r="BF19" s="17"/>
      <c r="BG19" s="17"/>
      <c r="BH19" s="17"/>
      <c r="BI19" s="17"/>
      <c r="BJ19" s="17"/>
    </row>
    <row r="20" spans="2:62" s="11" customFormat="1" x14ac:dyDescent="0.2">
      <c r="B20" s="22" t="s">
        <v>13</v>
      </c>
      <c r="C20" s="23"/>
      <c r="D20" s="24"/>
      <c r="E20" s="1">
        <v>0</v>
      </c>
      <c r="F20" s="25">
        <f>-9.77403072637342E-06*E20 ^ 6 + 0.000717305014488802*E20 ^ 5 + -0.0192270631029513*E20 ^ 4 + 0.220293974308566*E20 ^ 3 + -1.16787529858987*E20 ^ 2 + 1.31669058421611*E20 ^ 1 + 97.4051459140927</f>
        <v>97.405145914092699</v>
      </c>
      <c r="G20" s="26">
        <f>(-0.000135429981691928*E20 ^ 6 + 0.00679211243726908*E20 ^ 5 + -0.0686998399870455*E20 ^ 4 + -1.54019332106094*E20 ^ 3 + 20.9326637661614*E20 ^ 2 + 231.093878180663*E20 ^ 1 + 1739.26528539724)/1000</f>
        <v>1.7392652853972399</v>
      </c>
      <c r="H20" s="26">
        <f>(0.0000713318119312695*E20 ^ 6 + -0.00595778556822138*E20 ^ 5 + 0.215828580322231*E20 ^ 4 + -4.16743819585454*E20 ^ 3 + 28.8174319408758*E20 ^ 2 + 216.543906200248*E20 ^ 1 + 1639.14496989573)/1000</f>
        <v>1.6391449698957299</v>
      </c>
      <c r="I20" s="26">
        <f>(0.0000345206636323041*E20 ^ 6 + -0.00396728444465676*E20 ^ 5 + 0.17938950484568*E20 ^ 4 + -3.92890599038073*E20 ^ 3 + 29.4172032418478*E20 ^ 2 + 192.553630350018*E20 ^ 1 + 1269.15924900146)/1000</f>
        <v>1.26915924900146</v>
      </c>
      <c r="J20" s="25">
        <f>3.90788367675273E-06*E20 ^ 6 + -0.000259004567448247*E20 ^ 5 + 0.00626016019993487*E20 ^ 4 + -0.0592219954279931*E20 ^ 3 + 0.0916369291326417*E20 ^ 2 + 0.258895436222707*E20 ^ 1 + 3468.35144191531</f>
        <v>3468.3514419153098</v>
      </c>
      <c r="K20" s="1">
        <v>0</v>
      </c>
      <c r="L20" s="25">
        <f>-0.0000127290605749685*K20 ^ 6 + 0.000850623023540883*K20 ^ 5 + -0.0206477840027027*K20 ^ 4 + 0.211411183706055*K20 ^ 3 + -1.00355510872012*K20 ^ 2 + 0.91590005708367*K20 ^ 1 + 78.9064743211139</f>
        <v>78.906474321113905</v>
      </c>
      <c r="M20" s="26">
        <f>(-0.000169727408797389*K20 ^ 6 + 0.00767015202214038*K20 ^ 5 + -0.067774170823297*K20 ^ 4 + -1.51910334131024*K20 ^ 3 + 17.8546071127807*K20 ^ 2 + 193.719818977723*K20 ^ 1 + 1341.34375476647)/1000</f>
        <v>1.3413437547664702</v>
      </c>
      <c r="N20" s="26">
        <f>(6.05471317418983E-06*K20 ^ 6 + -0.00189923184355713*K20 ^ 5 + 0.117891307452867*K20 ^ 4 + -2.93498535748867*K20 ^ 3 + 20.5028014448433*K20 ^ 2 + 187.701654940342*K20 ^ 1 + 1235.45447789563)/1000</f>
        <v>1.23545447789563</v>
      </c>
      <c r="O20" s="26">
        <f>(-1.60495626039299E-06*K20 ^ 6 + -0.00203836099252578*K20 ^ 5 + 0.135597993997838*K20 ^ 4 + -3.26962595249127*K20 ^ 3 + 23.3372814983752*K20 ^ 2 + 163.753026988859*K20 ^ 1 + 935.802877698015)/1000</f>
        <v>0.93580287769801496</v>
      </c>
      <c r="P20" s="25">
        <f>-1.72104070280273E-06*K20 ^ 6 + 0.000108007293822748*K20 ^ 5 + -0.00281423480257128*K20 ^ 4 + 0.0432574914623425*K20 ^ 3 + -0.399931618808488*K20 ^ 2 + 1.31969196077434*K20 ^ 1 + 3122.2075194274</f>
        <v>3122.2075194273998</v>
      </c>
      <c r="Q20" s="1">
        <v>0</v>
      </c>
      <c r="R20" s="25">
        <f>-0.0000157357622045294*Q20 ^ 6 + 0.000956302764357172*Q20 ^ 5 + -0.020889541348253*Q20 ^ 4 + 0.18799642190768*Q20 ^ 3 + -0.789434716854236*Q20 ^ 2 + 0.491141156366299*Q20 ^ 1 + 62.3222988940963</f>
        <v>62.322298894096299</v>
      </c>
      <c r="S20" s="26">
        <f>(-0.000183191977470904*Q20 ^ 6 + 0.00691262848633721*Q20 ^ 5 + -0.0295318743871114*Q20 ^ 4 + -1.80904913105973*Q20 ^ 3 + 15.9120068950224*Q20 ^ 2 + 156.979492601097*Q20 ^ 1 + 1002.65818193098)/1000</f>
        <v>1.0026581819309801</v>
      </c>
      <c r="T20" s="26">
        <f>(-0.000117138579380961*Q20 ^ 6 + 0.00417353341129175*Q20 ^ 5 + 0.00320182607377507*Q20 ^ 4 + -1.77207678618881*Q20 ^ 3 + 13.5261498322077*Q20 ^ 2 + 157.894046710226*Q20 ^ 1 + 900.067774258759)/1000</f>
        <v>0.90006777425875895</v>
      </c>
      <c r="U20" s="26">
        <f>(-0.000055964938185035*Q20 ^ 6 + 0.000121967060032037*Q20 ^ 5 + 0.100223587855757*Q20 ^ 4 + -2.78244703560243*Q20 ^ 3 + 18.4649123243884*Q20 ^ 2 + 134.867373929315*Q20 ^ 1 + 665.19055745415)/1000</f>
        <v>0.66519055745415001</v>
      </c>
      <c r="V20" s="25">
        <f>-3.10137122986693E-06*Q20 ^ 6 + 0.00017300680048205*Q20 ^ 5 + -0.00400698666227263*Q20 ^ 4 + 0.054747762632202*Q20 ^ 3 + -0.449923071160316*Q20 ^ 2 + 1.31969196077552*Q20 ^ 1 + 2775.29557282435</f>
        <v>2775.2955728243501</v>
      </c>
      <c r="W20" s="1">
        <v>0</v>
      </c>
      <c r="X20" s="25">
        <f>-0.0000188457323742574*W20 ^ 6 + 0.00104630211243757*W20 ^ 5 + -0.0204418074446399*W20 ^ 4 + 0.157709200793352*W20 ^ 3 + -0.572189821937859*W20 ^ 2 + 0.151439286877368*W20 ^ 1 + 47.716284886724</f>
        <v>47.716284886723997</v>
      </c>
      <c r="Y20" s="26">
        <f>(-0.000217830883342825*W20 ^ 6 + 0.00702410656346315*W20 ^ 5 + -0.0128142543972744*W20 ^ 4 + -1.81238277436532*W20 ^ 3 + 12.9112753109577*W20 ^ 2 + 124.908780655778*W20 ^ 1 + 721.271872358907)/1000</f>
        <v>0.721271872358907</v>
      </c>
      <c r="Z20" s="26">
        <f>(-0.000441184608835023*W20 ^ 6 + 0.0177472007317323*W20 ^ 5 + -0.209885203558269*W20 ^ 4 + -0.0895225147105906*W20 ^ 3 + 6.02091559591829*W20 ^ 2 + 130.866434228559*W20 ^ 1 + 628.906667471713)/1000</f>
        <v>0.62890666747171309</v>
      </c>
      <c r="AA20" s="26">
        <f>(-0.000211784627130167*W20 ^ 6 + 0.00596183971200897*W20 ^ 5 + 0.0142142159546096*W20 ^ 4 + -1.97241867102715*W20 ^ 3 + 13.1040843643544*W20 ^ 2 + 109.198438228992*W20 ^ 1 + 452.022026693552)/1000</f>
        <v>0.45202202669355201</v>
      </c>
      <c r="AB20" s="25">
        <f>-0.0000353447868504392*W20 ^ 6 + 0.00166902015161518*W20 ^ 5 + -0.0302137450206807*W20 ^ 4 + 0.263875778769616*W20 ^ 3 + -1.15930548998378*W20 ^ 2 + 2.38048848532758*W20 ^ 1 + 2428.9212431019</f>
        <v>2428.9212431019</v>
      </c>
      <c r="AC20" s="1">
        <v>0</v>
      </c>
      <c r="AD20" s="25">
        <f>0.000024224730702855*AC20 ^ 6 + -0.000340994899008787*AC20 ^ 5 + -0.00260814369713412*AC20 ^ 4 + 0.0377788375924791*AC20 ^ 3 + -0.190500596218862*AC20 ^ 2 + -0.228824641840689*AC20 ^ 1 + 35.5693865903985</f>
        <v>35.569386590398501</v>
      </c>
      <c r="AE20" s="26">
        <f>(-0.000118152584753682*AC20 ^ 6 + 0.00156564062825973*AC20 ^ 5 + 0.0955783918098944*AC20 ^ 4 + -2.59242301023172*AC20 ^ 3 + 13.2868642186374*AC20 ^ 2 + 99.6320082229403*AC20 ^ 1 + 551.414298557874)/1000</f>
        <v>0.55141429855787394</v>
      </c>
      <c r="AF20" s="26">
        <f>(-0.00145334307066821*AC20 ^ 6 + 0.051786185565716*AC20 ^ 5 + -0.620663390792287*AC20 ^ 4 + 2.23552084777914*AC20 ^ 3 + -1.59118685862436*AC20 ^ 2 + 107.565424204722*AC20 ^ 1 + 463.447821863564)/1000</f>
        <v>0.46344782186356398</v>
      </c>
      <c r="AG20" s="26">
        <f>(0.000499744596351229*AC20 ^ 6 + -0.0172972118737858*AC20 ^ 5 + 0.291118679547332*AC20 ^ 4 + -3.23637681291407*AC20 ^ 3 + 13.3049542875065*AC20 ^ 2 + 82.6050085497508*AC20 ^ 1 + 306.33169374506)/1000</f>
        <v>0.30633169374506003</v>
      </c>
      <c r="AH20" s="25">
        <f>0.000101889731489907*AC20 ^ 6 + -0.00344324997621435*AC20 ^ 5 + 0.0428671471999678*AC20 ^ 4 + -0.234473417266182*AC20 ^ 3 + 0.440054920723663*AC20 ^ 2 + 0.584731543193206*AC20 ^ 1 + 2099.30269591078</f>
        <v>2099.3026959107801</v>
      </c>
      <c r="AI20" s="1">
        <v>0</v>
      </c>
      <c r="AJ20" s="25">
        <f>0.000190867384142455*AI20 ^ 6 + -0.00452994911087823*AI20 ^ 5 + 0.0372093528950375*AI20 ^ 4 + -0.14942413509626*AI20 ^ 3 + 0.224014259494027*AI20 ^ 2 + -0.50306203767038*AI20 ^ 1 + 24.6361102016644</f>
        <v>24.636110201664401</v>
      </c>
      <c r="AK20" s="26">
        <f>(-0.0000280342685440899*AI20 ^ 6 + -0.00246291235126931*AI20 ^ 5 + 0.166124184030875*AI20 ^ 4 + -2.90193724905975*AI20 ^ 3 + 11.6615020555451*AI20 ^ 2 + 74.5150269702574*AI20 ^ 1 + 394.166664786588)/1000</f>
        <v>0.39416666478658802</v>
      </c>
      <c r="AL20" s="26">
        <f>(-0.00480328711124698*AI20 ^ 6 + 0.144540568832652*AI20 ^ 5 + -1.54221972423795*AI20 ^ 4 + 6.42928505986734*AI20 ^ 3 + -11.5139943985119*AI20 ^ 2 + 83.8846275338137*AI20 ^ 1 + 316.410098433994)/1000</f>
        <v>0.31641009843399398</v>
      </c>
      <c r="AM20" s="26">
        <f>(0.00237029238466439*AI20 ^ 6 + -0.061312669955125*AI20 ^ 5 + 0.648388231011457*AI20 ^ 4 + -4.1460728583668*AI20 ^ 3 + 11.4290932990087*AI20 ^ 2 + 58.8158146694159*AI20 ^ 1 + 188.342920643423)/1000</f>
        <v>0.18834292064342301</v>
      </c>
      <c r="AN20" s="25">
        <f>0.00025353425666114*AI20 ^ 6 + -0.00713992315068457*AI20 ^ 5 + 0.0740744303616361*AI20 ^ 4 + -0.337641720863903*AI20 ^ 3 + 0.528065904870171*AI20 ^ 2 + 0.584731543191438*AI20 ^ 1 + 1749.41891325898</f>
        <v>1749.41891325898</v>
      </c>
      <c r="AO20" s="1">
        <v>0</v>
      </c>
      <c r="AP20" s="25">
        <f>0.000890525817552789*AO20 ^ 6 + -0.0183742182752886*AO20 ^ 5 + 0.137687688317661*AO20 ^ 4 + -0.492487713700876*AO20 ^ 3 + 0.752997229103445*AO20 ^ 2 + -0.731430170170698*AO20 ^ 1 + 15.9792331356422</f>
        <v>15.9792331356422</v>
      </c>
      <c r="AQ20" s="26">
        <f>(0.00133167844944575*AO20 ^ 6 + -0.0353599639031395*AO20 ^ 5 + 0.487034542425036*AO20 ^ 4 + -4.16205846148794*AO20 ^ 3 + 11.8412724229319*AO20 ^ 2 + 50.801437774673*AO20 ^ 1 + 265.358027738747)/1000</f>
        <v>0.265358027738747</v>
      </c>
      <c r="AR20" s="26">
        <f>(-0.0152840797672199*AO20 ^ 6 + 0.371077790542379*AO20 ^ 5 + -3.25867892592275*AO20 ^ 4 + 12.0111664496092*AO20 ^ 3 + -19.8109964487518*AO20 ^ 2 + 61.1639055254391*AO20 ^ 1 + 201.787294518767)/1000</f>
        <v>0.20178729451876701</v>
      </c>
      <c r="AS20" s="26">
        <f>(0.00899605655300572*AO20 ^ 6 + -0.182609895220107*AO20 ^ 5 + 1.41415653447853*AO20 ^ 4 + -5.86011917961486*AO20 ^ 3 + 10.6236909776765*AO20 ^ 2 + 39.0556213089873*AO20 ^ 1 + 106.161526127889)/1000</f>
        <v>0.10616152612788901</v>
      </c>
      <c r="AT20" s="25">
        <f>0.000557729007802161*AO20 ^ 6 + -0.016553243292649*AO20 ^ 5 + 0.184844301647989*AO20 ^ 4 + -0.953983974492843*AO20 ^ 3 + 2.14332759657364*AO20 ^ 2 + -0.968820319155245*AO20 ^ 1 + 1411.11526515614</f>
        <v>1411.1152651561399</v>
      </c>
      <c r="AU20" s="1">
        <v>0</v>
      </c>
      <c r="AV20" s="25">
        <f>0.00491347160560338*AU20 ^ 6 + -0.075810783882376*AU20 ^ 5 + 0.429930299146026*AU20 ^ 4 + -1.14928599875895*AU20 ^ 3 + 1.347509086667*AU20 ^ 2 + -0.78943409560132*AU20 ^ 1 + 8.12849157288075</f>
        <v>8.1284915728807494</v>
      </c>
      <c r="AW20" s="26">
        <f>(0.015154814877402*AU20 ^ 6 + -0.255986321595148*AU20 ^ 5 + 1.78596701971192*AU20 ^ 4 + -6.91290078906789*AU20 ^ 3 + 10.8902851726466*AU20 ^ 2 + 23.4592787429315*AU20 ^ 1 + 146.982821975727)/1000</f>
        <v>0.14698282197572701</v>
      </c>
      <c r="AX20" s="26">
        <f>(-0.0554983604451147*AU20 ^ 6 + 0.976101368287014*AU20 ^ 5 + -6.25962508081824*AU20 ^ 4 + 17.3246717750839*AU20 ^ 3 + -21.7529572927084*AU20 ^ 2 + 35.476262778196*AU20 ^ 1 + 91.2926770583131)/1000</f>
        <v>9.1292677058313107E-2</v>
      </c>
      <c r="AY20" s="26">
        <f>(0.0471955178950989*AU20 ^ 6 + -0.687693858190069*AU20 ^ 5 + 3.66490653842971*AU20 ^ 4 + -9.3118410074688*AU20 ^ 3 + 9.66815067878422*AU20 ^ 2 + 20.3110997195231*AU20 ^ 1 + 44.4398934239399)/1000</f>
        <v>4.4439893423939898E-2</v>
      </c>
      <c r="AZ20" s="25">
        <f>0.023868602552813*AU20 ^ 6 + -0.416134101411705*AU20 ^ 5 + 2.74221514515237*AU20 ^ 4 + -8.43634824461381*AU20 ^ 3 + 11.7208939300711*AU20 ^ 2 + -4.6532394300762*AU20 ^ 1 + 1003.99296288245</f>
        <v>1003.99296288245</v>
      </c>
      <c r="BA20" s="17"/>
      <c r="BB20" s="17"/>
      <c r="BC20" s="17"/>
      <c r="BD20" s="17"/>
      <c r="BE20" s="17"/>
      <c r="BF20" s="17"/>
      <c r="BG20" s="17"/>
      <c r="BH20" s="17"/>
      <c r="BI20" s="17"/>
      <c r="BJ20" s="17"/>
    </row>
    <row r="21" spans="2:62" s="11" customFormat="1" x14ac:dyDescent="0.2">
      <c r="B21" s="22" t="s">
        <v>14</v>
      </c>
      <c r="C21" s="23"/>
      <c r="D21" s="24"/>
      <c r="E21" s="1">
        <v>0</v>
      </c>
      <c r="F21" s="25">
        <f>2.37461179321789E-07*E21 ^ 6 + -0.0000212916683957449*E21 ^ 5 + 0.000661351215059937*E21 ^ 4 + -0.00919177896115251*E21 ^ 3 + 0.0392827299252487*E21 ^ 2 + -0.299171075961282*E21 ^ 1 + 53.5510591822829</f>
        <v>53.551059182282899</v>
      </c>
      <c r="G21" s="26">
        <f>(7.64870665733004E-06*E21 ^ 6 + -0.00078713220903194*E21 ^ 5 + 0.0344338192215928*E21 ^ 4 + -0.923184754521322*E21 ^ 3 + 11.0760356005357*E21 ^ 2 + 119.685951302092*E21 ^ 1 + 1725.64525900591)/1000</f>
        <v>1.7256452590059099</v>
      </c>
      <c r="H21" s="26">
        <f>(-6.53474727805281E-06*E21 ^ 6 + 0.000839473345854862*E21 ^ 5 + -0.0364472196456188*E21 ^ 4 + 0.519540693443896*E21 ^ 3 + -2.1117124551521*E21 ^ 2 + 154.054660376201*E21 ^ 1 + 1620.50166880589)/1000</f>
        <v>1.62050166880589</v>
      </c>
      <c r="I21" s="26">
        <f>(-9.26969365573155E-07*E21 ^ 6 + 0.0000706297511178768*E21 ^ 5 + 0.00206807950518708*E21 ^ 4 + -0.328498521627722*E21 ^ 3 + 5.75302080403608*E21 ^ 2 + 118.901302985458*E21 ^ 1 + 1256.12809727736)/1000</f>
        <v>1.2561280972773601</v>
      </c>
      <c r="J21" s="25">
        <f>-1.85335347122323E-07*E21 ^ 6 + 0.0000163142549674877*E21 ^ 5 + -0.000529353056378097*E21 ^ 4 + 0.00940401224651872*E21 ^ 3 + -0.125176975306909*E21 ^ 2 + 0.586915470071284*E21 ^ 1 + 3607.31994732234</f>
        <v>3607.3199473223399</v>
      </c>
      <c r="K21" s="1">
        <v>0</v>
      </c>
      <c r="L21" s="25">
        <f>5.03386833660769E-07*K21 ^ 6 + -0.0000423375738809745*K21 ^ 5 + 0.00127179359717751*K21 ^ 4 + -0.0174413553785064*K21 ^ 3 + 0.0897599743238737*K21 ^ 2 + -0.376904740781381*K21 ^ 1 + 43.3216752884591</f>
        <v>43.321675288459097</v>
      </c>
      <c r="M21" s="26">
        <f>(0.0000140565789717855*K21 ^ 6 + -0.00129962854506496*K21 ^ 5 + 0.0495713563918601*K21 ^ 4 + -1.10107460716092*K21 ^ 3 + 11.1532022097386*K21 ^ 2 + 94.7703350849269*K21 ^ 1 + 1336.87725069622)/1000</f>
        <v>1.3368772506962201</v>
      </c>
      <c r="N21" s="26">
        <f>(1.03423096769566E-06*K21 ^ 6 + 0.0000415193608993857*K21 ^ 5 + -0.00287566029951739*K21 ^ 4 + -0.142900466024957*K21 ^ 3 + 3.30313195088684*K21 ^ 2 + 111.730974252737*K21 ^ 1 + 1233.18386288376)/1000</f>
        <v>1.2331838628837599</v>
      </c>
      <c r="O21" s="26">
        <f>(7.86221482773835E-06*K21 ^ 6 + -0.00075205275581141*K21 ^ 5 + 0.0311693106383225*K21 ^ 4 + -0.786460065423394*K21 ^ 3 + 8.45226288685864*K21 ^ 2 + 88.1800816688587*K21 ^ 1 + 933.312610775546)/1000</f>
        <v>0.93331261077554595</v>
      </c>
      <c r="P21" s="25">
        <f>-2.54064849393762E-08*K21 ^ 6 + 9.69115177849862E-07*K21 ^ 5 + -0.0000154374997770578*K21 ^ 4 + 0.00201771568765732*K21 ^ 3 + -0.0777116342464685*K21 ^ 2 + 0.647316922755876*K21 ^ 1 + 3247.87231246696</f>
        <v>3247.87231246696</v>
      </c>
      <c r="Q21" s="1">
        <v>0</v>
      </c>
      <c r="R21" s="25">
        <f>1.05068667709987E-06*Q21 ^ 6 + -0.0000805731630692767*Q21 ^ 5 + 0.00223927596335744*Q21 ^ 4 + -0.0285502415767464*Q21 ^ 3 + 0.145313906542694*Q21 ^ 2 + -0.445147720944924*Q21 ^ 1 + 34.1507773138407</f>
        <v>34.150777313840699</v>
      </c>
      <c r="S21" s="26">
        <f>(0.0000244486955731137*Q21 ^ 6 + -0.00202402293071297*Q21 ^ 5 + 0.0680314247849029*Q21 ^ 4 + -1.28037138451671*Q21 ^ 3 + 10.9869400933669*Q21 ^ 2 + 72.4525379130028*Q21 ^ 1 + 1003.90638892663)/1000</f>
        <v>1.00390638892663</v>
      </c>
      <c r="T21" s="26">
        <f>(0.0000169212896364833*Q21 ^ 6 + -0.00134048301919508*Q21 ^ 5 + 0.0445307267404596*Q21 ^ 4 + -0.902596275258047*Q21 ^ 3 + 8.27760917256302*Q21 ^ 2 + 75.7704592364354*Q21 ^ 1 + 907.651597727553)/1000</f>
        <v>0.90765159772755311</v>
      </c>
      <c r="U21" s="26">
        <f>(0.0000247868174658259*Q21 ^ 6 + -0.00207576678833153*Q21 ^ 5 + 0.0699525784101447*Q21 ^ 4 + -1.28482685526218*Q21 ^ 3 + 10.6877058169865*Q21 ^ 2 + 62.2742317857112*Q21 ^ 1 + 668.753316772188)/1000</f>
        <v>0.66875331677218797</v>
      </c>
      <c r="V21" s="25">
        <f>-4.5783310825848E-08*Q21 ^ 6 + 1.55233512729838E-06*Q21 ^ 5 + -0.0000219803463587035*Q21 ^ 4 + 0.00255367141713861*Q21 ^ 3 + -0.0874255885269191*Q21 ^ 2 + 0.647316922755016*Q21 ^ 1 + 2886.99761108174</f>
        <v>2886.9976110817402</v>
      </c>
      <c r="W21" s="1">
        <v>0</v>
      </c>
      <c r="X21" s="25">
        <f>2.27713774961553E-06*W21 ^ 6 + -0.000155308906637891*W21 ^ 5 + 0.00387094903759161*W21 ^ 4 + -0.0443234042345513*W21 ^ 3 + 0.208855900166056*W21 ^ 2 + -0.495842392774197*W21 ^ 1 + 26.0993352292275</f>
        <v>26.099335229227499</v>
      </c>
      <c r="Y21" s="26">
        <f>(0.0000465994445223328*W21 ^ 6 + -0.00337337637107639*W21 ^ 5 + 0.0975759363958709*W21 ^ 4 + -1.52656910899438*W21 ^ 3 + 10.9327794781829*W21 ^ 2 + 52.8098126727356*W21 ^ 1 + 726.238559908911)/1000</f>
        <v>0.72623855990891106</v>
      </c>
      <c r="Z21" s="26">
        <f>(0.0000550221641901963*W21 ^ 6 + -0.00406391468327243*W21 ^ 5 + 0.119225534670309*W21 ^ 4 + -1.8423393335983*W21 ^ 3 + 13.0144110751461*W21 ^ 2 + 46.317818044025*W21 ^ 1 + 641.885242577756)/1000</f>
        <v>0.64188524257775603</v>
      </c>
      <c r="AA21" s="26">
        <f>(0.0000618827961296794*W21 ^ 6 + -0.00449591887855905*W21 ^ 5 + 0.127916226992765*W21 ^ 4 + -1.87949413159239*W21 ^ 3 + 12.6721870435429*W21 ^ 2 + 41.1225115750464*W21 ^ 1 + 458.811541592515)/1000</f>
        <v>0.45881154159251503</v>
      </c>
      <c r="AB21" s="25">
        <f>9.24202990057857E-07*W21 ^ 6 + -0.0000626513204129834*W21 ^ 5 + 0.00147768274549552*W21 ^ 4 + -0.0125210465970375*W21 ^ 3 + -0.0210056661949211*W21 ^ 2 + 0.707718375439709*W21 ^ 1 + 2527.1218562674</f>
        <v>2527.1218562673998</v>
      </c>
      <c r="AC21" s="1">
        <v>0</v>
      </c>
      <c r="AD21" s="25">
        <f>4.31520031529246E-06*AC21 ^ 6 + -0.000250912229461092*AC21 ^ 5 + 0.00533223331386379*AC21 ^ 4 + -0.0520852767599106*AC21 ^ 3 + 0.210296626538173*AC21 ^ 2 + -0.437075712952623*AC21 ^ 1 + 19.1655523911956</f>
        <v>19.1655523911956</v>
      </c>
      <c r="AE21" s="26">
        <f>(0.0000678940640115481*AC21 ^ 6 + -0.00427890830980515*AC21 ^ 5 + 0.108359806592423*AC21 ^ 4 + -1.49431948838509*AC21 ^ 3 + 9.32913182590242*AC21 ^ 2 + 41.3054838951282*AC21 ^ 1 + 550.072499286865)/1000</f>
        <v>0.55007249928686497</v>
      </c>
      <c r="AF21" s="26">
        <f>(0.0000692031533679671*AC21 ^ 6 + -0.00451485938021674*AC21 ^ 5 + 0.117618398544829*AC21 ^ 4 + -1.6245463234035*AC21 ^ 3 + 10.0850113767876*AC21 ^ 2 + 35.1688307696354*AC21 ^ 1 + 467.748179695695)/1000</f>
        <v>0.46774817969569499</v>
      </c>
      <c r="AG21" s="26">
        <f>(0.0000528983680018607*AC21 ^ 6 + -0.00344226257097181*AC21 ^ 5 + 0.0901646878745311*AC21 ^ 4 + -1.28053402557794*AC21 ^ 3 + 8.17171251299681*AC21 ^ 2 + 33.5203297249018*AC21 ^ 1 + 302.928124933479)/1000</f>
        <v>0.30292812493347904</v>
      </c>
      <c r="AH21" s="25">
        <f>2.44486775049279E-06*AC21 ^ 6 + -0.000157100855421818*AC21 ^ 5 + 0.00371928748479989*AC21 ^ 4 + -0.0386217560235496*AC21 ^ 3 + 0.139995159852333*AC21 ^ 2 + 0.224991905760398*AC21 ^ 1 + 2163.06014901308</f>
        <v>2163.0601490130798</v>
      </c>
      <c r="AI21" s="1">
        <v>0</v>
      </c>
      <c r="AJ21" s="25">
        <f>9.16672514051166E-06*AI21 ^ 6 + -0.000441056541576041*AI21 ^ 5 + 0.00775101496727152*AI21 ^ 4 + -0.0625625713961479*AI21 ^ 3 + 0.208864357257868*AI21 ^ 2 + -0.368582606079099*AI21 ^ 1 + 13.345624915908</f>
        <v>13.345624915907999</v>
      </c>
      <c r="AK21" s="26">
        <f>(0.0000991037357042749*AI21 ^ 6 + -0.00533557486356412*AI21 ^ 5 + 0.116625861391206*AI21 ^ 4 + -1.4077004488997*AI21 ^ 3 + 7.58446823068679*AI21 ^ 2 + 30.3735464628859*AI21 ^ 1 + 397.191950674)/1000</f>
        <v>0.39719195067399998</v>
      </c>
      <c r="AL21" s="26">
        <f>(0.0000758270210134374*AI21 ^ 6 + -0.00442302464586524*AI21 ^ 5 + 0.103782128123147*AI21 ^ 4 + -1.3050025434363*AI21 ^ 3 + 7.14503392956466*AI21 ^ 2 + 24.8900646818631*AI21 ^ 1 + 322.78930012347)/1000</f>
        <v>0.32278930012347001</v>
      </c>
      <c r="AM21" s="26">
        <f>(-2.96940515571762E-06*AI21 ^ 6 + -0.000300965853394576*AI21 ^ 5 + 0.0222736160289363*AI21 ^ 4 + -0.55165719028386*AI21 ^ 3 + 4.06378975518492*AI21 ^ 2 + 26.2766934676455*AI21 ^ 1 + 186.218927739096)/1000</f>
        <v>0.18621892773909599</v>
      </c>
      <c r="AN21" s="25">
        <f>0.0000060836133209076*AI21 ^ 6 + -0.000325764333802703*AI21 ^ 5 + 0.00642692877373334*AI21 ^ 4 + -0.0556153286738879*AI21 ^ 3 + 0.16799419182261*AI21 ^ 2 + 0.224991905760899*AI21 ^ 1 + 1802.55012417757</f>
        <v>1802.5501241775701</v>
      </c>
      <c r="AO21" s="1">
        <v>0</v>
      </c>
      <c r="AP21" s="25">
        <f>0.0000230133069495381*AO21 ^ 6 + -0.000879399309150585*AO21 ^ 5 + 0.0122701364206971*AO21 ^ 4 + -0.0786404444403205*AO21 ^ 3 + 0.209388001008933*AO21 ^ 2 + -0.303931889534592*AO21 ^ 1 + 8.54572466890512</f>
        <v>8.5457246689051196</v>
      </c>
      <c r="AQ21" s="26">
        <f>(0.000123628954042644*AO21 ^ 6 + -0.0057432162837257*AO21 ^ 5 + 0.110916812534652*AO21 ^ 4 + -1.21440587024188*AO21 ^ 3 + 5.77309122873668*AO21 ^ 2 + 19.4037084698665*AO21 ^ 1 + 265.965864123804)/1000</f>
        <v>0.26596586412380402</v>
      </c>
      <c r="AR21" s="26">
        <f>(0.0000154937183430689*AO21 ^ 6 + -0.00182750633183294*AO21 ^ 5 + 0.056166391859872*AO21 ^ 4 + -0.806570930362637*AO21 ^ 3 + 4.29037447022427*AO21 ^ 2 + 15.0154241869992*AO21 ^ 1 + 204.416138922554)/1000</f>
        <v>0.204416138922554</v>
      </c>
      <c r="AS21" s="26">
        <f>(-0.000243149390949488*AO21 ^ 6 + 0.00889580369303844*AO21 ^ 5 + -0.110404198043547*AO21 ^ 4 + 0.385542988135637*AO21 ^ 3 + 0.449157236547613*AO21 ^ 2 + 19.0285432871525*AO21 ^ 1 + 102.273749723499)/1000</f>
        <v>0.10227374972349899</v>
      </c>
      <c r="AT21" s="25">
        <f>5.75731292204308E-06*AO21 ^ 6 + -0.00032867788408502*AO21 ^ 5 + 0.00703927687505272*AO21 ^ 4 + -0.0693515248139947*AO21 ^ 3 + 0.292317053054247*AO21 ^ 2 + -0.206187651134085*AO21 ^ 1 + 1440.01056653131</f>
        <v>1440.0105665313099</v>
      </c>
      <c r="AU21" s="1">
        <v>0</v>
      </c>
      <c r="AV21" s="25">
        <f>0.000105132561226904*AU21 ^ 6 + -0.00277321370180331*AU21 ^ 5 + 0.0267096999143394*AU21 ^ 4 + -0.118211920737756*AU21 ^ 3 + 0.219044350661723*AU21 ^ 2 + -0.227341484742193*AU21 ^ 1 + 4.21620973294603</f>
        <v>4.2162097329460302</v>
      </c>
      <c r="AW21" s="26">
        <f>(-0.000563394866188229*AU21 ^ 6 + 0.0125629256160746*AU21 ^ 5 + -0.0809772973219925*AU21 ^ 4 + -0.100393488617331*AU21 ^ 3 + 1.78612835525226*AU21 ^ 2 + 7.75320506728069*AU21 ^ 1 + 145.791389418048)/1000</f>
        <v>0.14579138941804801</v>
      </c>
      <c r="AX21" s="26">
        <f>(-0.000426050852061082*AU21 ^ 6 + 0.00833607899452028*AU21 ^ 5 + -0.0349714110645953*AU21 ^ 4 + -0.300670416391288*AU21 ^ 3 + 2.03706633551947*AU21 ^ 2 + 7.47504146754067*AU21 ^ 1 + 89.0238441766839)/1000</f>
        <v>8.9023844176683894E-2</v>
      </c>
      <c r="AY21" s="26">
        <f>(-0.00233252449371764*AU21 ^ 6 + 0.062290658708814*AU21 ^ 5 + -0.605701100580461*AU21 ^ 4 + 2.46693330902715*AU21 ^ 3 + -3.9663113585584*AU21 ^ 2 + 12.0159968747729*AU21 ^ 1 + 40.8237222109097)/1000</f>
        <v>4.0823722210909699E-2</v>
      </c>
      <c r="AZ21" s="25">
        <f>0.000179803833876954*AU21 ^ 6 + -0.00615936166944805*AU21 ^ 5 + 0.0797577607181738*AU21 ^ 4 + -0.486836745411939*AU21 ^ 3 + 1.38070435203393*AU21 ^ 2 + -1.23288347934762*AU21 ^ 1 + 1005.16602991706</f>
        <v>1005.16602991706</v>
      </c>
      <c r="BA21" s="17"/>
      <c r="BB21" s="17"/>
      <c r="BC21" s="17"/>
      <c r="BD21" s="17"/>
      <c r="BE21" s="17"/>
      <c r="BF21" s="17"/>
      <c r="BG21" s="17"/>
      <c r="BH21" s="17"/>
      <c r="BI21" s="17"/>
      <c r="BJ21" s="17"/>
    </row>
    <row r="22" spans="2:62" s="11" customFormat="1" x14ac:dyDescent="0.2">
      <c r="B22" s="22" t="s">
        <v>15</v>
      </c>
      <c r="C22" s="23"/>
      <c r="D22" s="24"/>
      <c r="E22" s="1">
        <v>0</v>
      </c>
      <c r="F22" s="25">
        <f>2.01370995942236E-07*E22 ^ 6 + -0.0000168318735645255*E22 ^ 5 + 0.000498445950162153*E22 ^ 4 + -0.00680514280212868*E22 ^ 3 + 0.0283592308397468*E22 ^ 2 + -0.163153855527626*E22 ^ 1 + 30.9967438003715</f>
        <v>30.996743800371501</v>
      </c>
      <c r="G22" s="25">
        <f>0.0000122701708846467*E22 ^ 6 + -0.00121684194753207*E22 ^ 5 + 0.0487212533668809*E22 ^ 4 + -1.05726890798724*E22 ^ 3 + 10.495211706885*E22 ^ 2 + 61.8549615890327*E22 ^ 1 + 931.823147124941</f>
        <v>931.82314712494099</v>
      </c>
      <c r="H22" s="25">
        <f>9.17200349241323E-06*E22 ^ 6 + -0.000855473184454516*E22 ^ 5 + 0.0324601807457566*E22 ^ 4 + -0.707915506910079*E22 ^ 3 + 7.0025755679119*E22 ^ 2 + 72.8968397590524*E22 ^ 1 + 860.300125978279</f>
        <v>860.30012597827897</v>
      </c>
      <c r="I22" s="25">
        <f>7.21449510988163E-06*E22 ^ 6 + -0.000698809885652812*E22 ^ 5 + 0.0278645912036515*E22 ^ 4 + -0.63462297260682*E22 ^ 3 + 6.3848280440677*E22 ^ 2 + 64.1673053751368*E22 ^ 1 + 704.200593142586</f>
        <v>704.20059314258594</v>
      </c>
      <c r="J22" s="25">
        <f>-0.0000010508685130044*E22 ^ 6 + 0.000091790151522382*E22 ^ 5 + -0.0029717407726576*E22 ^ 4 + 0.0461608999436162*E22 ^ 3 + -0.387372753114883*E22 ^ 2 + 1.20285345927578*E22 ^ 1 + 3365.52695514893</f>
        <v>3365.52695514893</v>
      </c>
      <c r="K22" s="1">
        <v>0</v>
      </c>
      <c r="L22" s="25">
        <f>3.91112060540937E-07*K22 ^ 6 + -0.0000300975844207002*K22 ^ 5 + 0.00083361973145494*K22 ^ 4 + -0.0107048942700466*K22 ^ 3 + 0.0489324111207848*K22 ^ 2 + -0.191665565656383*K22 ^ 1 + 25.1086201213237</f>
        <v>25.1086201213237</v>
      </c>
      <c r="M22" s="25">
        <f>0.0000130970734667464*K22 ^ 6 + -0.00109980857312845*K22 ^ 5 + 0.0377519169578447*K22 ^ 4 + -0.74659388965474*K22 ^ 3 + 6.74318546520319*K22 ^ 2 + 59.0258085887558*K22 ^ 1 + 725.287236704453</f>
        <v>725.28723670445299</v>
      </c>
      <c r="N22" s="25">
        <f>7.36766449851823E-06*K22 ^ 6 + -0.000560618450485529*K22 ^ 5 + 0.0178041597798131*K22 ^ 4 + -0.384729731894748*K22 ^ 3 + 3.61172807175835*K22 ^ 2 + 67.2980716354984*K22 ^ 1 + 657.658498953696</f>
        <v>657.65849895369604</v>
      </c>
      <c r="O22" s="25">
        <f>1.74502986548206E-06*K22 ^ 6 + -0.000134734204792697*K22 ^ 5 + 0.00628466557205824*K22 ^ 4 + -0.243772889699837*K22 ^ 3 + 2.92860330693516*K22 ^ 2 + 59.2824506349507*K22 ^ 1 + 528.095892620364</f>
        <v>528.095892620364</v>
      </c>
      <c r="P22" s="25">
        <f>-2.13504742210632E-06*K22 ^ 6 + 0.000174028932383579*K22 ^ 5 + -0.0053241138695566*K22 ^ 4 + 0.0775382806337577*K22 ^ 3 + -0.572566783875095*K22 ^ 2 + 1.77798320722301*K22 ^ 1 + 3029.59113826417</f>
        <v>3029.5911382641698</v>
      </c>
      <c r="Q22" s="1">
        <v>0</v>
      </c>
      <c r="R22" s="25">
        <f>7.94401894047474E-07*Q22 ^ 6 + -0.0000554155128983525*Q22 ^ 5 + 0.00140715419640814*Q22 ^ 4 + -0.0165939411067027*Q22 ^ 3 + 0.0754957196303429*Q22 ^ 2 + -0.225971698710606*Q22 ^ 1 + 19.8310408220771</f>
        <v>19.8310408220771</v>
      </c>
      <c r="S22" s="25">
        <f>0.0000125735856076492*Q22 ^ 6 + -0.000810379516316604*Q22 ^ 5 + 0.0214264356411987*Q22 ^ 4 + -0.388944523296971*Q22 ^ 3 + 3.16689328749771*Q22 ^ 2 + 54.6725064522664*Q22 ^ 1 + 547.802384366534</f>
        <v>547.80238436653406</v>
      </c>
      <c r="T22" s="25">
        <f>2.19567534770496E-06*Q22 ^ 6 + -0.000013013501916528*Q22 ^ 5 + -0.00267641196284104*Q22 ^ 4 + -0.0260564713994198*Q22 ^ 3 + 0.49868324960466*Q22 ^ 2 + 60.3955709769577*Q22 ^ 1 + 486.797716073561</f>
        <v>486.79771607356099</v>
      </c>
      <c r="U22" s="25">
        <f>-0.0000103964839611876*Q22 ^ 6 + 0.000845985587681035*Q22 ^ 5 + -0.0233479532657498*Q22 ^ 4 + 0.183442759162317*Q22 ^ 3 + -0.165726145058676*Q22 ^ 2 + 53.088483198947*Q22 ^ 1 + 382.583272979099</f>
        <v>382.58327297909898</v>
      </c>
      <c r="V22" s="25">
        <f>-3.84742478112435E-06*Q22 ^ 6 + 0.000278760699552696*Q22 ^ 5 + -0.0075806230681703*Q22 ^ 4 + 0.0981343864269828*Q22 ^ 3 + -0.64413763185855*Q22 ^ 2 + 1.77798320722016*Q22 ^ 1 + 2692.96990067926</f>
        <v>2692.9699006792598</v>
      </c>
      <c r="W22" s="1">
        <v>0</v>
      </c>
      <c r="X22" s="25">
        <f>1.69465059978227E-06*W22 ^ 6 + -0.00010466973434806*W22 ^ 5 + 0.00236875893916446*W22 ^ 4 + -0.0248874694020667*W22 ^ 3 + 0.105377273518112*W22 ^ 2 + -0.248721288135599*W22 ^ 1 + 15.1826179599685</f>
        <v>15.1826179599685</v>
      </c>
      <c r="Y22" s="25">
        <f>6.27895438486527E-06*W22 ^ 6 + -0.0000175484997348096*W22 ^ 5 + -0.00833110162140583*W22 ^ 4 + 0.0944136917143658*W22 ^ 3 + -0.494392320212455*W22 ^ 2 + 49.8086721389625*W22 ^ 1 + 398.705691249835</f>
        <v>398.70569124983501</v>
      </c>
      <c r="Z22" s="25">
        <f>-0.0000125992332619481*W22 ^ 6 + 0.00115922950095925*W22 ^ 5 + -0.0368386993425595*W22 ^ 4 + 0.440107318116612*W22 ^ 3 + -2.59136081249507*W22 ^ 2 + 53.2611601014308*W22 ^ 1 + 346.300528079649</f>
        <v>346.30052807964898</v>
      </c>
      <c r="AA22" s="25">
        <f>-0.0000385921393108569*W22 ^ 6 + 0.00270927535664607*W22 ^ 5 + -0.06902889192109*W22 ^ 4 + 0.70648030899025*W22 ^ 3 + -3.09474142176267*W22 ^ 2 + 46.5510070994292*W22 ^ 1 + 265.62148410427</f>
        <v>265.62148410427</v>
      </c>
      <c r="AB22" s="25">
        <f>-8.74980538795545E-06*W22 ^ 6 + 0.000568807220121761*W22 ^ 5 + -0.0139673972278454*W22 ^ 4 + 0.16214513200606*W22 ^ 3 + -0.918924939798999*W22 ^ 2 + 2.35311295516654*W22 ^ 1 + 2356.82845758445</f>
        <v>2356.82845758445</v>
      </c>
      <c r="AC22" s="1">
        <v>0</v>
      </c>
      <c r="AD22" s="25">
        <f>3.36220088305258E-06*AC22 ^ 6 + -0.000178114519593224*AC22 ^ 5 + 0.00346625289945136*AC22 ^ 4 + -0.0314066900549275*AC22 ^ 3 + 0.116247927480847*AC22 ^ 2 + -0.239569750969025*AC22 ^ 1 + 11.5756724700452</f>
        <v>11.5756724700452</v>
      </c>
      <c r="AE22" s="25">
        <f>0.0000147196550760689*AC22 ^ 6 + -0.0002200766738318*AC22 ^ 5 + -0.00692634440236376*AC22 ^ 4 + 0.0709725058247529*AC22 ^ 3 + -0.377447839277719*AC22 ^ 2 + 40.7660409953789*AC22 ^ 1 + 321.459368248199</f>
        <v>321.45936824819898</v>
      </c>
      <c r="AF22" s="25">
        <f>-0.0000107747924538568*AC22 ^ 6 + 0.00113498750361681*AC22 ^ 5 + -0.0351714790975757*AC22 ^ 4 + 0.374443464999146*AC22 ^ 3 + -2.02894408647333*AC22 ^ 2 + 41.6391698657253*AC22 ^ 1 + 273.079326723299</f>
        <v>273.079326723299</v>
      </c>
      <c r="AG22" s="25">
        <f>-0.0000519189346102066*AC22 ^ 6 + 0.00325303386942622*AC22 ^ 5 + -0.0734039237532399*AC22 ^ 4 + 0.653150493685748*AC22 ^ 3 + -2.49068497702039*AC22 ^ 2 + 35.7461109632677*AC22 ^ 1 + 191.004011064943</f>
        <v>191.004011064943</v>
      </c>
      <c r="AH22" s="25">
        <f>-0.000010125217044133*AC22 ^ 6 + 0.000572885699721101*AC22 ^ 5 + -0.0123478911267711*AC22 ^ 4 + 0.127495249696402*AC22 ^ 3 + -0.659569087031507*AC22 ^ 2 + 1.69118552925305*AC22 ^ 1 + 2054.55727168379</f>
        <v>2054.5572716837901</v>
      </c>
      <c r="AI22" s="1">
        <v>0</v>
      </c>
      <c r="AJ22" s="25">
        <f>7.28140535757781E-06*AI22 ^ 6 + -0.000321436045095854*AI22 ^ 5 + 0.00522699743668183*AI22 ^ 4 + -0.0396669286404029*AI22 ^ 3 + 0.12445287449405*AI22 ^ 2 + -0.217451574642616*AI22 ^ 1 + 8.07373761218462</f>
        <v>8.0737376121846207</v>
      </c>
      <c r="AK22" s="25">
        <f>0.0000217241542519857*AI22 ^ 6 + -0.000099770357064615*AI22 ^ 5 + -0.0124137980115373*AI22 ^ 4 + 0.0969591109335974*AI22 ^ 3 + -0.380874352405139*AI22 ^ 2 + 29.9148083175807*AI22 ^ 1 + 241.485930100223</f>
        <v>241.48593010022299</v>
      </c>
      <c r="AL22" s="25">
        <f>-2.82137815838288E-06*AI22 ^ 6 + 0.000958056664484874*AI22 ^ 5 + -0.0309042436961042*AI22 ^ 4 + 0.281021296246987*AI22 ^ 3 + -1.3250410857622*AI22 ^ 2 + 28.4345344809488*AI22 ^ 1 + 199.183521415199</f>
        <v>199.18352141519901</v>
      </c>
      <c r="AM22" s="25">
        <f>-0.0000702607799513426*AI22 ^ 6 + 0.00390395285410897*AI22 ^ 5 + -0.0768753797131414*AI22 ^ 4 + 0.583423215933314*AI22 ^ 3 + -1.89724786388448*AI22 ^ 2 + 24.6259529742805*AI22 ^ 1 + 123.254164854655</f>
        <v>123.254164854655</v>
      </c>
      <c r="AN22" s="25">
        <f>-0.0000251947800752418*AI22 ^ 6 + 0.0011879357869409*AI22 ^ 5 + -0.0213371558670454*AI22 ^ 4 + 0.183593159562684*AI22 ^ 3 + -0.79148290443726*AI22 ^ 2 + 1.69118552925224*AI22 ^ 1 + 1712.13105973649</f>
        <v>1712.13105973649</v>
      </c>
      <c r="AO22" s="1">
        <v>0</v>
      </c>
      <c r="AP22" s="25">
        <f>0.0000197063899149796*AO22 ^ 6 + -0.000696518987193161*AO22 ^ 5 + 0.00909841530790491*AO22 ^ 4 + -0.0556023535775847*AO22 ^ 3 + 0.142671619809026*AO22 ^ 2 + -0.20150226829911*AO22 ^ 1 + 5.36818009823792</f>
        <v>5.3681800982379198</v>
      </c>
      <c r="AQ22" s="25">
        <f>0.0000626892286978062*AO22 ^ 6 + -0.000751021409017814*AO22 ^ 5 + -0.00820593088509736*AO22 ^ 4 + 0.0304937826856317*AO22 ^ 3 + 0.0582195353602985*AO22 ^ 2 + 19.8448020553913*AO22 ^ 1 + 174.647052945507</f>
        <v>174.647052945507</v>
      </c>
      <c r="AR22" s="25">
        <f>0.0000739271852909212*AO22 ^ 6 + -0.00128985077359751*AO22 ^ 5 + -0.000689438479627755*AO22 ^ 4 + 0.0200303590668472*AO22 ^ 3 + -0.11291898791046*AO22 ^ 2 + 16.8922641379406*AO22 ^ 1 + 139.322697365537</f>
        <v>139.32269736553701</v>
      </c>
      <c r="AS22" s="25">
        <f>-0.0000722610287247009*AO22 ^ 6 + 0.00401007596833345*AO22 ^ 5 + -0.0717824784314053*AO22 ^ 4 + 0.453135897936038*AO22 ^ 3 + -1.18833140841747*AO22 ^ 2 + 15.9908355369215*AO22 ^ 1 + 75.0415141430109</f>
        <v>75.0415141430109</v>
      </c>
      <c r="AT22" s="25">
        <f>-2.66480545662196E-06*AO22 ^ 6 + 0.000152593405650214*AO22 ^ 5 + -0.00347821899272088*AO22 ^ 4 + 0.0395054883149578*AO22 ^ 3 + -0.237176714525654*AO22 ^ 2 + 0.823406482672391*AO22 ^ 1 + 1392.6505769587</f>
        <v>1392.6505769587</v>
      </c>
      <c r="AU22" s="1">
        <v>0</v>
      </c>
      <c r="AV22" s="25">
        <f>0.0000648410196853437*AU22 ^ 6 + -0.00170924260143001*AU22 ^ 5 + 0.0166951666327885*AU22 ^ 4 + -0.076448558249811*AU22 ^ 3 + 0.149118953503723*AU22 ^ 2 + -0.159070701343287*AU22 ^ 1 + 2.84280354070153</f>
        <v>2.8428035407015302</v>
      </c>
      <c r="AW22" s="25">
        <f>0.000202832618332125*AU22 ^ 6 + -0.00320296341042918*AU22 ^ 5 + 0.0152409511631495*AU22 ^ 4 + -0.130623275550106*AU22 ^ 3 + 0.550332985499653*AU22 ^ 2 + 8.38340089357984*AU22 ^ 1 + 108.209156088288</f>
        <v>108.209156088288</v>
      </c>
      <c r="AX22" s="25">
        <f>0.000439879111734479*AU22 ^ 6 + -0.00941076211401603*AU22 ^ 5 + 0.0724585827582719*AU22 ^ 4 + -0.337771368350081*AU22 ^ 3 + 0.754234134831894*AU22 ^ 2 + 8.01097573306296*AU22 ^ 1 + 68.7670768392371</f>
        <v>68.767076839237106</v>
      </c>
      <c r="AY22" s="25">
        <f>0.000156699529361156*AU22 ^ 6 + -0.00124259910314158*AU22 ^ 5 + -0.0172163358174759*AU22 ^ 4 + 0.127434370060566*AU22 ^ 3 + -0.297994796446585*AU22 ^ 2 + 7.84496203833264*AU22 ^ 1 + 35.3599734075632</f>
        <v>35.359973407563203</v>
      </c>
      <c r="AZ22" s="25">
        <f>0.000485279691146671*AU22 ^ 6 + -0.0129077100257519*AU22 ^ 5 + 0.126265402544005*AU22 ^ 4 + -0.555456257536259*AU22 ^ 3 + 1.04498414062379*AU22 ^ 2 + -0.24322099533534*AU22 ^ 1 + 1006.97901966853</f>
        <v>1006.97901966853</v>
      </c>
      <c r="BA22" s="17"/>
      <c r="BB22" s="17"/>
      <c r="BC22" s="17"/>
      <c r="BD22" s="17"/>
      <c r="BE22" s="17"/>
      <c r="BF22" s="17"/>
      <c r="BG22" s="17"/>
      <c r="BH22" s="17"/>
      <c r="BI22" s="17"/>
      <c r="BJ22" s="17"/>
    </row>
    <row r="23" spans="2:62" s="11" customFormat="1" x14ac:dyDescent="0.2">
      <c r="B23" s="22" t="s">
        <v>16</v>
      </c>
      <c r="C23" s="23"/>
      <c r="D23" s="24"/>
      <c r="E23" s="1">
        <v>0</v>
      </c>
      <c r="F23" s="25">
        <f>-5.81739611051809E-06*E23 ^ 6 + 0.000435787252625884*E23 ^ 5 + -0.011979660254475*E23 ^ 4 + 0.142337711791984*E23 ^ 3 + -0.781745075465728*E23 ^ 2 + 1.08816525800184*E23 ^ 1 + 51.2374111842495</f>
        <v>51.237411184249503</v>
      </c>
      <c r="G23" s="26">
        <f>(-0.000326316178775106*E23 ^ 6 + 0.020775975013099*E23 ^ 5 + -0.474744327960685*E23 ^ 4 + 4.39167156986472*E23 ^ 3 + -17.4094147510748*E23 ^ 2 + 186.820335271536*E23 ^ 1 + 901.64207250829)/1000</f>
        <v>0.90164207250828998</v>
      </c>
      <c r="H23" s="26">
        <f>(0.0000649951313988762*E23 ^ 6 + -0.00586601009727718*E23 ^ 5 + 0.195411957367452*E23 ^ 4 + -3.18677902794043*E23 ^ 3 + 19.6166931108741*E23 ^ 2 + 122.217426491442*E23 ^ 1 + 844.524068466705)/1000</f>
        <v>0.84452406846670502</v>
      </c>
      <c r="I23" s="26">
        <f>(-0.000225941731830962*E23 ^ 6 + 0.0121938653074829*E23 ^ 5 + -0.2224006252433*E23 ^ 4 + 1.21425372910504*E23 ^ 3 + -0.200356620858077*E23 ^ 2 + 136.319019526311*E23 ^ 1 + 672.221719575876)/1000</f>
        <v>0.67222171957587606</v>
      </c>
      <c r="J23" s="25">
        <f>6.16311970761208E-06*E23 ^ 6 + -0.000382851723927026*E23 ^ 5 + 0.00872770101702222*E23 ^ 4 + -0.0806887958021954*E23 ^ 3 + 0.193072242509386*E23 ^ 2 + -0.47187161065318*E23 ^ 1 + 3557.01016566031</f>
        <v>3557.0101656603101</v>
      </c>
      <c r="K23" s="1">
        <v>0</v>
      </c>
      <c r="L23" s="25">
        <f>0.0000102754907550513*K23 ^ 6 + -0.000462166592266755*K23 ^ 5 + 0.00741617653529789*K23 ^ 4 + -0.0595804972256931*K23 ^ 3 + 0.202614426800774*K23 ^ 2 + -0.61598744114054*K23 ^ 1 + 41.6092219494241</f>
        <v>41.609221949424096</v>
      </c>
      <c r="M23" s="26">
        <f>(0.00128437316260962*K23 ^ 6 + -0.0628934660265001*K23 ^ 5 + 1.15170204240232*K23 ^ 4 + -10.1489917826225*K23 ^ 3 + 40.5641891576933*K23 ^ 2 + 77.0036954381022*K23 ^ 1 + 704.265894031327)/1000</f>
        <v>0.704265894031327</v>
      </c>
      <c r="N23" s="26">
        <f>(0.00161744390309457*K23 ^ 6 + -0.0840418893538135*K23 ^ 5 + 1.64461956486538*K23 ^ 4 + -15.281725901844*K23 ^ 3 + 63.5386886724899*K23 ^ 2 + 39.2315994833557*K23 ^ 1 + 643.473646290851)/1000</f>
        <v>0.64347364629085102</v>
      </c>
      <c r="O23" s="26">
        <f>(0.0011799696989017*K23 ^ 6 + -0.0603442262573095*K23 ^ 5 + 1.16490349476088*K23 ^ 4 + -10.8229074498557*K23 ^ 3 + 45.4987382635561*K23 ^ 2 + 51.1494853496417*K23 ^ 1 + 504.909048459964)/1000</f>
        <v>0.50490904845996398</v>
      </c>
      <c r="P23" s="25">
        <f>0.00444138544840219*K23 ^ 6 + -0.22985214359843*K23 ^ 5 + 4.43861502277627*K23 ^ 4 + -39.4823685345894*K23 ^ 3 + 158.956286818372*K23 ^ 2 + -226.799047251679*K23 ^ 1 + 3207.74085055095</f>
        <v>3207.7408505509502</v>
      </c>
      <c r="Q23" s="1">
        <v>0</v>
      </c>
      <c r="R23" s="25">
        <f>-0.0000295187839309626*Q23 ^ 6 + 0.00155628378928609*Q23 ^ 5 + -0.0307609390744909*Q23 ^ 4 + 0.271509651550555*Q23 ^ 3 + -1.10286672295338*Q23 ^ 2 + 1.24362666765674*Q23 ^ 1 + 32.892405224235</f>
        <v>32.892405224234999</v>
      </c>
      <c r="S23" s="26">
        <f>(-0.00251086245556485*Q23 ^ 6 + 0.11508738517858*Q23 ^ 5 + -1.93509593729143*Q23 ^ 4 + 14.2670778014894*Q23 ^ 3 + -46.1968501036264*Q23 ^ 2 + 155.998293225177*Q23 ^ 1 + 532.115604089238)/1000</f>
        <v>0.53211560408923797</v>
      </c>
      <c r="T23" s="26">
        <f>(-0.00217718968206982*Q23 ^ 6 + 0.096909226197729*Q23 ^ 5 + -1.56833071768921*Q23 ^ 4 + 10.9317263822783*Q23 ^ 3 + -32.9861786318809*Q23 ^ 2 + 135.474715463086*Q23 ^ 1 + 472.655651356268)/1000</f>
        <v>0.47265565135626797</v>
      </c>
      <c r="U23" s="26">
        <f>(-0.00207583372631952*Q23 ^ 6 + 0.0929982704113028*Q23 ^ 5 + -1.51761623730276*Q23 ^ 4 + 10.7057527387608*Q23 ^ 3 + -32.6416834713802*Q23 ^ 2 + 125.441549181815*Q23 ^ 1 + 364.857779537513)/1000</f>
        <v>0.36485777953751303</v>
      </c>
      <c r="V23" s="25">
        <f>0.00800352079292907*Q23 ^ 6 + -0.368178689977851*Q23 ^ 5 + 6.31982490547619*Q23 ^ 4 + -49.9698726765871*Q23 ^ 3 + 178.825822670653*Q23 ^ 2 + -226.799047251644*Q23 ^ 1 + 2851.32520048977</f>
        <v>2851.3252004897699</v>
      </c>
      <c r="W23" s="1">
        <v>0</v>
      </c>
      <c r="X23" s="25">
        <f>-0.0000111393774105581*W23 ^ 6 + 0.000630141955679935*W23 ^ 5 + -0.0124812284567468*W23 ^ 4 + 0.0976890666187096*W23 ^ 3 + -0.347522980595989*W23 ^ 2 + 0.120244234958793*W23 ^ 1 + 25.2524465917007</f>
        <v>25.2524465917007</v>
      </c>
      <c r="Y23" s="26">
        <f>(-0.00048758469898293*W23 ^ 6 + 0.0202456872803895*W23 ^ 5 + -0.284508554031045*W23 ^ 4 + 1.21846696539931*W23 ^ 3 + -0.893186645780535*W23 ^ 2 + 77.7745312614533*W23 ^ 1 + 389.017773525991)/1000</f>
        <v>0.38901777352599098</v>
      </c>
      <c r="Z23" s="26">
        <f>(-0.000588597967210014*W23 ^ 6 + 0.0236248785182829*W23 ^ 5 + -0.322101310552223*W23 ^ 4 + 1.37343443914454*W23 ^ 3 + -0.996190540241156*W23 ^ 2 + 75.4425847673302*W23 ^ 1 + 334.839453287859)/1000</f>
        <v>0.33483945328785897</v>
      </c>
      <c r="AA23" s="26">
        <f>(-0.000368168671093334*W23 ^ 6 + 0.014331423797454*W23 ^ 5 + -0.179706618792979*W23 ^ 4 + 0.447358839784841*W23 ^ 3 + 1.51807798084715*W23 ^ 2 + 65.7405575208827*W23 ^ 1 + 253.839575557627)/1000</f>
        <v>0.25383957555762698</v>
      </c>
      <c r="AB23" s="25">
        <f>0.031171680056796*W23 ^ 6 + -1.25459863017864*W23 ^ 5 + 18.8419037964719*W23 ^ 4 + -130.36887393923*W23 ^ 3 + 408.468920043594*W23 ^ 2 + -453.126222892655*W23 ^ 1 + 2499.91198489493</f>
        <v>2499.9119848949299</v>
      </c>
      <c r="AC23" s="1">
        <v>0</v>
      </c>
      <c r="AD23" s="25">
        <f>-0.0000721312826389952*AC23 ^ 6 + 0.00282125001045158*AC23 ^ 5 + -0.0411038965486177*AC23 ^ 4 + 0.261783079249695*AC23 ^ 3 + -0.760737717101215*AC23 ^ 2 + 0.512745755254961*AC23 ^ 1 + 18.6080000326077</f>
        <v>18.608000032607698</v>
      </c>
      <c r="AE23" s="26">
        <f>(-0.00803359650697618*AC23 ^ 6 + 0.270697421349865*AC23 ^ 5 + -3.33797896276847*AC23 ^ 4 + 18.0668223186709*AC23 ^ 3 + -42.7898117487096*AC23 ^ 2 + 98.6339902852349*AC23 ^ 1 + 306.129105814121)/1000</f>
        <v>0.30612910581412095</v>
      </c>
      <c r="AF23" s="26">
        <f>(-0.00591907268131832*AC23 ^ 6 + 0.198026574062934*AC23 ^ 5 + -2.40962655777679*AC23 ^ 4 + 12.6629262753858*AC23 ^ 3 + -28.7361038609297*AC23 ^ 2 + 82.0681655191246*AC23 ^ 1 + 256.876210111669)/1000</f>
        <v>0.256876210111669</v>
      </c>
      <c r="AG23" s="26">
        <f>(-0.00701206636205175*AC23 ^ 6 + 0.23563931874487*AC23 ^ 5 + -2.89841009812687*AC23 ^ 4 + 15.6742839951356*AC23 ^ 3 + -37.1501605642245*AC23 ^ 2 + 82.9856937578088*AC23 ^ 1 + 178.118118675839)/1000</f>
        <v>0.17811811867583902</v>
      </c>
      <c r="AH23" s="25">
        <f>0.0505413566470652*AC23 ^ 6 + -1.74363114244797*AC23 ^ 5 + 22.4465739902493*AC23 ^ 4 + -133.135524114932*AC23 ^ 3 + 357.586092203038*AC23 ^ 2 + -339.786706742275*AC23 ^ 1 + 2145.7040226949</f>
        <v>2145.7040226948998</v>
      </c>
      <c r="AI23" s="1">
        <v>0</v>
      </c>
      <c r="AJ23" s="25">
        <f>0.00018323255773978*AI23 ^ 6 + -0.00504133061645638*AI23 ^ 5 + 0.0521304025307799*AI23 ^ 4 + -0.268260924039886*AI23 ^ 3 + 0.639009206591772*AI23 ^ 2 + -0.792872502277042*AI23 ^ 1 + 12.9171907878998</f>
        <v>12.9171907878998</v>
      </c>
      <c r="AK23" s="26">
        <f>(0.00344674307804032*AI23 ^ 6 + -0.0979947293034434*AI23 ^ 5 + 1.07948024690358*AI23 ^ 4 + -6.09511433311224*AI23 ^ 3 + 15.2330937270054*AI23 ^ 2 + 35.3536870516939*AI23 ^ 1 + 230.767220605484)/1000</f>
        <v>0.23076722060548399</v>
      </c>
      <c r="AL23" s="26">
        <f>(0.0142746774055809*AI23 ^ 6 + -0.404769084078459*AI23 ^ 5 + 4.30102615326039*AI23 ^ 4 + -21.4813380860568*AI23 ^ 3 + 47.9662926540725*AI23 ^ 2 + 6.28370222211655*AI23 ^ 1 + 188.037845746828)/1000</f>
        <v>0.188037845746828</v>
      </c>
      <c r="AM23" s="26">
        <f>(0.00436529804274113*AI23 ^ 6 + -0.121716523473201*AI23 ^ 5 + 1.28378204247266*AI23 ^ 4 + -6.63143503724398*AI23 ^ 3 + 15.1433366636047*AI23 ^ 2 + 25.5960130136966*AI23 ^ 1 + 117.362893179973)/1000</f>
        <v>0.117362893179973</v>
      </c>
      <c r="AN23" s="25">
        <f>0.125763068572021*AI23 ^ 6 + -3.61559353698003*AI23 ^ 5 + 38.7876798551506*AI23 ^ 4 + -191.715154725504*AI23 ^ 3 + 429.103310643647*AI23 ^ 2 + -339.786706742252*AI23 ^ 1 + 1788.08668557904</f>
        <v>1788.08668557904</v>
      </c>
      <c r="AO23" s="1">
        <v>0</v>
      </c>
      <c r="AP23" s="25">
        <f>0.000531025891717837*AO23 ^ 6 + -0.0118761619052977*AO23 ^ 5 + 0.100234305057387*AO23 ^ 4 + -0.417510372854226*AO23 ^ 3 + 0.806237616518209*AO23 ^ 2 + -0.763105335778404*AO23 ^ 1 + 8.2906044463569</f>
        <v>8.2906044463569</v>
      </c>
      <c r="AQ23" s="26">
        <f>(-0.00360340954191431*AO23 ^ 6 + 0.0733722198498789*AO23 ^ 5 + -0.469621498376339*AO23 ^ 4 + 0.439457664870133*AO23 ^ 3 + 1.91351518846604*AO23 ^ 2 + 30.182404303248*AO23 ^ 1 + 163.258833312014)/1000</f>
        <v>0.16325883331201399</v>
      </c>
      <c r="AR23" s="26">
        <f>(0.0382021140917055*AO23 ^ 6 + -0.874502946860251*AO23 ^ 5 + 7.50024371322568*AO23 ^ 4 + -30.0842355398472*AO23 ^ 3 + 54.1211976585125*AO23 ^ 2 + -6.03075620782795*AO23 ^ 1 + 128.259851154878)/1000</f>
        <v>0.12825985115487798</v>
      </c>
      <c r="AS23" s="26">
        <f>(0.00218554838817725*AO23 ^ 6 + -0.0466029080065427*AO23 ^ 5 + 0.393899598701892*AO23 ^ 4 + -1.93241743999572*AO23 ^ 3 + 3.82625150443221*AO23 ^ 2 + 21.7921716288201*AO23 ^ 1 + 70.3833466122204)/1000</f>
        <v>7.0383346612220399E-2</v>
      </c>
      <c r="AT23" s="25">
        <f>0.0671018884763265*AO23 ^ 6 + -1.92921678101342*AO23 ^ 5 + 20.6985405542358*AO23 ^ 4 + -102.325853224154*AO23 ^ 3 + 229.080106581193*AO23 ^ 2 + -181.157752473715*AO23 ^ 1 + 1432.41756270087</f>
        <v>1432.4175627008699</v>
      </c>
      <c r="AU23" s="1">
        <v>0</v>
      </c>
      <c r="AV23" s="25">
        <f>0.000919132371426826*AU23 ^ 6 + -0.0121569536735423*AU23 ^ 5 + 0.0566802399430394*AU23 ^ 4 + -0.141498359369179*AU23 ^ 3 + 0.164250423449192*AU23 ^ 2 + -0.214059888814946*AU23 ^ 1 + 4.12474700099015</f>
        <v>4.1247470009901503</v>
      </c>
      <c r="AW23" s="26">
        <f>(0.00616919809141692*AU23 ^ 6 + -0.106063206953986*AU23 ^ 5 + 0.72250430871602*AU23 ^ 4 + -2.64867747054957*AU23 ^ 3 + 3.28540109295368*AU23 ^ 2 + 15.3375514114493*AU23 ^ 1 + 97.3874723907186)/1000</f>
        <v>9.7387472390718599E-2</v>
      </c>
      <c r="AX23" s="26">
        <f>(0.00816854393701356*AU23 ^ 6 + -0.118656835244668*AU23 ^ 5 + 0.663942187878517*AU23 ^ 4 + -2.07822582065889*AU23 ^ 3 + 2.2197308812438*AU23 ^ 2 + 14.489757137504*AU23 ^ 1 + 59.0483256019585)/1000</f>
        <v>5.9048325601958503E-2</v>
      </c>
      <c r="AY23" s="26">
        <f>(0.00171360802040282*AU23 ^ 6 + 0.00872730205790885*AU23 ^ 5 + -0.3049374759272*AU23 ^ 4 + 1.43101583196825*AU23 ^ 3 + -3.3634408806929*AU23 ^ 2 + 15.1045142186251*AU23 ^ 1 + 31.9186712562857)/1000</f>
        <v>3.1918671256285697E-2</v>
      </c>
      <c r="AZ23" s="25">
        <f>0.00188152333406952*AU23 ^ 6 + -0.033773360289809*AU23 ^ 5 + 0.248430112670327*AU23 ^ 4 + -0.92091557217776*AU23 ^ 3 + 1.49547090968043*AU23 ^ 2 + 0.230718094567428*AU23 ^ 1 + 1005.41979347406</f>
        <v>1005.41979347406</v>
      </c>
      <c r="BA23" s="17"/>
      <c r="BB23" s="17"/>
      <c r="BC23" s="17"/>
      <c r="BD23" s="17"/>
      <c r="BE23" s="17"/>
      <c r="BF23" s="17"/>
      <c r="BG23" s="17"/>
      <c r="BH23" s="17"/>
      <c r="BI23" s="17"/>
      <c r="BJ23" s="17"/>
    </row>
    <row r="24" spans="2:62" s="11" customFormat="1" x14ac:dyDescent="0.2">
      <c r="B24" s="22" t="s">
        <v>17</v>
      </c>
      <c r="C24" s="23"/>
      <c r="D24" s="24"/>
      <c r="E24" s="1">
        <v>0</v>
      </c>
      <c r="F24" s="25">
        <f>0.000287675580556572*E24 ^ 6 + -0.00855190135568283*E24 ^ 5 + 0.0948909582909329*E24 ^ 4 + -0.54202627674697*E24 ^ 3 + 1.21743028025183*E24 ^ 2 + -3.08609135435494*E24 ^ 1 + 92.3304276327962</f>
        <v>92.330427632796201</v>
      </c>
      <c r="G24" s="26">
        <f>(0.0000137300528609187*E24 ^ 6 + 0.0171747149770316*E24 ^ 5 + -0.379140627999045*E24 ^ 4 + 1.2421490340361*E24 ^ 3 + -9.48958862206705*E24 ^ 2 + 323.040028874186*E24 ^ 1 + 1035.91154558433)/1000</f>
        <v>1.03591154558433</v>
      </c>
      <c r="H24" s="26">
        <f>(-0.00248620504968684*E24 ^ 6 + 0.0966051422840451*E24 ^ 5 + -1.27332601880362*E24 ^ 4 + 5.49825612523776*E24 ^ 3 + -17.0508237670692*E24 ^ 2 + 318.002911967466*E24 ^ 1 + 972.816251487677)/1000</f>
        <v>0.97281625148767703</v>
      </c>
      <c r="I24" s="26">
        <f>(0.00557762388411098*E24 ^ 6 + -0.172849628700014*E24 ^ 5 + 2.0931694160089*E24 ^ 4 + -13.787217605282*E24 ^ 3 + 34.7965438255556*E24 ^ 2 + 232.839211254401*E24 ^ 1 + 814.575271377539)/1000</f>
        <v>0.81457527137753905</v>
      </c>
      <c r="J24" s="25">
        <f>0.0000398759298045244*E24 ^ 6 + -0.00259505035816273*E24 ^ 5 + 0.0523798197428898*E24 ^ 4 + -0.40788170956146*E24 ^ 3 + 1.1104341126847*E24 ^ 2 + -1.74829726853326*E24 ^ 1 + 3424.76961757319</f>
        <v>3424.7696175731899</v>
      </c>
      <c r="K24" s="1">
        <v>0</v>
      </c>
      <c r="L24" s="25">
        <f>0.000385531716058991*K24 ^ 6 + -0.0100081363971248*K24 ^ 5 + 0.0950642814670053*K24 ^ 4 + -0.463567856993048*K24 ^ 3 + 0.7879723019934*K24 ^ 2 + -2.17374326445104*K24 ^ 1 + 74.4117474277436</f>
        <v>74.411747427743606</v>
      </c>
      <c r="M24" s="26">
        <f>(0.00155991064229083*K24 ^ 6 + -0.0321894959973678*K24 ^ 5 + 0.290181851487854*K24 ^ 4 + -3.34827436271245*K24 ^ 3 + 5.83830244909358*K24 ^ 2 + 246.184993143604*K24 ^ 1 + 804.993032209924)/1000</f>
        <v>0.80499303220992402</v>
      </c>
      <c r="N24" s="26">
        <f>(0.000867246410739049*K24 ^ 6 + -0.017268218956246*K24 ^ 5 + 0.237519876386946*K24 ^ 4 + -3.97587303727519*K24 ^ 3 + 10.6010164820888*K24 ^ 2 + 231.013227328781*K24 ^ 1 + 743.27682689187)/1000</f>
        <v>0.74327682689187002</v>
      </c>
      <c r="O24" s="26">
        <f>(0.00809138430974617*K24 ^ 6 + -0.233363968294387*K24 ^ 5 + 2.642842820482*K24 ^ 4 + -16.097088974846*K24 ^ 3 + 39.2495448885313*K24 ^ 2 + 179.329569530862*K24 ^ 1 + 608.442364161003)/1000</f>
        <v>0.60844236416100295</v>
      </c>
      <c r="P24" s="25">
        <f>0.000225637266389585*K24 ^ 6 + -0.00817063815548454*K24 ^ 5 + 0.11095221197041*K24 ^ 4 + -0.661449104180828*K24 ^ 3 + 1.49637222561014*K24 ^ 2 + -0.858009644873646*K24 ^ 1 + 3080.9703850668</f>
        <v>3080.9703850668002</v>
      </c>
      <c r="Q24" s="1">
        <v>0</v>
      </c>
      <c r="R24" s="25">
        <f>0.00051447285675898*Q24 ^ 6 + -0.0113491619545877*Q24 ^ 5 + 0.0881386993790628*Q24 ^ 4 + -0.345176809852544*Q24 ^ 3 + 0.310295481683059*Q24 ^ 2 + -1.38881935403272*Q24 ^ 1 + 58.5214720289796</f>
        <v>58.521472028979602</v>
      </c>
      <c r="S24" s="26">
        <f>(0.00437813498940883*Q24 ^ 6 + -0.111523844966367*Q24 ^ 5 + 1.21529948473294*Q24 ^ 4 + -8.66831877624551*Q24 ^ 3 + 20.3039074454813*Q24 ^ 2 + 178.552739717367*Q24 ^ 1 + 607.916285149083)/1000</f>
        <v>0.60791628514908302</v>
      </c>
      <c r="T24" s="26">
        <f>(0.00797089399639931*Q24 ^ 6 + -0.2158678897787*Q24 ^ 5 + 2.3892687692955*Q24 ^ 4 + -14.9398781950688*Q24 ^ 3 + 36.2426786065276*Q24 ^ 2 + 157.020387009646*Q24 ^ 1 + 550.832608100154)/1000</f>
        <v>0.550832608100154</v>
      </c>
      <c r="U24" s="26">
        <f>(0.0117386541673072*Q24 ^ 6 + -0.312871784801855*Q24 ^ 5 + 3.29163585419091*Q24 ^ 4 + -18.4215977050269*Q24 ^ 3 + 42.2895226776568*Q24 ^ 2 + 133.161302066045*Q24 ^ 1 + 439.685541339314)/1000</f>
        <v>0.43968554133931398</v>
      </c>
      <c r="V24" s="25">
        <f>0.000406605680635535*Q24 ^ 6 + -0.0130877824556227*Q24 ^ 5 + 0.157976879934691*Q24 ^ 4 + -0.837146522480193*Q24 ^ 3 + 1.68341875381457*Q24 ^ 2 + -0.858009644876426*Q24 ^ 1 + 2738.6403422816</f>
        <v>2738.6403422816002</v>
      </c>
      <c r="W24" s="1">
        <v>0</v>
      </c>
      <c r="X24" s="25">
        <f>0.000692991749618636*W24 ^ 6 + -0.0122938537316732*W24 ^ 5 + 0.0690483709091436*W24 ^ 4 + -0.170310414128686*W24 ^ 3 + -0.227838632987559*W24 ^ 2 + -0.638062208265212*W24 ^ 1 + 44.5306875674253</f>
        <v>44.530687567425304</v>
      </c>
      <c r="Y24" s="26">
        <f>(0.0114183827870757*W24 ^ 6 + -0.279030908018995*W24 ^ 5 + 2.7911362781557*W24 ^ 4 + -15.7976108329947*W24 ^ 3 + 35.4119274494317*W24 ^ 2 + 120.378460374168*W24 ^ 1 + 441.718002820819)/1000</f>
        <v>0.44171800282081897</v>
      </c>
      <c r="Z24" s="26">
        <f>(0.0246910448862264*W24 ^ 6 + -0.601065099411495*W24 ^ 5 + 5.75245557136949*W24 ^ 4 + -28.5062292426102*W24 ^ 3 + 60.8446430770938*W24 ^ 2 + 96.1087329245774*W24 ^ 1 + 391.754816398846)/1000</f>
        <v>0.39175481639884602</v>
      </c>
      <c r="AA24" s="26">
        <f>(0.0185939500565511*W24 ^ 6 + -0.449495210561547*W24 ^ 5 + 4.28842110210563*W24 ^ 4 + -21.478430992328*W24 ^ 3 + 45.2625243574104*W24 ^ 2 + 94.1405628229581*W24 ^ 1 + 303.869900875523)/1000</f>
        <v>0.30386990087552301</v>
      </c>
      <c r="AB24" s="25">
        <f>0.00134823091007271*W24 ^ 6 + -0.0338461517261741*W24 ^ 5 + 0.318916925101654*W24 ^ 4 + -1.35442008002256*W24 ^ 3 + 2.26147984773292*W24 ^ 2 + 0.0322779787855147*W24 ^ 1 + 2395.28186669157</f>
        <v>2395.28186669157</v>
      </c>
      <c r="AC24" s="1">
        <v>0</v>
      </c>
      <c r="AD24" s="25">
        <f>0.00244825062174694*AC24 ^ 6 + -0.0443759874569772*AC24 ^ 5 + 0.298692615506639*AC24 ^ 4 + -1.01019600005067*AC24 ^ 3 + 1.29155144288783*AC24 ^ 2 + -1.64066662518907*AC24 ^ 1 + 33.4414690584706</f>
        <v>33.441469058470602</v>
      </c>
      <c r="AE24" s="26">
        <f>(0.0483736891935107*AC24 ^ 6 + -0.996059374151115*AC24 ^ 5 + 8.12165466599599*AC24 ^ 4 + -34.5736627135846*AC24 ^ 3 + 64.6988431638339*AC24 ^ 2 + 76.0068279179998*AC24 ^ 1 + 348.285192789636)/1000</f>
        <v>0.34828519278963604</v>
      </c>
      <c r="AF24" s="26">
        <f>(0.108218311611151*AC24 ^ 6 + -2.29230421841122*AC24 ^ 5 + 18.9978039938459*AC24 ^ 4 + -78.5415502769131*AC24 ^ 3 + 150.906619010521*AC24 ^ 2 + 1.74531714387388*AC24 ^ 1 + 301.287271208882)/1000</f>
        <v>0.30128727120888199</v>
      </c>
      <c r="AG24" s="26">
        <f>(0.0463592394256304*AC24 ^ 6 + -0.949983774764931*AC24 ^ 5 + 7.63055902671609*AC24 ^ 4 + -31.3956775583862*AC24 ^ 3 + 56.4691699208241*AC24 ^ 2 + 61.5430260047525*AC24 ^ 1 + 215.075783772988)/1000</f>
        <v>0.215075783772988</v>
      </c>
      <c r="AH24" s="25">
        <f>0.00373228000240077*AC24 ^ 6 + -0.0831612293346226*AC24 ^ 5 + 0.720402662155128*AC24 ^ 4 + -3.00501700470757*AC24 ^ 3 + 5.81043665548362*AC24 ^ 2 + -3.14118705541666*AC24 ^ 1 + 2078.71073508254</f>
        <v>2078.7107350825399</v>
      </c>
      <c r="AI24" s="1">
        <v>0</v>
      </c>
      <c r="AJ24" s="25">
        <f>0.00806104834338885*AI24 ^ 6 + -0.129663060119778*AI24 ^ 5 + 0.792170030893093*AI24 ^ 4 + -2.39377600692326*AI24 ^ 3 + 3.10695138571894*AI24 ^ 2 + -2.40405886570362*AI24 ^ 1 + 23.1375289033735</f>
        <v>23.1375289033735</v>
      </c>
      <c r="AK24" s="26">
        <f>(0.171465120126747*AI24 ^ 6 + -2.9303863472811*AI24 ^ 5 + 19.5828600961512*AI24 ^ 4 + -65.9112649157542*AI24 ^ 3 + 101.596186328592*AI24 ^ 2 + 30.8089696358289*AI24 ^ 1 + 256.557499781589)/1000</f>
        <v>0.25655749978158898</v>
      </c>
      <c r="AL24" s="26">
        <f>(0.373322866912113*AI24 ^ 6 + -6.6269666982761*AI24 ^ 5 + 45.9449611241264*AI24 ^ 4 + -157.071897822571*AI24 ^ 3 + 255.313958770895*AI24 ^ 2 + -80.662532482939*AI24 ^ 1 + 214.935381464668)/1000</f>
        <v>0.21493538146466801</v>
      </c>
      <c r="AM24" s="26">
        <f>(0.119006248452997*AI24 ^ 6 + -2.01955738189722*AI24 ^ 5 + 13.355820672474*AI24 ^ 4 + -44.3536233367215*AI24 ^ 3 + 65.912510668028*AI24 ^ 2 + 32.7904311749547*AI24 ^ 1 + 137.891462567472)/1000</f>
        <v>0.13789146256747198</v>
      </c>
      <c r="AN24" s="25">
        <f>0.0092871069755721*AI24 ^ 6 + -0.172443125148247*AI24 ^ 5 + 1.24485580020391*AI24 ^ 4 + -4.3272244867785*AI24 ^ 3 + 6.97252398657994*AI24 ^ 2 + -3.14118705541678*AI24 ^ 1 + 1732.25894590212</f>
        <v>1732.2589459021201</v>
      </c>
      <c r="AO24" s="1">
        <v>0</v>
      </c>
      <c r="AP24" s="25">
        <f>0.0289210424164104*AO24 ^ 6 + -0.383829777202241*AO24 ^ 5 + 1.94997177832235*AO24 ^ 4 + -4.85835606986465*AO24 ^ 3 + 5.41567670816703*AO24 ^ 2 + -3.01009491549773*AO24 ^ 1 + 15.1104048700909</f>
        <v>15.1104048700909</v>
      </c>
      <c r="AQ24" s="26">
        <f>(0.632821558857572*AO24 ^ 6 + -8.65372054928847*AO24 ^ 5 + 46.0590918545871*AO24 ^ 4 + -121.550876987875*AO24 ^ 3 + 150.616648350622*AO24 ^ 2 + -8.43023655282484*AO24 ^ 1 + 180.14643640376)/1000</f>
        <v>0.18014643640375999</v>
      </c>
      <c r="AR24" s="26">
        <f>(1.31675598633731*AO24 ^ 6 + -18.7684713707105*AO24 ^ 5 + 104.445551415517*AO24 ^ 4 + -285.385876965121*AO24 ^ 3 + 375.129543383078*AO24 ^ 2 + -139.093977796597*AO24 ^ 1 + 145.426097044382)/1000</f>
        <v>0.145426097044382</v>
      </c>
      <c r="AS24" s="26">
        <f>(0.342630772856551*AO24 ^ 6 + -4.63841685936936*AO24 ^ 5 + 24.4043844371902*AO24 ^ 4 + -63.7488991839147*AO24 ^ 3 + 75.9791206152178*AO24 ^ 2 + 12.0037807812409*AO24 ^ 1 + 82.4563434713078)/1000</f>
        <v>8.24563434713078E-2</v>
      </c>
      <c r="AT24" s="25">
        <f>0.00905848363308653*AO24 ^ 6 + -0.17189029906022*AO24 ^ 5 + 1.29168284634334*AO24 ^ 4 + -4.79982849337087*AO24 ^ 3 + 8.623180949068*AO24 ^ 2 + -5.05172167169587*AO24 ^ 1 + 1402.88181819106</f>
        <v>1402.8818181910599</v>
      </c>
      <c r="AU24" s="1">
        <v>0</v>
      </c>
      <c r="AV24" s="25">
        <f>0.130195042092466*AU24 ^ 6 + -1.28862163876426*AU24 ^ 5 + 4.89622865078785*AU24 ^ 4 + -9.07343903603414*AU24 ^ 3 + 7.66777672262781*AU24 ^ 2 + -2.96712242909161*AU24 ^ 1 + 7.7945786171087</f>
        <v>7.7945786171086997</v>
      </c>
      <c r="AW24" s="26">
        <f>(3.58723453767646*AU24 ^ 6 + -35.8489541894622*AU24 ^ 5 + 138.768863804029*AU24 ^ 4 + -262.291262888101*AU24 ^ 3 + 236.720751685441*AU24 ^ 2 + -51.7275078746833*AU24 ^ 1 + 106.820944904375)/1000</f>
        <v>0.10682094490437499</v>
      </c>
      <c r="AX24" s="26">
        <f>(4.87685492178637*AU24 ^ 6 + -50.9195493825966*AU24 ^ 5 + 207.517324757417*AU24 ^ 4 + -414.420380145975*AU24 ^ 3 + 399.888559658521*AU24 ^ 2 + -122.24634251601*AU24 ^ 1 + 69.3184641746659)/1000</f>
        <v>6.9318464174665903E-2</v>
      </c>
      <c r="AY24" s="26">
        <f>(1.3366080018428*AU24 ^ 6 + -13.2067068011067*AU24 ^ 5 + 50.5672952771961*AU24 ^ 4 + -95.0298746066754*AU24 ^ 3 + 82.7337741526033*AU24 ^ 2 + -3.34064678489373*AU24 ^ 1 + 37.7553511328727)/1000</f>
        <v>3.7755351132872698E-2</v>
      </c>
      <c r="AZ24" s="25">
        <f>0.216635783782974*AU24 ^ 6 + -2.46603409392888*AU24 ^ 5 + 11.3201207175164*AU24 ^ 4 + -26.2496528664545*AU24 ^ 3 + 30.1738359805121*AU24 ^ 2 + -12.1347204626833*AU24 ^ 1 + 1005.92178881421</f>
        <v>1005.92178881421</v>
      </c>
      <c r="BA24" s="17"/>
      <c r="BB24" s="17"/>
      <c r="BC24" s="17"/>
      <c r="BD24" s="17"/>
      <c r="BE24" s="17"/>
      <c r="BF24" s="17"/>
      <c r="BG24" s="17"/>
      <c r="BH24" s="17"/>
      <c r="BI24" s="17"/>
      <c r="BJ24" s="17"/>
    </row>
    <row r="25" spans="2:62" s="11" customFormat="1" x14ac:dyDescent="0.2">
      <c r="B25" s="22" t="s">
        <v>18</v>
      </c>
      <c r="C25" s="23"/>
      <c r="D25" s="24"/>
      <c r="E25" s="1">
        <v>0</v>
      </c>
      <c r="F25" s="25">
        <f>0.00194004200746575*E25 ^ 6 + -0.0425749389371943*E25 ^ 5 + 0.337630771586747*E25 ^ 4 + -1.16653371747625*E25 ^ 3 + -0.313129563598665*E25 ^ 2 + -3.1845801712207*E25 ^ 1 + 126.637519517022</f>
        <v>126.637519517022</v>
      </c>
      <c r="G25" s="26">
        <f>(-0.0168042649982378*E25 ^ 6 + 0.466374556070822*E25 ^ 5 + -5.12575963678615*E25 ^ 4 + 26.7146245121298*E25 ^ 3 + -118.970246992538*E25 ^ 2 + 610.094629639643*E25 ^ 1 + 1196.02904736336)/1000</f>
        <v>1.1960290473633599</v>
      </c>
      <c r="H25" s="26">
        <f>(0.0432467315715182*E25 ^ 6 + -0.726770013072653*E25 ^ 5 + 3.35744034805981*E25 ^ 4 + 2.18711115969428*E25 ^ 3 + -98.9203058756051*E25 ^ 2 + 609.43531894197*E25 ^ 1 + 1118.03725576678)/1000</f>
        <v>1.1180372557667799</v>
      </c>
      <c r="I25" s="26">
        <f>(-0.00471408703998041*E25 ^ 6 + 0.344224385396943*E25 ^ 5 + -5.44527472438592*E25 ^ 4 + 33.9575481736541*E25 ^ 3 + -139.410414866467*E25 ^ 2 + 578.106630301572*E25 ^ 1 + 922.751679947225)/1000</f>
        <v>0.92275167994722507</v>
      </c>
      <c r="J25" s="25">
        <f>0.00587591532328537*E25 ^ 6 + -0.149352737325198*E25 ^ 5 + 1.47112062082572*E25 ^ 4 + -6.91909919889935*E25 ^ 3 + 15.7213050835021*E25 ^ 2 + -17.6040683108514*E25 ^ 1 + 3459.5665624336</f>
        <v>3459.5665624336002</v>
      </c>
      <c r="K25" s="1">
        <v>0</v>
      </c>
      <c r="L25" s="25">
        <f>0.00192717689524293*K25 ^ 6 + -0.0380196226085512*K25 ^ 5 + 0.258992835100469*K25 ^ 4 + -0.703534942820568*K25 ^ 3 + -1.41777386976253*K25 ^ 2 + -1.89723896018143*K25 ^ 1 + 102.431913953541</f>
        <v>102.431913953541</v>
      </c>
      <c r="M25" s="26">
        <f>(0.0212418999171811*K25 ^ 6 + -0.360975802960283*K25 ^ 5 + 2.04178285197262*K25 ^ 4 + -4.7815648023107*K25 ^ 3 + -43.5958099428787*K25 ^ 2 + 448.467360843328*K25 ^ 1 + 925.687390440116)/1000</f>
        <v>0.92568739044011605</v>
      </c>
      <c r="N25" s="26">
        <f>(0.138977432467018*K25 ^ 6 + -2.67218976891931*K25 ^ 5 + 19.1079365849009*K25 ^ 4 + -62.9550969787608*K25 ^ 3 + 47.3337518722997*K25 ^ 2 + 380.974289329625*K25 ^ 1 + 863.75255562521)/1000</f>
        <v>0.86375255562521003</v>
      </c>
      <c r="O25" s="26">
        <f>(0.0272201951075766*K25 ^ 6 + -0.381670000140764*K25 ^ 5 + 1.44767578816545*K25 ^ 4 + 0.0452996790952228*K25 ^ 3 + -50.5088782442891*K25 ^ 2 + 403.963238726668*K25 ^ 1 + 695.900790204899)/1000</f>
        <v>0.69590079020489892</v>
      </c>
      <c r="P25" s="25">
        <f>0.00790300145473743*K25 ^ 6 + -0.181942373164751*K25 ^ 5 + 1.62371892597241*K25 ^ 4 + -6.92565370824942*K25 ^ 3 + 14.08889824709*K25 ^ 2 + -12.4253627098553*K25 ^ 1 + 3115.66672715166</f>
        <v>3115.6667271516599</v>
      </c>
      <c r="Q25" s="1">
        <v>0</v>
      </c>
      <c r="R25" s="25">
        <f>0.00165309806743153*Q25 ^ 6 + -0.0288888532505423*Q25 ^ 5 + 0.1530555345484*Q25 ^ 4 + -0.203314078168385*Q25 ^ 3 + -2.37065527057789*Q25 ^ 2 + -1.06902250239321*Q25 ^ 1 + 80.685808930586</f>
        <v>80.685808930586006</v>
      </c>
      <c r="S25" s="26">
        <f>(0.111362603801527*Q25 ^ 6 + -1.98983352614613*Q25 ^ 5 + 13.5959621521778*Q25 ^ 4 + -45.5761862621581*Q25 ^ 3 + 34.0027212309154*Q25 ^ 2 + 303.290660259603*Q25 ^ 1 + 693.879225559745)/1000</f>
        <v>0.69387922555974502</v>
      </c>
      <c r="T25" s="26">
        <f>(0.336276053761786*Q25 ^ 6 + -6.13149534959805*Q25 ^ 5 + 42.718521762434*Q25 ^ 4 + -142.830296933471*Q25 ^ 3 + 190.525727493173*Q25 ^ 2 + 187.909071461819*Q25 ^ 1 + 646.130209014024)/1000</f>
        <v>0.64613020901402396</v>
      </c>
      <c r="U25" s="26">
        <f>(0.0962137435559427*Q25 ^ 6 + -1.71141438241975*Q25 ^ 5 + 11.7978484350853*Q25 ^ 4 + -40.6848915755258*Q25 ^ 3 + 34.6590098575301*Q25 ^ 2 + 255.469885719885*Q25 ^ 1 + 506.6423809175)/1000</f>
        <v>0.50664238091750002</v>
      </c>
      <c r="V25" s="25">
        <f>0.014241465237459*Q25 ^ 6 + -0.291436501546513*Q25 ^ 5 + 2.31189667389529*Q25 ^ 4 + -8.76528047450639*Q25 ^ 3 + 15.8500105279811*Q25 ^ 2 + -12.4253627098579*Q25 ^ 1 + 2769.48153524592</f>
        <v>2769.48153524592</v>
      </c>
      <c r="W25" s="1">
        <v>0</v>
      </c>
      <c r="X25" s="25">
        <f>0.000144115486992134*W25 ^ 6 + -0.000121292358689111*W25 ^ 5 + -0.0709829130450042*W25 ^ 4 + 0.593721722391348*W25 ^ 3 + -3.61111498228157*W25 ^ 2 + -0.0830345258579437*W25 ^ 1 + 61.6431440011476</f>
        <v>61.643144001147597</v>
      </c>
      <c r="Y25" s="26">
        <f>(0.314833001411263*W25 ^ 6 + -5.04992591626339*W25 ^ 5 + 31.3203469624636*W25 ^ 4 + -95.5715123316046*W25 ^ 3 + 108.300098515811*W25 ^ 2 + 185.628172182314*W25 ^ 1 + 501.258416993397)/1000</f>
        <v>0.50125841699339702</v>
      </c>
      <c r="Z25" s="26">
        <f>(0.753264639143212*W25 ^ 6 + -12.3642323068203*W25 ^ 5 + 78.1704130239544*W25 ^ 4 + -239.472371230421*W25 ^ 3 + 324.127875024124*W25 ^ 2 + 40.7224447710222*W25 ^ 1 + 465.686017779308)/1000</f>
        <v>0.46568601777930796</v>
      </c>
      <c r="AA25" s="26">
        <f>(0.242813636219073*W25 ^ 6 + -4.081845884963*W25 ^ 5 + 26.8216483827714*W25 ^ 4 + -87.5163298452143*W25 ^ 3 + 110.723507268624*W25 ^ 2 + 141.040011606517*W25 ^ 1 + 354.153371071001)/1000</f>
        <v>0.35415337107100098</v>
      </c>
      <c r="AB25" s="25">
        <f>0.0205710200197942*W25 ^ 6 + -0.372311723204975*W25 ^ 5 + 2.61300750216183*W25 ^ 4 + -8.77644858869964*W25 ^ 3 + 13.7695882303668*W25 ^ 2 + -7.24665710885669*W25 ^ 1 + 2424.89609297684</f>
        <v>2424.89609297684</v>
      </c>
      <c r="AC25" s="1">
        <v>0</v>
      </c>
      <c r="AD25" s="25">
        <f>0*AC25 ^ 6 + 0*AC25 ^ 5 + 0*AC25 ^ 4 + 0*AC25 ^ 3 + 0*AC25 ^ 2 + 0*AC25 ^ 1 + 0</f>
        <v>0</v>
      </c>
      <c r="AE25" s="26">
        <f>(0.417902090643411*AC25 ^ 6 + -6.09465460377324*AC25 ^ 5 + 34.5534869608666*AC25 ^ 4 + -95.5543027941034*AC25 ^ 3 + 92.0605206589956*AC25 ^ 2 + 157.06902167402*AC25 ^ 1 + 393.075963641355)/1000</f>
        <v>0.393075963641355</v>
      </c>
      <c r="AF25" s="26">
        <f>(1.01048624476193*AC25 ^ 6 + -14.6060689268308*AC25 ^ 5 + 81.7695909498096*AC25 ^ 4 + -221.587281839237*AC25 ^ 3 + 257.557720948363*AC25 ^ 2 + 52.7267259859814*AC25 ^ 1 + 353.564100438459)/1000</f>
        <v>0.35356410043845898</v>
      </c>
      <c r="AG25" s="26">
        <f>(0.265271155490145*AC25 ^ 6 + -4.23324751749252*AC25 ^ 5 + 26.2250763918778*AC25 ^ 4 + -78.8633256749249*AC25 ^ 3 + 85.4604736950665*AC25 ^ 2 + 114.837919054844*AC25 ^ 1 + 247.971122357222)/1000</f>
        <v>0.24797112235722199</v>
      </c>
      <c r="AH25" s="25">
        <f>0.0380468858651629*AC25 ^ 6 + -0.55596765119272*AC25 ^ 5 + 3.19058303540528*AC25 ^ 4 + -8.95101425343241*AC25 ^ 3 + 12.0402041449061*AC25 ^ 2 + -5.21174818150815*AC25 ^ 1 + 2097.78779058199</f>
        <v>2097.7877905819901</v>
      </c>
      <c r="AI25" s="1">
        <v>0</v>
      </c>
      <c r="AJ25" s="25">
        <f>0*AI25 ^ 6 + 0*AI25 ^ 5 + 0*AI25 ^ 4 + 0*AI25 ^ 3 + 0*AI25 ^ 2 + 0*AI25 ^ 1 + 0</f>
        <v>0</v>
      </c>
      <c r="AK25" s="26">
        <f>(0.422292172832761*AI25 ^ 6 + -6.21915203309014*AI25 ^ 5 + 34.6381774578298*AI25 ^ 4 + -89.7619733034717*AI25 ^ 3 + 72.1885751273341*AI25 ^ 2 + 123.162974439154*AI25 ^ 1 + 289.489676796375)/1000</f>
        <v>0.289489676796375</v>
      </c>
      <c r="AL25" s="26">
        <f>(1.08926614341939*AI25 ^ 6 + -14.2050278797046*AI25 ^ 5 + 72.1683898211097*AI25 ^ 4 + -175.48701460493*AI25 ^ 3 + 170.622529151*AI25 ^ 2 + 60.3633651429231*AI25 ^ 1 + 250.019160134144)/1000</f>
        <v>0.25001916013414399</v>
      </c>
      <c r="AM25" s="26">
        <f>(0.141231486674889*AI25 ^ 6 + -3.14041840830052*AI25 ^ 5 + 21.7139529910864*AI25 ^ 4 + -64.0456224082822*AI25 ^ 3 + 58.1362183347137*AI25 ^ 2 + 86.7124590381499*AI25 ^ 1 + 158.360441849432)/1000</f>
        <v>0.15836044184943199</v>
      </c>
      <c r="AN25" s="25">
        <f>0.0946728270360699*AI25 ^ 6 + -1.15285452151395*AI25 ^ 5 + 5.51332748518318*AI25 ^ 4 + -12.8894605249477*AI25 ^ 3 + 14.4482449738913*AI25 ^ 2 + -5.2117481815095*AI25 ^ 1 + 1748.15649215166</f>
        <v>1748.1564921516599</v>
      </c>
      <c r="AO25" s="1">
        <v>0</v>
      </c>
      <c r="AP25" s="25">
        <f>-0.164809755435883*AO25 ^ 6 + 0.947111303246564*AO25 ^ 5 + -1.52493304345106*AO25 ^ 4 + 0.0767778872933212*AO25 ^ 3 + -0.919893817971242*AO25 ^ 2 + -1.44772198813734*AO25 ^ 1 + 20.6360737654963</f>
        <v>20.636073765496299</v>
      </c>
      <c r="AQ25" s="26">
        <f>(-0.170408155090727*AO25 ^ 6 + -2.74952906085888*AO25 ^ 5 + 27.5255913348583*AO25 ^ 4 + -76.9899220605459*AO25 ^ 3 + 50.104763039684*AO25 ^ 2 + 91.4871435841139*AO25 ^ 1 + 202.172668785651)/1000</f>
        <v>0.20217266878565102</v>
      </c>
      <c r="AR25" s="26">
        <f>(0.00513954881853604*AO25 ^ 6 + -4.17928182008623*AO25 ^ 5 + 33.7583498349138*AO25 ^ 4 + -92.1792227638338*AO25 ^ 3 + 71.8803461011854*AO25 ^ 2 + 64.5757237249598*AO25 ^ 1 + 166.480205206513)/1000</f>
        <v>0.16648020520651299</v>
      </c>
      <c r="AS25" s="26">
        <f>(-0.549297991216341*AO25 ^ 6 + 1.29668652361448*AO25 ^ 5 + 10.5598794019278*AO25 ^ 4 + -43.6122697253046*AO25 ^ 3 + 31.7350517744105*AO25 ^ 2 + 63.1272061254663*AO25 ^ 1 + 93.5558865686672)/1000</f>
        <v>9.3555886568667201E-2</v>
      </c>
      <c r="AT25" s="25">
        <f>0.0629678170885744*AO25 ^ 6 + -0.700349061729453*AO25 ^ 5 + 3.08524990754114*AO25 ^ 4 + -6.86166545282263*AO25 ^ 3 + 7.69525314020301*AO25 ^ 2 + -2.54147140332493*AO25 ^ 1 + 1411.39547717017</f>
        <v>1411.3954771701699</v>
      </c>
      <c r="AU25" s="1">
        <v>0</v>
      </c>
      <c r="AV25" s="25">
        <f>-0.847697488839005*AU25 ^ 6 + 3.57676966174935*AU25 ^ 5 + -4.20373281144561*AU25 ^ 4 + 0*AU25 ^ 3 + 0*AU25 ^ 2 + -1.38561691837037*AU25 ^ 1 + 10.5160162932833</f>
        <v>10.5160162932833</v>
      </c>
      <c r="AW25" s="26">
        <f>(-9.76338946836433*AU25 ^ 6 + 44.9365601566775*AU25 ^ 5 + -55.7925525788141*AU25 ^ 4 + 0*AU25 ^ 3 + 0*AU25 ^ 2 + 55.6475478364075*AU25 ^ 1 + 118.772874872927)/1000</f>
        <v>0.11877287487292701</v>
      </c>
      <c r="AX25" s="26">
        <f>(-6.02966916837324*AU25 ^ 6 + 29.4063604239932*AU25 ^ 5 + -38.8214766507583*AU25 ^ 4 + 0*AU25 ^ 3 + 0*AU25 ^ 2 + 48.4570754971822*AU25 ^ 1 + 77.7285668125687)/1000</f>
        <v>7.7728566812568706E-2</v>
      </c>
      <c r="AY25" s="26">
        <f>(-5.63413291166413*AU25 ^ 6 + 25.6754740941493*AU25 ^ 5 + -31.7420717490245*AU25 ^ 4 + 0*AU25 ^ 3 + 0*AU25 ^ 2 + 38.6595899520663*AU25 ^ 1 + 41.9982174151615)/1000</f>
        <v>4.19982174151615E-2</v>
      </c>
      <c r="AZ25" s="25">
        <f>0.693430071299053*AU25 ^ 6 + -2.77673984202822*AU25 ^ 5 + 2.80216007438244*AU25 ^ 4 + 0*AU25 ^ 3 + 0*AU25 ^ 2 + 0.85375486646246*AU25 ^ 1 + 1005.99531133358</f>
        <v>1005.99531133358</v>
      </c>
      <c r="BA25" s="17"/>
      <c r="BB25" s="17"/>
      <c r="BC25" s="17"/>
      <c r="BD25" s="17"/>
      <c r="BE25" s="17"/>
      <c r="BF25" s="17"/>
      <c r="BG25" s="17"/>
      <c r="BH25" s="17"/>
      <c r="BI25" s="17"/>
      <c r="BJ25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WILO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Youssef</dc:creator>
  <cp:lastModifiedBy>Elfassi Youssef</cp:lastModifiedBy>
  <dcterms:created xsi:type="dcterms:W3CDTF">2013-10-09T07:34:07Z</dcterms:created>
  <dcterms:modified xsi:type="dcterms:W3CDTF">2013-11-07T14:54:48Z</dcterms:modified>
</cp:coreProperties>
</file>