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05" windowWidth="20595" windowHeight="91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Z23" i="1" l="1"/>
  <c r="AY23" i="1"/>
  <c r="AX23" i="1"/>
  <c r="AW23" i="1"/>
  <c r="AV23" i="1"/>
  <c r="AT23" i="1"/>
  <c r="AS23" i="1"/>
  <c r="AR23" i="1"/>
  <c r="AQ23" i="1"/>
  <c r="AP23" i="1"/>
  <c r="AN23" i="1"/>
  <c r="AM23" i="1"/>
  <c r="AL23" i="1"/>
  <c r="AK23" i="1"/>
  <c r="AJ23" i="1"/>
  <c r="AH23" i="1"/>
  <c r="AG23" i="1"/>
  <c r="AF23" i="1"/>
  <c r="AE23" i="1"/>
  <c r="AD23" i="1"/>
  <c r="AB23" i="1"/>
  <c r="AA23" i="1"/>
  <c r="Z23" i="1"/>
  <c r="Y23" i="1"/>
  <c r="X23" i="1"/>
  <c r="V23" i="1"/>
  <c r="U23" i="1"/>
  <c r="T23" i="1"/>
  <c r="S23" i="1"/>
  <c r="R23" i="1"/>
  <c r="P23" i="1"/>
  <c r="O23" i="1"/>
  <c r="N23" i="1"/>
  <c r="M23" i="1"/>
  <c r="L23" i="1"/>
  <c r="J23" i="1"/>
  <c r="I23" i="1"/>
  <c r="H23" i="1"/>
  <c r="G23" i="1"/>
  <c r="F23" i="1"/>
  <c r="AZ22" i="1" l="1"/>
  <c r="AY22" i="1"/>
  <c r="AX22" i="1"/>
  <c r="AW22" i="1"/>
  <c r="AV22" i="1"/>
  <c r="AT22" i="1"/>
  <c r="AS22" i="1"/>
  <c r="AR22" i="1"/>
  <c r="AQ22" i="1"/>
  <c r="AP22" i="1"/>
  <c r="AN22" i="1"/>
  <c r="AM22" i="1"/>
  <c r="AL22" i="1"/>
  <c r="AK22" i="1"/>
  <c r="AJ22" i="1"/>
  <c r="AH22" i="1"/>
  <c r="AG22" i="1"/>
  <c r="AF22" i="1"/>
  <c r="AE22" i="1"/>
  <c r="AD22" i="1"/>
  <c r="AB22" i="1"/>
  <c r="AA22" i="1"/>
  <c r="Z22" i="1"/>
  <c r="Y22" i="1"/>
  <c r="X22" i="1"/>
  <c r="V22" i="1"/>
  <c r="U22" i="1"/>
  <c r="T22" i="1"/>
  <c r="S22" i="1"/>
  <c r="R22" i="1"/>
  <c r="P22" i="1"/>
  <c r="O22" i="1"/>
  <c r="N22" i="1"/>
  <c r="M22" i="1"/>
  <c r="L22" i="1"/>
  <c r="J22" i="1"/>
  <c r="I22" i="1"/>
  <c r="H22" i="1"/>
  <c r="G22" i="1"/>
  <c r="F22" i="1"/>
  <c r="AZ21" i="1" l="1"/>
  <c r="AY21" i="1"/>
  <c r="AX21" i="1"/>
  <c r="AW21" i="1"/>
  <c r="AV21" i="1"/>
  <c r="AT21" i="1"/>
  <c r="AS21" i="1"/>
  <c r="AR21" i="1"/>
  <c r="AQ21" i="1"/>
  <c r="AP21" i="1"/>
  <c r="AN21" i="1"/>
  <c r="AM21" i="1"/>
  <c r="AL21" i="1"/>
  <c r="AK21" i="1"/>
  <c r="AJ21" i="1"/>
  <c r="AH21" i="1"/>
  <c r="AG21" i="1"/>
  <c r="AF21" i="1"/>
  <c r="AE21" i="1"/>
  <c r="AD21" i="1"/>
  <c r="AB21" i="1"/>
  <c r="AA21" i="1"/>
  <c r="Z21" i="1"/>
  <c r="Y21" i="1"/>
  <c r="X21" i="1"/>
  <c r="V21" i="1"/>
  <c r="U21" i="1"/>
  <c r="T21" i="1"/>
  <c r="S21" i="1"/>
  <c r="R21" i="1"/>
  <c r="P21" i="1"/>
  <c r="O21" i="1"/>
  <c r="N21" i="1"/>
  <c r="M21" i="1"/>
  <c r="L21" i="1"/>
  <c r="J21" i="1"/>
  <c r="I21" i="1"/>
  <c r="H21" i="1"/>
  <c r="G21" i="1"/>
  <c r="F21" i="1"/>
  <c r="AZ20" i="1" l="1"/>
  <c r="AY20" i="1"/>
  <c r="AX20" i="1"/>
  <c r="AW20" i="1"/>
  <c r="AV20" i="1"/>
  <c r="AT20" i="1"/>
  <c r="AS20" i="1"/>
  <c r="AR20" i="1"/>
  <c r="AQ20" i="1"/>
  <c r="AP20" i="1"/>
  <c r="AN20" i="1"/>
  <c r="AM20" i="1"/>
  <c r="AL20" i="1"/>
  <c r="AK20" i="1"/>
  <c r="AJ20" i="1"/>
  <c r="AH20" i="1"/>
  <c r="AG20" i="1"/>
  <c r="AF20" i="1"/>
  <c r="AE20" i="1"/>
  <c r="AD20" i="1"/>
  <c r="AB20" i="1"/>
  <c r="AA20" i="1"/>
  <c r="Z20" i="1"/>
  <c r="Y20" i="1"/>
  <c r="X20" i="1"/>
  <c r="V20" i="1"/>
  <c r="U20" i="1"/>
  <c r="T20" i="1"/>
  <c r="S20" i="1"/>
  <c r="R20" i="1"/>
  <c r="P20" i="1"/>
  <c r="O20" i="1"/>
  <c r="N20" i="1"/>
  <c r="M20" i="1"/>
  <c r="L20" i="1"/>
  <c r="J20" i="1"/>
  <c r="I20" i="1"/>
  <c r="H20" i="1"/>
  <c r="G20" i="1"/>
  <c r="F20" i="1"/>
  <c r="AZ19" i="1" l="1"/>
  <c r="AY19" i="1"/>
  <c r="AX19" i="1"/>
  <c r="AW19" i="1"/>
  <c r="AV19" i="1"/>
  <c r="AT19" i="1"/>
  <c r="AS19" i="1"/>
  <c r="AR19" i="1"/>
  <c r="AQ19" i="1"/>
  <c r="AP19" i="1"/>
  <c r="AN19" i="1"/>
  <c r="AM19" i="1"/>
  <c r="AL19" i="1"/>
  <c r="AK19" i="1"/>
  <c r="AJ19" i="1"/>
  <c r="AH19" i="1"/>
  <c r="AG19" i="1"/>
  <c r="AF19" i="1"/>
  <c r="AE19" i="1"/>
  <c r="AD19" i="1"/>
  <c r="AB19" i="1"/>
  <c r="AA19" i="1"/>
  <c r="Z19" i="1"/>
  <c r="Y19" i="1"/>
  <c r="X19" i="1"/>
  <c r="V19" i="1"/>
  <c r="U19" i="1"/>
  <c r="T19" i="1"/>
  <c r="S19" i="1"/>
  <c r="R19" i="1"/>
  <c r="P19" i="1"/>
  <c r="O19" i="1"/>
  <c r="N19" i="1"/>
  <c r="M19" i="1"/>
  <c r="L19" i="1"/>
  <c r="J19" i="1"/>
  <c r="I19" i="1"/>
  <c r="H19" i="1"/>
  <c r="G19" i="1"/>
  <c r="F19" i="1"/>
  <c r="AZ18" i="1" l="1"/>
  <c r="AY18" i="1"/>
  <c r="AX18" i="1"/>
  <c r="AW18" i="1"/>
  <c r="AV18" i="1"/>
  <c r="AT18" i="1"/>
  <c r="AS18" i="1"/>
  <c r="AR18" i="1"/>
  <c r="AQ18" i="1"/>
  <c r="AP18" i="1"/>
  <c r="AN18" i="1"/>
  <c r="AM18" i="1"/>
  <c r="AL18" i="1"/>
  <c r="AK18" i="1"/>
  <c r="AJ18" i="1"/>
  <c r="AH18" i="1"/>
  <c r="AG18" i="1"/>
  <c r="AF18" i="1"/>
  <c r="AE18" i="1"/>
  <c r="AD18" i="1"/>
  <c r="AB18" i="1"/>
  <c r="AA18" i="1"/>
  <c r="Z18" i="1"/>
  <c r="Y18" i="1"/>
  <c r="X18" i="1"/>
  <c r="V18" i="1"/>
  <c r="U18" i="1"/>
  <c r="T18" i="1"/>
  <c r="S18" i="1"/>
  <c r="R18" i="1"/>
  <c r="P18" i="1"/>
  <c r="O18" i="1"/>
  <c r="N18" i="1"/>
  <c r="M18" i="1"/>
  <c r="L18" i="1"/>
  <c r="J18" i="1"/>
  <c r="I18" i="1"/>
  <c r="H18" i="1"/>
  <c r="G18" i="1"/>
  <c r="F18" i="1"/>
  <c r="AZ16" i="1" l="1"/>
  <c r="AY16" i="1"/>
  <c r="AX16" i="1"/>
  <c r="AW16" i="1"/>
  <c r="AV16" i="1"/>
  <c r="AT16" i="1"/>
  <c r="AS16" i="1"/>
  <c r="AR16" i="1"/>
  <c r="AQ16" i="1"/>
  <c r="AP16" i="1"/>
  <c r="AN16" i="1"/>
  <c r="AM16" i="1"/>
  <c r="AL16" i="1"/>
  <c r="AK16" i="1"/>
  <c r="AJ16" i="1"/>
  <c r="AH16" i="1"/>
  <c r="AG16" i="1"/>
  <c r="AF16" i="1"/>
  <c r="AE16" i="1"/>
  <c r="AD16" i="1"/>
  <c r="AB16" i="1"/>
  <c r="AA16" i="1"/>
  <c r="Z16" i="1"/>
  <c r="Y16" i="1"/>
  <c r="X16" i="1"/>
  <c r="V16" i="1"/>
  <c r="U16" i="1"/>
  <c r="T16" i="1"/>
  <c r="S16" i="1"/>
  <c r="R16" i="1"/>
  <c r="P16" i="1"/>
  <c r="O16" i="1"/>
  <c r="N16" i="1"/>
  <c r="M16" i="1"/>
  <c r="L16" i="1"/>
  <c r="J16" i="1"/>
  <c r="I16" i="1"/>
  <c r="H16" i="1"/>
  <c r="G16" i="1"/>
  <c r="F16" i="1"/>
  <c r="AZ17" i="1" l="1"/>
  <c r="AY17" i="1"/>
  <c r="AX17" i="1"/>
  <c r="AW17" i="1"/>
  <c r="AV17" i="1"/>
  <c r="AT17" i="1"/>
  <c r="AS17" i="1"/>
  <c r="AR17" i="1"/>
  <c r="AQ17" i="1"/>
  <c r="AP17" i="1"/>
  <c r="AN17" i="1"/>
  <c r="AM17" i="1"/>
  <c r="AL17" i="1"/>
  <c r="AK17" i="1"/>
  <c r="AJ17" i="1"/>
  <c r="AH17" i="1"/>
  <c r="AG17" i="1"/>
  <c r="AF17" i="1"/>
  <c r="AE17" i="1"/>
  <c r="AD17" i="1"/>
  <c r="AB17" i="1"/>
  <c r="AA17" i="1"/>
  <c r="Z17" i="1"/>
  <c r="Y17" i="1"/>
  <c r="X17" i="1"/>
  <c r="V17" i="1"/>
  <c r="U17" i="1"/>
  <c r="T17" i="1"/>
  <c r="S17" i="1"/>
  <c r="R17" i="1"/>
  <c r="P17" i="1"/>
  <c r="O17" i="1"/>
  <c r="N17" i="1"/>
  <c r="M17" i="1"/>
  <c r="L17" i="1"/>
  <c r="J17" i="1"/>
  <c r="I17" i="1"/>
  <c r="H17" i="1"/>
  <c r="G17" i="1"/>
  <c r="F17" i="1"/>
  <c r="AZ15" i="1" l="1"/>
  <c r="AY15" i="1"/>
  <c r="AX15" i="1"/>
  <c r="AW15" i="1"/>
  <c r="AV15" i="1"/>
  <c r="AT15" i="1"/>
  <c r="AS15" i="1"/>
  <c r="AR15" i="1"/>
  <c r="AQ15" i="1"/>
  <c r="AP15" i="1"/>
  <c r="AN15" i="1"/>
  <c r="AM15" i="1"/>
  <c r="AL15" i="1"/>
  <c r="AK15" i="1"/>
  <c r="AJ15" i="1"/>
  <c r="AH15" i="1"/>
  <c r="AG15" i="1"/>
  <c r="AF15" i="1"/>
  <c r="AE15" i="1"/>
  <c r="AD15" i="1"/>
  <c r="AB15" i="1"/>
  <c r="AA15" i="1"/>
  <c r="Z15" i="1"/>
  <c r="Y15" i="1"/>
  <c r="X15" i="1"/>
  <c r="V15" i="1"/>
  <c r="U15" i="1"/>
  <c r="T15" i="1"/>
  <c r="S15" i="1"/>
  <c r="R15" i="1"/>
  <c r="P15" i="1"/>
  <c r="O15" i="1"/>
  <c r="N15" i="1"/>
  <c r="M15" i="1"/>
  <c r="L15" i="1"/>
  <c r="J15" i="1"/>
  <c r="I15" i="1"/>
  <c r="H15" i="1"/>
  <c r="G15" i="1"/>
  <c r="F15" i="1"/>
  <c r="AZ14" i="1" l="1"/>
  <c r="AY14" i="1"/>
  <c r="AX14" i="1"/>
  <c r="AW14" i="1"/>
  <c r="AV14" i="1"/>
  <c r="AT14" i="1"/>
  <c r="AS14" i="1"/>
  <c r="AR14" i="1"/>
  <c r="AQ14" i="1"/>
  <c r="AP14" i="1"/>
  <c r="AN14" i="1"/>
  <c r="AM14" i="1"/>
  <c r="AL14" i="1"/>
  <c r="AK14" i="1"/>
  <c r="AJ14" i="1"/>
  <c r="AH14" i="1"/>
  <c r="AG14" i="1"/>
  <c r="AF14" i="1"/>
  <c r="AE14" i="1"/>
  <c r="AD14" i="1"/>
  <c r="AB14" i="1"/>
  <c r="AA14" i="1"/>
  <c r="Z14" i="1"/>
  <c r="Y14" i="1"/>
  <c r="X14" i="1"/>
  <c r="V14" i="1"/>
  <c r="U14" i="1"/>
  <c r="T14" i="1"/>
  <c r="S14" i="1"/>
  <c r="R14" i="1"/>
  <c r="P14" i="1"/>
  <c r="O14" i="1"/>
  <c r="N14" i="1"/>
  <c r="M14" i="1"/>
  <c r="L14" i="1"/>
  <c r="J14" i="1"/>
  <c r="I14" i="1"/>
  <c r="H14" i="1"/>
  <c r="G14" i="1"/>
  <c r="F14" i="1"/>
</calcChain>
</file>

<file path=xl/sharedStrings.xml><?xml version="1.0" encoding="utf-8"?>
<sst xmlns="http://schemas.openxmlformats.org/spreadsheetml/2006/main" count="60" uniqueCount="18">
  <si>
    <t>mini</t>
  </si>
  <si>
    <t>Q
(m3/h)</t>
  </si>
  <si>
    <t>Hmt
(mCE)</t>
  </si>
  <si>
    <t>P0tot
(W)</t>
  </si>
  <si>
    <t>P1tot
(W)</t>
  </si>
  <si>
    <t>P2
(W)</t>
  </si>
  <si>
    <t>N
(min-1)</t>
  </si>
  <si>
    <t>MHIE 403</t>
  </si>
  <si>
    <t>MHIE 205</t>
  </si>
  <si>
    <t>MHIE 1602</t>
  </si>
  <si>
    <t>MHIE 803</t>
  </si>
  <si>
    <t>MHIE 406</t>
  </si>
  <si>
    <t>MHIE 203</t>
  </si>
  <si>
    <t>MHIE 402</t>
  </si>
  <si>
    <t>MHIE 206</t>
  </si>
  <si>
    <t>MHIE 404</t>
  </si>
  <si>
    <t>MHIE 802</t>
  </si>
  <si>
    <t>equations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</si>
</sst>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9" x14ac:knownFonts="1">
    <font>
      <sz val="10"/>
      <color theme="1"/>
      <name val="Verdana"/>
      <family val="2"/>
    </font>
    <font>
      <b/>
      <sz val="10"/>
      <color theme="0"/>
      <name val="Verdana"/>
      <family val="2"/>
    </font>
    <font>
      <sz val="10"/>
      <name val="Arial"/>
      <family val="2"/>
    </font>
    <font>
      <b/>
      <sz val="8"/>
      <color theme="0"/>
      <name val="Verdana"/>
      <family val="2"/>
    </font>
    <font>
      <sz val="8"/>
      <name val="Verdana"/>
      <family val="2"/>
    </font>
    <font>
      <b/>
      <sz val="13"/>
      <color theme="1"/>
      <name val="Verdana"/>
      <family val="2"/>
    </font>
    <font>
      <sz val="10"/>
      <name val="Verdana"/>
      <family val="2"/>
    </font>
    <font>
      <b/>
      <sz val="10"/>
      <color theme="1" tint="0.249977111117893"/>
      <name val="Verdana"/>
      <family val="2"/>
    </font>
    <font>
      <b/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B4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009C8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27">
    <xf numFmtId="0" fontId="0" fillId="0" borderId="0" xfId="0"/>
    <xf numFmtId="2" fontId="1" fillId="3" borderId="1" xfId="1" applyNumberFormat="1" applyFont="1" applyFill="1" applyBorder="1" applyAlignment="1">
      <alignment horizontal="center"/>
    </xf>
    <xf numFmtId="0" fontId="5" fillId="0" borderId="0" xfId="0" applyFont="1"/>
    <xf numFmtId="0" fontId="6" fillId="0" borderId="3" xfId="2" applyFont="1" applyBorder="1"/>
    <xf numFmtId="0" fontId="7" fillId="0" borderId="3" xfId="2" applyFont="1" applyBorder="1" applyAlignment="1">
      <alignment horizontal="center" vertical="center"/>
    </xf>
    <xf numFmtId="0" fontId="6" fillId="0" borderId="3" xfId="1" applyFont="1" applyFill="1" applyBorder="1"/>
    <xf numFmtId="2" fontId="6" fillId="0" borderId="3" xfId="1" applyNumberFormat="1" applyFont="1" applyFill="1" applyBorder="1"/>
    <xf numFmtId="0" fontId="6" fillId="0" borderId="0" xfId="2" applyFont="1" applyBorder="1"/>
    <xf numFmtId="0" fontId="7" fillId="0" borderId="0" xfId="2" applyFont="1" applyBorder="1" applyAlignment="1">
      <alignment horizontal="center" vertical="center"/>
    </xf>
    <xf numFmtId="0" fontId="6" fillId="0" borderId="0" xfId="1" applyFont="1" applyFill="1" applyBorder="1"/>
    <xf numFmtId="2" fontId="6" fillId="0" borderId="0" xfId="1" applyNumberFormat="1" applyFont="1" applyFill="1" applyBorder="1"/>
    <xf numFmtId="0" fontId="6" fillId="0" borderId="0" xfId="2" applyFont="1"/>
    <xf numFmtId="9" fontId="0" fillId="0" borderId="4" xfId="0" applyNumberFormat="1" applyBorder="1" applyAlignment="1">
      <alignment horizontal="centerContinuous" vertical="center"/>
    </xf>
    <xf numFmtId="9" fontId="0" fillId="0" borderId="5" xfId="0" applyNumberFormat="1" applyBorder="1" applyAlignment="1">
      <alignment horizontal="centerContinuous" vertical="center"/>
    </xf>
    <xf numFmtId="0" fontId="0" fillId="0" borderId="5" xfId="0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9" fontId="2" fillId="0" borderId="4" xfId="0" applyNumberFormat="1" applyFont="1" applyBorder="1" applyAlignment="1">
      <alignment horizontal="centerContinuous" vertical="center"/>
    </xf>
    <xf numFmtId="0" fontId="2" fillId="0" borderId="0" xfId="2"/>
    <xf numFmtId="2" fontId="3" fillId="2" borderId="2" xfId="1" applyNumberFormat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1" fontId="3" fillId="2" borderId="2" xfId="1" applyNumberFormat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7" fillId="0" borderId="1" xfId="2" applyFont="1" applyBorder="1" applyAlignment="1">
      <alignment horizontal="centerContinuous" vertical="center"/>
    </xf>
    <xf numFmtId="0" fontId="8" fillId="0" borderId="1" xfId="2" applyFont="1" applyFill="1" applyBorder="1" applyAlignment="1">
      <alignment horizontal="centerContinuous" vertical="center"/>
    </xf>
    <xf numFmtId="0" fontId="0" fillId="0" borderId="1" xfId="0" applyBorder="1" applyAlignment="1">
      <alignment horizontal="centerContinuous" vertical="center"/>
    </xf>
    <xf numFmtId="164" fontId="4" fillId="0" borderId="1" xfId="1" applyNumberFormat="1" applyFont="1" applyFill="1" applyBorder="1" applyAlignment="1">
      <alignment horizontal="center" vertical="center"/>
    </xf>
    <xf numFmtId="165" fontId="4" fillId="0" borderId="1" xfId="1" applyNumberFormat="1" applyFont="1" applyFill="1" applyBorder="1" applyAlignment="1">
      <alignment horizontal="center" vertical="center"/>
    </xf>
  </cellXfs>
  <cellStyles count="4">
    <cellStyle name="Normal" xfId="0" builtinId="0"/>
    <cellStyle name="Normal 10" xfId="2"/>
    <cellStyle name="Normal 10 2" xfId="3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J23"/>
  <sheetViews>
    <sheetView showGridLines="0" tabSelected="1" workbookViewId="0">
      <selection activeCell="F6" sqref="F6"/>
    </sheetView>
  </sheetViews>
  <sheetFormatPr baseColWidth="10" defaultRowHeight="12.75" x14ac:dyDescent="0.2"/>
  <cols>
    <col min="3" max="3" width="17.375" bestFit="1" customWidth="1"/>
  </cols>
  <sheetData>
    <row r="3" spans="1:62" x14ac:dyDescent="0.2">
      <c r="A3" s="3"/>
      <c r="B3" s="4"/>
      <c r="C3" s="5"/>
      <c r="D3" s="5"/>
      <c r="E3" s="5"/>
      <c r="F3" s="5"/>
      <c r="G3" s="6"/>
      <c r="H3" s="5"/>
      <c r="I3" s="3"/>
    </row>
    <row r="4" spans="1:62" x14ac:dyDescent="0.2">
      <c r="A4" s="7"/>
      <c r="B4" s="8"/>
      <c r="C4" s="9"/>
      <c r="D4" s="9"/>
      <c r="E4" s="9"/>
      <c r="F4" s="9"/>
      <c r="G4" s="10"/>
      <c r="H4" s="9"/>
      <c r="I4" s="7"/>
    </row>
    <row r="5" spans="1:62" ht="15.75" x14ac:dyDescent="0.2">
      <c r="B5" s="2"/>
    </row>
    <row r="6" spans="1:62" ht="15.75" x14ac:dyDescent="0.2">
      <c r="B6" s="2" t="s">
        <v>17</v>
      </c>
    </row>
    <row r="12" spans="1:62" x14ac:dyDescent="0.2">
      <c r="E12" s="12">
        <v>1</v>
      </c>
      <c r="F12" s="13"/>
      <c r="G12" s="14"/>
      <c r="H12" s="14"/>
      <c r="I12" s="14"/>
      <c r="J12" s="15"/>
      <c r="K12" s="12">
        <v>0.9</v>
      </c>
      <c r="L12" s="13"/>
      <c r="M12" s="14"/>
      <c r="N12" s="14"/>
      <c r="O12" s="14"/>
      <c r="P12" s="15"/>
      <c r="Q12" s="12">
        <v>0.8</v>
      </c>
      <c r="R12" s="13"/>
      <c r="S12" s="14"/>
      <c r="T12" s="14"/>
      <c r="U12" s="14"/>
      <c r="V12" s="15"/>
      <c r="W12" s="12">
        <v>0.7</v>
      </c>
      <c r="X12" s="13"/>
      <c r="Y12" s="14"/>
      <c r="Z12" s="14"/>
      <c r="AA12" s="14"/>
      <c r="AB12" s="15"/>
      <c r="AC12" s="12">
        <v>0.6</v>
      </c>
      <c r="AD12" s="13"/>
      <c r="AE12" s="14"/>
      <c r="AF12" s="14"/>
      <c r="AG12" s="14"/>
      <c r="AH12" s="15"/>
      <c r="AI12" s="12">
        <v>0.5</v>
      </c>
      <c r="AJ12" s="13"/>
      <c r="AK12" s="14"/>
      <c r="AL12" s="14"/>
      <c r="AM12" s="14"/>
      <c r="AN12" s="15"/>
      <c r="AO12" s="12">
        <v>0.4</v>
      </c>
      <c r="AP12" s="13"/>
      <c r="AQ12" s="14"/>
      <c r="AR12" s="14"/>
      <c r="AS12" s="14"/>
      <c r="AT12" s="15"/>
      <c r="AU12" s="16" t="s">
        <v>0</v>
      </c>
      <c r="AV12" s="13"/>
      <c r="AW12" s="14"/>
      <c r="AX12" s="14"/>
      <c r="AY12" s="14"/>
      <c r="AZ12" s="15"/>
    </row>
    <row r="13" spans="1:62" ht="21" x14ac:dyDescent="0.2">
      <c r="E13" s="18" t="s">
        <v>1</v>
      </c>
      <c r="F13" s="19" t="s">
        <v>2</v>
      </c>
      <c r="G13" s="20" t="s">
        <v>3</v>
      </c>
      <c r="H13" s="20" t="s">
        <v>4</v>
      </c>
      <c r="I13" s="20" t="s">
        <v>5</v>
      </c>
      <c r="J13" s="21" t="s">
        <v>6</v>
      </c>
      <c r="K13" s="18" t="s">
        <v>1</v>
      </c>
      <c r="L13" s="19" t="s">
        <v>2</v>
      </c>
      <c r="M13" s="20" t="s">
        <v>3</v>
      </c>
      <c r="N13" s="20" t="s">
        <v>4</v>
      </c>
      <c r="O13" s="20" t="s">
        <v>5</v>
      </c>
      <c r="P13" s="21" t="s">
        <v>6</v>
      </c>
      <c r="Q13" s="18" t="s">
        <v>1</v>
      </c>
      <c r="R13" s="19" t="s">
        <v>2</v>
      </c>
      <c r="S13" s="20" t="s">
        <v>3</v>
      </c>
      <c r="T13" s="20" t="s">
        <v>4</v>
      </c>
      <c r="U13" s="20" t="s">
        <v>5</v>
      </c>
      <c r="V13" s="21" t="s">
        <v>6</v>
      </c>
      <c r="W13" s="18" t="s">
        <v>1</v>
      </c>
      <c r="X13" s="19" t="s">
        <v>2</v>
      </c>
      <c r="Y13" s="20" t="s">
        <v>3</v>
      </c>
      <c r="Z13" s="20" t="s">
        <v>4</v>
      </c>
      <c r="AA13" s="20" t="s">
        <v>5</v>
      </c>
      <c r="AB13" s="21" t="s">
        <v>6</v>
      </c>
      <c r="AC13" s="18" t="s">
        <v>1</v>
      </c>
      <c r="AD13" s="19" t="s">
        <v>2</v>
      </c>
      <c r="AE13" s="20" t="s">
        <v>3</v>
      </c>
      <c r="AF13" s="20" t="s">
        <v>4</v>
      </c>
      <c r="AG13" s="20" t="s">
        <v>5</v>
      </c>
      <c r="AH13" s="21" t="s">
        <v>6</v>
      </c>
      <c r="AI13" s="18" t="s">
        <v>1</v>
      </c>
      <c r="AJ13" s="19" t="s">
        <v>2</v>
      </c>
      <c r="AK13" s="20" t="s">
        <v>3</v>
      </c>
      <c r="AL13" s="20" t="s">
        <v>4</v>
      </c>
      <c r="AM13" s="20" t="s">
        <v>5</v>
      </c>
      <c r="AN13" s="21" t="s">
        <v>6</v>
      </c>
      <c r="AO13" s="18" t="s">
        <v>1</v>
      </c>
      <c r="AP13" s="19" t="s">
        <v>2</v>
      </c>
      <c r="AQ13" s="20" t="s">
        <v>3</v>
      </c>
      <c r="AR13" s="20" t="s">
        <v>4</v>
      </c>
      <c r="AS13" s="20" t="s">
        <v>5</v>
      </c>
      <c r="AT13" s="21" t="s">
        <v>6</v>
      </c>
      <c r="AU13" s="18" t="s">
        <v>1</v>
      </c>
      <c r="AV13" s="19" t="s">
        <v>2</v>
      </c>
      <c r="AW13" s="20" t="s">
        <v>3</v>
      </c>
      <c r="AX13" s="20" t="s">
        <v>4</v>
      </c>
      <c r="AY13" s="20" t="s">
        <v>5</v>
      </c>
      <c r="AZ13" s="21" t="s">
        <v>6</v>
      </c>
    </row>
    <row r="14" spans="1:62" s="11" customFormat="1" x14ac:dyDescent="0.2">
      <c r="B14" s="22" t="s">
        <v>7</v>
      </c>
      <c r="C14" s="23"/>
      <c r="D14" s="24"/>
      <c r="E14" s="1">
        <v>0</v>
      </c>
      <c r="F14" s="25">
        <f>-0.0000148356333703661*E14 ^ 6 + 0.00100570221361047*E14 ^ 5 + -0.0195055311753532*E14 ^ 4 + 0.136377849784629*E14 ^ 3 + -0.57841808546786*E14 ^ 2 + -0.229985699626071*E14 ^ 1 + 46.9347748123679</f>
        <v>46.934774812367898</v>
      </c>
      <c r="G14" s="26">
        <f>(0.0137775743590823*E14 ^ 6 + -0.480029886537857*E14 ^ 5 + 6.42828582292268*E14 ^ 4 + -42.1613130176946*E14 ^ 3 + 130.013325091986*E14 ^ 2 + -15.7013221985394*E14 ^ 1 + 556.007670223718)/1000</f>
        <v>0.556007670223718</v>
      </c>
      <c r="H14" s="26">
        <f>(0.00852668510349048*E14 ^ 6 + -0.305537073520226*E14 ^ 5 + 4.28445500835524*E14 ^ 4 + -30.2708414012428*E14 ^ 3 + 101.56011658194*E14 ^ 2 + 2.52281559776855*E14 ^ 1 + 519.643391448432)/1000</f>
        <v>0.51964339144843197</v>
      </c>
      <c r="I14" s="26">
        <f>(0.00717743060625489*E14 ^ 6 + -0.259539051323815*E14 ^ 5 + 3.6771771710986*E14 ^ 4 + -26.1908994755142*E14 ^ 3 + 87.9189195176511*E14 ^ 2 + 2.71960779230812*E14 ^ 1 + 409.813908551442)/1000</f>
        <v>0.40981390855144201</v>
      </c>
      <c r="J14" s="25">
        <f>0.000199771109152926*E14 ^ 6 + -0.00773000161841579*E14 ^ 5 + 0.114399690770574*E14 ^ 4 + -0.756851462613823*E14 ^ 3 + 1.96874389124121*E14 ^ 2 + -2.32152427457663*E14 ^ 1 + 3436.87638237473</f>
        <v>3436.8763823747299</v>
      </c>
      <c r="K14" s="1">
        <v>0</v>
      </c>
      <c r="L14" s="25">
        <f>0.0000101320807240059*K14 ^ 6 + 0.00036206492948307*K14 ^ 5 + -0.0124209026779684*K14 ^ 4 + 0.0908992951494339*K14 ^ 3 + -0.433229338427662*K14 ^ 2 + -0.347896113995847*K14 ^ 1 + 38.010712872092</f>
        <v>38.010712872092</v>
      </c>
      <c r="M14" s="26">
        <f>(0.0158903203216326*K14 ^ 6 + -0.49947173994939*K14 ^ 5 + 6.06049441038534*K14 ^ 4 + -36.3709126181131*K14 ^ 3 + 103.012805959634*K14 ^ 2 + 0.192816578602851*K14 ^ 1 + 429.312966103726)/1000</f>
        <v>0.42931296610372599</v>
      </c>
      <c r="N14" s="26">
        <f>(0.0102164037878513*K14 ^ 6 + -0.327636722976879*K14 ^ 5 + 4.12629384271707*K14 ^ 4 + -26.4456956566462*K14 ^ 3 + 80.6016346474596*K14 ^ 2 + 14.3585399717676*K14 ^ 1 + 387.932833591218)/1000</f>
        <v>0.387932833591218</v>
      </c>
      <c r="O14" s="26">
        <f>(0.00860690583846582*K14 ^ 6 + -0.277781104123563*K14 ^ 5 + 3.52172313185547*K14 ^ 4 + -22.6508772042416*K14 ^ 3 + 68.7312384881526*K14 ^ 2 + 13.5693038879551*K14 ^ 1 + 301.862970383726)/1000</f>
        <v>0.301862970383726</v>
      </c>
      <c r="P14" s="25">
        <f>0.000152853598210569*K14 ^ 6 + -0.00541737140791305*K14 ^ 5 + 0.0734653432547929*K14 ^ 4 + -0.448889736916275*K14 ^ 3 + 1.12643048059292*K14 ^ 2 + -1.44463348300606*K14 ^ 1 + 3092.34996814943</f>
        <v>3092.34996814943</v>
      </c>
      <c r="Q14" s="1">
        <v>0</v>
      </c>
      <c r="R14" s="25">
        <f>0.0000821330256891846*Q14 ^ 6 + -0.00134240684678835*Q14 ^ 5 + 0.00363140323858592*Q14 ^ 4 + 0.0114501340821096*Q14 ^ 3 + -0.243014191646267*Q14 ^ 2 + -0.470008794769908*Q14 ^ 1 + 30.0456211961505</f>
        <v>30.045621196150499</v>
      </c>
      <c r="S14" s="26">
        <f>(0.0173269159091017*Q14 ^ 6 + -0.487435260008086*Q14 ^ 5 + 5.33918890253807*Q14 ^ 4 + -29.4008052792824*Q14 ^ 3 + 76.5503596900687*Q14 ^ 2 + 12.3529761724323*Q14 ^ 1 + 321.794208946973)/1000</f>
        <v>0.32179420894697303</v>
      </c>
      <c r="T14" s="26">
        <f>(0.0120951740168347*Q14 ^ 6 + -0.342839292271842*Q14 ^ 5 + 3.84002572168566*Q14 ^ 4 + -22.1998107948389*Q14 ^ 3 + 60.8832380390511*Q14 ^ 2 + 22.4177573182219*Q14 ^ 1 + 280.039767279093)/1000</f>
        <v>0.28003976727909297</v>
      </c>
      <c r="U14" s="26">
        <f>(0.0102588162856813*Q14 ^ 6 + -0.291441211012717*Q14 ^ 5 + 3.26677969924232*Q14 ^ 4 + -18.8121466777576*Q14 ^ 3 + 50.9665734603273*Q14 ^ 2 + 20.7233706585546*Q14 ^ 1 + 214.672353435167)/1000</f>
        <v>0.214672353435167</v>
      </c>
      <c r="V14" s="25">
        <f>0.000275447147238766*Q14 ^ 6 + -0.00867758149591369*Q14 ^ 5 + 0.104602021938814*Q14 ^ 4 + -0.568126073283988*Q14 ^ 3 + 1.26723429066548*Q14 ^ 2 + -1.44463348300451*Q14 ^ 1 + 2748.75552724393</f>
        <v>2748.7555272439299</v>
      </c>
      <c r="W14" s="1">
        <v>0</v>
      </c>
      <c r="X14" s="25">
        <f>0.000255445443292966*W14 ^ 6 + -0.00480773289619886*W14 ^ 5 + 0.0298927580143017*W14 ^ 4 + -0.0890948070354885*W14 ^ 3 + -0.0532669423561802*W14 ^ 2 + -0.553939657946807*W14 ^ 1 + 23.0020445521393</f>
        <v>23.002044552139299</v>
      </c>
      <c r="Y14" s="26">
        <f>(0.015797434341604*W14 ^ 6 + -0.393928038523399*W14 ^ 5 + 3.90494811038633*W14 ^ 4 + -20.2214293790776*W14 ^ 3 + 49.615183914109*W14 ^ 2 + 21.5202172279113*W14 ^ 1 + 231.943237454255)/1000</f>
        <v>0.23194323745425502</v>
      </c>
      <c r="Z14" s="26">
        <f>(0.0135384217970826*W14 ^ 6 + -0.330716540962128*W14 ^ 5 + 3.22956328392778*W14 ^ 4 + -16.7817017139079*W14 ^ 3 + 41.3612380924489*W14 ^ 2 + 27.6450648606395*W14 ^ 1 + 193.389723095838)/1000</f>
        <v>0.19338972309583802</v>
      </c>
      <c r="AA14" s="26">
        <f>(0.0117241201608941*W14 ^ 6 + -0.28512927270101*W14 ^ 5 + 2.75667927878238*W14 ^ 4 + -14.0665985958041*W14 ^ 3 + 33.7621091603034*W14 ^ 2 + 25.0724274342364*W14 ^ 1 + 145.749623789069)/1000</f>
        <v>0.145749623789069</v>
      </c>
      <c r="AB14" s="25">
        <f>-0.000114559806856201*W14 ^ 6 + 0.00258778366079426*W14 ^ 5 + -0.0212455402482514*W14 ^ 4 + 0.0605103853263255*W14 ^ 3 + 0.084044248320835*W14 ^ 2 + -0.567742691433395*W14 ^ 1 + 2404.50870501457</f>
        <v>2404.5087050145698</v>
      </c>
      <c r="AC14" s="1">
        <v>0</v>
      </c>
      <c r="AD14" s="25">
        <f>-0.0000817982727506619*AC14 ^ 6 + 0.00419906455955656*AC14 ^ 5 + -0.0560738641129613*AC14 ^ 4 + 0.271874900934567*AC14 ^ 3 + -0.749139756057516*AC14 ^ 2 + -0.00250488125235701*AC14 ^ 1 + 17.2506248432795</f>
        <v>17.2506248432795</v>
      </c>
      <c r="AE14" s="26">
        <f>(0.0281304095392218*AC14 ^ 6 + -0.572742700773878*AC14 ^ 5 + 4.60810088529494*AC14 ^ 4 + -19.5000813572449*AC14 ^ 3 + 39.2566830483105*AC14 ^ 2 + 24.228459883103*AC14 ^ 1 + 183.177349986419)/1000</f>
        <v>0.18317734998641899</v>
      </c>
      <c r="AF14" s="26">
        <f>(0.020732511158776*AC14 ^ 6 + -0.43744872387032*AC14 ^ 5 + 3.70512546562825*AC14 ^ 4 + -16.7765357531267*AC14 ^ 3 + 35.7821312098462*AC14 ^ 2 + 22.336656839901*AC14 ^ 1 + 141.83771066339)/1000</f>
        <v>0.14183771066338999</v>
      </c>
      <c r="AG14" s="26">
        <f>(0.0178571614509633*AC14 ^ 6 + -0.374323210896558*AC14 ^ 5 + 3.13157625622735*AC14 ^ 4 + -13.9050998419453*AC14 ^ 3 + 28.9642188986276*AC14 ^ 2 + 19.332250428708*AC14 ^ 1 + 100.653438901542)/1000</f>
        <v>0.10065343890154201</v>
      </c>
      <c r="AH14" s="25">
        <f>0.00302210678183965*AC14 ^ 6 + -0.0626570141558522*AC14 ^ 5 + 0.491779208101277*AC14 ^ 4 + -1.84602830866285*AC14 ^ 3 + 3.45060873548578*AC14 ^ 2 + -2.7154133831179*AC14 ^ 1 + 2085.65445434233</f>
        <v>2085.6544543423302</v>
      </c>
      <c r="AI14" s="1">
        <v>0</v>
      </c>
      <c r="AJ14" s="25">
        <f>-0.00177538425660265*AI14 ^ 6 + 0.0356836283615244*AI14 ^ 5 + -0.273519029974101*AI14 ^ 4 + 0.948096670984503*AI14 ^ 3 + -1.70036003356199*AI14 ^ 2 + 0.54828805054766*AI14 ^ 1 + 11.9305503668941</f>
        <v>11.930550366894099</v>
      </c>
      <c r="AK14" s="26">
        <f>(0.047702561204205*AI14 ^ 6 + -0.740707305919874*AI14 ^ 5 + 4.45451407498771*AI14 ^ 4 + -14.3177548082962*AI14 ^ 3 + 21.9404228743979*AI14 ^ 2 + 26.7343151015799*AI14 ^ 1 + 135.367997502579)/1000</f>
        <v>0.135367997502579</v>
      </c>
      <c r="AL14" s="26">
        <f>(0.0289421491555287*AI14 ^ 6 + -0.518174604885405*AI14 ^ 5 + 3.77225321571143*AI14 ^ 4 + -14.9105809007128*AI14 ^ 3 + 27.3710388853149*AI14 ^ 2 + 16.9693159965151*AI14 ^ 1 + 95.3312858141065)/1000</f>
        <v>9.5331285814106492E-2</v>
      </c>
      <c r="AM14" s="26">
        <f>(0.025607587904406*AI14 ^ 6 + -0.453183527308405*AI14 ^ 5 + 3.23462269086196*AI14 ^ 4 + -12.4301586677225*AI14 ^ 3 + 22.2381987696507*AI14 ^ 2 + 13.9165705563425*AI14 ^ 1 + 62.627310927339)/1000</f>
        <v>6.2627310927339003E-2</v>
      </c>
      <c r="AN14" s="25">
        <f>0.0075199687473846*AI14 ^ 6 + -0.129925584553525*AI14 ^ 5 + 0.849794471598642*AI14 ^ 4 + -2.65828076447325*AI14 ^ 3 + 4.14073048258097*AI14 ^ 2 + -2.7154133831169*AI14 ^ 1 + 1738.04537861861</f>
        <v>1738.0453786186099</v>
      </c>
      <c r="AO14" s="1">
        <v>0</v>
      </c>
      <c r="AP14" s="25">
        <f>-0.00877594309963187*AO14 ^ 6 + 0.133106415162999*AO14 ^ 5 + -0.774194671498769*AO14 ^ 4 + 2.08604230867407*AO14 ^ 3 + -2.81300441860729*AO14 ^ 2 + 0.947653593388681*AO14 ^ 1 + 7.77999937728909</f>
        <v>7.7799993772890899</v>
      </c>
      <c r="AQ14" s="26">
        <f>(0.0799912195671247*AO14 ^ 6 + -0.78105459102999*AO14 ^ 5 + 2.4009032539837*AO14 ^ 4 + -3.14111555083947*AO14 ^ 3 + 0.207316682249067*AO14 ^ 2 + 28.2676468373723*AO14 ^ 1 + 95.338403152198)/1000</f>
        <v>9.5338403152197992E-2</v>
      </c>
      <c r="AR14" s="26">
        <f>(0.0406665318004909*AO14 ^ 6 + -0.603160274739009*AO14 ^ 5 + 3.7261380278187*AO14 ^ 4 + -12.8258089927525*AO14 ^ 3 + 20.0025985611853*AO14 ^ 2 + 11.9979073012087*AO14 ^ 1 + 60.1445553348317)/1000</f>
        <v>6.0144555334831699E-2</v>
      </c>
      <c r="AS14" s="26">
        <f>(0.041044760811709*AO14 ^ 6 + -0.592437915571495*AO14 ^ 5 + 3.49875143043364*AO14 ^ 4 + -11.3243945849123*AO14 ^ 3 + 16.8870427392628*AO14 ^ 2 + 9.35112963502659*AO14 ^ 1 + 36.1298118790695)/1000</f>
        <v>3.6129811879069502E-2</v>
      </c>
      <c r="AT14" s="25">
        <f>0.0125248541043216*AO14 ^ 6 + -0.215833919054772*AO14 ^ 5 + 1.4063093645113*AO14 ^ 4 + -4.3481295073502*AO14 ^ 3 + 6.53103921401159*AO14 ^ 2 + -3.89046725984078*AO14 ^ 1 + 1406.86763149574</f>
        <v>1406.8676314957399</v>
      </c>
      <c r="AU14" s="1">
        <v>0</v>
      </c>
      <c r="AV14" s="25">
        <f>-0.0457513349665009*AU14 ^ 6 + 0.494766899431034*AU14 ^ 5 + -2.05448688230491*AU14 ^ 4 + 3.98933466436411*AU14 ^ 3 + -3.81724534722619*AU14 ^ 2 + 1.03772846050744*AU14 ^ 1 + 4.00362502823296</f>
        <v>4.0036250282329604</v>
      </c>
      <c r="AW14" s="26">
        <f>(0.0725825105397783*AU14 ^ 6 + 0.863032489915694*AU14 ^ 5 + -10.224124933077*AU14 ^ 4 + 31.5866995274002*AU14 ^ 3 + -39.6890832751315*AU14 ^ 2 + 29.0364750200428*AU14 ^ 1 + 56.7645179947681)/1000</f>
        <v>5.6764517994768102E-2</v>
      </c>
      <c r="AX14" s="26">
        <f>(0.0654670374644625*AU14 ^ 6 + -0.770902341343882*AU14 ^ 5 + 3.86108842921477*AU14 ^ 4 + -10.8187011463167*AU14 ^ 3 + 13.0275925206886*AU14 ^ 2 + 6.69210659442045*AU14 ^ 1 + 27.3068490255511)/1000</f>
        <v>2.7306849025551097E-2</v>
      </c>
      <c r="AY14" s="26">
        <f>(0.0487629779677051*AU14 ^ 6 + -0.573650630992093*AU14 ^ 5 + 2.87608304162597*AU14 ^ 4 + -8.09015167221715*AU14 ^ 3 + 9.79530186562928*AU14 ^ 2 + 4.98554733072018*AU14 ^ 1 + 15.716300670525)/1000</f>
        <v>1.5716300670524999E-2</v>
      </c>
      <c r="AZ14" s="25">
        <f>0.451154968504656*AU14 ^ 6 + -4.53492014154647*AU14 ^ 5 + 17.2254759814917*AU14 ^ 4 + -30.9286221115506*AU14 ^ 3 + 26.6370883468788*AU14 ^ 2 + -8.78145657473649*AU14 ^ 1 + 1007.81070865254</f>
        <v>1007.81070865254</v>
      </c>
      <c r="BA14" s="17"/>
      <c r="BB14" s="17"/>
      <c r="BC14" s="17"/>
      <c r="BD14" s="17"/>
      <c r="BE14" s="17"/>
      <c r="BF14" s="17"/>
      <c r="BG14" s="17"/>
      <c r="BH14" s="17"/>
      <c r="BI14" s="17"/>
      <c r="BJ14" s="17"/>
    </row>
    <row r="15" spans="1:62" s="11" customFormat="1" x14ac:dyDescent="0.2">
      <c r="B15" s="22" t="s">
        <v>8</v>
      </c>
      <c r="C15" s="23"/>
      <c r="D15" s="24"/>
      <c r="E15" s="1">
        <v>0</v>
      </c>
      <c r="F15" s="25">
        <f>0.00309237303007431*E15 ^ 6 + -0.0632734582260718*E15 ^ 5 + 0.469748435580724*E15 ^ 4 + -1.49368179091193*E15 ^ 3 + 0.437298627378111*E15 ^ 2 + -1.26164258462749*E15 ^ 1 + 70.8432842507611</f>
        <v>70.843284250761101</v>
      </c>
      <c r="G15" s="26">
        <f>(0.00828996450963048*E15 ^ 6 + -0.360481581470614*E15 ^ 5 + 5.22642200484906*E15 ^ 4 + -35.6092383362796*E15 ^ 3 + 86.417298512564*E15 ^ 2 + 149.541728604585*E15 ^ 1 + 667.824793921637)/1000</f>
        <v>0.66782479392163707</v>
      </c>
      <c r="H15" s="26">
        <f>(0.0856866320514985*E15 ^ 6 + -1.91222979764288*E15 ^ 5 + 16.5678145131472*E15 ^ 4 + -71.7134715721517*E15 ^ 3 + 132.308973356334*E15 ^ 2 + 131.207938533807*E15 ^ 1 + 618.728677260332)/1000</f>
        <v>0.61872867726033198</v>
      </c>
      <c r="I15" s="26">
        <f>(0.0735307364710872*E15 ^ 6 + -1.65897405081531*E15 ^ 5 + 14.5185378872444*E15 ^ 4 + -63.0251113363107*E15 ^ 3 + 115.165887941754*E15 ^ 2 + 114.012534537822*E15 ^ 1 + 496.095681146137)/1000</f>
        <v>0.496095681146137</v>
      </c>
      <c r="J15" s="25">
        <f>0.00502485911939633*E15 ^ 6 + -0.114052408510704*E15 ^ 5 + 0.963065342289389*E15 ^ 4 + -3.34146547193265*E15 ^ 3 + 3.37605681181479*E15 ^ 2 + -3.18708446609753*E15 ^ 1 + 3277.93600094553</f>
        <v>3277.9360009455299</v>
      </c>
      <c r="K15" s="1">
        <v>0</v>
      </c>
      <c r="L15" s="25">
        <f>0.00374137231085759*K15 ^ 6 + -0.0676857752699725*K15 ^ 5 + 0.434566036100006*K15 ^ 4 + -1.13296652938752*K15 ^ 3 + -0.461380795409196*K15 ^ 2 + -0.513417610184877*K15 ^ 1 + 57.2794678706808</f>
        <v>57.279467870680797</v>
      </c>
      <c r="M15" s="26">
        <f>(-0.0188685972349524*K15 ^ 6 + 0.0979421803395491*K15 ^ 5 + 2.2928385652693*K15 ^ 4 + -25.9357493432365*K15 ^ 3 + 68.7931728497155*K15 ^ 2 + 118.762254678314*K15 ^ 1 + 523.730361335623)/1000</f>
        <v>0.52373036133562301</v>
      </c>
      <c r="N15" s="26">
        <f>(0.0557851498195062*K15 ^ 6 + -1.24570102190852*K15 ^ 5 + 11.1086563447502*K15 ^ 4 + -51.3139188638952*K15 ^ 3 + 99.3492646302958*K15 ^ 2 + 102.500608935132*K15 ^ 1 + 477.703026701403)/1000</f>
        <v>0.47770302670140302</v>
      </c>
      <c r="O15" s="26">
        <f>(0.0484119545437851*K15 ^ 6 + -1.08854911350268*K15 ^ 5 + 9.73023420898011*K15 ^ 4 + -44.602781178653*K15 ^ 3 + 84.8538748168267*K15 ^ 2 + 88.6272394318716*K15 ^ 1 + 379.727219985148)/1000</f>
        <v>0.37972721998514802</v>
      </c>
      <c r="P15" s="25">
        <f>0.00337179805423818*K15 ^ 6 + -0.0800110289305029*K15 ^ 5 + 0.660452904563211*K15 ^ 4 + -2.06263300736379*K15 ^ 3 + 1.40416351961845*K15 ^ 2 + -1.25108869492051*K15 ^ 1 + 2951.5734101356</f>
        <v>2951.5734101356002</v>
      </c>
      <c r="Q15" s="1">
        <v>0</v>
      </c>
      <c r="R15" s="25">
        <f>0.00474833828704608*Q15 ^ 6 + -0.0735230665700593*Q15 ^ 5 + 0.388000966724174*Q15 ^ 4 + -0.721796270655345*Q15 ^ 3 + -1.35787729894186*Q15 ^ 2 + 0.0870779639440531*Q15 ^ 1 + 45.1169336598366</f>
        <v>45.116933659836597</v>
      </c>
      <c r="S15" s="26">
        <f>(-0.0842221386653794*Q15 ^ 6 + 0.993142547477442*Q15 ^ 5 + -2.16247723954832*Q15 ^ 4 + -14.9276988010508*Q15 ^ 3 + 52.489048594174*Q15 ^ 2 + 89.5616916832109*Q15 ^ 1 + 398.624435440614)/1000</f>
        <v>0.39862443544061399</v>
      </c>
      <c r="T15" s="26">
        <f>(-0.0262316466810853*Q15 ^ 6 + 0.0865163655937198*Q15 ^ 5 + 3.02809564501308*Q15 ^ 4 + -28.3400745687262*Q15 ^ 3 + 69.0669254273268*Q15 ^ 2 + 75.5094237780072*Q15 ^ 1 + 357.266370396921)/1000</f>
        <v>0.357266370396921</v>
      </c>
      <c r="U15" s="26">
        <f>(-0.0187718611496871*Q15 ^ 6 + 0.0199864163562019*Q15 ^ 5 + 2.83641701815294*Q15 ^ 4 + -24.314656431455*Q15 ^ 3 + 57.4443625181861*Q15 ^ 2 + 64.9808602040513*Q15 ^ 1 + 281.250539694096)/1000</f>
        <v>0.28125053969409602</v>
      </c>
      <c r="V15" s="25">
        <f>0.00607608957836545*Q15 ^ 6 + -0.128162197463853*Q15 ^ 5 + 0.940371420754078*Q15 ^ 4 + -2.61051989994345*Q15 ^ 3 + 1.57968395957038*Q15 ^ 2 + -1.25108869492096*Q15 ^ 1 + 2623.62080900942</f>
        <v>2623.6208090094201</v>
      </c>
      <c r="W15" s="1">
        <v>0</v>
      </c>
      <c r="X15" s="25">
        <f>0.00494660240411176*W15 ^ 6 + -0.061151844820342*W15 ^ 5 + 0.216997454223947*W15 ^ 4 + 0*W15 ^ 3 + -2.46644997908296*W15 ^ 2 + 0.671214229428287*W15 ^ 1 + 34.4545682212435</f>
        <v>34.454568221243498</v>
      </c>
      <c r="Y15" s="26">
        <f>(-0.237748482276913*W15 ^ 6 + 2.79332549971277*W15 ^ 5 + -9.71962022256062*W15 ^ 4 + 0*W15 ^ 3 + 36.0378840580975*W15 ^ 2 + 64.1266810573827*W15 ^ 1 + 292.858859375496)/1000</f>
        <v>0.29285885937549605</v>
      </c>
      <c r="Z15" s="26">
        <f>(-0.234743760770395*W15 ^ 6 + 2.79697473420397*W15 ^ 5 + -9.91335541298531*W15 ^ 4 + 0*W15 ^ 3 + 40.3631463130372*W15 ^ 2 + 52.3544331419133*W15 ^ 1 + 257.322430441937)/1000</f>
        <v>0.25732243044193698</v>
      </c>
      <c r="AA15" s="26">
        <f>(-0.186177016877269*W15 ^ 6 + 2.22333605178467*W15 ^ 5 + -7.90818031464456*W15 ^ 4 + 0*W15 ^ 3 + 32.0836304413895*W15 ^ 2 + 44.844589336191*W15 ^ 1 + 200.364542212261)/1000</f>
        <v>0.20036454221226099</v>
      </c>
      <c r="AB15" s="25">
        <f>-0.0062047542886177*W15 ^ 6 + 0.0377423421403041*W15 ^ 5 + -0.000364453163335825*W15 ^ 4 + 0*W15 ^ 3 + -1.21223210928138*W15 ^ 2 + 0.684907076253213*W15 ^ 1 + 2296.78121510462</f>
        <v>2296.7812151046201</v>
      </c>
      <c r="AC15" s="1">
        <v>0</v>
      </c>
      <c r="AD15" s="25">
        <f>0.00725834782867216*AC15 ^ 6 + -0.079982858077581*AC15 ^ 5 + 0.249338369912246*AC15 ^ 4 + 0.0113851492798426*AC15 ^ 3 + -2.42167748656376*AC15 ^ 2 + 0.364728831913426*AC15 ^ 1 + 26.4469825803393</f>
        <v>26.446982580339299</v>
      </c>
      <c r="AE15" s="26">
        <f>(-0.392268777447822*AC15 ^ 6 + 3.87495165277161*AC15 ^ 5 + -11.2638042096457*AC15 ^ 4 + -0.968190375630229*AC15 ^ 3 + 30.5122032394421*AC15 ^ 2 + 59.4837469544717*AC15 ^ 1 + 228.994819085221)/1000</f>
        <v>0.22899481908522099</v>
      </c>
      <c r="AF15" s="26">
        <f>(-0.347165017299759*AC15 ^ 6 + 3.53106084077614*AC15 ^ 5 + -10.6489234192513*AC15 ^ 4 + -0.598842314458942*AC15 ^ 3 + 31.0319756635175*AC15 ^ 2 + 50.6384703134343*AC15 ^ 1 + 189.06356139485)/1000</f>
        <v>0.18906356139485</v>
      </c>
      <c r="AG15" s="26">
        <f>(-0.274770972615689*AC15 ^ 6 + 2.82299357455206*AC15 ^ 5 + -8.64887603265778*AC15 ^ 4 + -0.0571212284089722*AC15 ^ 3 + 24.4768954631767*AC15 ^ 2 + 41.5077952850396*AC15 ^ 1 + 140.384980918723)/1000</f>
        <v>0.14038498091872298</v>
      </c>
      <c r="AH15" s="25">
        <f>-0.0040651888681251*AC15 ^ 6 + 0.0440283464661472*AC15 ^ 5 + -0.108558300458815*AC15 ^ 4 + -0.00947476310335517*AC15 ^ 3 + 0.0292390154908334*AC15 ^ 2 + -0.439245293451234*AC15 ^ 1 + 2012.76470877902</f>
        <v>2012.7647087790201</v>
      </c>
      <c r="AI15" s="1">
        <v>0</v>
      </c>
      <c r="AJ15" s="25">
        <f>0.00897794742825444*AI15 ^ 6 + -0.0950598282697097*AI15 ^ 5 + 0.271417421526762*AI15 ^ 4 + 0.0110616622924588*AI15 ^ 3 + -2.2515664037826*AI15 ^ 2 + 0.0660048490253147*AI15 ^ 1 + 18.3532649387821</f>
        <v>18.3532649387821</v>
      </c>
      <c r="AK15" s="26">
        <f>(-0.654791990208479*AI15 ^ 6 + 5.14733943908475*AI15 ^ 5 + -11.8743802802142*AI15 ^ 4 + -1.54007280192727*AI15 ^ 3 + 19.2694142704726*AI15 ^ 2 + 52.333534205125*AI15 ^ 1 + 163.028850814929)/1000</f>
        <v>0.16302885081492899</v>
      </c>
      <c r="AL15" s="26">
        <f>(-0.469913053017787*AI15 ^ 6 + 3.89676502942878*AI15 ^ 5 + -9.59402054847827*AI15 ^ 4 + -0.926656555140725*AI15 ^ 3 + 16.2455634522953*AI15 ^ 2 + 46.3005815944767*AI15 ^ 1 + 123.509837477159)/1000</f>
        <v>0.12350983747715899</v>
      </c>
      <c r="AM15" s="26">
        <f>(-0.38529131976696*AI15 ^ 6 + 3.25499428588614*AI15 ^ 5 + -8.24064157888545*AI15 ^ 4 + -0.127946995031962*AI15 ^ 3 + 13.7493026138534*AI15 ^ 2 + 35.6509349927376*AI15 ^ 1 + 85.8854552607848)/1000</f>
        <v>8.5885455260784796E-2</v>
      </c>
      <c r="AN15" s="25">
        <f>-0.010115490764068*AI15 ^ 6 + 0.0912971792300665*AI15 ^ 5 + -0.187588743186338*AI15 ^ 4 + -0.0136436588778862*AI15 ^ 3 + 0.0350868185944911*AI15 ^ 2 + -0.439245293452225*AI15 ^ 1 + 1677.30392398251</f>
        <v>1677.30392398251</v>
      </c>
      <c r="AO15" s="1">
        <v>0</v>
      </c>
      <c r="AP15" s="25">
        <f>0.00521768744713165*AO15 ^ 6 + -0.088581495757076*AO15 ^ 5 + 0.260881550447648*AO15 ^ 4 + 0.0180204132421032*AO15 ^ 3 + -2.11599441998603*AO15 ^ 2 + -0.183904492386274*AO15 ^ 1 + 12.2570173701189</f>
        <v>12.2570173701189</v>
      </c>
      <c r="AQ15" s="26">
        <f>(-1.16982628315689*AO15 ^ 6 + 7.06495742392982*AO15 ^ 5 + -12.8448094351864*AO15 ^ 4 + 0.14398461422521*AO15 ^ 3 + 5.73193626081475*AO15 ^ 2 + 46.3132721101859*AO15 ^ 1 + 111.995891259445)/1000</f>
        <v>0.11199589125944501</v>
      </c>
      <c r="AR15" s="26">
        <f>(-0.493549602026252*AO15 ^ 6 + 3.35918885133629*AO15 ^ 5 + -6.96310247811307*AO15 ^ 4 + -0.083124533431132*AO15 ^ 3 + 1.34562437810225*AO15 ^ 2 + 41.8339971284144*AO15 ^ 1 + 77.1560911195975)/1000</f>
        <v>7.7156091119597509E-2</v>
      </c>
      <c r="AS15" s="26">
        <f>(-0.497877959278086*AO15 ^ 6 + 3.44499396758585*AO15 ^ 5 + -7.2043973870476*AO15 ^ 4 + 0.000733905704661654*AO15 ^ 3 + 4.58762053473563*AO15 ^ 2 + 29.9986724247336*AO15 ^ 1 + 49.9000696362892)/1000</f>
        <v>4.99000696362892E-2</v>
      </c>
      <c r="AT15" s="25">
        <f>0.0105117409415668*AO15 ^ 6 + 0.0300827015165676*AO15 ^ 5 + -0.299341941520277*AO15 ^ 4 + -0.0218298541929112*AO15 ^ 3 + 1.413838872137*AO15 ^ 2 + -1.25071813052348*AO15 ^ 1 + 1371.23986974081</f>
        <v>1371.23986974081</v>
      </c>
      <c r="AU15" s="1">
        <v>0</v>
      </c>
      <c r="AV15" s="25">
        <f>-0.0248082784215648*AU15 ^ 6 + 0*AU15 ^ 5 + 0.167255503240892*AU15 ^ 4 + 0*AU15 ^ 3 + -1.68561363677927*AU15 ^ 2 + -0.32192504841961*AU15 ^ 1 + 6.57386555019278</f>
        <v>6.5738655501927798</v>
      </c>
      <c r="AW15" s="26">
        <f>(-0.564630938512217*AU15 ^ 6 + 0*AU15 ^ 5 + 3.51197181563356*AU15 ^ 4 + 0*AU15 ^ 3 + -18.3766449157158*AU15 ^ 2 + 36.4916160171519*AU15 ^ 1 + 64.2376834438058)/1000</f>
        <v>6.4237683443805801E-2</v>
      </c>
      <c r="AX15" s="26">
        <f>(0.00370089782136008*AU15 ^ 6 + 0*AU15 ^ 5 + -0.347686128561926*AU15 ^ 4 + 0*AU15 ^ 3 + -8.12934658738699*AU15 ^ 2 + 28.2053139307202*AU15 ^ 1 + 35.7814608805715)/1000</f>
        <v>3.5781460880571499E-2</v>
      </c>
      <c r="AY15" s="26">
        <f>(0.00522815742346822*AU15 ^ 6 + 0*AU15 ^ 5 + -0.28690546509848*AU15 ^ 4 + 0*AU15 ^ 3 + -6.03663103062312*AU15 ^ 2 + 21.2026580920304*AU15 ^ 1 + 22.0657032741103)/1000</f>
        <v>2.2065703274110303E-2</v>
      </c>
      <c r="AZ15" s="25">
        <f>0.505397550282424*AU15 ^ 6 + 0*AU15 ^ 5 + -3.46899247007408*AU15 ^ 4 + 0*AU15 ^ 3 + 7.85722663379491*AU15 ^ 2 + -3.498404324547*AU15 ^ 1 + 1001.02335171211</f>
        <v>1001.02335171211</v>
      </c>
      <c r="BA15" s="17"/>
      <c r="BB15" s="17"/>
      <c r="BC15" s="17"/>
      <c r="BD15" s="17"/>
      <c r="BE15" s="17"/>
      <c r="BF15" s="17"/>
      <c r="BG15" s="17"/>
      <c r="BH15" s="17"/>
      <c r="BI15" s="17"/>
      <c r="BJ15" s="17"/>
    </row>
    <row r="16" spans="1:62" s="11" customFormat="1" x14ac:dyDescent="0.2">
      <c r="B16" s="22" t="s">
        <v>9</v>
      </c>
      <c r="C16" s="23"/>
      <c r="D16" s="24"/>
      <c r="E16" s="1">
        <v>0</v>
      </c>
      <c r="F16" s="25">
        <f>2.01370995942236E-07*E16 ^ 6 + -0.0000168318735645255*E16 ^ 5 + 0.000498445950162153*E16 ^ 4 + -0.00680514280212868*E16 ^ 3 + 0.0283592308397468*E16 ^ 2 + -0.163153855527626*E16 ^ 1 + 30.9967438003715</f>
        <v>30.996743800371501</v>
      </c>
      <c r="G16" s="26">
        <f>(0.0000122701708846467*E16 ^ 6 + -0.00121684194753207*E16 ^ 5 + 0.0487212533668809*E16 ^ 4 + -1.05726890798724*E16 ^ 3 + 10.495211706885*E16 ^ 2 + 61.8549615890327*E16 ^ 1 + 931.823147124941)/1000</f>
        <v>0.93182314712494096</v>
      </c>
      <c r="H16" s="26">
        <f>(9.17200349241323E-06*E16 ^ 6 + -0.000855473184454516*E16 ^ 5 + 0.0324601807457566*E16 ^ 4 + -0.707915506910079*E16 ^ 3 + 7.0025755679119*E16 ^ 2 + 72.8968397590524*E16 ^ 1 + 860.300125978279)/1000</f>
        <v>0.86030012597827898</v>
      </c>
      <c r="I16" s="26">
        <f>(7.21449510988163E-06*E16 ^ 6 + -0.000698809885652812*E16 ^ 5 + 0.0278645912036515*E16 ^ 4 + -0.63462297260682*E16 ^ 3 + 6.3848280440677*E16 ^ 2 + 64.1673053751368*E16 ^ 1 + 704.200593142586)/1000</f>
        <v>0.70420059314258598</v>
      </c>
      <c r="J16" s="25">
        <f>-0.0000010508685130044*E16 ^ 6 + 0.000091790151522382*E16 ^ 5 + -0.0029717407726576*E16 ^ 4 + 0.0461608999436162*E16 ^ 3 + -0.387372753114883*E16 ^ 2 + 1.20285345927578*E16 ^ 1 + 3365.52695514893</f>
        <v>3365.52695514893</v>
      </c>
      <c r="K16" s="1">
        <v>0</v>
      </c>
      <c r="L16" s="25">
        <f>3.91112060540937E-07*K16 ^ 6 + -0.0000300975844207002*K16 ^ 5 + 0.00083361973145494*K16 ^ 4 + -0.0107048942700466*K16 ^ 3 + 0.0489324111207848*K16 ^ 2 + -0.191665565656383*K16 ^ 1 + 25.1086201213237</f>
        <v>25.1086201213237</v>
      </c>
      <c r="M16" s="26">
        <f>(0.0000130970734667464*K16 ^ 6 + -0.00109980857312845*K16 ^ 5 + 0.0377519169578447*K16 ^ 4 + -0.74659388965474*K16 ^ 3 + 6.74318546520319*K16 ^ 2 + 59.0258085887558*K16 ^ 1 + 725.287236704453)/1000</f>
        <v>0.72528723670445294</v>
      </c>
      <c r="N16" s="26">
        <f>(7.36766449851823E-06*K16 ^ 6 + -0.000560618450485529*K16 ^ 5 + 0.0178041597798131*K16 ^ 4 + -0.384729731894748*K16 ^ 3 + 3.61172807175835*K16 ^ 2 + 67.2980716354984*K16 ^ 1 + 657.658498953696)/1000</f>
        <v>0.65765849895369599</v>
      </c>
      <c r="O16" s="26">
        <f>(1.74502986548206E-06*K16 ^ 6 + -0.000134734204792697*K16 ^ 5 + 0.00628466557205824*K16 ^ 4 + -0.243772889699837*K16 ^ 3 + 2.92860330693516*K16 ^ 2 + 59.2824506349507*K16 ^ 1 + 528.095892620364)/1000</f>
        <v>0.52809589262036405</v>
      </c>
      <c r="P16" s="25">
        <f>-2.13504742210632E-06*K16 ^ 6 + 0.000174028932383579*K16 ^ 5 + -0.0053241138695566*K16 ^ 4 + 0.0775382806337577*K16 ^ 3 + -0.572566783875095*K16 ^ 2 + 1.77798320722301*K16 ^ 1 + 3029.59113826417</f>
        <v>3029.5911382641698</v>
      </c>
      <c r="Q16" s="1">
        <v>0</v>
      </c>
      <c r="R16" s="25">
        <f>7.94401894047474E-07*Q16 ^ 6 + -0.0000554155128983525*Q16 ^ 5 + 0.00140715419640814*Q16 ^ 4 + -0.0165939411067027*Q16 ^ 3 + 0.0754957196303429*Q16 ^ 2 + -0.225971698710606*Q16 ^ 1 + 19.8310408220771</f>
        <v>19.8310408220771</v>
      </c>
      <c r="S16" s="26">
        <f>(0.0000125735856076492*Q16 ^ 6 + -0.000810379516316604*Q16 ^ 5 + 0.0214264356411987*Q16 ^ 4 + -0.388944523296971*Q16 ^ 3 + 3.16689328749771*Q16 ^ 2 + 54.6725064522664*Q16 ^ 1 + 547.802384366534)/1000</f>
        <v>0.54780238436653406</v>
      </c>
      <c r="T16" s="26">
        <f>(2.19567534770496E-06*Q16 ^ 6 + -0.000013013501916528*Q16 ^ 5 + -0.00267641196284104*Q16 ^ 4 + -0.0260564713994198*Q16 ^ 3 + 0.49868324960466*Q16 ^ 2 + 60.3955709769577*Q16 ^ 1 + 486.797716073561)/1000</f>
        <v>0.48679771607356098</v>
      </c>
      <c r="U16" s="26">
        <f>(-0.0000103964839611876*Q16 ^ 6 + 0.000845985587681035*Q16 ^ 5 + -0.0233479532657498*Q16 ^ 4 + 0.183442759162317*Q16 ^ 3 + -0.165726145058676*Q16 ^ 2 + 53.088483198947*Q16 ^ 1 + 382.583272979099)/1000</f>
        <v>0.382583272979099</v>
      </c>
      <c r="V16" s="25">
        <f>-3.84742478112435E-06*Q16 ^ 6 + 0.000278760699552696*Q16 ^ 5 + -0.0075806230681703*Q16 ^ 4 + 0.0981343864269828*Q16 ^ 3 + -0.64413763185855*Q16 ^ 2 + 1.77798320722016*Q16 ^ 1 + 2692.96990067926</f>
        <v>2692.9699006792598</v>
      </c>
      <c r="W16" s="1">
        <v>0</v>
      </c>
      <c r="X16" s="25">
        <f>1.69465059978227E-06*W16 ^ 6 + -0.00010466973434806*W16 ^ 5 + 0.00236875893916446*W16 ^ 4 + -0.0248874694020667*W16 ^ 3 + 0.105377273518112*W16 ^ 2 + -0.248721288135599*W16 ^ 1 + 15.1826179599685</f>
        <v>15.1826179599685</v>
      </c>
      <c r="Y16" s="26">
        <f>(6.27895438486527E-06*W16 ^ 6 + -0.0000175484997348096*W16 ^ 5 + -0.00833110162140583*W16 ^ 4 + 0.0944136917143658*W16 ^ 3 + -0.494392320212455*W16 ^ 2 + 49.8086721389625*W16 ^ 1 + 398.705691249835)/1000</f>
        <v>0.39870569124983501</v>
      </c>
      <c r="Z16" s="26">
        <f>(-0.0000125992332619481*W16 ^ 6 + 0.00115922950095925*W16 ^ 5 + -0.0368386993425595*W16 ^ 4 + 0.440107318116612*W16 ^ 3 + -2.59136081249507*W16 ^ 2 + 53.2611601014308*W16 ^ 1 + 346.300528079649)/1000</f>
        <v>0.34630052807964901</v>
      </c>
      <c r="AA16" s="26">
        <f>(-0.0000385921393108569*W16 ^ 6 + 0.00270927535664607*W16 ^ 5 + -0.06902889192109*W16 ^ 4 + 0.70648030899025*W16 ^ 3 + -3.09474142176267*W16 ^ 2 + 46.5510070994292*W16 ^ 1 + 265.62148410427)/1000</f>
        <v>0.26562148410427</v>
      </c>
      <c r="AB16" s="25">
        <f>-8.74980538795545E-06*W16 ^ 6 + 0.000568807220121761*W16 ^ 5 + -0.0139673972278454*W16 ^ 4 + 0.16214513200606*W16 ^ 3 + -0.918924939798999*W16 ^ 2 + 2.35311295516654*W16 ^ 1 + 2356.82845758445</f>
        <v>2356.82845758445</v>
      </c>
      <c r="AC16" s="1">
        <v>0</v>
      </c>
      <c r="AD16" s="25">
        <f>3.36220088305258E-06*AC16 ^ 6 + -0.000178114519593224*AC16 ^ 5 + 0.00346625289945136*AC16 ^ 4 + -0.0314066900549275*AC16 ^ 3 + 0.116247927480847*AC16 ^ 2 + -0.239569750969025*AC16 ^ 1 + 11.5756724700452</f>
        <v>11.5756724700452</v>
      </c>
      <c r="AE16" s="26">
        <f>(0.0000147196550760689*AC16 ^ 6 + -0.0002200766738318*AC16 ^ 5 + -0.00692634440236376*AC16 ^ 4 + 0.0709725058247529*AC16 ^ 3 + -0.377447839277719*AC16 ^ 2 + 40.7660409953789*AC16 ^ 1 + 321.459368248199)/1000</f>
        <v>0.32145936824819898</v>
      </c>
      <c r="AF16" s="26">
        <f>(-0.0000107747924538568*AC16 ^ 6 + 0.00113498750361681*AC16 ^ 5 + -0.0351714790975757*AC16 ^ 4 + 0.374443464999146*AC16 ^ 3 + -2.02894408647333*AC16 ^ 2 + 41.6391698657253*AC16 ^ 1 + 273.079326723299)/1000</f>
        <v>0.27307932672329899</v>
      </c>
      <c r="AG16" s="26">
        <f>(-0.0000519189346102066*AC16 ^ 6 + 0.00325303386942622*AC16 ^ 5 + -0.0734039237532399*AC16 ^ 4 + 0.653150493685748*AC16 ^ 3 + -2.49068497702039*AC16 ^ 2 + 35.7461109632677*AC16 ^ 1 + 191.004011064943)/1000</f>
        <v>0.191004011064943</v>
      </c>
      <c r="AH16" s="25">
        <f>-0.000010125217044133*AC16 ^ 6 + 0.000572885699721101*AC16 ^ 5 + -0.0123478911267711*AC16 ^ 4 + 0.127495249696402*AC16 ^ 3 + -0.659569087031507*AC16 ^ 2 + 1.69118552925305*AC16 ^ 1 + 2054.55727168379</f>
        <v>2054.5572716837901</v>
      </c>
      <c r="AI16" s="1">
        <v>0</v>
      </c>
      <c r="AJ16" s="25">
        <f>7.28140535757781E-06*AI16 ^ 6 + -0.000321436045095854*AI16 ^ 5 + 0.00522699743668183*AI16 ^ 4 + -0.0396669286404029*AI16 ^ 3 + 0.12445287449405*AI16 ^ 2 + -0.217451574642616*AI16 ^ 1 + 8.07373761218462</f>
        <v>8.0737376121846207</v>
      </c>
      <c r="AK16" s="26">
        <f>(0.0000217241542519857*AI16 ^ 6 + -0.000099770357064615*AI16 ^ 5 + -0.0124137980115373*AI16 ^ 4 + 0.0969591109335974*AI16 ^ 3 + -0.380874352405139*AI16 ^ 2 + 29.9148083175807*AI16 ^ 1 + 241.485930100223)/1000</f>
        <v>0.24148593010022298</v>
      </c>
      <c r="AL16" s="26">
        <f>(-2.82137815838288E-06*AI16 ^ 6 + 0.000958056664484874*AI16 ^ 5 + -0.0309042436961042*AI16 ^ 4 + 0.281021296246987*AI16 ^ 3 + -1.3250410857622*AI16 ^ 2 + 28.4345344809488*AI16 ^ 1 + 199.183521415199)/1000</f>
        <v>0.19918352141519902</v>
      </c>
      <c r="AM16" s="26">
        <f>(-0.0000702607799513426*AI16 ^ 6 + 0.00390395285410897*AI16 ^ 5 + -0.0768753797131414*AI16 ^ 4 + 0.583423215933314*AI16 ^ 3 + -1.89724786388448*AI16 ^ 2 + 24.6259529742805*AI16 ^ 1 + 123.254164854655)/1000</f>
        <v>0.123254164854655</v>
      </c>
      <c r="AN16" s="25">
        <f>-0.0000251947800752418*AI16 ^ 6 + 0.0011879357869409*AI16 ^ 5 + -0.0213371558670454*AI16 ^ 4 + 0.183593159562684*AI16 ^ 3 + -0.79148290443726*AI16 ^ 2 + 1.69118552925224*AI16 ^ 1 + 1712.13105973649</f>
        <v>1712.13105973649</v>
      </c>
      <c r="AO16" s="1">
        <v>0</v>
      </c>
      <c r="AP16" s="25">
        <f>0.0000197063899149796*AO16 ^ 6 + -0.000696518987193161*AO16 ^ 5 + 0.00909841530790491*AO16 ^ 4 + -0.0556023535775847*AO16 ^ 3 + 0.142671619809026*AO16 ^ 2 + -0.20150226829911*AO16 ^ 1 + 5.36818009823792</f>
        <v>5.3681800982379198</v>
      </c>
      <c r="AQ16" s="26">
        <f>(0.0000626892286978062*AO16 ^ 6 + -0.000751021409017814*AO16 ^ 5 + -0.00820593088509736*AO16 ^ 4 + 0.0304937826856317*AO16 ^ 3 + 0.0582195353602985*AO16 ^ 2 + 19.8448020553913*AO16 ^ 1 + 174.647052945507)/1000</f>
        <v>0.174647052945507</v>
      </c>
      <c r="AR16" s="26">
        <f>(0.0000739271852909212*AO16 ^ 6 + -0.00128985077359751*AO16 ^ 5 + -0.000689438479627755*AO16 ^ 4 + 0.0200303590668472*AO16 ^ 3 + -0.11291898791046*AO16 ^ 2 + 16.8922641379406*AO16 ^ 1 + 139.322697365537)/1000</f>
        <v>0.13932269736553701</v>
      </c>
      <c r="AS16" s="26">
        <f>(-0.0000722610287247009*AO16 ^ 6 + 0.00401007596833345*AO16 ^ 5 + -0.0717824784314053*AO16 ^ 4 + 0.453135897936038*AO16 ^ 3 + -1.18833140841747*AO16 ^ 2 + 15.9908355369215*AO16 ^ 1 + 75.0415141430109)/1000</f>
        <v>7.5041514143010898E-2</v>
      </c>
      <c r="AT16" s="25">
        <f>-2.66480545662196E-06*AO16 ^ 6 + 0.000152593405650214*AO16 ^ 5 + -0.00347821899272088*AO16 ^ 4 + 0.0395054883149578*AO16 ^ 3 + -0.237176714525654*AO16 ^ 2 + 0.823406482672391*AO16 ^ 1 + 1392.6505769587</f>
        <v>1392.6505769587</v>
      </c>
      <c r="AU16" s="1">
        <v>0</v>
      </c>
      <c r="AV16" s="25">
        <f>0.0000648410196853437*AU16 ^ 6 + -0.00170924260143001*AU16 ^ 5 + 0.0166951666327885*AU16 ^ 4 + -0.076448558249811*AU16 ^ 3 + 0.149118953503723*AU16 ^ 2 + -0.159070701343287*AU16 ^ 1 + 2.84280354070153</f>
        <v>2.8428035407015302</v>
      </c>
      <c r="AW16" s="26">
        <f>(0.000202832618332125*AU16 ^ 6 + -0.00320296341042918*AU16 ^ 5 + 0.0152409511631495*AU16 ^ 4 + -0.130623275550106*AU16 ^ 3 + 0.550332985499653*AU16 ^ 2 + 8.38340089357984*AU16 ^ 1 + 108.209156088288)/1000</f>
        <v>0.108209156088288</v>
      </c>
      <c r="AX16" s="26">
        <f>(0.000439879111734479*AU16 ^ 6 + -0.00941076211401603*AU16 ^ 5 + 0.0724585827582719*AU16 ^ 4 + -0.337771368350081*AU16 ^ 3 + 0.754234134831894*AU16 ^ 2 + 8.01097573306296*AU16 ^ 1 + 68.7670768392371)/1000</f>
        <v>6.8767076839237107E-2</v>
      </c>
      <c r="AY16" s="26">
        <f>(0.000156699529361156*AU16 ^ 6 + -0.00124259910314158*AU16 ^ 5 + -0.0172163358174759*AU16 ^ 4 + 0.127434370060566*AU16 ^ 3 + -0.297994796446585*AU16 ^ 2 + 7.84496203833264*AU16 ^ 1 + 35.3599734075632)/1000</f>
        <v>3.5359973407563201E-2</v>
      </c>
      <c r="AZ16" s="25">
        <f>0.000485279691146671*AU16 ^ 6 + -0.0129077100257519*AU16 ^ 5 + 0.126265402544005*AU16 ^ 4 + -0.555456257536259*AU16 ^ 3 + 1.04498414062379*AU16 ^ 2 + -0.24322099533534*AU16 ^ 1 + 1006.97901966853</f>
        <v>1006.97901966853</v>
      </c>
      <c r="BA16" s="17"/>
      <c r="BB16" s="17"/>
      <c r="BC16" s="17"/>
      <c r="BD16" s="17"/>
      <c r="BE16" s="17"/>
      <c r="BF16" s="17"/>
      <c r="BG16" s="17"/>
      <c r="BH16" s="17"/>
      <c r="BI16" s="17"/>
      <c r="BJ16" s="17"/>
    </row>
    <row r="17" spans="2:62" s="11" customFormat="1" x14ac:dyDescent="0.2">
      <c r="B17" s="22" t="s">
        <v>10</v>
      </c>
      <c r="C17" s="23"/>
      <c r="D17" s="24"/>
      <c r="E17" s="1">
        <v>0</v>
      </c>
      <c r="F17" s="25">
        <f>-5.81739611051809E-06*E17 ^ 6 + 0.000435787252625884*E17 ^ 5 + -0.011979660254475*E17 ^ 4 + 0.142337711791984*E17 ^ 3 + -0.781745075465728*E17 ^ 2 + 1.08816525800184*E17 ^ 1 + 51.2374111842495</f>
        <v>51.237411184249503</v>
      </c>
      <c r="G17" s="26">
        <f>(-0.000326316178775106*E17 ^ 6 + 0.020775975013099*E17 ^ 5 + -0.474744327960685*E17 ^ 4 + 4.39167156986472*E17 ^ 3 + -17.4094147510748*E17 ^ 2 + 186.820335271536*E17 ^ 1 + 901.64207250829)/1000</f>
        <v>0.90164207250828998</v>
      </c>
      <c r="H17" s="26">
        <f>(0.0000649951313988762*E17 ^ 6 + -0.00586601009727718*E17 ^ 5 + 0.195411957367452*E17 ^ 4 + -3.18677902794043*E17 ^ 3 + 19.6166931108741*E17 ^ 2 + 122.217426491442*E17 ^ 1 + 844.524068466705)/1000</f>
        <v>0.84452406846670502</v>
      </c>
      <c r="I17" s="26">
        <f>(-0.000225941731830962*E17 ^ 6 + 0.0121938653074829*E17 ^ 5 + -0.2224006252433*E17 ^ 4 + 1.21425372910504*E17 ^ 3 + -0.200356620858077*E17 ^ 2 + 136.319019526311*E17 ^ 1 + 672.221719575876)/1000</f>
        <v>0.67222171957587606</v>
      </c>
      <c r="J17" s="25">
        <f>6.16311970761208E-06*E17 ^ 6 + -0.000382851723927026*E17 ^ 5 + 0.00872770101702222*E17 ^ 4 + -0.0806887958021954*E17 ^ 3 + 0.193072242509386*E17 ^ 2 + -0.47187161065318*E17 ^ 1 + 3557.01016566031</f>
        <v>3557.0101656603101</v>
      </c>
      <c r="K17" s="1">
        <v>0</v>
      </c>
      <c r="L17" s="25">
        <f>0.0000102754907550513*K17 ^ 6 + -0.000462166592266755*K17 ^ 5 + 0.00741617653529789*K17 ^ 4 + -0.0595804972256931*K17 ^ 3 + 0.202614426800774*K17 ^ 2 + -0.61598744114054*K17 ^ 1 + 41.6092219494241</f>
        <v>41.609221949424096</v>
      </c>
      <c r="M17" s="26">
        <f>(0.00128437316260962*K17 ^ 6 + -0.0628934660265001*K17 ^ 5 + 1.15170204240232*K17 ^ 4 + -10.1489917826225*K17 ^ 3 + 40.5641891576933*K17 ^ 2 + 77.0036954381022*K17 ^ 1 + 704.265894031327)/1000</f>
        <v>0.704265894031327</v>
      </c>
      <c r="N17" s="26">
        <f>(0.00161744390309457*K17 ^ 6 + -0.0840418893538135*K17 ^ 5 + 1.64461956486538*K17 ^ 4 + -15.281725901844*K17 ^ 3 + 63.5386886724899*K17 ^ 2 + 39.2315994833557*K17 ^ 1 + 643.473646290851)/1000</f>
        <v>0.64347364629085102</v>
      </c>
      <c r="O17" s="26">
        <f>(0.0011799696989017*K17 ^ 6 + -0.0603442262573095*K17 ^ 5 + 1.16490349476088*K17 ^ 4 + -10.8229074498557*K17 ^ 3 + 45.4987382635561*K17 ^ 2 + 51.1494853496417*K17 ^ 1 + 504.909048459964)/1000</f>
        <v>0.50490904845996398</v>
      </c>
      <c r="P17" s="25">
        <f>0.00444138544840219*K17 ^ 6 + -0.22985214359843*K17 ^ 5 + 4.43861502277627*K17 ^ 4 + -39.4823685345894*K17 ^ 3 + 158.956286818372*K17 ^ 2 + -226.799047251679*K17 ^ 1 + 3207.74085055095</f>
        <v>3207.7408505509502</v>
      </c>
      <c r="Q17" s="1">
        <v>0</v>
      </c>
      <c r="R17" s="25">
        <f>-0.0000295187839309626*Q17 ^ 6 + 0.00155628378928609*Q17 ^ 5 + -0.0307609390744909*Q17 ^ 4 + 0.271509651550555*Q17 ^ 3 + -1.10286672295338*Q17 ^ 2 + 1.24362666765674*Q17 ^ 1 + 32.892405224235</f>
        <v>32.892405224234999</v>
      </c>
      <c r="S17" s="26">
        <f>(-0.00251086245556485*Q17 ^ 6 + 0.11508738517858*Q17 ^ 5 + -1.93509593729143*Q17 ^ 4 + 14.2670778014894*Q17 ^ 3 + -46.1968501036264*Q17 ^ 2 + 155.998293225177*Q17 ^ 1 + 532.115604089238)/1000</f>
        <v>0.53211560408923797</v>
      </c>
      <c r="T17" s="26">
        <f>(-0.00217718968206982*Q17 ^ 6 + 0.096909226197729*Q17 ^ 5 + -1.56833071768921*Q17 ^ 4 + 10.9317263822783*Q17 ^ 3 + -32.9861786318809*Q17 ^ 2 + 135.474715463086*Q17 ^ 1 + 472.655651356268)/1000</f>
        <v>0.47265565135626797</v>
      </c>
      <c r="U17" s="26">
        <f>(-0.00207583372631952*Q17 ^ 6 + 0.0929982704113028*Q17 ^ 5 + -1.51761623730276*Q17 ^ 4 + 10.7057527387608*Q17 ^ 3 + -32.6416834713802*Q17 ^ 2 + 125.441549181815*Q17 ^ 1 + 364.857779537513)/1000</f>
        <v>0.36485777953751303</v>
      </c>
      <c r="V17" s="25">
        <f>0.00800352079292907*Q17 ^ 6 + -0.368178689977851*Q17 ^ 5 + 6.31982490547619*Q17 ^ 4 + -49.9698726765871*Q17 ^ 3 + 178.825822670653*Q17 ^ 2 + -226.799047251644*Q17 ^ 1 + 2851.32520048977</f>
        <v>2851.3252004897699</v>
      </c>
      <c r="W17" s="1">
        <v>0</v>
      </c>
      <c r="X17" s="25">
        <f>-0.0000111393774105581*W17 ^ 6 + 0.000630141955679935*W17 ^ 5 + -0.0124812284567468*W17 ^ 4 + 0.0976890666187096*W17 ^ 3 + -0.347522980595989*W17 ^ 2 + 0.120244234958793*W17 ^ 1 + 25.2524465917007</f>
        <v>25.2524465917007</v>
      </c>
      <c r="Y17" s="26">
        <f>(-0.00048758469898293*W17 ^ 6 + 0.0202456872803895*W17 ^ 5 + -0.284508554031045*W17 ^ 4 + 1.21846696539931*W17 ^ 3 + -0.893186645780535*W17 ^ 2 + 77.7745312614533*W17 ^ 1 + 389.017773525991)/1000</f>
        <v>0.38901777352599098</v>
      </c>
      <c r="Z17" s="26">
        <f>(-0.000588597967210014*W17 ^ 6 + 0.0236248785182829*W17 ^ 5 + -0.322101310552223*W17 ^ 4 + 1.37343443914454*W17 ^ 3 + -0.996190540241156*W17 ^ 2 + 75.4425847673302*W17 ^ 1 + 334.839453287859)/1000</f>
        <v>0.33483945328785897</v>
      </c>
      <c r="AA17" s="26">
        <f>(-0.000368168671093334*W17 ^ 6 + 0.014331423797454*W17 ^ 5 + -0.179706618792979*W17 ^ 4 + 0.447358839784841*W17 ^ 3 + 1.51807798084715*W17 ^ 2 + 65.7405575208827*W17 ^ 1 + 253.839575557627)/1000</f>
        <v>0.25383957555762698</v>
      </c>
      <c r="AB17" s="25">
        <f>0.031171680056796*W17 ^ 6 + -1.25459863017864*W17 ^ 5 + 18.8419037964719*W17 ^ 4 + -130.36887393923*W17 ^ 3 + 408.468920043594*W17 ^ 2 + -453.126222892655*W17 ^ 1 + 2499.91198489493</f>
        <v>2499.9119848949299</v>
      </c>
      <c r="AC17" s="1">
        <v>0</v>
      </c>
      <c r="AD17" s="25">
        <f>-0.0000721312826389952*AC17 ^ 6 + 0.00282125001045158*AC17 ^ 5 + -0.0411038965486177*AC17 ^ 4 + 0.261783079249695*AC17 ^ 3 + -0.760737717101215*AC17 ^ 2 + 0.512745755254961*AC17 ^ 1 + 18.6080000326077</f>
        <v>18.608000032607698</v>
      </c>
      <c r="AE17" s="26">
        <f>(-0.00803359650697618*AC17 ^ 6 + 0.270697421349865*AC17 ^ 5 + -3.33797896276847*AC17 ^ 4 + 18.0668223186709*AC17 ^ 3 + -42.7898117487096*AC17 ^ 2 + 98.6339902852349*AC17 ^ 1 + 306.129105814121)/1000</f>
        <v>0.30612910581412095</v>
      </c>
      <c r="AF17" s="26">
        <f>(-0.00591907268131832*AC17 ^ 6 + 0.198026574062934*AC17 ^ 5 + -2.40962655777679*AC17 ^ 4 + 12.6629262753858*AC17 ^ 3 + -28.7361038609297*AC17 ^ 2 + 82.0681655191246*AC17 ^ 1 + 256.876210111669)/1000</f>
        <v>0.256876210111669</v>
      </c>
      <c r="AG17" s="26">
        <f>(-0.00701206636205175*AC17 ^ 6 + 0.23563931874487*AC17 ^ 5 + -2.89841009812687*AC17 ^ 4 + 15.6742839951356*AC17 ^ 3 + -37.1501605642245*AC17 ^ 2 + 82.9856937578088*AC17 ^ 1 + 178.118118675839)/1000</f>
        <v>0.17811811867583902</v>
      </c>
      <c r="AH17" s="25">
        <f>0.0505413566470652*AC17 ^ 6 + -1.74363114244797*AC17 ^ 5 + 22.4465739902493*AC17 ^ 4 + -133.135524114932*AC17 ^ 3 + 357.586092203038*AC17 ^ 2 + -339.786706742275*AC17 ^ 1 + 2145.7040226949</f>
        <v>2145.7040226948998</v>
      </c>
      <c r="AI17" s="1">
        <v>0</v>
      </c>
      <c r="AJ17" s="25">
        <f>0.00018323255773978*AI17 ^ 6 + -0.00504133061645638*AI17 ^ 5 + 0.0521304025307799*AI17 ^ 4 + -0.268260924039886*AI17 ^ 3 + 0.639009206591772*AI17 ^ 2 + -0.792872502277042*AI17 ^ 1 + 12.9171907878998</f>
        <v>12.9171907878998</v>
      </c>
      <c r="AK17" s="26">
        <f>(0.00344674307804032*AI17 ^ 6 + -0.0979947293034434*AI17 ^ 5 + 1.07948024690358*AI17 ^ 4 + -6.09511433311224*AI17 ^ 3 + 15.2330937270054*AI17 ^ 2 + 35.3536870516939*AI17 ^ 1 + 230.767220605484)/1000</f>
        <v>0.23076722060548399</v>
      </c>
      <c r="AL17" s="26">
        <f>(0.0142746774055809*AI17 ^ 6 + -0.404769084078459*AI17 ^ 5 + 4.30102615326039*AI17 ^ 4 + -21.4813380860568*AI17 ^ 3 + 47.9662926540725*AI17 ^ 2 + 6.28370222211655*AI17 ^ 1 + 188.037845746828)/1000</f>
        <v>0.188037845746828</v>
      </c>
      <c r="AM17" s="26">
        <f>(0.00436529804274113*AI17 ^ 6 + -0.121716523473201*AI17 ^ 5 + 1.28378204247266*AI17 ^ 4 + -6.63143503724398*AI17 ^ 3 + 15.1433366636047*AI17 ^ 2 + 25.5960130136966*AI17 ^ 1 + 117.362893179973)/1000</f>
        <v>0.117362893179973</v>
      </c>
      <c r="AN17" s="25">
        <f>0.125763068572021*AI17 ^ 6 + -3.61559353698003*AI17 ^ 5 + 38.7876798551506*AI17 ^ 4 + -191.715154725504*AI17 ^ 3 + 429.103310643647*AI17 ^ 2 + -339.786706742252*AI17 ^ 1 + 1788.08668557904</f>
        <v>1788.08668557904</v>
      </c>
      <c r="AO17" s="1">
        <v>0</v>
      </c>
      <c r="AP17" s="25">
        <f>0.000531025891717837*AO17 ^ 6 + -0.0118761619052977*AO17 ^ 5 + 0.100234305057387*AO17 ^ 4 + -0.417510372854226*AO17 ^ 3 + 0.806237616518209*AO17 ^ 2 + -0.763105335778404*AO17 ^ 1 + 8.2906044463569</f>
        <v>8.2906044463569</v>
      </c>
      <c r="AQ17" s="26">
        <f>(-0.00360340954191431*AO17 ^ 6 + 0.0733722198498789*AO17 ^ 5 + -0.469621498376339*AO17 ^ 4 + 0.439457664870133*AO17 ^ 3 + 1.91351518846604*AO17 ^ 2 + 30.182404303248*AO17 ^ 1 + 163.258833312014)/1000</f>
        <v>0.16325883331201399</v>
      </c>
      <c r="AR17" s="26">
        <f>(0.0382021140917055*AO17 ^ 6 + -0.874502946860251*AO17 ^ 5 + 7.50024371322568*AO17 ^ 4 + -30.0842355398472*AO17 ^ 3 + 54.1211976585125*AO17 ^ 2 + -6.03075620782795*AO17 ^ 1 + 128.259851154878)/1000</f>
        <v>0.12825985115487798</v>
      </c>
      <c r="AS17" s="26">
        <f>(0.00218554838817725*AO17 ^ 6 + -0.0466029080065427*AO17 ^ 5 + 0.393899598701892*AO17 ^ 4 + -1.93241743999572*AO17 ^ 3 + 3.82625150443221*AO17 ^ 2 + 21.7921716288201*AO17 ^ 1 + 70.3833466122204)/1000</f>
        <v>7.0383346612220399E-2</v>
      </c>
      <c r="AT17" s="25">
        <f>0.0671018884763265*AO17 ^ 6 + -1.92921678101342*AO17 ^ 5 + 20.6985405542358*AO17 ^ 4 + -102.325853224154*AO17 ^ 3 + 229.080106581193*AO17 ^ 2 + -181.157752473715*AO17 ^ 1 + 1432.41756270087</f>
        <v>1432.4175627008699</v>
      </c>
      <c r="AU17" s="1">
        <v>0</v>
      </c>
      <c r="AV17" s="25">
        <f>0.000919132371426826*AU17 ^ 6 + -0.0121569536735423*AU17 ^ 5 + 0.0566802399430394*AU17 ^ 4 + -0.141498359369179*AU17 ^ 3 + 0.164250423449192*AU17 ^ 2 + -0.214059888814946*AU17 ^ 1 + 4.12474700099015</f>
        <v>4.1247470009901503</v>
      </c>
      <c r="AW17" s="26">
        <f>(0.00616919809141692*AU17 ^ 6 + -0.106063206953986*AU17 ^ 5 + 0.72250430871602*AU17 ^ 4 + -2.64867747054957*AU17 ^ 3 + 3.28540109295368*AU17 ^ 2 + 15.3375514114493*AU17 ^ 1 + 97.3874723907186)/1000</f>
        <v>9.7387472390718599E-2</v>
      </c>
      <c r="AX17" s="26">
        <f>(0.00816854393701356*AU17 ^ 6 + -0.118656835244668*AU17 ^ 5 + 0.663942187878517*AU17 ^ 4 + -2.07822582065889*AU17 ^ 3 + 2.2197308812438*AU17 ^ 2 + 14.489757137504*AU17 ^ 1 + 59.0483256019585)/1000</f>
        <v>5.9048325601958503E-2</v>
      </c>
      <c r="AY17" s="26">
        <f>(0.00171360802040282*AU17 ^ 6 + 0.00872730205790885*AU17 ^ 5 + -0.3049374759272*AU17 ^ 4 + 1.43101583196825*AU17 ^ 3 + -3.3634408806929*AU17 ^ 2 + 15.1045142186251*AU17 ^ 1 + 31.9186712562857)/1000</f>
        <v>3.1918671256285697E-2</v>
      </c>
      <c r="AZ17" s="25">
        <f>0.00188152333406952*AU17 ^ 6 + -0.033773360289809*AU17 ^ 5 + 0.248430112670327*AU17 ^ 4 + -0.92091557217776*AU17 ^ 3 + 1.49547090968043*AU17 ^ 2 + 0.230718094567428*AU17 ^ 1 + 1005.41979347406</f>
        <v>1005.41979347406</v>
      </c>
      <c r="BA17" s="17"/>
      <c r="BB17" s="17"/>
      <c r="BC17" s="17"/>
      <c r="BD17" s="17"/>
      <c r="BE17" s="17"/>
      <c r="BF17" s="17"/>
      <c r="BG17" s="17"/>
      <c r="BH17" s="17"/>
      <c r="BI17" s="17"/>
      <c r="BJ17" s="17"/>
    </row>
    <row r="18" spans="2:62" s="11" customFormat="1" x14ac:dyDescent="0.2">
      <c r="B18" s="22" t="s">
        <v>11</v>
      </c>
      <c r="C18" s="23"/>
      <c r="D18" s="24"/>
      <c r="E18" s="1">
        <v>0</v>
      </c>
      <c r="F18" s="25">
        <f>0.000287675580556572*E18 ^ 6 + -0.00855190135568283*E18 ^ 5 + 0.0948909582909329*E18 ^ 4 + -0.54202627674697*E18 ^ 3 + 1.21743028025183*E18 ^ 2 + -3.08609135435494*E18 ^ 1 + 92.3304276327962</f>
        <v>92.330427632796201</v>
      </c>
      <c r="G18" s="26">
        <f>(0.0000137300528609187*E18 ^ 6 + 0.0171747149770316*E18 ^ 5 + -0.379140627999045*E18 ^ 4 + 1.2421490340361*E18 ^ 3 + -9.48958862206705*E18 ^ 2 + 323.040028874186*E18 ^ 1 + 1035.91154558433)/1000</f>
        <v>1.03591154558433</v>
      </c>
      <c r="H18" s="26">
        <f>(-0.00248620504968684*E18 ^ 6 + 0.0966051422840451*E18 ^ 5 + -1.27332601880362*E18 ^ 4 + 5.49825612523776*E18 ^ 3 + -17.0508237670692*E18 ^ 2 + 318.002911967466*E18 ^ 1 + 972.816251487677)/1000</f>
        <v>0.97281625148767703</v>
      </c>
      <c r="I18" s="26">
        <f>(0.00557762388411098*E18 ^ 6 + -0.172849628700014*E18 ^ 5 + 2.0931694160089*E18 ^ 4 + -13.787217605282*E18 ^ 3 + 34.7965438255556*E18 ^ 2 + 232.839211254401*E18 ^ 1 + 814.575271377539)/1000</f>
        <v>0.81457527137753905</v>
      </c>
      <c r="J18" s="25">
        <f>0.0000398759298045244*E18 ^ 6 + -0.00259505035816273*E18 ^ 5 + 0.0523798197428898*E18 ^ 4 + -0.40788170956146*E18 ^ 3 + 1.1104341126847*E18 ^ 2 + -1.74829726853326*E18 ^ 1 + 3424.76961757319</f>
        <v>3424.7696175731899</v>
      </c>
      <c r="K18" s="1">
        <v>0</v>
      </c>
      <c r="L18" s="25">
        <f>0.000385531716058991*K18 ^ 6 + -0.0100081363971248*K18 ^ 5 + 0.0950642814670053*K18 ^ 4 + -0.463567856993048*K18 ^ 3 + 0.7879723019934*K18 ^ 2 + -2.17374326445104*K18 ^ 1 + 74.4117474277436</f>
        <v>74.411747427743606</v>
      </c>
      <c r="M18" s="26">
        <f>(0.00155991064229083*K18 ^ 6 + -0.0321894959973678*K18 ^ 5 + 0.290181851487854*K18 ^ 4 + -3.34827436271245*K18 ^ 3 + 5.83830244909358*K18 ^ 2 + 246.184993143604*K18 ^ 1 + 804.993032209924)/1000</f>
        <v>0.80499303220992402</v>
      </c>
      <c r="N18" s="26">
        <f>(0.000867246410739049*K18 ^ 6 + -0.017268218956246*K18 ^ 5 + 0.237519876386946*K18 ^ 4 + -3.97587303727519*K18 ^ 3 + 10.6010164820888*K18 ^ 2 + 231.013227328781*K18 ^ 1 + 743.27682689187)/1000</f>
        <v>0.74327682689187002</v>
      </c>
      <c r="O18" s="26">
        <f>(0.00809138430974617*K18 ^ 6 + -0.233363968294387*K18 ^ 5 + 2.642842820482*K18 ^ 4 + -16.097088974846*K18 ^ 3 + 39.2495448885313*K18 ^ 2 + 179.329569530862*K18 ^ 1 + 608.442364161003)/1000</f>
        <v>0.60844236416100295</v>
      </c>
      <c r="P18" s="25">
        <f>0.000225637266389585*K18 ^ 6 + -0.00817063815548454*K18 ^ 5 + 0.11095221197041*K18 ^ 4 + -0.661449104180828*K18 ^ 3 + 1.49637222561014*K18 ^ 2 + -0.858009644873646*K18 ^ 1 + 3080.9703850668</f>
        <v>3080.9703850668002</v>
      </c>
      <c r="Q18" s="1">
        <v>0</v>
      </c>
      <c r="R18" s="25">
        <f>0.00051447285675898*Q18 ^ 6 + -0.0113491619545877*Q18 ^ 5 + 0.0881386993790628*Q18 ^ 4 + -0.345176809852544*Q18 ^ 3 + 0.310295481683059*Q18 ^ 2 + -1.38881935403272*Q18 ^ 1 + 58.5214720289796</f>
        <v>58.521472028979602</v>
      </c>
      <c r="S18" s="26">
        <f>(0.00437813498940883*Q18 ^ 6 + -0.111523844966367*Q18 ^ 5 + 1.21529948473294*Q18 ^ 4 + -8.66831877624551*Q18 ^ 3 + 20.3039074454813*Q18 ^ 2 + 178.552739717367*Q18 ^ 1 + 607.916285149083)/1000</f>
        <v>0.60791628514908302</v>
      </c>
      <c r="T18" s="26">
        <f>(0.00797089399639931*Q18 ^ 6 + -0.2158678897787*Q18 ^ 5 + 2.3892687692955*Q18 ^ 4 + -14.9398781950688*Q18 ^ 3 + 36.2426786065276*Q18 ^ 2 + 157.020387009646*Q18 ^ 1 + 550.832608100154)/1000</f>
        <v>0.550832608100154</v>
      </c>
      <c r="U18" s="26">
        <f>(0.0117386541673072*Q18 ^ 6 + -0.312871784801855*Q18 ^ 5 + 3.29163585419091*Q18 ^ 4 + -18.4215977050269*Q18 ^ 3 + 42.2895226776568*Q18 ^ 2 + 133.161302066045*Q18 ^ 1 + 439.685541339314)/1000</f>
        <v>0.43968554133931398</v>
      </c>
      <c r="V18" s="25">
        <f>0.000406605680635535*Q18 ^ 6 + -0.0130877824556227*Q18 ^ 5 + 0.157976879934691*Q18 ^ 4 + -0.837146522480193*Q18 ^ 3 + 1.68341875381457*Q18 ^ 2 + -0.858009644876426*Q18 ^ 1 + 2738.6403422816</f>
        <v>2738.6403422816002</v>
      </c>
      <c r="W18" s="1">
        <v>0</v>
      </c>
      <c r="X18" s="25">
        <f>0.000692991749618636*W18 ^ 6 + -0.0122938537316732*W18 ^ 5 + 0.0690483709091436*W18 ^ 4 + -0.170310414128686*W18 ^ 3 + -0.227838632987559*W18 ^ 2 + -0.638062208265212*W18 ^ 1 + 44.5306875674253</f>
        <v>44.530687567425304</v>
      </c>
      <c r="Y18" s="26">
        <f>(0.0114183827870757*W18 ^ 6 + -0.279030908018995*W18 ^ 5 + 2.7911362781557*W18 ^ 4 + -15.7976108329947*W18 ^ 3 + 35.4119274494317*W18 ^ 2 + 120.378460374168*W18 ^ 1 + 441.718002820819)/1000</f>
        <v>0.44171800282081897</v>
      </c>
      <c r="Z18" s="26">
        <f>(0.0246910448862264*W18 ^ 6 + -0.601065099411495*W18 ^ 5 + 5.75245557136949*W18 ^ 4 + -28.5062292426102*W18 ^ 3 + 60.8446430770938*W18 ^ 2 + 96.1087329245774*W18 ^ 1 + 391.754816398846)/1000</f>
        <v>0.39175481639884602</v>
      </c>
      <c r="AA18" s="26">
        <f>(0.0185939500565511*W18 ^ 6 + -0.449495210561547*W18 ^ 5 + 4.28842110210563*W18 ^ 4 + -21.478430992328*W18 ^ 3 + 45.2625243574104*W18 ^ 2 + 94.1405628229581*W18 ^ 1 + 303.869900875523)/1000</f>
        <v>0.30386990087552301</v>
      </c>
      <c r="AB18" s="25">
        <f>0.00134823091007271*W18 ^ 6 + -0.0338461517261741*W18 ^ 5 + 0.318916925101654*W18 ^ 4 + -1.35442008002256*W18 ^ 3 + 2.26147984773292*W18 ^ 2 + 0.0322779787855147*W18 ^ 1 + 2395.28186669157</f>
        <v>2395.28186669157</v>
      </c>
      <c r="AC18" s="1">
        <v>0</v>
      </c>
      <c r="AD18" s="25">
        <f>0.00244825062174694*AC18 ^ 6 + -0.0443759874569772*AC18 ^ 5 + 0.298692615506639*AC18 ^ 4 + -1.01019600005067*AC18 ^ 3 + 1.29155144288783*AC18 ^ 2 + -1.64066662518907*AC18 ^ 1 + 33.4414690584706</f>
        <v>33.441469058470602</v>
      </c>
      <c r="AE18" s="26">
        <f>(0.0483736891935107*AC18 ^ 6 + -0.996059374151115*AC18 ^ 5 + 8.12165466599599*AC18 ^ 4 + -34.5736627135846*AC18 ^ 3 + 64.6988431638339*AC18 ^ 2 + 76.0068279179998*AC18 ^ 1 + 348.285192789636)/1000</f>
        <v>0.34828519278963604</v>
      </c>
      <c r="AF18" s="26">
        <f>(0.108218311611151*AC18 ^ 6 + -2.29230421841122*AC18 ^ 5 + 18.9978039938459*AC18 ^ 4 + -78.5415502769131*AC18 ^ 3 + 150.906619010521*AC18 ^ 2 + 1.74531714387388*AC18 ^ 1 + 301.287271208882)/1000</f>
        <v>0.30128727120888199</v>
      </c>
      <c r="AG18" s="26">
        <f>(0.0463592394256304*AC18 ^ 6 + -0.949983774764931*AC18 ^ 5 + 7.63055902671609*AC18 ^ 4 + -31.3956775583862*AC18 ^ 3 + 56.4691699208241*AC18 ^ 2 + 61.5430260047525*AC18 ^ 1 + 215.075783772988)/1000</f>
        <v>0.215075783772988</v>
      </c>
      <c r="AH18" s="25">
        <f>0.00373228000240077*AC18 ^ 6 + -0.0831612293346226*AC18 ^ 5 + 0.720402662155128*AC18 ^ 4 + -3.00501700470757*AC18 ^ 3 + 5.81043665548362*AC18 ^ 2 + -3.14118705541666*AC18 ^ 1 + 2078.71073508254</f>
        <v>2078.7107350825399</v>
      </c>
      <c r="AI18" s="1">
        <v>0</v>
      </c>
      <c r="AJ18" s="25">
        <f>0.00806104834338885*AI18 ^ 6 + -0.129663060119778*AI18 ^ 5 + 0.792170030893093*AI18 ^ 4 + -2.39377600692326*AI18 ^ 3 + 3.10695138571894*AI18 ^ 2 + -2.40405886570362*AI18 ^ 1 + 23.1375289033735</f>
        <v>23.1375289033735</v>
      </c>
      <c r="AK18" s="26">
        <f>(0.171465120126747*AI18 ^ 6 + -2.9303863472811*AI18 ^ 5 + 19.5828600961512*AI18 ^ 4 + -65.9112649157542*AI18 ^ 3 + 101.596186328592*AI18 ^ 2 + 30.8089696358289*AI18 ^ 1 + 256.557499781589)/1000</f>
        <v>0.25655749978158898</v>
      </c>
      <c r="AL18" s="26">
        <f>(0.373322866912113*AI18 ^ 6 + -6.6269666982761*AI18 ^ 5 + 45.9449611241264*AI18 ^ 4 + -157.071897822571*AI18 ^ 3 + 255.313958770895*AI18 ^ 2 + -80.662532482939*AI18 ^ 1 + 214.935381464668)/1000</f>
        <v>0.21493538146466801</v>
      </c>
      <c r="AM18" s="26">
        <f>(0.119006248452997*AI18 ^ 6 + -2.01955738189722*AI18 ^ 5 + 13.355820672474*AI18 ^ 4 + -44.3536233367215*AI18 ^ 3 + 65.912510668028*AI18 ^ 2 + 32.7904311749547*AI18 ^ 1 + 137.891462567472)/1000</f>
        <v>0.13789146256747198</v>
      </c>
      <c r="AN18" s="25">
        <f>0.0092871069755721*AI18 ^ 6 + -0.172443125148247*AI18 ^ 5 + 1.24485580020391*AI18 ^ 4 + -4.3272244867785*AI18 ^ 3 + 6.97252398657994*AI18 ^ 2 + -3.14118705541678*AI18 ^ 1 + 1732.25894590212</f>
        <v>1732.2589459021201</v>
      </c>
      <c r="AO18" s="1">
        <v>0</v>
      </c>
      <c r="AP18" s="25">
        <f>0.0289210424164104*AO18 ^ 6 + -0.383829777202241*AO18 ^ 5 + 1.94997177832235*AO18 ^ 4 + -4.85835606986465*AO18 ^ 3 + 5.41567670816703*AO18 ^ 2 + -3.01009491549773*AO18 ^ 1 + 15.1104048700909</f>
        <v>15.1104048700909</v>
      </c>
      <c r="AQ18" s="26">
        <f>(0.632821558857572*AO18 ^ 6 + -8.65372054928847*AO18 ^ 5 + 46.0590918545871*AO18 ^ 4 + -121.550876987875*AO18 ^ 3 + 150.616648350622*AO18 ^ 2 + -8.43023655282484*AO18 ^ 1 + 180.14643640376)/1000</f>
        <v>0.18014643640375999</v>
      </c>
      <c r="AR18" s="26">
        <f>(1.31675598633731*AO18 ^ 6 + -18.7684713707105*AO18 ^ 5 + 104.445551415517*AO18 ^ 4 + -285.385876965121*AO18 ^ 3 + 375.129543383078*AO18 ^ 2 + -139.093977796597*AO18 ^ 1 + 145.426097044382)/1000</f>
        <v>0.145426097044382</v>
      </c>
      <c r="AS18" s="26">
        <f>(0.342630772856551*AO18 ^ 6 + -4.63841685936936*AO18 ^ 5 + 24.4043844371902*AO18 ^ 4 + -63.7488991839147*AO18 ^ 3 + 75.9791206152178*AO18 ^ 2 + 12.0037807812409*AO18 ^ 1 + 82.4563434713078)/1000</f>
        <v>8.24563434713078E-2</v>
      </c>
      <c r="AT18" s="25">
        <f>0.00905848363308653*AO18 ^ 6 + -0.17189029906022*AO18 ^ 5 + 1.29168284634334*AO18 ^ 4 + -4.79982849337087*AO18 ^ 3 + 8.623180949068*AO18 ^ 2 + -5.05172167169587*AO18 ^ 1 + 1402.88181819106</f>
        <v>1402.8818181910599</v>
      </c>
      <c r="AU18" s="1">
        <v>0</v>
      </c>
      <c r="AV18" s="25">
        <f>0.130195042092466*AU18 ^ 6 + -1.28862163876426*AU18 ^ 5 + 4.89622865078785*AU18 ^ 4 + -9.07343903603414*AU18 ^ 3 + 7.66777672262781*AU18 ^ 2 + -2.96712242909161*AU18 ^ 1 + 7.7945786171087</f>
        <v>7.7945786171086997</v>
      </c>
      <c r="AW18" s="26">
        <f>(3.58723453767646*AU18 ^ 6 + -35.8489541894622*AU18 ^ 5 + 138.768863804029*AU18 ^ 4 + -262.291262888101*AU18 ^ 3 + 236.720751685441*AU18 ^ 2 + -51.7275078746833*AU18 ^ 1 + 106.820944904375)/1000</f>
        <v>0.10682094490437499</v>
      </c>
      <c r="AX18" s="26">
        <f>(4.87685492178637*AU18 ^ 6 + -50.9195493825966*AU18 ^ 5 + 207.517324757417*AU18 ^ 4 + -414.420380145975*AU18 ^ 3 + 399.888559658521*AU18 ^ 2 + -122.24634251601*AU18 ^ 1 + 69.3184641746659)/1000</f>
        <v>6.9318464174665903E-2</v>
      </c>
      <c r="AY18" s="26">
        <f>(1.3366080018428*AU18 ^ 6 + -13.2067068011067*AU18 ^ 5 + 50.5672952771961*AU18 ^ 4 + -95.0298746066754*AU18 ^ 3 + 82.7337741526033*AU18 ^ 2 + -3.34064678489373*AU18 ^ 1 + 37.7553511328727)/1000</f>
        <v>3.7755351132872698E-2</v>
      </c>
      <c r="AZ18" s="25">
        <f>0.216635783782974*AU18 ^ 6 + -2.46603409392888*AU18 ^ 5 + 11.3201207175164*AU18 ^ 4 + -26.2496528664545*AU18 ^ 3 + 30.1738359805121*AU18 ^ 2 + -12.1347204626833*AU18 ^ 1 + 1005.92178881421</f>
        <v>1005.92178881421</v>
      </c>
      <c r="BA18" s="17"/>
      <c r="BB18" s="17"/>
      <c r="BC18" s="17"/>
      <c r="BD18" s="17"/>
      <c r="BE18" s="17"/>
      <c r="BF18" s="17"/>
      <c r="BG18" s="17"/>
      <c r="BH18" s="17"/>
      <c r="BI18" s="17"/>
      <c r="BJ18" s="17"/>
    </row>
    <row r="19" spans="2:62" s="11" customFormat="1" x14ac:dyDescent="0.2">
      <c r="B19" s="22" t="s">
        <v>12</v>
      </c>
      <c r="C19" s="23"/>
      <c r="D19" s="24"/>
      <c r="E19" s="1">
        <v>0</v>
      </c>
      <c r="F19" s="25">
        <f>0.000446425870586857*E19 ^ 6 + -0.00729051485064122*E19 ^ 5 + 0.0371090899802385*E19 ^ 4 + -0.0120481695234783*E19 ^ 3 + -1.12189863304887*E19 ^ 2 + -0.277594036122746*E19 ^ 1 + 44.7003898412632</f>
        <v>44.700389841263203</v>
      </c>
      <c r="G19" s="26">
        <f>(0.0204286210810379*E19 ^ 6 + -0.508412355163234*E19 ^ 5 + 5.09942804490835*E19 ^ 4 + -25.7410623930816*E19 ^ 3 + 44.0228388053899*E19 ^ 2 + 137.548220165505*E19 ^ 1 + 433.212052511062)/1000</f>
        <v>0.43321205251106198</v>
      </c>
      <c r="H19" s="26">
        <f>(0.0168241624508639*E19 ^ 6 + -0.420785001111846*E19 ^ 5 + 4.2882514068878*E19 ^ 4 + -22.2894546994233*E19 ^ 3 + 38.1059555536265*E19 ^ 2 + 136.985088547008*E19 ^ 1 + 404.929213427351)/1000</f>
        <v>0.404929213427351</v>
      </c>
      <c r="I19" s="26">
        <f>(0.0141356612912156*E19 ^ 6 + -0.353543557934168*E19 ^ 5 + 3.60298883206708*E19 ^ 4 + -18.7275998384553*E19 ^ 3 + 32.0166238561567*E19 ^ 2 + 115.094871397196*E19 ^ 1 + 313.41452512166)/1000</f>
        <v>0.31341452512166001</v>
      </c>
      <c r="J19" s="25">
        <f>-0.00533330740149984*E19 ^ 6 + 0.117931303313316*E19 ^ 5 + -1.00956664581414*E19 ^ 4 + 4.27037483392244*E19 ^ 3 + -9.04632095652605*E19 ^ 2 + 6.13384493994286*E19 ^ 1 + 3388.5689605275</f>
        <v>3388.5689605275002</v>
      </c>
      <c r="K19" s="1">
        <v>0</v>
      </c>
      <c r="L19" s="25">
        <f>0.00178658906963912*K19 ^ 6 + -0.0312517621628444*K19 ^ 5 + 0.196550593403593*K19 ^ 4 + -0.496781995009575*K19 ^ 3 + -0.423676638983896*K19 ^ 2 + -0.630087232970407*K19 ^ 1 + 35.9838524871541</f>
        <v>35.983852487154103</v>
      </c>
      <c r="M19" s="26">
        <f>(0.0425250708268569*K19 ^ 6 + -0.904969365938731*K19 ^ 5 + 7.61015610696006*K19 ^ 4 + -31.7695074244336*K19 ^ 3 + 47.3544765072161*K19 ^ 2 + 109.338045180612*K19 ^ 1 + 330.64740946195)/1000</f>
        <v>0.33064740946195004</v>
      </c>
      <c r="N19" s="26">
        <f>(0.0415470460097822*K19 ^ 6 + -0.885404938782848*K19 ^ 5 + 7.45866443134821*K19 ^ 4 + -31.1935239071795*K19 ^ 3 + 46.718564140717*K19 ^ 2 + 106.067303446175*K19 ^ 1 + 304.539470424384)/1000</f>
        <v>0.30453947042438395</v>
      </c>
      <c r="O19" s="26">
        <f>(0.0349078280574187*K19 ^ 6 + -0.743917229565342*K19 ^ 5 + 6.26676985521871*K19 ^ 4 + -26.208798786812*K19 ^ 3 + 39.25293759103*K19 ^ 2 + 89.1177483554767*K19 ^ 1 + 229.067063050568)/1000</f>
        <v>0.22906706305056801</v>
      </c>
      <c r="P19" s="25">
        <f>-0.0072533391738948*K19 ^ 6 + 0.153604694535657*K19 ^ 5 + -1.27545746685225*K19 ^ 4 + 5.28536635900312*K19 ^ 3 + -11.0845297087313*K19 ^ 2 + 8.738597290544*K19 ^ 1 + 3049.99433525424</f>
        <v>3049.99433525424</v>
      </c>
      <c r="Q19" s="1">
        <v>0</v>
      </c>
      <c r="R19" s="25">
        <f>0.00295179816276159*Q19 ^ 6 + -0.0477772698389329*Q19 ^ 5 + 0.286771428816885*Q19 ^ 4 + -0.75622607052467*Q19 ^ 3 + 0.05908410826998*Q19 ^ 2 + -1.02870840622895*Q19 ^ 1 + 28.4556016708285</f>
        <v>28.4556016708285</v>
      </c>
      <c r="S19" s="26">
        <f>(0.0369140447532286*Q19 ^ 6 + -0.69422241606088*Q19 ^ 5 + 5.26061767238655*Q19 ^ 4 + -20.3202034985465*Q19 ^ 3 + 23.3769738141843*Q19 ^ 2 + 98.5075955152186*Q19 ^ 1 + 248.271418517433)/1000</f>
        <v>0.24827141851743301</v>
      </c>
      <c r="T19" s="26">
        <f>(0.0353549160529791*Q19 ^ 6 + -0.667847255888709*Q19 ^ 5 + 5.08784162879049*Q19 ^ 4 + -19.7508695027333*Q19 ^ 3 + 22.7824122804927*Q19 ^ 2 + 96.0564508271583*Q19 ^ 1 + 223.598353374352)/1000</f>
        <v>0.22359835337435199</v>
      </c>
      <c r="U19" s="26">
        <f>(0.0299845043045302*Q19 ^ 6 + -0.566401257719191*Q19 ^ 5 + 4.31499848537706*Q19 ^ 4 + -16.7507124252676*Q19 ^ 3 + 19.3217638550852*Q19 ^ 2 + 81.4654759465133*Q19 ^ 1 + 163.373763496788)/1000</f>
        <v>0.163373763496788</v>
      </c>
      <c r="V19" s="25">
        <f>0.00557530775690086*Q19 ^ 6 + -0.0914187142564198*Q19 ^ 5 + 0.542181305669628*Q19 ^ 4 + -1.27937037592973*Q19 ^ 3 + 0.50277896411689*Q19 ^ 2 + 1.37426183646769*Q19 ^ 1 + 2712.82405742477</f>
        <v>2712.8240574247702</v>
      </c>
      <c r="W19" s="1">
        <v>0</v>
      </c>
      <c r="X19" s="25">
        <f>0.00221037072287569*W19 ^ 6 + -0.0358813382903252*W19 ^ 5 + 0.217955506098085*W19 ^ 4 + -0.593126956227258*W19 ^ 3 + -0.0300719586187735*W19 ^ 2 + -1.04902094841575*W19 ^ 1 + 21.8699871491644</f>
        <v>21.869987149164398</v>
      </c>
      <c r="Y19" s="26">
        <f>(0.0715079540176961*W19 ^ 6 + -1.20728849658169*W19 ^ 5 + 7.98840399665386*W19 ^ 4 + -26.018788816775*W19 ^ 3 + 27.1554443829633*W19 ^ 2 + 74.100387812807*W19 ^ 1 + 182.796327729364)/1000</f>
        <v>0.18279632772936402</v>
      </c>
      <c r="Z19" s="26">
        <f>(0.0666133332318742*W19 ^ 6 + -1.12743853720292*W19 ^ 5 + 7.49421846309386*W19 ^ 4 + -24.5849660812078*W19 ^ 3 + 25.6198989327189*W19 ^ 2 + 72.3973585694792*W19 ^ 1 + 159.490844895143)/1000</f>
        <v>0.15949084489514301</v>
      </c>
      <c r="AA19" s="26">
        <f>(0.0564947679139541*W19 ^ 6 + -0.956180623401823*W19 ^ 5 + 6.35584667855003*W19 ^ 4 + -20.8505097334726*W19 ^ 3 + 21.7282362848393*W19 ^ 2 + 61.4001998027751*W19 ^ 1 + 109.00418555557)/1000</f>
        <v>0.10900418555557001</v>
      </c>
      <c r="AB19" s="25">
        <f>0.0124809315656307*W19 ^ 6 + -0.142267462570758*W19 ^ 5 + 0.477468132443852*W19 ^ 4 + -0.0852173568535735*W19 ^ 3 + -2.12999378332159*W19 ^ 2 + 3.21801635690055*W19 ^ 1 + 2376.12503860564</f>
        <v>2376.1250386056399</v>
      </c>
      <c r="AC19" s="1">
        <v>0</v>
      </c>
      <c r="AD19" s="25">
        <f>0.00521829107560213*AC19 ^ 6 + -0.0656975288877963*AC19 ^ 5 + 0.319612881059097*AC19 ^ 4 + -0.734381671711815*AC19 ^ 3 + 0.0598244488736773*AC19 ^ 2 + -0.995463685624481*AC19 ^ 1 + 16.1413138439534</f>
        <v>16.141313843953402</v>
      </c>
      <c r="AE19" s="26">
        <f>(0.137451655064697*AC19 ^ 6 + -1.96110098595383*AC19 ^ 5 + 10.9562965200251*AC19 ^ 4 + -30.0386296041606*AC19 ^ 3 + 27.7687405603619*AC19 ^ 2 + 53.3906035387544*AC19 ^ 1 + 132.260861310299)/1000</f>
        <v>0.13226086131029899</v>
      </c>
      <c r="AF19" s="26">
        <f>(0.135695423258281*AC19 ^ 6 + -1.92277096507429*AC19 ^ 5 + 10.6645271676787*AC19 ^ 4 + -29.0254025190699*AC19 ^ 3 + 26.4967212371804*AC19 ^ 2 + 52.284531594755*AC19 ^ 1 + 109.851351601181)/1000</f>
        <v>0.10985135160118099</v>
      </c>
      <c r="AG19" s="26">
        <f>(0.114174129129521*AC19 ^ 6 + -1.61781949001355*AC19 ^ 5 + 8.97313315888514*AC19 ^ 4 + -24.421973679546*AC19 ^ 3 + 22.2943412489643*AC19 ^ 2 + 43.9922048838265*AC19 ^ 1 + 71.1129272372335)/1000</f>
        <v>7.1112927237233503E-2</v>
      </c>
      <c r="AH19" s="25">
        <f>0.0758285925994855*AC19 ^ 6 + -0.910318742188885*AC19 ^ 5 + 3.993652581133*AC19 ^ 4 + -7.53741955890316*AC19 ^ 3 + 4.76943999223063*AC19 ^ 2 + 1.77026643300963*AC19 ^ 1 + 2039.42013300593</f>
        <v>2039.42013300593</v>
      </c>
      <c r="AI19" s="1">
        <v>0</v>
      </c>
      <c r="AJ19" s="25">
        <f>0.013843779684666*AI19 ^ 6 + -0.152781678559142*AI19 ^ 5 + 0.629888981406737*AI19 ^ 4 + -1.18420465743224*AI19 ^ 3 + 0.286838055172169*AI19 ^ 2 + -0.923603708352289*AI19 ^ 1 + 11.154513985759</f>
        <v>11.154513985758999</v>
      </c>
      <c r="AK19" s="26">
        <f>(0.23924906097791*AI19 ^ 6 + -2.96956147818141*AI19 ^ 5 + 14.2066543076455*AI19 ^ 4 + -32.7069447781037*AI19 ^ 3 + 25.4708815664796*AI19 ^ 2 + 37.0032576225117*AI19 ^ 1 + 94.1488764143756)/1000</f>
        <v>9.4148876414375596E-2</v>
      </c>
      <c r="AL19" s="26">
        <f>(0.247838312895959*AI19 ^ 6 + -3.02841143598411*AI19 ^ 5 + 14.2817143909903*AI19 ^ 4 + -32.446056405729*AI19 ^ 3 + 25.0599588987067*AI19 ^ 2 + 35.9655387150369*AI19 ^ 1 + 72.3131106292861)/1000</f>
        <v>7.2313110629286095E-2</v>
      </c>
      <c r="AM19" s="26">
        <f>(0.207019342761995*AI19 ^ 6 + -2.52963207247753*AI19 ^ 5 + 11.9295160307943*AI19 ^ 4 + -27.1021909157055*AI19 ^ 3 + 20.9325836680899*AI19 ^ 2 + 30.0420144886702*AI19 ^ 1 + 41.0241413086427)/1000</f>
        <v>4.1024141308642695E-2</v>
      </c>
      <c r="AN19" s="25">
        <f>0.139002814280203*AI19 ^ 6 + -1.47182040019345*AI19 ^ 5 + 5.9782829756327*AI19 ^ 4 + -11.5648718846909*AI19 ^ 3 + 10.1740561999327*AI19 ^ 2 + -1.73171413873444*AI19 ^ 1 + 1693.41607285583</f>
        <v>1693.41607285583</v>
      </c>
      <c r="AO19" s="1">
        <v>0</v>
      </c>
      <c r="AP19" s="25">
        <f>-0.00721877066346867*AO19 ^ 6 + 0.0290693200586663*AO19 ^ 5 + 0.0248132528169865*AO19 ^ 4 + -0.230199398371338*AO19 ^ 3 + -0.414577118492012*AO19 ^ 2 + -0.634159438688969*AO19 ^ 1 + 7.24380529531677</f>
        <v>7.2438052953167702</v>
      </c>
      <c r="AQ19" s="26">
        <f>(0.237634602518989*AO19 ^ 6 + -2.54533736552183*AO19 ^ 5 + 10.412860773047*AO19 ^ 4 + -20.4111726583519*AO19 ^ 3 + 10.3160524570742*AO19 ^ 2 + 27.958486153436*AO19 ^ 1 + 67.1637544109713)/1000</f>
        <v>6.7163754410971291E-2</v>
      </c>
      <c r="AR19" s="26">
        <f>(0.233239585263887*AO19 ^ 6 + -2.51298451565195*AO19 ^ 5 + 10.3278310242806*AO19 ^ 4 + -20.2844046380927*AO19 ^ 3 + 10.4044976421495*AO19 ^ 2 + 27.0283987633541*AO19 ^ 1 + 45.9576833629805)/1000</f>
        <v>4.5957683362980499E-2</v>
      </c>
      <c r="AS19" s="26">
        <f>(0.193005756805872*AO19 ^ 6 + -2.07949468670204*AO19 ^ 5 + 8.54628017259233*AO19 ^ 4 + -16.7853448380219*AO19 ^ 3 + 8.60972179887884*AO19 ^ 2 + 22.3659999766755*AO19 ^ 1 + 21.6909829828664)/1000</f>
        <v>2.16909829828664E-2</v>
      </c>
      <c r="AT19" s="25">
        <f>0.619779449304875*AO19 ^ 6 + -4.96563006246917*AO19 ^ 5 + 14.5742685601167*AO19 ^ 4 + -18.9253635454624*AO19 ^ 3 + 9.5950222325371*AO19 ^ 2 + 1.04259948975685*AO19 ^ 1 + 1363.30600286086</f>
        <v>1363.30600286086</v>
      </c>
      <c r="AU19" s="1">
        <v>0</v>
      </c>
      <c r="AV19" s="25">
        <f>-0.233467389430135*AU19 ^ 6 + 1.32762718871752*AU19 ^ 5 + -2.80571525380957*AU19 ^ 4 + 2.70953790392496*AU19 ^ 3 + -1.89042093683403*AU19 ^ 2 + -0.2309699950035*AU19 ^ 1 + 3.9857807361506</f>
        <v>3.9857807361506001</v>
      </c>
      <c r="AW19" s="26">
        <f>(-2.32233289264839*AU19 ^ 6 + 10.7550617596137*AU19 ^ 5 + -15.4539243437128*AU19 ^ 4 + 4.20419359289105*AU19 ^ 3 + -1.01210290586577*AU19 ^ 2 + 16.8714174797324*AU19 ^ 1 + 48.2767028392514)/1000</f>
        <v>4.8276702839251402E-2</v>
      </c>
      <c r="AX19" s="26">
        <f>(-1.57952213547671*AU19 ^ 6 + 6.69586540176728*AU19 ^ 5 + -7.1576435411101*AU19 ^ 4 + -3.63774261729568*AU19 ^ 3 + 2.57706013828016*AU19 ^ 2 + 15.7048426129758*AU19 ^ 1 + 27.2726416417176)/1000</f>
        <v>2.7272641641717599E-2</v>
      </c>
      <c r="AY19" s="26">
        <f>(-1.30515914054442*AU19 ^ 6 + 5.53279358148044*AU19 ^ 5 + -5.91436085801961*AU19 ^ 4 + -3.00586672467105*AU19 ^ 3 + 2.12942479226071*AU19 ^ 2 + 12.9769114511019*AU19 ^ 1 + 9.31138378855129)/1000</f>
        <v>9.3113837885512897E-3</v>
      </c>
      <c r="AZ19" s="25">
        <f>-2.21146206748802*AU19 ^ 6 + 13.6038209310678*AU19 ^ 5 + -31.4439677034923*AU19 ^ 4 + 33.8909847606519*AU19 ^ 3 + -17.8492054406794*AU19 ^ 2 + 5.48047767859646*AU19 ^ 1 + 1010.13961389247</f>
        <v>1010.13961389247</v>
      </c>
      <c r="BA19" s="17"/>
      <c r="BB19" s="17"/>
      <c r="BC19" s="17"/>
      <c r="BD19" s="17"/>
      <c r="BE19" s="17"/>
      <c r="BF19" s="17"/>
      <c r="BG19" s="17"/>
      <c r="BH19" s="17"/>
      <c r="BI19" s="17"/>
      <c r="BJ19" s="17"/>
    </row>
    <row r="20" spans="2:62" s="11" customFormat="1" x14ac:dyDescent="0.2">
      <c r="B20" s="22" t="s">
        <v>13</v>
      </c>
      <c r="C20" s="23"/>
      <c r="D20" s="24"/>
      <c r="E20" s="1">
        <v>0</v>
      </c>
      <c r="F20" s="25">
        <f>0.0000278296663926428*E20 ^ 6 + -0.000537676232599741*E20 ^ 5 + 0.000768013223311301*E20 ^ 4 + 0.0305114305821674*E20 ^ 3 + -0.33986582171437*E20 ^ 2 + 0.0419168331017959*E20 ^ 1 + 29.4722939530609</f>
        <v>29.472293953060898</v>
      </c>
      <c r="G20" s="26">
        <f>(-0.00134522376077252*E20 ^ 6 + 0.047894023482939*E20 ^ 5 + -0.604697468944113*E20 ^ 4 + 2.86025285320166*E20 ^ 3 + -8.31633178882909*E20 ^ 2 + 108.906235026685*E20 ^ 1 + 397.234868729458)/1000</f>
        <v>0.39723486872945801</v>
      </c>
      <c r="H20" s="26">
        <f>(-0.00155585546191037*E20 ^ 6 + 0.055962752594494*E20 ^ 5 + -0.721813895325*E20 ^ 4 + 3.63925182187116*E20 ^ 3 + -10.3935865831373*E20 ^ 2 + 108.487127618318*E20 ^ 1 + 368.912676833427)/1000</f>
        <v>0.36891267683342699</v>
      </c>
      <c r="I20" s="26">
        <f>(-0.00130722975909708*E20 ^ 6 + 0.0470199047298936*E20 ^ 5 + -0.606468034852064*E20 ^ 4 + 3.05769938073615*E20 ^ 3 + -8.73269144715203*E20 ^ 2 + 91.1508846249112*E20 ^ 1 + 283.153431075445)/1000</f>
        <v>0.28315343107544499</v>
      </c>
      <c r="J20" s="25">
        <f>-0.000851477285747385*E20 ^ 6 + 0.030472129549085*E20 ^ 5 + -0.415753511026756*E20 ^ 4 + 2.70739423136818*E20 ^ 3 + -8.52908917764165*E20 ^ 2 + 10.1304495789765*E20 ^ 1 + 3434.00777569683</f>
        <v>3434.0077756968299</v>
      </c>
      <c r="K20" s="1">
        <v>0</v>
      </c>
      <c r="L20" s="25">
        <f>0.0000214449420987569*K20 ^ 6 + -0.000286208165974741*K20 ^ 5 + -0.00162585923428946*K20 ^ 4 + 0.0302589031923505*K20 ^ 3 + -0.27637613415556*K20 ^ 2 + -0.0768640051558883*K20 ^ 1 + 23.9420142937639</f>
        <v>23.942014293763901</v>
      </c>
      <c r="M20" s="26">
        <f>(0.00102177725659186*K20 ^ 6 + -0.0312138311117978*K20 ^ 5 + 0.413617636498661*K20 ^ 4 + -3.31243179073232*K20 ^ 3 + 8.90889504728867*K20 ^ 2 + 73.5555973712234*K20 ^ 1 + 304.000296106815)/1000</f>
        <v>0.30400029610681495</v>
      </c>
      <c r="N20" s="26">
        <f>(0.000953386291174699*K20 ^ 6 + -0.0289794846411156*K20 ^ 5 + 0.384554570993034*K20 ^ 4 + -3.11768039275618*K20 ^ 3 + 8.38720030661854*K20 ^ 2 + 71.9491546668642*K20 ^ 1 + 278.831997837924)/1000</f>
        <v>0.27883199783792401</v>
      </c>
      <c r="O20" s="26">
        <f>(0.000805516077413486*K20 ^ 6 + -0.0244847665732781*K20 ^ 5 + 0.32491015703201*K20 ^ 4 + -2.63412816383968*K20 ^ 3 + 7.08634553906201*K20 ^ 2 + 60.7898407780335*K20 ^ 1 + 209.422154973262)/1000</f>
        <v>0.209422154973262</v>
      </c>
      <c r="P20" s="25">
        <f>0.000720013522550088*K20 ^ 6 + -0.0189191725361798*K20 ^ 5 + 0.168560440350921*K20 ^ 4 + -0.475351702852413*K20 ^ 3 + -0.793625062410664*K20 ^ 2 + 4.02587748288903*K20 ^ 1 + 3093.02177447039</f>
        <v>3093.02177447039</v>
      </c>
      <c r="Q20" s="1">
        <v>0</v>
      </c>
      <c r="R20" s="25">
        <f>0.000162991392719216*Q20 ^ 6 + -0.00392768362569867*Q20 ^ 5 + 0.0342439016559275*Q20 ^ 4 + -0.14046876206464*Q20 ^ 3 + 0.111769843128021*Q20 ^ 2 + -0.386708245115473*Q20 ^ 1 + 18.9859722612775</f>
        <v>18.985972261277499</v>
      </c>
      <c r="S20" s="26">
        <f>(-0.000247264137084725*Q20 ^ 6 + 0.0124851712082196*Q20 ^ 5 + -0.13685520818907*Q20 ^ 4 + -0.0196647726391883*Q20 ^ 3 + -0.703976581004271*Q20 ^ 2 + 68.0948044449996*Q20 ^ 1 + 229.385969281706)/1000</f>
        <v>0.22938596928170599</v>
      </c>
      <c r="T20" s="26">
        <f>(-0.0000939980142124986*Q20 ^ 6 + 0.00942220454900268*Q20 ^ 5 + -0.123203820659505*Q20 ^ 4 + 0.0523300623667345*Q20 ^ 3 + -1.19176969168591*Q20 ^ 2 + 67.0774347484697*Q20 ^ 1 + 205.220277117425)/1000</f>
        <v>0.20522027711742502</v>
      </c>
      <c r="U20" s="26">
        <f>(-0.0000797197158536084*Q20 ^ 6 + 0.00799097167800884*Q20 ^ 5 + -0.104489160301322*Q20 ^ 4 + 0.0443811258932003*Q20 ^ 3 + -1.01073987551872*Q20 ^ 2 + 56.888372410177*Q20 ^ 1 + 147.787317023288)/1000</f>
        <v>0.14778731702328801</v>
      </c>
      <c r="V20" s="25">
        <f>0.000747409830839636*Q20 ^ 6 + -0.0156808665209437*Q20 ^ 5 + 0.11085709639126*Q20 ^ 4 + -0.272270411678916*Q20 ^ 3 + -0.0493765191512921*Q20 ^ 2 + 0.656108025335574*Q20 ^ 1 + 2753.93403129281</f>
        <v>2753.9340312928098</v>
      </c>
      <c r="W20" s="1">
        <v>0</v>
      </c>
      <c r="X20" s="25">
        <f>0.0000346704202715213*W20 ^ 6 + -0.000211859128289434*W20 ^ 5 + -0.00454164418482566*W20 ^ 4 + 0.0367603902010781*W20 ^ 3 + -0.236946457222037*W20 ^ 2 + -0.151006485732926*W20 ^ 1 + 14.6095933429723</f>
        <v>14.6095933429723</v>
      </c>
      <c r="Y20" s="26">
        <f>(0.0025838970898486*W20 ^ 6 + -0.0508545620134639*W20 ^ 5 + 0.400119986128355*W20 ^ 4 + -2.04136301369132*W20 ^ 3 + 2.19604017533275*W20 ^ 2 + 53.3117718309499*W20 ^ 1 + 170.853345815749)/1000</f>
        <v>0.17085334581574901</v>
      </c>
      <c r="Z20" s="26">
        <f>(0.00282008054566714*W20 ^ 6 + -0.0568570601079736*W20 ^ 5 + 0.458096050885322*W20 ^ 4 + -2.2931634513249*W20 ^ 3 + 2.7663487581123*W20 ^ 2 + 51.4980198290908*W20 ^ 1 + 147.801959157613)/1000</f>
        <v>0.14780195915761299</v>
      </c>
      <c r="AA20" s="26">
        <f>(0.00238127601276129*W20 ^ 6 + -0.0480101015551719*W20 ^ 5 + 0.386816305367556*W20 ^ 4 + -1.93634721829869*W20 ^ 3 + 2.33590489134989*W20 ^ 2 + 43.4849279436844*W20 ^ 1 + 101.280974312689)/1000</f>
        <v>0.101280974312689</v>
      </c>
      <c r="AB20" s="25">
        <f>-0.00279861785752576*W20 ^ 6 + 0.0724660705004326*W20 ^ 5 + -0.711316430397903*W20 ^ 4 + 3.32009903901497*W20 ^ 3 + -7.49874044893283*W20 ^ 2 + 6.96129850943341*W20 ^ 1 + 2409.01882756394</f>
        <v>2409.0188275639398</v>
      </c>
      <c r="AC20" s="1">
        <v>0</v>
      </c>
      <c r="AD20" s="25">
        <f>-0.00012943214757271*AC20 ^ 6 + 0.00373644289546913*AC20 ^ 5 + -0.0385057976174952*AC20 ^ 4 + 0.161315587296436*AC20 ^ 3 + -0.433585969773974*AC20 ^ 2 + -0.01176839870764*AC20 ^ 1 + 10.8029405754351</f>
        <v>10.8029405754351</v>
      </c>
      <c r="AE20" s="26">
        <f>(0.00274438018394643*AC20 ^ 6 + -0.0355718899838071*AC20 ^ 5 + 0.186592591964268*AC20 ^ 4 + -1.14703753346059*AC20 ^ 3 + 1.24573421157215*AC20 ^ 2 + 38.3774521150435*AC20 ^ 1 + 129.198373542484)/1000</f>
        <v>0.12919837354248401</v>
      </c>
      <c r="AF20" s="26">
        <f>(0.00119586633555218*AC20 ^ 6 + -0.00653428956197541*AC20 ^ 5 + -0.0150559578075537*AC20 ^ 4 + -0.504923588923857*AC20 ^ 3 + 0.416146967063279*AC20 ^ 2 + 37.6397877192611*AC20 ^ 1 + 106.931695884884)/1000</f>
        <v>0.10693169588488399</v>
      </c>
      <c r="AG20" s="26">
        <f>(0.00100620193473351*AC20 ^ 6 + -0.00549795123744397*AC20 ^ 5 + -0.0126680828992945*AC20 ^ 4 + -0.424842707720454*AC20 ^ 3 + 0.350146058086884*AC20 ^ 2 + 31.6701173869864*AC20 ^ 1 + 68.6563289175412)/1000</f>
        <v>6.8656328917541198E-2</v>
      </c>
      <c r="AH20" s="25">
        <f>0.000493989712717877*AC20 ^ 6 + -0.0102050785472257*AC20 ^ 5 + 0.0735481181315363*AC20 ^ 4 + -0.177474526663517*AC20 ^ 3 + -0.255051226848899*AC20 ^ 2 + 1.74174912181124*AC20 ^ 1 + 2067.0562883807</f>
        <v>2067.0562883807002</v>
      </c>
      <c r="AI20" s="1">
        <v>0</v>
      </c>
      <c r="AJ20" s="25">
        <f>0.000341768582873156*AI20 ^ 6 + -0.00307202029662582*AI20 ^ 5 + -0.00178311706568118*AI20 ^ 4 + 0.0668714588448234*AI20 ^ 3 + -0.335838492870231*AI20 ^ 2 + 0.00560718671642042*AI20 ^ 1 + 7.54163583366968</f>
        <v>7.5416358336696803</v>
      </c>
      <c r="AK20" s="26">
        <f>(0.00150356807504443*AI20 ^ 6 + 0.0288682929932437*AI20 ^ 5 + -0.524115364357357*AI20 ^ 4 + 2.11687268896577*AI20 ^ 3 + -5.52975487170555*AI20 ^ 2 + 31.4449277720282*AI20 ^ 1 + 96.7756118916375)/1000</f>
        <v>9.6775611891637497E-2</v>
      </c>
      <c r="AL20" s="26">
        <f>(0.00372150484752838*AI20 ^ 6 + -0.00400357890727544*AI20 ^ 5 + -0.350792842286835*AI20 ^ 4 + 1.75663411207797*AI20 ^ 3 + -5.2598857893731*AI20 ^ 2 + 30.6218509356414*AI20 ^ 1 + 74.8833923613131)/1000</f>
        <v>7.4883392361313098E-2</v>
      </c>
      <c r="AM20" s="26">
        <f>(0.00310857299914047*AI20 ^ 6 + -0.00334418946124696*AI20 ^ 5 + -0.293017261162197*AI20 ^ 4 + 1.46731647381875*AI20 ^ 3 + -4.39358259986337*AI20 ^ 2 + 25.5784320865413*AI20 ^ 1 + 43.1710976394048)/1000</f>
        <v>4.3171097639404798E-2</v>
      </c>
      <c r="AN20" s="25">
        <f>-0.0151324849819743*AI20 ^ 6 + 0.234829331724605*AI20 ^ 5 + -1.39024451782379*AI20 ^ 4 + 4.01373413200757*AI20 ^ 3 + -6.21758566170696*AI20 ^ 2 + 5.73929894410381*AI20 ^ 1 + 1727.06725057922</f>
        <v>1727.0672505792199</v>
      </c>
      <c r="AO20" s="1">
        <v>0</v>
      </c>
      <c r="AP20" s="25">
        <f>0.000158101717728609*AO20 ^ 6 + 0.0023906196934286*AO20 ^ 5 + -0.037623176648612*AO20 ^ 4 + 0.134557372098276*AO20 ^ 3 + -0.347983629525898*AO20 ^ 2 + -0.00121084479769812*AO20 ^ 1 + 4.84144755714462</f>
        <v>4.8414475571446198</v>
      </c>
      <c r="AQ20" s="26">
        <f>(-0.113594739618192*AO20 ^ 6 + 1.62597774745058*AO20 ^ 5 + -8.794979437614*AO20 ^ 4 + 21.764933253136*AO20 ^ 3 + -26.4178882455509*AO20 ^ 2 + 29.4352357825932*AO20 ^ 1 + 70.0038114987261)/1000</f>
        <v>7.0003811498726087E-2</v>
      </c>
      <c r="AR20" s="26">
        <f>(-0.106426809219514*AO20 ^ 6 + 1.53088470653758*AO20 ^ 5 + -8.32404714527835*AO20 ^ 4 + 20.7201274645191*AO20 ^ 3 + -25.3692324279394*AO20 ^ 2 + 28.5323346380678*AO20 ^ 1 + 48.5420707051107)/1000</f>
        <v>4.8542070705110706E-2</v>
      </c>
      <c r="AS20" s="26">
        <f>(-0.0880681846291475*AO20 ^ 6 + 1.26680709465985*AO20 ^ 5 + -6.88814901271783*AO20 ^ 4 + 17.1459054768895*AO20 ^ 3 + -20.9930398341199*AO20 ^ 2 + 23.6105069130011*AO20 ^ 1 + 23.829563508479)/1000</f>
        <v>2.3829563508479E-2</v>
      </c>
      <c r="AT20" s="25">
        <f>-0.051992162400446*AO20 ^ 6 + 0.699189487358869*AO20 ^ 5 + -3.59886562707787*AO20 ^ 4 + 8.92241187919315*AO20 ^ 3 + -11.256139228303*AO20 ^ 2 + 7.60881111370961*AO20 ^ 1 + 1381.03115616421</f>
        <v>1381.03115616421</v>
      </c>
      <c r="AU20" s="1">
        <v>0</v>
      </c>
      <c r="AV20" s="25">
        <f>0.00913652346825222*AU20 ^ 6 + -0.0567349402795571*AU20 ^ 5 + 0.082270015460613*AU20 ^ 4 + 0.0523081593026711*AU20 ^ 3 + -0.33581359197937*AU20 ^ 2 + 0.00763643285040854*AU20 ^ 1 + 2.61320942881189</f>
        <v>2.6132094288118899</v>
      </c>
      <c r="AW20" s="26">
        <f>(-0.550649575862011*AU20 ^ 6 + 5.12723602278317*AU20 ^ 5 + -18.0887281408985*AU20 ^ 4 + 29.7316830842991*AU20 ^ 3 + -24.7863917696547*AU20 ^ 2 + 18.8237523085844*AU20 ^ 1 + 48.2660898448495)/1000</f>
        <v>4.8266089844849501E-2</v>
      </c>
      <c r="AX20" s="26">
        <f>(-0.63195517797226*AU20 ^ 6 + 5.86560025733687*AU20 ^ 5 + -20.5686676453697*AU20 ^ 4 + 33.4924958882378*AU20 ^ 3 + -27.1938627147614*AU20 ^ 2 + 18.9258871481764*AU20 ^ 1 + 27.1692137466412)/1000</f>
        <v>2.7169213746641201E-2</v>
      </c>
      <c r="AY20" s="26">
        <f>(-0.522184563558479*AU20 ^ 6 + 4.84674549263747*AU20 ^ 5 + -16.995890075369*AU20 ^ 4 + 27.6748493524509*AU20 ^ 3 + -22.4702887612074*AU20 ^ 2 + 15.6384605505382*AU20 ^ 1 + 9.22592131884955)/1000</f>
        <v>9.2259213188495507E-3</v>
      </c>
      <c r="AZ20" s="25">
        <f>-0.60856664003812*AU20 ^ 6 + 5.71350388823933*AU20 ^ 5 + -20.2354102138627*AU20 ^ 4 + 33.3078730493469*AU20 ^ 3 + -25.3951101290073*AU20 ^ 2 + 8.50406753784373*AU20 ^ 1 + 1009.02226379035</f>
        <v>1009.0222637903501</v>
      </c>
      <c r="BA20" s="17"/>
      <c r="BB20" s="17"/>
      <c r="BC20" s="17"/>
      <c r="BD20" s="17"/>
      <c r="BE20" s="17"/>
      <c r="BF20" s="17"/>
      <c r="BG20" s="17"/>
      <c r="BH20" s="17"/>
      <c r="BI20" s="17"/>
      <c r="BJ20" s="17"/>
    </row>
    <row r="21" spans="2:62" s="11" customFormat="1" x14ac:dyDescent="0.2">
      <c r="B21" s="22" t="s">
        <v>14</v>
      </c>
      <c r="C21" s="23"/>
      <c r="D21" s="24"/>
      <c r="E21" s="1">
        <v>0</v>
      </c>
      <c r="F21" s="25">
        <f>0.000840704046429678*E21 ^ 6 + -0.0152374375077852*E21 ^ 5 + 0.0990517075402759*E21 ^ 4 + -0.269270981160574*E21 ^ 3 + -1.29260816090859*E21 ^ 2 + -1.4443395537754*E21 ^ 1 + 89.8123385823725</f>
        <v>89.812338582372504</v>
      </c>
      <c r="G21" s="26">
        <f>(0.0868761567599657*E21 ^ 6 + -1.98438363702857*E21 ^ 5 + 17.8625587021998*E21 ^ 4 + -80.7255293144041*E21 ^ 3 + 145.432462401049*E21 ^ 2 + 223.07397365393*E21 ^ 1 + 832.963299455022)/1000</f>
        <v>0.83296329945502201</v>
      </c>
      <c r="H21" s="26">
        <f>(0.066604545574585*E21 ^ 6 + -1.55460940147887*E21 ^ 5 + 14.4960125969088*E21 ^ 4 + -68.9743224153451*E21 ^ 3 + 129.272533278217*E21 ^ 2 + 222.112963654215*E21 ^ 1 + 786.093477647738)/1000</f>
        <v>0.78609347764773807</v>
      </c>
      <c r="I21" s="26">
        <f>(0.0590715714700997*E21 ^ 6 + -1.37878307817162*E21 ^ 5 + 12.8565135721985*E21 ^ 4 + -61.17332655017*E21 ^ 3 + 114.651809764452*E21 ^ 2 + 196.991987464922*E21 ^ 1 + 605.994305325781)/1000</f>
        <v>0.60599430532578102</v>
      </c>
      <c r="J21" s="25">
        <f>0.00432898295764923*E21 ^ 6 + -0.0874372242916844*E21 ^ 5 + 0.61823553724039*E21 ^ 4 + -1.55634026921355*E21 ^ 3 + -0.336411911645253*E21 ^ 2 + 3.49642878125664*E21 ^ 1 + 3394.9830618197</f>
        <v>3394.9830618197002</v>
      </c>
      <c r="K21" s="1">
        <v>0</v>
      </c>
      <c r="L21" s="25">
        <f>0.00125217747846461*K21 ^ 6 + -0.017850652382753*K21 ^ 5 + 0.0805151661590807*K21 ^ 4 + -0.106371543162925*K21 ^ 3 + -1.51765831805312*K21 ^ 2 + -1.54264332031553*K21 ^ 1 + 72.484975311798</f>
        <v>72.484975311797996</v>
      </c>
      <c r="M21" s="26">
        <f>(0.0913236610962695*K21 ^ 6 + -2.06870756945294*K21 ^ 5 + 18.5442079852928*K21 ^ 4 + -82.379425318008*K21 ^ 3 + 143.925151369067*K21 ^ 2 + 165.89577037703*K21 ^ 1 + 648.653002319778)/1000</f>
        <v>0.64865300231977796</v>
      </c>
      <c r="N21" s="26">
        <f>(0.0950252305651344*K21 ^ 6 + -2.14771423413798*K21 ^ 5 + 19.1515350035561*K21 ^ 4 + -84.3190863075116*K21 ^ 3 + 147.027109203926*K21 ^ 2 + 156.629991466927*K21 ^ 1 + 606.196135496644)/1000</f>
        <v>0.60619613549664408</v>
      </c>
      <c r="O21" s="26">
        <f>(0.0842493694190486*K21 ^ 6 + -1.90416343998675*K21 ^ 5 + 16.979750934153*K21 ^ 4 + -74.7573019202403*K21 ^ 3 + 130.354235020202*K21 ^ 2 + 138.868150434578*K21 ^ 1 + 453.953493731325)/1000</f>
        <v>0.45395349373132499</v>
      </c>
      <c r="P21" s="25">
        <f>0.00886849867294487*K21 ^ 6 + -0.161420988106872*K21 ^ 5 + 1.05303465478788*K21 ^ 4 + -2.80333294238673*K21 ^ 3 + 2.11160484212425*K21 ^ 2 + 0.789391766352079*K21 ^ 1 + 3058.11833293178</f>
        <v>3058.1183329317801</v>
      </c>
      <c r="Q21" s="1">
        <v>0</v>
      </c>
      <c r="R21" s="25">
        <f>0.00432336374484637*Q21 ^ 6 + -0.0722611192821424*Q21 ^ 5 + 0.455587668116254*Q21 ^ 4 + -1.37280558532821*Q21 ^ 3 + 0.609301143930123*Q21 ^ 2 + -2.87972376357991*Q21 ^ 1 + 57.5125961478021</f>
        <v>57.5125961478021</v>
      </c>
      <c r="S21" s="26">
        <f>(0.121492375837295*Q21 ^ 6 + -2.28702165558107*Q21 ^ 5 + 17.1358614654156*Q21 ^ 4 + -64.8609189870009*Q21 ^ 3 + 91.5869283637289*Q21 ^ 2 + 160.502976508067*Q21 ^ 1 + 478.46617847149)/1000</f>
        <v>0.47846617847149003</v>
      </c>
      <c r="T21" s="26">
        <f>(0.136206265297208*Q21 ^ 6 + -2.56646171924425*Q21 ^ 5 + 19.1174462635136*Q21 ^ 4 + -71.2245411909815*Q21 ^ 3 + 101.368335206021*Q21 ^ 2 + 148.911632493941*Q21 ^ 1 + 439.91220351251)/1000</f>
        <v>0.43991220351251004</v>
      </c>
      <c r="U21" s="26">
        <f>(0.121373403006342*Q21 ^ 6 + -2.28697403801856*Q21 ^ 5 + 17.035556365417*Q21 ^ 4 + -63.4681886552835*Q21 ^ 3 + 90.3293235020846*Q21 ^ 2 + 132.695155715352*Q21 ^ 1 + 311.975764549998)/1000</f>
        <v>0.31197576454999804</v>
      </c>
      <c r="V21" s="25">
        <f>0.00631746212673553*Q21 ^ 6 + -0.129403989673395*Q21 ^ 5 + 0.964630796338834*Q21 ^ 4 + -3.0778566072865*Q21 ^ 3 + 3.40706867898376*Q21 ^ 2 + 0.746988555297142*Q21 ^ 1 + 2718.00709414028</f>
        <v>2718.0070941402801</v>
      </c>
      <c r="W21" s="1">
        <v>0</v>
      </c>
      <c r="X21" s="25">
        <f>0.00507385176043104*W21 ^ 6 + -0.0774129041120416*W21 ^ 5 + 0.452649649379902*W21 ^ 4 + -1.30737799796341*W21 ^ 3 + 0.517987740630253*W21 ^ 2 + -2.71379834153588*W21 ^ 1 + 44.221417738412</f>
        <v>44.221417738412001</v>
      </c>
      <c r="Y21" s="26">
        <f>(0.380713051293212*W21 ^ 6 + -5.76239444331758*W21 ^ 5 + 33.5580778439728*W21 ^ 4 + -95.3566342719648*W21 ^ 3 + 107.82284584667*W21 ^ 2 + 110.689909902563*W21 ^ 1 + 361.932265509827)/1000</f>
        <v>0.36193226550982699</v>
      </c>
      <c r="Z21" s="26">
        <f>(0.385696430521458*W21 ^ 6 + -5.83253024665106*W21 ^ 5 + 33.8823128974845*W21 ^ 4 + -95.7121814595602*W21 ^ 3 + 107.673661349095*W21 ^ 2 + 106.551274854082*W21 ^ 1 + 325.465043891611)/1000</f>
        <v>0.32546504389161102</v>
      </c>
      <c r="AA21" s="26">
        <f>(0.344156924954298*W21 ^ 6 + -5.20436673908676*W21 ^ 5 + 30.2331877984255*W21 ^ 4 + -85.4039795163657*W21 ^ 3 + 96.0772080217979*W21 ^ 2 + 95.0757025522971*W21 ^ 1 + 218.666458664484)/1000</f>
        <v>0.218666458664484</v>
      </c>
      <c r="AB21" s="25">
        <f>0.00417327155569395*W21 ^ 6 + 0.0117646115570678*W21 ^ 5 + -0.64833583116851*W21 ^ 4 + 3.97978984989416*W21 ^ 3 + -9.58888964674088*W21 ^ 2 + 9.71803590707875*W21 ^ 1 + 2379.02468994609</f>
        <v>2379.0246899460899</v>
      </c>
      <c r="AC21" s="1">
        <v>0</v>
      </c>
      <c r="AD21" s="25">
        <f>0.0161639483317456*AC21 ^ 6 + -0.185584631646625*AC21 ^ 5 + 0.795518046739868*AC21 ^ 4 + -1.634123055833*AC21 ^ 3 + 0.329186504450794*AC21 ^ 2 + -2.16386073477423*AC21 ^ 1 + 32.2254464783464</f>
        <v>32.225446478346399</v>
      </c>
      <c r="AE21" s="26">
        <f>(0.218911661463406*AC21 ^ 6 + -3.08010416120743*AC21 ^ 5 + 17.5129130162504*AC21 ^ 4 + -51.1945249593195*AC21 ^ 3 + 52.31440160413*AC21 ^ 2 + 98.5072554473364*AC21 ^ 1 + 254.642436252338)/1000</f>
        <v>0.25464243625233801</v>
      </c>
      <c r="AF21" s="26">
        <f>(0.275221272907226*AC21 ^ 6 + -3.81586536539037*AC21 ^ 5 + 21.0506574322506*AC21 ^ 4 + -58.7557925841451*AC21 ^ 3 + 59.9593673656817*AC21 ^ 2 + 91.5433411549099*AC21 ^ 1 + 221.097132213961)/1000</f>
        <v>0.22109713221396102</v>
      </c>
      <c r="AG21" s="26">
        <f>(0.2453322426695*AC21 ^ 6 + -3.40146238670897*AC21 ^ 5 + 18.7645560351081*AC21 ^ 4 + -52.3749135095067*AC21 ^ 3 + 53.4477800697683*AC21 ^ 2 + 81.6017343054869*AC21 ^ 1 + 134.417983655525)/1000</f>
        <v>0.13441798365552501</v>
      </c>
      <c r="AH21" s="25">
        <f>0.00478612507081037*AC21 ^ 6 + 0.0128120531655612*AC21 ^ 5 + -0.55373813661175*AC21 ^ 4 + 2.84794188941396*AC21 ^ 3 + -6.04609692475044*AC21 ^ 2 + 6.64306400896115*AC21 ^ 1 + 2039.9983771745</f>
        <v>2039.9983771745001</v>
      </c>
      <c r="AI21" s="1">
        <v>0</v>
      </c>
      <c r="AJ21" s="25">
        <f>0.0176420690643455*AI21 ^ 6 + -0.194009830087185*AI21 ^ 5 + 0.773456097015161*AI21 ^ 4 + -1.45572779686922*AI21 ^ 3 + 0.0976726084765111*AI21 ^ 2 + -2.0689402398302*AI21 ^ 1 + 22.6640161188421</f>
        <v>22.664016118842099</v>
      </c>
      <c r="AK21" s="26">
        <f>(0.266090168758903*AI21 ^ 6 + -3.42127205268562*AI21 ^ 5 + 17.0363362628376*AI21 ^ 4 + -42.0478746297797*AI21 ^ 3 + 31.9534114188558*AI21 ^ 2 + 74.4603754205522*AI21 ^ 1 + 182.27007614651)/1000</f>
        <v>0.18227007614651</v>
      </c>
      <c r="AL21" s="26">
        <f>(0.341312068766589*AI21 ^ 6 + -4.1880317265148*AI21 ^ 5 + 19.9846694038831*AI21 ^ 4 + -47.1618587640203*AI21 ^ 3 + 36.1042860240879*AI21 ^ 2 + 70.7075152703733*AI21 ^ 1 + 149.658044270784)/1000</f>
        <v>0.149658044270784</v>
      </c>
      <c r="AM21" s="26">
        <f>(0.305952138442371*AI21 ^ 6 + -3.75415163964787*AI21 ^ 5 + 17.9142576536409*AI21 ^ 4 + -42.275890196068*AI21 ^ 3 + 32.3638819919927*AI21 ^ 2 + 63.3822166883625*AI21 ^ 1 + 76.6964708843308)/1000</f>
        <v>7.6696470884330792E-2</v>
      </c>
      <c r="AN21" s="25">
        <f>-0.224178784439923*AI21 ^ 6 + 2.71252715228213*AI21 ^ 5 + -12.2869692797459*AI21 ^ 4 + 25.697502937199*AI21 ^ 3 + -24.5734202723303*AI21 ^ 2 + 9.42285450645626*AI21 ^ 1 + 1702.9775260755</f>
        <v>1702.9775260755</v>
      </c>
      <c r="AO21" s="1">
        <v>0</v>
      </c>
      <c r="AP21" s="25">
        <f>0.0648310880794175*AO21 ^ 6 + -0.592033977156102*AO21 ^ 5 + 2.02673930353159*AO21 ^ 4 + -3.40531594312665*AO21 ^ 3 + 1.58896792557293*AO21 ^ 2 + -2.17572002097384*AO21 ^ 1 + 14.5691873692917</f>
        <v>14.569187369291701</v>
      </c>
      <c r="AQ21" s="26">
        <f>(1.98004781751541*AO21 ^ 6 + -18.0880988810851*AO21 ^ 5 + 62.9425934492958*AO21 ^ 4 + -104.432341944344*AO21 ^ 3 + 65.5046351670611*AO21 ^ 2 + 40.5071986837871*AO21 ^ 1 + 134.164771638614)/1000</f>
        <v>0.13416477163861401</v>
      </c>
      <c r="AR21" s="26">
        <f>(2.45743697855976*AO21 ^ 6 + -21.7058658828453*AO21 ^ 5 + 72.7999570302351*AO21 ^ 4 + -115.892036291061*AO21 ^ 3 + 71.1955179840496*AO21 ^ 2 + 37.4751894264087*AO21 ^ 1 + 102.619978195962)/1000</f>
        <v>0.10261997819596201</v>
      </c>
      <c r="AS21" s="26">
        <f>(2.17507746972322*AO21 ^ 6 + -19.2118618929062*AO21 ^ 5 + 64.4352419674605*AO21 ^ 4 + -102.576041321217*AO21 ^ 3 + 63.0151529676816*AO21 ^ 2 + 33.1692901613146*AO21 ^ 1 + 47.1879427012456)/1000</f>
        <v>4.7187942701245607E-2</v>
      </c>
      <c r="AT21" s="25">
        <f>-0.461089573015658*AO21 ^ 6 + 4.47482459934529*AO21 ^ 5 + -16.6542032824165*AO21 ^ 4 + 29.8829232548777*AO21 ^ 3 + -27.2024831570326*AO21 ^ 2 + 12.8446285947394*AO21 ^ 1 + 1362.05417780652</f>
        <v>1362.0541778065201</v>
      </c>
      <c r="AU21" s="1">
        <v>0</v>
      </c>
      <c r="AV21" s="25">
        <f>0.76116522269625*AU21 ^ 6 + -4.6562352229985*AU21 ^ 5 + 10.6463153573695*AU21 ^ 4 + -11.4255041180675*AU21 ^ 3 + 4.52220644190043*AU21 ^ 2 + -2.13041629383134*AU21 ^ 1 + 7.92613372577267</f>
        <v>7.9261337257726696</v>
      </c>
      <c r="AW21" s="26">
        <f>(9.23935762864372*AU21 ^ 6 + -61.2474943952117*AU21 ^ 5 + 155.441973203281*AU21 ^ 4 + -187.140688981966*AU21 ^ 3 + 91.7980019494443*AU21 ^ 2 + 15.0416425999112*AU21 ^ 1 + 89.1997162558213)/1000</f>
        <v>8.9199716255821307E-2</v>
      </c>
      <c r="AX21" s="26">
        <f>(8.65458201074456*AU21 ^ 6 + -56.7303000173073*AU21 ^ 5 + 142.429207696637*AU21 ^ 4 + -169.669008594041*AU21 ^ 3 + 81.5220207308821*AU21 ^ 2 + 15.7887632092208*AU21 ^ 1 + 58.4331817915448)/1000</f>
        <v>5.8433181791544796E-2</v>
      </c>
      <c r="AY21" s="26">
        <f>(7.58227929961326*AU21 ^ 6 + -49.7014158451626*AU21 ^ 5 + 124.782228863023*AU21 ^ 4 + -148.647018429238*AU21 ^ 3 + 71.4214423623256*AU21 ^ 2 + 13.8325354475984*AU21 ^ 1 + 21.5183105675725)/1000</f>
        <v>2.1518310567572498E-2</v>
      </c>
      <c r="AZ21" s="25">
        <f>-3.75763303762701*AU21 ^ 6 + 22.7573402115025*AU21 ^ 5 + -51.5816226593465*AU21 ^ 4 + 54.1742380362363*AU21 ^ 3 + -27.44067657092*AU21 ^ 2 + 7.93729669024524*AU21 ^ 1 + 1006.02710499826</f>
        <v>1006.02710499826</v>
      </c>
      <c r="BA21" s="17"/>
      <c r="BB21" s="17"/>
      <c r="BC21" s="17"/>
      <c r="BD21" s="17"/>
      <c r="BE21" s="17"/>
      <c r="BF21" s="17"/>
      <c r="BG21" s="17"/>
      <c r="BH21" s="17"/>
      <c r="BI21" s="17"/>
      <c r="BJ21" s="17"/>
    </row>
    <row r="22" spans="2:62" s="11" customFormat="1" x14ac:dyDescent="0.2">
      <c r="B22" s="22" t="s">
        <v>15</v>
      </c>
      <c r="C22" s="23"/>
      <c r="D22" s="24"/>
      <c r="E22" s="1">
        <v>0</v>
      </c>
      <c r="F22" s="25">
        <f>-0.0000430904566214911*E22 ^ 6 + 0.0022707776206735*E22 ^ 5 + -0.0407754926794873*E22 ^ 4 + 0.302821473790344*E22 ^ 3 + -1.28634841339858*E22 ^ 2 + 0.707310025190492*E22 ^ 1 + 59.7556479260163</f>
        <v>59.755647926016302</v>
      </c>
      <c r="G22" s="26">
        <f>(0.000424138695313665*E22 ^ 6 + -0.00927239577717265*E22 ^ 5 + 0.143895051638424*E22 ^ 4 + -2.54699421142427*E22 ^ 3 + 6.17851464465295*E22 ^ 2 + 194.953593278936*E22 ^ 1 + 768.463121491041)/1000</f>
        <v>0.76846312149104101</v>
      </c>
      <c r="H22" s="26">
        <f>(-0.000108230231030458*E22 ^ 6 + 0.00734048453869181*E22 ^ 5 + -0.0408808967838489*E22 ^ 4 + -1.71584137519796*E22 ^ 3 + 5.53485773297966*E22 ^ 2 + 188.578401311676*E22 ^ 1 + 723.621561518904)/1000</f>
        <v>0.723621561518904</v>
      </c>
      <c r="I22" s="26">
        <f>(-0.0000959893919009556*E22 ^ 6 + 0.00651027573736737*E22 ^ 5 + -0.0362572673576185*E22 ^ 4 + -1.52177971566292*E22 ^ 3 + 4.90886532337911*E22 ^ 2 + 167.250184123326*E22 ^ 1 + 550.587962911116)/1000</f>
        <v>0.550587962911116</v>
      </c>
      <c r="J22" s="25">
        <f>-0.000453444923814549*E22 ^ 6 + 0.0153812408507166*E22 ^ 5 + -0.201077786030001*E22 ^ 4 + 1.30012507293683*E22 ^ 3 + -4.3388264201281*E22 ^ 2 + 5.60670926120147*E22 ^ 1 + 3456.93755461732</f>
        <v>3456.9375546173201</v>
      </c>
      <c r="K22" s="1">
        <v>0</v>
      </c>
      <c r="L22" s="25">
        <f>-0.000059418297081634*K22 ^ 6 + 0.00309737635054626*K22 ^ 5 + -0.0518596961228926*K22 ^ 4 + 0.347697436097472*K22 ^ 3 + -1.28251760715907*K22 ^ 2 + 0.522382909404799*K22 ^ 1 + 48.8426437142412</f>
        <v>48.842643714241198</v>
      </c>
      <c r="M22" s="26">
        <f>(0.00332720605550076*K22 ^ 6 + -0.087611113513144*K22 ^ 5 + 0.932406050213897*K22 ^ 4 + -6.13669423047043*K22 ^ 3 + 13.479509078647*K22 ^ 2 + 154.86672383965*K22 ^ 1 + 590.702618892299)/1000</f>
        <v>0.59070261889229903</v>
      </c>
      <c r="N22" s="26">
        <f>(0.00315755271582703*K22 ^ 6 + -0.0826037506788822*K22 ^ 5 + 0.875300523139616*K22 ^ 4 + -5.78789616513936*K22 ^ 3 + 12.5985735460608*K22 ^ 2 + 150.91987420387*K22 ^ 1 + 549.484405222781)/1000</f>
        <v>0.54948440522278097</v>
      </c>
      <c r="O22" s="26">
        <f>(0.00279948623785236*K22 ^ 6 + -0.0732364853519004*K22 ^ 5 + 0.776041443815622*K22 ^ 4 + -5.13154874001275*K22 ^ 3 + 11.169895305938*K22 ^ 2 + 133.805560469151*K22 ^ 1 + 403.672873670517)/1000</f>
        <v>0.40367287367051702</v>
      </c>
      <c r="P22" s="25">
        <f>0.0113808091456451*K22 ^ 6 + -0.345424339634701*K22 ^ 5 + 3.84897282076346*K22 ^ 4 + -19.1404932556636*K22 ^ 3 + 40.9200054672438*K22 ^ 2 + -28.4216954107816*K22 ^ 1 + 3112.25249537147</f>
        <v>3112.2524953714701</v>
      </c>
      <c r="Q22" s="1">
        <v>0</v>
      </c>
      <c r="R22" s="25">
        <f>-0.000122724896779187*Q22 ^ 6 + 0.0042938035049117*Q22 ^ 5 + -0.0542232230010775*Q22 ^ 4 + 0.279175647098629*Q22 ^ 3 + -0.886844272589012*Q22 ^ 2 + 0.0182167761011532*Q22 ^ 1 + 38.4590554226582</f>
        <v>38.459055422658203</v>
      </c>
      <c r="S22" s="26">
        <f>(0.000154470695254354*Q22 ^ 6 + 0.00550669313477255*Q22 ^ 5 + -0.0558457467418861*Q22 ^ 4 + -1.31105311866177*Q22 ^ 3 + 2.54733152186005*Q22 ^ 2 + 128.235321921446*Q22 ^ 1 + 453.055282623215)/1000</f>
        <v>0.45305528262321504</v>
      </c>
      <c r="T22" s="26">
        <f>(0.000286186248455532*Q22 ^ 6 + 0.00318866401628981*Q22 ^ 5 + -0.0509742884097447*Q22 ^ 4 + -1.17877914380637*Q22 ^ 3 + 1.96827256183623*Q22 ^ 2 + 125.180790859979*Q22 ^ 1 + 414.272764434255)/1000</f>
        <v>0.41427276443425504</v>
      </c>
      <c r="U22" s="26">
        <f>(0.000255020565998777*Q22 ^ 6 + 0.002841418504915*Q22 ^ 5 + -0.0454231884019213*Q22 ^ 4 + -1.05041009504583*Q22 ^ 3 + 1.75392767985213*Q22 ^ 2 + 111.548602735328*Q22 ^ 1 + 289.128460387364)/1000</f>
        <v>0.28912846038736401</v>
      </c>
      <c r="V22" s="25">
        <f>0.000561632771666445*Q22 ^ 6 + -0.0138832592371836*Q22 ^ 5 + 0.122350310626592*Q22 ^ 4 + -0.422471140648785*Q22 ^ 3 + 0.226872126489047*Q22 ^ 2 + 1.04114903723239*Q22 ^ 1 + 2767.01177275581</f>
        <v>2767.0117727558099</v>
      </c>
      <c r="W22" s="1">
        <v>0</v>
      </c>
      <c r="X22" s="25">
        <f>0.000497128937687651*W22 ^ 6 + -0.00955416304565177*W22 ^ 5 + 0.0624247885172518*W22 ^ 4 + -0.181578005690069*W22 ^ 3 + -0.0753569229324178*W22 ^ 2 + -0.396912126427578*W22 ^ 1 + 29.4411862662209</f>
        <v>29.4411862662209</v>
      </c>
      <c r="Y22" s="26">
        <f>(0.00877661187589455*W22 ^ 6 + -0.186473319423729*W22 ^ 5 + 1.60674998397464*W22 ^ 4 + -8.11678316001465*W22 ^ 3 + 15.2320445716293*W22 ^ 2 + 89.0435588996978*W22 ^ 1 + 327.652419589484)/1000</f>
        <v>0.32765241958948399</v>
      </c>
      <c r="Z22" s="26">
        <f>(0.00832940140412073*W22 ^ 6 + -0.175771602571739*W22 ^ 5 + 1.50324977958539*W22 ^ 4 + -7.58281496977076*W22 ^ 3 + 14.0574228585925*W22 ^ 2 + 86.8640783389566*W22 ^ 1 + 292.647675307324)/1000</f>
        <v>0.292647675307324</v>
      </c>
      <c r="AA22" s="26">
        <f>(0.00743232487289684*W22 ^ 6 + -0.156841000974761*W22 ^ 5 + 1.34134977832404*W22 ^ 4 + -6.76614579752643*W22 ^ 3 + 12.5434384167221*W22 ^ 2 + 77.5088171018508*W22 ^ 1 + 189.383520676725)/1000</f>
        <v>0.18938352067672501</v>
      </c>
      <c r="AB22" s="25">
        <f>0.00236474381159284*W22 ^ 6 + -0.0526419987476102*W22 ^ 5 + 0.418891746421888*W22 ^ 4 + -1.38830979494914*W22 ^ 3 + 1.38586511052965*W22 ^ 2 + 1.70108792157464*W22 ^ 1 + 2419.99772022768</f>
        <v>2419.99772022768</v>
      </c>
      <c r="AC22" s="1">
        <v>0</v>
      </c>
      <c r="AD22" s="25">
        <f>0.000570518101451658*AC22 ^ 6 + -0.00804328678669629*AC22 ^ 5 + 0.0318695977502184*AC22 ^ 4 + -0.0393029290326758*AC22 ^ 3 + -0.291533481812103*AC22 ^ 2 + -0.286882795475691*AC22 ^ 1 + 21.6362173197171</f>
        <v>21.636217319717101</v>
      </c>
      <c r="AE22" s="26">
        <f>(0.0178667640648515*AC22 ^ 6 + -0.29260960570298*AC22 ^ 5 + 1.80243000854277*AC22 ^ 4 + -6.26772256328566*AC22 ^ 3 + 6.70281327096736*AC22 ^ 2 + 72.4710954645078*AC22 ^ 1 + 240.839982837692)/1000</f>
        <v>0.24083998283769198</v>
      </c>
      <c r="AF22" s="26">
        <f>(0.0193488427361436*AC22 ^ 6 + -0.326574820817173*AC22 ^ 5 + 2.08234326459571*AC22 ^ 4 + -7.22069659558103*AC22 ^ 3 + 7.99581772983034*AC22 ^ 2 + 69.8748174830096*AC22 ^ 1 + 206.811956702058)/1000</f>
        <v>0.20681195670205801</v>
      </c>
      <c r="AG22" s="26">
        <f>(0.0172475584149982*AC22 ^ 6 + -0.291108795276427*AC22 ^ 5 + 1.85620078606062*AC22 ^ 4 + -6.43652894530099*AC22 ^ 3 + 7.12747192437097*AC22 ^ 2 + 62.2864123043546*AC22 ^ 1 + 121.684178204215)/1000</f>
        <v>0.121684178204215</v>
      </c>
      <c r="AH22" s="25">
        <f>-0.00324269279172345*AC22 ^ 6 + 0.0895923243096676*AC22 ^ 5 + -0.890499818298077*AC22 ^ 4 + 4.0195016165737*AC22 ^ 3 + -8.40974285391395*AC22 ^ 2 + 7.72730987163448*AC22 ^ 1 + 2075.99432725924</f>
        <v>2075.99432725924</v>
      </c>
      <c r="AI22" s="1">
        <v>0</v>
      </c>
      <c r="AJ22" s="25">
        <f>0.00487199787939318*AI22 ^ 6 + -0.07055937765036*AI22 ^ 5 + 0.366750896133258*AI22 ^ 4 + -0.864190081478333*AI22 ^ 3 + 0.60955079655806*AI22 ^ 2 + -0.572733536467159*AI22 ^ 1 + 15.0851178011192</f>
        <v>15.0851178011192</v>
      </c>
      <c r="AK22" s="26">
        <f>(0.0179860326077068*AI22 ^ 6 + -0.24602304144239*AI22 ^ 5 + 1.33713885322985*AI22 ^ 4 + -4.76126115101868*AI22 ^ 3 + 4.72402635387436*AI22 ^ 2 + 51.7426008099013*AI22 ^ 1 + 173.099177212311)/1000</f>
        <v>0.173099177212311</v>
      </c>
      <c r="AL22" s="26">
        <f>(0.015745369431525*AI22 ^ 6 + -0.209049397962441*AI22 ^ 5 + 1.0912409687752*AI22 ^ 4 + -3.87113055081867*AI22 ^ 3 + 3.15338589053652*AI22 ^ 2 + 51.076613296331*AI22 ^ 1 + 140.390229832213)/1000</f>
        <v>0.140390229832213</v>
      </c>
      <c r="AM22" s="26">
        <f>(0.0141141491584188*AI22 ^ 6 + -0.187391880333526*AI22 ^ 5 + 0.978188404410042*AI22 ^ 4 + -3.47008142575365*AI22 ^ 3 + 2.82669511227654*AI22 ^ 2 + 45.7850761588314*AI22 ^ 1 + 68.3888020215955)/1000</f>
        <v>6.8388802021595502E-2</v>
      </c>
      <c r="AN22" s="25">
        <f>-0.00606044344973826*AI22 ^ 6 + 0.10073474267074*AI22 ^ 5 + -0.654643894777539*AI22 ^ 4 + 2.05833808958629*AI22 ^ 3 + -3.2266340822386*AI22 ^ 2 + 3.05239629975731*AI22 ^ 1 + 1735.01482349272</f>
        <v>1735.0148234927201</v>
      </c>
      <c r="AO22" s="1">
        <v>0</v>
      </c>
      <c r="AP22" s="25">
        <f>0.00185612500672023*AO22 ^ 6 + -0.0121864158169559*AO22 ^ 5 + -0.010940346821866*AO22 ^ 4 + 0.153479774286211*AO22 ^ 3 + -0.541308551104248*AO22 ^ 2 + -0.113784043806388*AO22 ^ 1 + 9.76926360118764</f>
        <v>9.7692636011876406</v>
      </c>
      <c r="AQ22" s="26">
        <f>(-0.24304192562447*AO22 ^ 6 + 3.37479571597164*AO22 ^ 5 + -17.7926097876243*AO22 ^ 4 + 42.6910613520382*AO22 ^ 3 + -46.5144710884526*AO22 ^ 2 + 43.1448783674002*AO22 ^ 1 + 132.354907021652)/1000</f>
        <v>0.13235490702165201</v>
      </c>
      <c r="AR22" s="26">
        <f>(-0.225195669781405*AO22 ^ 6 + 3.12455545715669*AO22 ^ 5 + -16.472560435232*AO22 ^ 4 + 39.5520344516241*AO22 ^ 3 + -43.3359221529446*AO22 ^ 2 + 41.2686317928178*AO22 ^ 1 + 100.468498913833)/1000</f>
        <v>0.100468498913833</v>
      </c>
      <c r="AS22" s="26">
        <f>(-0.199320687323523*AO22 ^ 6 + 2.7655440351294*AO22 ^ 5 + -14.5798632412239*AO22 ^ 4 + 35.0075056931326*AO22 ^ 3 + -38.3566246975714*AO22 ^ 2 + 36.5268659998231*AO22 ^ 1 + 45.2836683886335)/1000</f>
        <v>4.52836683886335E-2</v>
      </c>
      <c r="AT22" s="25">
        <f>0.0197728625521291*AO22 ^ 6 + -0.223984846141852*AO22 ^ 5 + 0.836652807390874*AO22 ^ 4 + -0.929948371534429*AO22 ^ 3 + -0.998906967902522*AO22 ^ 2 + 3.14702361071171*AO22 ^ 1 + 1387.9707298532</f>
        <v>1387.9707298532001</v>
      </c>
      <c r="AU22" s="1">
        <v>0</v>
      </c>
      <c r="AV22" s="25">
        <f>0.0323296536918554*AU22 ^ 6 + -0.258686846677385*AU22 ^ 5 + 0.726638538091444*AU22 ^ 4 + -0.917698538812745*AU22 ^ 3 + 0.207015867711471*AU22 ^ 2 + -0.246993997907449*AU22 ^ 1 + 5.12392249033303</f>
        <v>5.1239224903330296</v>
      </c>
      <c r="AW22" s="26">
        <f>(0.927142379934325*AU22 ^ 6 + -8.20934846061606*AU22 ^ 5 + 27.8428246804503*AU22 ^ 4 + -46.1289832915899*AU22 ^ 3 + 34.5674440675826*AU22 ^ 2 + 7.7455163626796*AU22 ^ 1 + 77.57240444193)/1000</f>
        <v>7.7572404441930004E-2</v>
      </c>
      <c r="AX22" s="26">
        <f>(1.17749692184545*AU22 ^ 6 + -10.2540742167565*AU22 ^ 5 + 34.1160410013768*AU22 ^ 4 + -54.9070402720638*AU22 ^ 3 + 40.0261273937364*AU22 ^ 2 + 5.83458303699382*AU22 ^ 1 + 47.0568647264493)/1000</f>
        <v>4.70568647264493E-2</v>
      </c>
      <c r="AY22" s="26">
        <f>(1.0316050532288*AU22 ^ 6 + -8.98359442130041*AU22 ^ 5 + 29.8890635213063*AU22 ^ 4 + -48.1040579823552*AU22 ^ 3 + 35.0668902096525*AU22 ^ 2 + 5.11167819871029*AU22 ^ 1 + 15.5515191868423)/1000</f>
        <v>1.55515191868423E-2</v>
      </c>
      <c r="AZ22" s="25">
        <f>-26.9299105989176*AU22 ^ 6 + 253.764474355432*AU22 ^ 5 + -910.476253483326*AU22 ^ 4 + 1536.34490729548*AU22 ^ 3 + -1197.56545910979*AU22 ^ 2 + 333.293856490532*AU22 ^ 1 + 1010.03713359875</f>
        <v>1010.03713359875</v>
      </c>
      <c r="BA22" s="17"/>
      <c r="BB22" s="17"/>
      <c r="BC22" s="17"/>
      <c r="BD22" s="17"/>
      <c r="BE22" s="17"/>
      <c r="BF22" s="17"/>
      <c r="BG22" s="17"/>
      <c r="BH22" s="17"/>
      <c r="BI22" s="17"/>
      <c r="BJ22" s="17"/>
    </row>
    <row r="23" spans="2:62" s="11" customFormat="1" x14ac:dyDescent="0.2">
      <c r="B23" s="22" t="s">
        <v>16</v>
      </c>
      <c r="C23" s="23"/>
      <c r="D23" s="24"/>
      <c r="E23" s="1">
        <v>0</v>
      </c>
      <c r="F23" s="25">
        <f>-1.71361535713587E-06*E23 ^ 6 + 0.000137343595096935*E23 ^ 5 + -0.00383241818420551*E23 ^ 4 + 0.0421777511663871*E23 ^ 3 + -0.211994700611606*E23 ^ 2 + 0.0226544839546957*E23 ^ 1 + 33.552498665121</f>
        <v>33.552498665121</v>
      </c>
      <c r="G23" s="26">
        <f>(-0.0000702897159418589*E23 ^ 6 + 0.00428771732634066*E23 ^ 5 + -0.088442912384143*E23 ^ 4 + 0.534280386340025*E23 ^ 3 + -1.19274084931332*E23 ^ 2 + 107.722255840962*E23 ^ 1 + 718.530647460086)/1000</f>
        <v>0.71853064746008599</v>
      </c>
      <c r="H23" s="26">
        <f>(-0.0000903881476142477*E23 ^ 6 + 0.00539262923427097*E23 ^ 5 + -0.109936856828789*E23 ^ 4 + 0.700674626999529*E23 ^ 3 + -1.43094157099805*E23 ^ 2 + 104.439122161298*E23 ^ 1 + 675.345248314076)/1000</f>
        <v>0.67534524831407605</v>
      </c>
      <c r="I23" s="26">
        <f>(-0.0000801652481190751*E23 ^ 6 + 0.00478272286787484*E23 ^ 5 + -0.0975029983214507*E23 ^ 4 + 0.621428326685859*E23 ^ 3 + -1.26910207931806*E23 ^ 2 + 92.6270574448551*E23 ^ 1 + 507.771700729753)/1000</f>
        <v>0.50777170072975297</v>
      </c>
      <c r="J23" s="25">
        <f>-9.70860691095913E-06*E23 ^ 6 + 0.000630368335083383*E23 ^ 5 + -0.0158149327422836*E23 ^ 4 + 0.19393332331963*E23 ^ 3 + -1.2132846713659*E23 ^ 2 + 3.19636748452402*E23 ^ 1 + 3573.02119403112</f>
        <v>3573.0211940311201</v>
      </c>
      <c r="K23" s="1">
        <v>0</v>
      </c>
      <c r="L23" s="25">
        <f>-2.69376260873307E-06*K23 ^ 6 + 0.000183165342044914*K23 ^ 5 + -0.0044821199788523*K23 ^ 4 + 0.0439519305664619*K23 ^ 3 + -0.202469712600383*K23 ^ 2 + 0.0362637120987595*K23 ^ 1 + 27.0594574283889</f>
        <v>27.0594574283889</v>
      </c>
      <c r="M23" s="26">
        <f>(-0.000131935341030638*K23 ^ 6 + 0.00742240987127769*K23 ^ 5 + -0.147272753165814*K23 ^ 4 + 1.06352795316406*K23 ^ 3 + -3.68814210747625*K23 ^ 2 + 92.9028534145749*K23 ^ 1 + 552.868935245019)/1000</f>
        <v>0.55286893524501901</v>
      </c>
      <c r="N23" s="26">
        <f>(-0.000128000261807354*K23 ^ 6 + 0.00719250717794012*K23 ^ 5 + -0.142242543836502*K23 ^ 4 + 1.01802344178027*K23 ^ 3 + -3.47877665869892*K23 ^ 2 + 90.0460944187974*K23 ^ 1 + 512.976808627645)/1000</f>
        <v>0.51297680862764505</v>
      </c>
      <c r="O23" s="26">
        <f>(-0.000113485032118398*K23 ^ 6 + 0.00637687686396161*K23 ^ 5 + -0.12611223936544*K23 ^ 4 + 0.90257958348237*K23 ^ 3 + -3.08428338560236*K23 ^ 2 + 79.8348673117056*K23 ^ 1 + 371.30523852927)/1000</f>
        <v>0.37130523852927</v>
      </c>
      <c r="P23" s="25">
        <f>-5.80295413096656E-08*K23 ^ 6 + 0.000025891132461269*K23 ^ 5 + -0.00212025041632754*K23 ^ 4 + 0.0536649770042826*K23 ^ 3 + -0.539606683603346*K23 ^ 2 + 1.90342901824441*K23 ^ 1 + 3216.99790871003</f>
        <v>3216.9979087100301</v>
      </c>
      <c r="Q23" s="1">
        <v>0</v>
      </c>
      <c r="R23" s="25">
        <f>-2.45651085038255E-06*Q23 ^ 6 + 0.000183350050727735*Q23 ^ 5 + -0.00452113047844143*Q23 ^ 4 + 0.0423191550788409*Q23 ^ 3 + -0.187126241978583*Q23 ^ 2 + 0.0275536565975878*Q23 ^ 1 + 21.4162918880021</f>
        <v>21.4162918880021</v>
      </c>
      <c r="S23" s="26">
        <f>(-0.000123728945977499*Q23 ^ 6 + 0.0067013381554052*Q23 ^ 5 + -0.127814404788052*Q23 ^ 4 + 0.89336313889323*Q23 ^ 3 + -3.62642888237664*Q23 ^ 2 + 76.9303331002905*Q23 ^ 1 + 426.141335205686)/1000</f>
        <v>0.42614133520568598</v>
      </c>
      <c r="T23" s="26">
        <f>(-0.000129565844066388*Q23 ^ 6 + 0.0069129450863886*Q23 ^ 5 + -0.130071222957296*Q23 ^ 4 + 0.899472244401043*Q23 ^ 3 + -3.54396575469011*Q23 ^ 2 + 74.5633316591459*Q23 ^ 1 + 389.139285300825)/1000</f>
        <v>0.38913928530082503</v>
      </c>
      <c r="U23" s="26">
        <f>(-0.000115456123647558*Q23 ^ 6 + 0.0061601253664809*Q23 ^ 5 + -0.115906466777247*Q23 ^ 4 + 0.801519716985778*Q23 ^ 3 + -3.15802788400442*Q23 ^ 2 + 66.4433848414651*Q23 ^ 1 + 266.732017131565)/1000</f>
        <v>0.26673201713156497</v>
      </c>
      <c r="V23" s="25">
        <f>-0.0000375846911163213*Q23 ^ 6 + 0.00183246074898039*Q23 ^ 5 + -0.0343992470855043*Q23 ^ 4 + 0.315500266139043*Q23 ^ 3 + -1.49620503080448*Q23 ^ 2 + 3.46824083831098*Q23 ^ 1 + 2861.00605165969</f>
        <v>2861.00605165969</v>
      </c>
      <c r="W23" s="1">
        <v>0</v>
      </c>
      <c r="X23" s="25">
        <f>-8.17575450379045E-06*W23 ^ 6 + 0.00042757017284199*W23 ^ 5 + -0.00799044333114195*W23 ^ 4 + 0.0596989647621775*W23 ^ 3 + -0.205784073566084*W23 ^ 2 + 0.0154467992707064*W23 ^ 1 + 16.4758871933226</f>
        <v>16.475887193322599</v>
      </c>
      <c r="Y23" s="26">
        <f>(-0.000251645403148011*W23 ^ 6 + 0.0106456117163406*W23 ^ 5 + -0.155298827849038*W23 ^ 4 + 0.746769015212252*W23 ^ 3 + -1.71062132654703*W23 ^ 2 + 55.9740979347597*W23 ^ 1 + 319.402307516965)/1000</f>
        <v>0.31940230751696497</v>
      </c>
      <c r="Z23" s="26">
        <f>(-0.000209467721154017*W23 ^ 6 + 0.00912528264444876*W23 ^ 5 + -0.135693725193974*W23 ^ 4 + 0.646066093613222*W23 ^ 3 + -1.5244398085099*W23 ^ 2 + 54.3385319434023*W23 ^ 1 + 284.503365169696)/1000</f>
        <v>0.28450336516969599</v>
      </c>
      <c r="AA23" s="26">
        <f>(-0.000186908047585726*W23 ^ 6 + 0.00814248970364148*W23 ^ 5 + -0.12107951099058*W23 ^ 4 + 0.576484775331064*W23 ^ 3 + -1.36025764113334*W23 ^ 2 + 48.4862720530978*W23 ^ 1 + 182.11635274092)/1000</f>
        <v>0.18211635274092</v>
      </c>
      <c r="AB23" s="25">
        <f>0.0000575298268521964*W23 ^ 6 + -0.00240061896878061*W23 ^ 5 + 0.0373344529041481*W23 ^ 4 + -0.26192902874623*W23 ^ 3 + 0.738060953389513*W23 ^ 2 + -0.00610250773579877*W23 ^ 1 + 2506.11185512805</f>
        <v>2506.1118551280501</v>
      </c>
      <c r="AC23" s="1">
        <v>0</v>
      </c>
      <c r="AD23" s="25">
        <f>-0.0000190685874555509*AC23 ^ 6 + 0.000843829430210993*AC23 ^ 5 + -0.013468383419496*AC23 ^ 4 + 0.0884036173386128*AC23 ^ 3 + -0.267133393477013*AC23 ^ 2 + 0.087912198706679*AC23 ^ 1 + 12.0565305950662</f>
        <v>12.056530595066199</v>
      </c>
      <c r="AE23" s="26">
        <f>(0.000750125212667864*AC23 ^ 6 + -0.0220050610171292*AC23 ^ 5 + 0.226560334903604*AC23 ^ 4 + -1.1208698130789*AC23 ^ 3 + 1.4926098912737*AC23 ^ 2 + 40.285372453467*AC23 ^ 1 + 238.101839900348)/1000</f>
        <v>0.238101839900348</v>
      </c>
      <c r="AF23" s="26">
        <f>(0.000562937497308936*AC23 ^ 6 + -0.0161309185712954*AC23 ^ 5 + 0.160358085426803*AC23 ^ 4 + -0.792728930202565*AC23 ^ 3 + 0.825028394148411*AC23 ^ 2 + 39.5293489958526*AC23 ^ 1 + 204.281904571867)/1000</f>
        <v>0.20428190457186698</v>
      </c>
      <c r="AG23" s="26">
        <f>(0.000501802485101183*AC23 ^ 6 + -0.0143791008144526*AC23 ^ 5 + 0.142943197349451*AC23 ^ 4 + -0.706638568382549*AC23 ^ 3 + 0.735430310543815*AC23 ^ 2 + 35.2364616949032*AC23 ^ 1 + 119.428889735362)/1000</f>
        <v>0.119428889735362</v>
      </c>
      <c r="AH23" s="25">
        <f>0.000259608377600488*AC23 ^ 6 + -0.00884841429907378*AC23 ^ 5 + 0.112063794796834*AC23 ^ 4 + -0.643570694104454*AC23 ^ 3 + 1.56765518068676*AC23 ^ 2 + -0.529871500285612*AC23 ^ 1 + 2147.91550723134</f>
        <v>2147.9155072313401</v>
      </c>
      <c r="AI23" s="1">
        <v>0</v>
      </c>
      <c r="AJ23" s="25">
        <f>-0.0000482078075165996*AI23 ^ 6 + 0.00161337691797015*AI23 ^ 5 + -0.0199553245547481*AI23 ^ 4 + 0.102967203625472*AI23 ^ 3 + -0.249411538333686*AI23 ^ 2 + 0.0670887537403371*AI23 ^ 1 + 8.35929067741053</f>
        <v>8.3592906774105291</v>
      </c>
      <c r="AK23" s="26">
        <f>(-0.00460843961723283*AI23 ^ 6 + 0.143938885131701*AI23 ^ 5 + -1.69082259146996*AI23 ^ 4 + 9.0020694021216*AI23 ^ 3 + -22.2875329850528*AI23 ^ 2 + 47.9474446846117*AI23 ^ 1 + 172.499924058203)/1000</f>
        <v>0.172499924058203</v>
      </c>
      <c r="AL23" s="26">
        <f>(-0.00389016406553403*AI23 ^ 6 + 0.123846554586681*AI23 ^ 5 + -1.48262012833136*AI23 ^ 4 + 8.04509697388246*AI23 ^ 3 + -20.4854998279279*AI23 ^ 2 + 46.2954581930874*AI23 ^ 1 + 140.099091744094)/1000</f>
        <v>0.14009909174409402</v>
      </c>
      <c r="AM23" s="26">
        <f>(-0.00348714306834469*AI23 ^ 6 + 0.1110160515315*AI23 ^ 5 + -1.32902068303623*AI23 ^ 4 + 7.21162492738821*AI23 ^ 3 + -18.3632020457545*AI23 ^ 2 + 41.4992487242835*AI23 ^ 1 + 68.1278258394061)/1000</f>
        <v>6.8127825839406103E-2</v>
      </c>
      <c r="AN23" s="25">
        <f>0.000738414628650766*AI23 ^ 6 + -0.0199135976472469*AI23 ^ 5 + 0.196994611924714*AI23 ^ 4 + -0.84519398791487*AI23 ^ 3 + 1.22554930225978*AI23 ^ 2 + 1.31351856084936*AI23 ^ 1 + 1791.03801874024</f>
        <v>1791.03801874024</v>
      </c>
      <c r="AO23" s="1">
        <v>0</v>
      </c>
      <c r="AP23" s="25">
        <f>-0.0000248353179246141*AO23 ^ 6 + 0.000956699074775849*AO23 ^ 5 + -0.0115393602343476*AO23 ^ 4 + 0.0477219468910364*AO23 ^ 3 + -0.105632588850319*AO23 ^ 2 + -0.0102758556626708*AO23 ^ 1 + 5.33644865338094</f>
        <v>5.3364486533809403</v>
      </c>
      <c r="AQ23" s="26">
        <f>(0.00951605103653381*AO23 ^ 6 + -0.219729784420617*AO23 ^ 5 + 1.88977878965238*AO23 ^ 4 + -7.50457420942633*AO23 ^ 3 + 11.7665257397608*AO23 ^ 2 + 16.5137786069228*AO23 ^ 1 + 118.665182211611)/1000</f>
        <v>0.118665182211611</v>
      </c>
      <c r="AR23" s="26">
        <f>(0.00975270654713507*AO23 ^ 6 + -0.225435902306035*AO23 ^ 5 + 1.93952103624171*AO23 ^ 4 + -7.6956652701266*AO23 ^ 3 + 12.154032101839*AO23 ^ 2 + 15.3302278208729*AO23 ^ 1 + 87.3518849396718)/1000</f>
        <v>8.7351884939671803E-2</v>
      </c>
      <c r="AS23" s="26">
        <f>(0.00863212056486931*AO23 ^ 6 + -0.199533317131074*AO23 ^ 5 + 1.71667006917756*AO23 ^ 4 + -6.81143333058913*AO23 ^ 3 + 10.7575338133379*AO23 ^ 2 + 13.5687846442544*AO23 ^ 1 + 33.6741533601037)/1000</f>
        <v>3.3674153360103702E-2</v>
      </c>
      <c r="AT23" s="25">
        <f>-0.00143153833375199*AO23 ^ 6 + 0.0343908640377188*AO23 ^ 5 + -0.317992780394429*AO23 ^ 4 + 1.42888722691418*AO23 ^ 3 + -3.32875205633079*AO23 ^ 2 + 4.55545374849429*AO23 ^ 1 + 1437.10365281817</f>
        <v>1437.1036528181701</v>
      </c>
      <c r="AU23" s="1">
        <v>0</v>
      </c>
      <c r="AV23" s="25">
        <f>0.0000192961162801925*AU23 ^ 6 + 0.000871606118690819*AU23 ^ 5 + -0.0111967995996897*AU23 ^ 4 + 0.0246138100273407*AU23 ^ 3 + -0.0225144594934679*AU23 ^ 2 + -0.0797392953859421*AU23 ^ 1 + 2.63794305297232</f>
        <v>2.6379430529723198</v>
      </c>
      <c r="AW23" s="26">
        <f>(-0.0151268485217009*AU23 ^ 6 + 0.249544003327354*AU23 ^ 5 + -1.52122128010068*AU23 ^ 4 + 4.00390066486986*AU23 ^ 3 + -5.13159941472175*AU23 ^ 2 + 12.6411479022907*AU23 ^ 1 + 80.4279193241723)/1000</f>
        <v>8.0427919324172287E-2</v>
      </c>
      <c r="AX23" s="26">
        <f>(-0.00956996020452078*AU23 ^ 6 + 0.155943468698572*AU23 ^ 5 + -0.927630099508743*AU23 ^ 4 + 2.28710692916247*AU23 ^ 3 + -2.9536674771124*AU23 ^ 2 + 11.3839475472815*AU23 ^ 1 + 49.5437127190902)/1000</f>
        <v>4.9543712719090201E-2</v>
      </c>
      <c r="AY23" s="26">
        <f>(-0.00838424213518035*AU23 ^ 6 + 0.136622072926814*AU23 ^ 5 + -0.812696730179586*AU23 ^ 4 + 2.00373438063918*AU23 ^ 3 + -2.58770807669813*AU23 ^ 2 + 9.97347644617327*AU23 ^ 1 + 13.730246713195)/1000</f>
        <v>1.3730246713194999E-2</v>
      </c>
      <c r="AZ23" s="25">
        <f>0.00125970738071509*AU23 ^ 6 + -0.0334350444529032*AU23 ^ 5 + 0.318131557149476*AU23 ^ 4 + -1.35963262542592*AU23 ^ 3 + 2.42713851636984*AU23 ^ 2 + -0.544639897320794*AU23 ^ 1 + 1004.97895438116</f>
        <v>1004.97895438116</v>
      </c>
      <c r="BA23" s="17"/>
      <c r="BB23" s="17"/>
      <c r="BC23" s="17"/>
      <c r="BD23" s="17"/>
      <c r="BE23" s="17"/>
      <c r="BF23" s="17"/>
      <c r="BG23" s="17"/>
      <c r="BH23" s="17"/>
      <c r="BI23" s="17"/>
      <c r="BJ23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WILO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Youssef</dc:creator>
  <cp:lastModifiedBy>Elfassi Youssef</cp:lastModifiedBy>
  <dcterms:created xsi:type="dcterms:W3CDTF">2013-10-09T07:34:07Z</dcterms:created>
  <dcterms:modified xsi:type="dcterms:W3CDTF">2013-11-07T14:55:33Z</dcterms:modified>
</cp:coreProperties>
</file>