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" yWindow="45" windowWidth="15180" windowHeight="7815" tabRatio="716"/>
  </bookViews>
  <sheets>
    <sheet name="Synthèse" sheetId="1" r:id="rId1"/>
    <sheet name="ts" sheetId="4" r:id="rId2"/>
    <sheet name="ts stationnements" sheetId="5" r:id="rId3"/>
  </sheets>
  <definedNames>
    <definedName name="_xlnm.Print_Area" localSheetId="0">Synthèse!$A$1:$O$34</definedName>
    <definedName name="_xlnm.Print_Area" localSheetId="1">ts!$A$1:$AH$66</definedName>
    <definedName name="_xlnm.Print_Area" localSheetId="2">'ts stationnements'!$A$1:$AE$21</definedName>
  </definedNames>
  <calcPr calcId="125725"/>
</workbook>
</file>

<file path=xl/calcChain.xml><?xml version="1.0" encoding="utf-8"?>
<calcChain xmlns="http://schemas.openxmlformats.org/spreadsheetml/2006/main">
  <c r="I18" i="1"/>
  <c r="K13"/>
  <c r="J17"/>
  <c r="K16"/>
  <c r="J7"/>
  <c r="J9"/>
  <c r="J10"/>
  <c r="J13"/>
  <c r="J19"/>
  <c r="J18"/>
  <c r="J16"/>
  <c r="Y21" i="5"/>
  <c r="M18"/>
  <c r="X16"/>
  <c r="X17" s="1"/>
  <c r="W16"/>
  <c r="V16"/>
  <c r="AA17" s="1"/>
  <c r="T16"/>
  <c r="S16"/>
  <c r="Z16" s="1"/>
  <c r="O16"/>
  <c r="I16"/>
  <c r="D16"/>
  <c r="AC15"/>
  <c r="Z15"/>
  <c r="Y15"/>
  <c r="R15"/>
  <c r="Q15"/>
  <c r="O15"/>
  <c r="N15"/>
  <c r="M15"/>
  <c r="L15"/>
  <c r="J15"/>
  <c r="G15"/>
  <c r="AE14"/>
  <c r="AA14"/>
  <c r="Z14"/>
  <c r="Y14"/>
  <c r="Z13"/>
  <c r="Y13"/>
  <c r="AA12"/>
  <c r="AC12" s="1"/>
  <c r="Z12"/>
  <c r="Y12"/>
  <c r="R12"/>
  <c r="Q12"/>
  <c r="P12"/>
  <c r="O12"/>
  <c r="N12"/>
  <c r="M12"/>
  <c r="L12"/>
  <c r="L16" s="1"/>
  <c r="K12"/>
  <c r="J12"/>
  <c r="G12"/>
  <c r="G16" s="1"/>
  <c r="F12"/>
  <c r="E12"/>
  <c r="AE11"/>
  <c r="AA11"/>
  <c r="AC10"/>
  <c r="AA10"/>
  <c r="Z10"/>
  <c r="Y10"/>
  <c r="R10"/>
  <c r="Q10"/>
  <c r="J10"/>
  <c r="F10"/>
  <c r="N10" s="1"/>
  <c r="Y9"/>
  <c r="U16"/>
  <c r="AC8"/>
  <c r="AA8"/>
  <c r="AE8" s="1"/>
  <c r="Z8"/>
  <c r="Y8"/>
  <c r="Y16" s="1"/>
  <c r="R8"/>
  <c r="Q8"/>
  <c r="P8"/>
  <c r="P16" s="1"/>
  <c r="N8"/>
  <c r="K8"/>
  <c r="K16" s="1"/>
  <c r="F8"/>
  <c r="F16" s="1"/>
  <c r="E8"/>
  <c r="J8" s="1"/>
  <c r="J16" s="1"/>
  <c r="AA7"/>
  <c r="AA16" s="1"/>
  <c r="Z7"/>
  <c r="Y7"/>
  <c r="Q7"/>
  <c r="Q16" s="1"/>
  <c r="R16" s="1"/>
  <c r="N7"/>
  <c r="N16" s="1"/>
  <c r="J7"/>
  <c r="AD6"/>
  <c r="AE6" s="1"/>
  <c r="Y6"/>
  <c r="L6"/>
  <c r="D6"/>
  <c r="AH3"/>
  <c r="AB13" s="1"/>
  <c r="AE13" s="1"/>
  <c r="Y61" i="4"/>
  <c r="M61"/>
  <c r="Y59"/>
  <c r="X59"/>
  <c r="W59"/>
  <c r="AE60" s="1"/>
  <c r="V59"/>
  <c r="S59"/>
  <c r="I59"/>
  <c r="D59"/>
  <c r="AE58"/>
  <c r="AH58" s="1"/>
  <c r="AF57"/>
  <c r="AE57"/>
  <c r="AG57" s="1"/>
  <c r="AB57"/>
  <c r="AA57"/>
  <c r="AF56"/>
  <c r="AB56"/>
  <c r="AA56"/>
  <c r="Q56"/>
  <c r="N56"/>
  <c r="M56"/>
  <c r="L56"/>
  <c r="J56"/>
  <c r="G56"/>
  <c r="AF55"/>
  <c r="AB55"/>
  <c r="AA55"/>
  <c r="AH54"/>
  <c r="AF54"/>
  <c r="AB54"/>
  <c r="AA54"/>
  <c r="AH53"/>
  <c r="AF53"/>
  <c r="AB53"/>
  <c r="AA53"/>
  <c r="AF52"/>
  <c r="AB52"/>
  <c r="AA52"/>
  <c r="P52"/>
  <c r="P59" s="1"/>
  <c r="AC51"/>
  <c r="AF51" s="1"/>
  <c r="AB51"/>
  <c r="AA51"/>
  <c r="Z51"/>
  <c r="AC50"/>
  <c r="AF50" s="1"/>
  <c r="AB50"/>
  <c r="AA50"/>
  <c r="Z50"/>
  <c r="O50"/>
  <c r="O59" s="1"/>
  <c r="N50"/>
  <c r="K50"/>
  <c r="L50" s="1"/>
  <c r="J50"/>
  <c r="G50"/>
  <c r="F50"/>
  <c r="E50"/>
  <c r="AC49"/>
  <c r="AF49" s="1"/>
  <c r="AB49"/>
  <c r="AA49"/>
  <c r="Z49"/>
  <c r="AC48"/>
  <c r="AF48" s="1"/>
  <c r="AB48"/>
  <c r="AA48"/>
  <c r="Z48"/>
  <c r="R48"/>
  <c r="Q48"/>
  <c r="O48"/>
  <c r="K48"/>
  <c r="N48" s="1"/>
  <c r="J48"/>
  <c r="F48"/>
  <c r="F59" s="1"/>
  <c r="F62" s="1"/>
  <c r="E48"/>
  <c r="AH47"/>
  <c r="AG47"/>
  <c r="AF47"/>
  <c r="AA47"/>
  <c r="AC46"/>
  <c r="AF46" s="1"/>
  <c r="AA46"/>
  <c r="N46"/>
  <c r="J46"/>
  <c r="AC45"/>
  <c r="AB45"/>
  <c r="AA45"/>
  <c r="Z45"/>
  <c r="Q45"/>
  <c r="R45" s="1"/>
  <c r="N45"/>
  <c r="M45"/>
  <c r="L45"/>
  <c r="J45"/>
  <c r="G45"/>
  <c r="AC44"/>
  <c r="AF44" s="1"/>
  <c r="AB44"/>
  <c r="AA44"/>
  <c r="Z44"/>
  <c r="Q44"/>
  <c r="N44"/>
  <c r="M44"/>
  <c r="L44"/>
  <c r="J44"/>
  <c r="J59" s="1"/>
  <c r="G44"/>
  <c r="G59" s="1"/>
  <c r="E44"/>
  <c r="AG43"/>
  <c r="AH43" s="1"/>
  <c r="AA43"/>
  <c r="Y43"/>
  <c r="AA65" s="1"/>
  <c r="L43"/>
  <c r="D43"/>
  <c r="AA37"/>
  <c r="R36"/>
  <c r="F35"/>
  <c r="I30"/>
  <c r="M27"/>
  <c r="AE26"/>
  <c r="W25"/>
  <c r="S25"/>
  <c r="P25"/>
  <c r="K25"/>
  <c r="I25"/>
  <c r="F25"/>
  <c r="E25"/>
  <c r="D25"/>
  <c r="Y24"/>
  <c r="AD24" s="1"/>
  <c r="R24"/>
  <c r="Q24"/>
  <c r="N24"/>
  <c r="M24"/>
  <c r="L24"/>
  <c r="J24"/>
  <c r="G24"/>
  <c r="AD23"/>
  <c r="AB23"/>
  <c r="AA23"/>
  <c r="Z23"/>
  <c r="T23"/>
  <c r="AC23" s="1"/>
  <c r="AF23" s="1"/>
  <c r="R23"/>
  <c r="Q23"/>
  <c r="N23"/>
  <c r="M23"/>
  <c r="L23"/>
  <c r="J23"/>
  <c r="G23"/>
  <c r="AD22"/>
  <c r="AB22"/>
  <c r="AA22"/>
  <c r="Z22"/>
  <c r="V22"/>
  <c r="AC22" s="1"/>
  <c r="U22"/>
  <c r="T22"/>
  <c r="R22"/>
  <c r="Q22"/>
  <c r="N22"/>
  <c r="M22"/>
  <c r="L22"/>
  <c r="J22"/>
  <c r="G22"/>
  <c r="AH21"/>
  <c r="AD21"/>
  <c r="AC21"/>
  <c r="AF21" s="1"/>
  <c r="AB21"/>
  <c r="AA21"/>
  <c r="Z21"/>
  <c r="T21"/>
  <c r="R21"/>
  <c r="Q21"/>
  <c r="N21"/>
  <c r="M21"/>
  <c r="L21"/>
  <c r="J21"/>
  <c r="G21"/>
  <c r="AD20"/>
  <c r="AC20"/>
  <c r="AF20" s="1"/>
  <c r="AB20"/>
  <c r="AA20"/>
  <c r="Z20"/>
  <c r="T20"/>
  <c r="Q20"/>
  <c r="R20" s="1"/>
  <c r="N20"/>
  <c r="M20"/>
  <c r="L20"/>
  <c r="J20"/>
  <c r="G20"/>
  <c r="AF19"/>
  <c r="AD19"/>
  <c r="AB19"/>
  <c r="AA19"/>
  <c r="Z19"/>
  <c r="T19"/>
  <c r="Q19"/>
  <c r="R19" s="1"/>
  <c r="N19"/>
  <c r="M19"/>
  <c r="L19"/>
  <c r="J19"/>
  <c r="G19"/>
  <c r="AI18"/>
  <c r="AI25" s="1"/>
  <c r="AH18"/>
  <c r="AG18"/>
  <c r="AD18"/>
  <c r="AB18"/>
  <c r="AA18"/>
  <c r="Z18"/>
  <c r="T18"/>
  <c r="AC18" s="1"/>
  <c r="AF18" s="1"/>
  <c r="R18"/>
  <c r="Q18"/>
  <c r="N18"/>
  <c r="M18"/>
  <c r="L18"/>
  <c r="J18"/>
  <c r="G18"/>
  <c r="AH17"/>
  <c r="AF17"/>
  <c r="Z17"/>
  <c r="Y17"/>
  <c r="AB17" s="1"/>
  <c r="T17"/>
  <c r="Z16"/>
  <c r="Y16"/>
  <c r="V16"/>
  <c r="U16"/>
  <c r="T16"/>
  <c r="Z15"/>
  <c r="Y15"/>
  <c r="AB15" s="1"/>
  <c r="V15"/>
  <c r="U15"/>
  <c r="R15"/>
  <c r="Q15"/>
  <c r="N15"/>
  <c r="M15"/>
  <c r="L15"/>
  <c r="J15"/>
  <c r="G15"/>
  <c r="AG14"/>
  <c r="AE14"/>
  <c r="AH14" s="1"/>
  <c r="Y14"/>
  <c r="AA14" s="1"/>
  <c r="X14"/>
  <c r="V14"/>
  <c r="U14"/>
  <c r="T14"/>
  <c r="Q14"/>
  <c r="R14" s="1"/>
  <c r="N14"/>
  <c r="M14"/>
  <c r="L14"/>
  <c r="J14"/>
  <c r="AH13"/>
  <c r="AG13"/>
  <c r="Y13"/>
  <c r="AD13" s="1"/>
  <c r="X13"/>
  <c r="V13"/>
  <c r="U13"/>
  <c r="T13"/>
  <c r="R13"/>
  <c r="Q13"/>
  <c r="N13"/>
  <c r="M13"/>
  <c r="L13"/>
  <c r="J13"/>
  <c r="G13"/>
  <c r="AH12"/>
  <c r="AG12"/>
  <c r="Z12"/>
  <c r="Y11"/>
  <c r="AD11" s="1"/>
  <c r="X11"/>
  <c r="V11"/>
  <c r="U11"/>
  <c r="T11"/>
  <c r="Q11"/>
  <c r="R11" s="1"/>
  <c r="O11"/>
  <c r="O25" s="1"/>
  <c r="O27" s="1"/>
  <c r="N11"/>
  <c r="M11"/>
  <c r="L11"/>
  <c r="J11"/>
  <c r="G11"/>
  <c r="AD10"/>
  <c r="AA10"/>
  <c r="Y10"/>
  <c r="AB10" s="1"/>
  <c r="X10"/>
  <c r="Z10" s="1"/>
  <c r="V10"/>
  <c r="U10"/>
  <c r="T10"/>
  <c r="Q10"/>
  <c r="R10" s="1"/>
  <c r="N10"/>
  <c r="M10"/>
  <c r="L10"/>
  <c r="J10"/>
  <c r="G10"/>
  <c r="AB9"/>
  <c r="AA9"/>
  <c r="Y9"/>
  <c r="X9"/>
  <c r="V9"/>
  <c r="V25" s="1"/>
  <c r="U9"/>
  <c r="U25" s="1"/>
  <c r="T9"/>
  <c r="Q9"/>
  <c r="R9" s="1"/>
  <c r="R25" s="1"/>
  <c r="N9"/>
  <c r="M9"/>
  <c r="L9"/>
  <c r="J9"/>
  <c r="J25" s="1"/>
  <c r="G9"/>
  <c r="AE8"/>
  <c r="AF8" s="1"/>
  <c r="AC8"/>
  <c r="AB8"/>
  <c r="AA8"/>
  <c r="Z8"/>
  <c r="Q8"/>
  <c r="N8"/>
  <c r="M8"/>
  <c r="L8"/>
  <c r="L25" s="1"/>
  <c r="J8"/>
  <c r="G8"/>
  <c r="AG7"/>
  <c r="AH7" s="1"/>
  <c r="AA7"/>
  <c r="L7"/>
  <c r="D7"/>
  <c r="AC2"/>
  <c r="AQ1"/>
  <c r="AE56" s="1"/>
  <c r="AF22" l="1"/>
  <c r="AH22"/>
  <c r="AE16"/>
  <c r="AG16" s="1"/>
  <c r="Q59"/>
  <c r="Q62" s="1"/>
  <c r="G25"/>
  <c r="N25"/>
  <c r="AG8"/>
  <c r="Y25"/>
  <c r="AE9"/>
  <c r="AG9" s="1"/>
  <c r="T25"/>
  <c r="AD15"/>
  <c r="AE19"/>
  <c r="AG19" s="1"/>
  <c r="M50"/>
  <c r="AC60"/>
  <c r="Z9"/>
  <c r="AD9"/>
  <c r="AE10"/>
  <c r="AG10" s="1"/>
  <c r="AA15"/>
  <c r="AD16"/>
  <c r="AA17"/>
  <c r="AH20"/>
  <c r="W62"/>
  <c r="E59"/>
  <c r="E62" s="1"/>
  <c r="M59"/>
  <c r="Q50"/>
  <c r="R50" s="1"/>
  <c r="P62"/>
  <c r="S62"/>
  <c r="AB59"/>
  <c r="AC63"/>
  <c r="AE20"/>
  <c r="AG20" s="1"/>
  <c r="T26"/>
  <c r="AE44"/>
  <c r="AG44" s="1"/>
  <c r="L59"/>
  <c r="AE51"/>
  <c r="AG51" s="1"/>
  <c r="AE52"/>
  <c r="AG52" s="1"/>
  <c r="AE54"/>
  <c r="AG54" s="1"/>
  <c r="Q25"/>
  <c r="AE50"/>
  <c r="AG50" s="1"/>
  <c r="AE15"/>
  <c r="AG15" s="1"/>
  <c r="AE22"/>
  <c r="AG22" s="1"/>
  <c r="AA59"/>
  <c r="AC59"/>
  <c r="AC61" s="1"/>
  <c r="AA18" i="5"/>
  <c r="AC7"/>
  <c r="AC16" s="1"/>
  <c r="AB9"/>
  <c r="AE9" s="1"/>
  <c r="AB7"/>
  <c r="AB12"/>
  <c r="E16"/>
  <c r="AB8"/>
  <c r="AD8" s="1"/>
  <c r="AB10"/>
  <c r="AB14"/>
  <c r="AB15"/>
  <c r="AG56" i="4"/>
  <c r="AH56"/>
  <c r="AB25"/>
  <c r="V26"/>
  <c r="V62"/>
  <c r="N59"/>
  <c r="AC11"/>
  <c r="AC13"/>
  <c r="AF13" s="1"/>
  <c r="Z14"/>
  <c r="AD14"/>
  <c r="AC24"/>
  <c r="AF24" s="1"/>
  <c r="X25"/>
  <c r="X62" s="1"/>
  <c r="AH48"/>
  <c r="Y62"/>
  <c r="AC14"/>
  <c r="AF14" s="1"/>
  <c r="AC16"/>
  <c r="AB24"/>
  <c r="AH50"/>
  <c r="AH51"/>
  <c r="K59"/>
  <c r="K62" s="1"/>
  <c r="Y60"/>
  <c r="AC10"/>
  <c r="AA11"/>
  <c r="AH19"/>
  <c r="AB11"/>
  <c r="AB13"/>
  <c r="AE11"/>
  <c r="AG11" s="1"/>
  <c r="AA13"/>
  <c r="AB14"/>
  <c r="AC15"/>
  <c r="AF15" s="1"/>
  <c r="AB16"/>
  <c r="AE17"/>
  <c r="AG17" s="1"/>
  <c r="AA24"/>
  <c r="AE24"/>
  <c r="AC27"/>
  <c r="AF45"/>
  <c r="AF59" s="1"/>
  <c r="AH52"/>
  <c r="AH57"/>
  <c r="AH8"/>
  <c r="AC9"/>
  <c r="Z11"/>
  <c r="Z13"/>
  <c r="AA16"/>
  <c r="AE21"/>
  <c r="AG21" s="1"/>
  <c r="AE23"/>
  <c r="Z24"/>
  <c r="R44"/>
  <c r="R59" s="1"/>
  <c r="R62" s="1"/>
  <c r="AH44"/>
  <c r="AE45"/>
  <c r="AE46"/>
  <c r="AE48"/>
  <c r="AG48" s="1"/>
  <c r="AE49"/>
  <c r="AE53"/>
  <c r="AG53" s="1"/>
  <c r="AE55"/>
  <c r="I66" i="1"/>
  <c r="N18"/>
  <c r="D51"/>
  <c r="E63"/>
  <c r="E54"/>
  <c r="D54"/>
  <c r="D63"/>
  <c r="E62"/>
  <c r="E60"/>
  <c r="D57"/>
  <c r="E64"/>
  <c r="D60"/>
  <c r="D64"/>
  <c r="E57"/>
  <c r="E65"/>
  <c r="D69"/>
  <c r="D65"/>
  <c r="D56"/>
  <c r="E56"/>
  <c r="E69"/>
  <c r="D62"/>
  <c r="AC64" i="4" l="1"/>
  <c r="AC65" s="1"/>
  <c r="AA25"/>
  <c r="AA62" s="1"/>
  <c r="AH15"/>
  <c r="AD12" i="5"/>
  <c r="AE12"/>
  <c r="AE15"/>
  <c r="AD15"/>
  <c r="AE10"/>
  <c r="AD10"/>
  <c r="AD7"/>
  <c r="AE7"/>
  <c r="AB16"/>
  <c r="AB18" s="1"/>
  <c r="AG18" s="1"/>
  <c r="AA19"/>
  <c r="AA20" s="1"/>
  <c r="AG49" i="4"/>
  <c r="AH49"/>
  <c r="AC25"/>
  <c r="AH9"/>
  <c r="AF9"/>
  <c r="AH11"/>
  <c r="AF11"/>
  <c r="AG45"/>
  <c r="AH45"/>
  <c r="AG23"/>
  <c r="AH23"/>
  <c r="AH24"/>
  <c r="AG24"/>
  <c r="AF10"/>
  <c r="AH10"/>
  <c r="AG55"/>
  <c r="AH55"/>
  <c r="AG46"/>
  <c r="AH46"/>
  <c r="AF16"/>
  <c r="AH16"/>
  <c r="AE27"/>
  <c r="AC28"/>
  <c r="AB62"/>
  <c r="Y63"/>
  <c r="Y26"/>
  <c r="AB26" s="1"/>
  <c r="AE25"/>
  <c r="Z25"/>
  <c r="AE59"/>
  <c r="AE61" s="1"/>
  <c r="AC36"/>
  <c r="AC37" s="1"/>
  <c r="AC66" s="1"/>
  <c r="F65" i="1"/>
  <c r="G65" s="1"/>
  <c r="I65" s="1"/>
  <c r="AG25" i="4" l="1"/>
  <c r="AH25"/>
  <c r="AH59"/>
  <c r="AD16" i="5"/>
  <c r="AE16"/>
  <c r="AG59" i="4"/>
  <c r="AF25"/>
  <c r="AE28"/>
  <c r="F69" i="1"/>
  <c r="G69" s="1"/>
  <c r="I69" s="1"/>
  <c r="E66"/>
  <c r="E67" s="1"/>
  <c r="D66"/>
  <c r="D67" s="1"/>
  <c r="F64"/>
  <c r="G64" s="1"/>
  <c r="I64" s="1"/>
  <c r="F63"/>
  <c r="G63" s="1"/>
  <c r="I63" s="1"/>
  <c r="F60"/>
  <c r="G60" s="1"/>
  <c r="I60" s="1"/>
  <c r="F57"/>
  <c r="G57" s="1"/>
  <c r="I57" s="1"/>
  <c r="E58"/>
  <c r="D58"/>
  <c r="F54"/>
  <c r="G54" s="1"/>
  <c r="I54" s="1"/>
  <c r="K24"/>
  <c r="I31" s="1"/>
  <c r="J31" s="1"/>
  <c r="E24"/>
  <c r="D24"/>
  <c r="J24"/>
  <c r="K17"/>
  <c r="K19"/>
  <c r="K18"/>
  <c r="K15"/>
  <c r="K10"/>
  <c r="K9"/>
  <c r="K7"/>
  <c r="J15"/>
  <c r="B3"/>
  <c r="B50" s="1"/>
  <c r="D53" s="1"/>
  <c r="E7"/>
  <c r="F7" s="1"/>
  <c r="G7" s="1"/>
  <c r="I7" s="1"/>
  <c r="D7"/>
  <c r="E18"/>
  <c r="D18"/>
  <c r="E13"/>
  <c r="D13"/>
  <c r="E17"/>
  <c r="D17"/>
  <c r="E19"/>
  <c r="D19"/>
  <c r="E15"/>
  <c r="E16"/>
  <c r="E9"/>
  <c r="E10"/>
  <c r="D9"/>
  <c r="D10"/>
  <c r="D16"/>
  <c r="D15"/>
  <c r="F9" l="1"/>
  <c r="G9"/>
  <c r="I9" s="1"/>
  <c r="L24"/>
  <c r="M24" s="1"/>
  <c r="N24" s="1"/>
  <c r="D71"/>
  <c r="F24"/>
  <c r="G24" s="1"/>
  <c r="I24" s="1"/>
  <c r="F66"/>
  <c r="E71"/>
  <c r="E53"/>
  <c r="F56"/>
  <c r="G56" s="1"/>
  <c r="I56" s="1"/>
  <c r="F62"/>
  <c r="D11"/>
  <c r="K11"/>
  <c r="J20"/>
  <c r="E11"/>
  <c r="J11"/>
  <c r="J22" l="1"/>
  <c r="G62"/>
  <c r="I62" s="1"/>
  <c r="F67"/>
  <c r="F58"/>
  <c r="G67" l="1"/>
  <c r="I67" s="1"/>
  <c r="F71"/>
  <c r="G71" s="1"/>
  <c r="I71" s="1"/>
  <c r="G58"/>
  <c r="I58" s="1"/>
  <c r="L19" l="1"/>
  <c r="M19" s="1"/>
  <c r="N19" s="1"/>
  <c r="L18"/>
  <c r="L17"/>
  <c r="M17" s="1"/>
  <c r="N17" s="1"/>
  <c r="L15"/>
  <c r="L13"/>
  <c r="M13" s="1"/>
  <c r="N13" s="1"/>
  <c r="L9"/>
  <c r="M9" s="1"/>
  <c r="N9" s="1"/>
  <c r="F15"/>
  <c r="F18" l="1"/>
  <c r="L7"/>
  <c r="F13"/>
  <c r="G13" s="1"/>
  <c r="I13" s="1"/>
  <c r="D20"/>
  <c r="D22" s="1"/>
  <c r="L16"/>
  <c r="M16" s="1"/>
  <c r="N16" s="1"/>
  <c r="F16"/>
  <c r="G16" s="1"/>
  <c r="I16" s="1"/>
  <c r="F19"/>
  <c r="G19" s="1"/>
  <c r="I19" s="1"/>
  <c r="M15"/>
  <c r="N15" s="1"/>
  <c r="K20"/>
  <c r="K22" s="1"/>
  <c r="L10"/>
  <c r="L11" s="1"/>
  <c r="E20"/>
  <c r="E22" s="1"/>
  <c r="F17"/>
  <c r="G17" s="1"/>
  <c r="I17" s="1"/>
  <c r="G15"/>
  <c r="I15" s="1"/>
  <c r="F10"/>
  <c r="I30" l="1"/>
  <c r="J30" s="1"/>
  <c r="M7"/>
  <c r="N7" s="1"/>
  <c r="L20"/>
  <c r="M20" s="1"/>
  <c r="N20" s="1"/>
  <c r="G10"/>
  <c r="I10" s="1"/>
  <c r="F11"/>
  <c r="G11" s="1"/>
  <c r="I11" s="1"/>
  <c r="M10"/>
  <c r="N10" s="1"/>
  <c r="F20"/>
  <c r="D6"/>
  <c r="E6"/>
  <c r="F22" l="1"/>
  <c r="L22"/>
  <c r="M22" s="1"/>
  <c r="N22" s="1"/>
  <c r="I32"/>
  <c r="G22"/>
  <c r="I22" s="1"/>
  <c r="G20"/>
  <c r="I20" s="1"/>
  <c r="M11"/>
  <c r="N11" s="1"/>
</calcChain>
</file>

<file path=xl/sharedStrings.xml><?xml version="1.0" encoding="utf-8"?>
<sst xmlns="http://schemas.openxmlformats.org/spreadsheetml/2006/main" count="257" uniqueCount="120">
  <si>
    <t>Gendarmerie</t>
  </si>
  <si>
    <t>TOTAUX</t>
  </si>
  <si>
    <t>Circulation</t>
  </si>
  <si>
    <t>Stationnement</t>
  </si>
  <si>
    <t>Totaux</t>
  </si>
  <si>
    <t>POLICE</t>
  </si>
  <si>
    <t xml:space="preserve">Budget </t>
  </si>
  <si>
    <t>Réel</t>
  </si>
  <si>
    <t>Réel et projection</t>
  </si>
  <si>
    <t>Différenciel</t>
  </si>
  <si>
    <t>% Différenciel</t>
  </si>
  <si>
    <t>Global 2012</t>
  </si>
  <si>
    <t>Global 2013</t>
  </si>
  <si>
    <t>2013 vs 2012</t>
  </si>
  <si>
    <t>Motard</t>
  </si>
  <si>
    <t>Budget, réel et projection</t>
  </si>
  <si>
    <t>Budget vs Réel</t>
  </si>
  <si>
    <t>Budget</t>
  </si>
  <si>
    <t>Réel au:</t>
  </si>
  <si>
    <t>STATION. ( inclus animaux)</t>
  </si>
  <si>
    <t>Temps supplémentaire rémunéré</t>
  </si>
  <si>
    <t>Divisions</t>
  </si>
  <si>
    <t>Enquètes criminelles</t>
  </si>
  <si>
    <t>Sous-sections</t>
  </si>
  <si>
    <t>D.E.C.</t>
  </si>
  <si>
    <t>Cours</t>
  </si>
  <si>
    <t>Soutien opérationnel</t>
  </si>
  <si>
    <t>Communautaires</t>
  </si>
  <si>
    <t>Contrôle de foule</t>
  </si>
  <si>
    <t>Cynophile</t>
  </si>
  <si>
    <t>Ressources hum.</t>
  </si>
  <si>
    <t>C.A.U.</t>
  </si>
  <si>
    <t>Soutien</t>
  </si>
  <si>
    <t>Plan</t>
  </si>
  <si>
    <t>Dev.  et Recherches</t>
  </si>
  <si>
    <t>Total annuel</t>
  </si>
  <si>
    <t>Direction</t>
  </si>
  <si>
    <t>SERVICE DE POLICE</t>
  </si>
  <si>
    <t>T.S. rémunéré - POLICE</t>
  </si>
  <si>
    <t>Paiment banque</t>
  </si>
  <si>
    <t>2007, 2008, 2009, 2010, 2011, 2012 et 2013</t>
  </si>
  <si>
    <t>selon la</t>
  </si>
  <si>
    <t>proportion 2012</t>
  </si>
  <si>
    <t>selon moyenne paye</t>
  </si>
  <si>
    <t>selon une regle</t>
  </si>
  <si>
    <t>T.S. policiers ( permanents et temporaires) ( objets 121 et 141 )</t>
  </si>
  <si>
    <t>( dép.sans ajust.)</t>
  </si>
  <si>
    <t>de trois ( 3)</t>
  </si>
  <si>
    <t>POSTE</t>
  </si>
  <si>
    <t>OBJET</t>
  </si>
  <si>
    <t>Budget modifé</t>
  </si>
  <si>
    <t>Dépenses</t>
  </si>
  <si>
    <t>+ / -</t>
  </si>
  <si>
    <t>2007 vs 2006</t>
  </si>
  <si>
    <t>solde</t>
  </si>
  <si>
    <t>% d'util.</t>
  </si>
  <si>
    <t>2008 vs 2007</t>
  </si>
  <si>
    <t>Budgets</t>
  </si>
  <si>
    <t>Solde</t>
  </si>
  <si>
    <t>% d'util</t>
  </si>
  <si>
    <t xml:space="preserve">Dépenses </t>
  </si>
  <si>
    <t>Budget modifié</t>
  </si>
  <si>
    <t>dépenses au:</t>
  </si>
  <si>
    <t>solde au :</t>
  </si>
  <si>
    <t>% d'utilisation</t>
  </si>
  <si>
    <t>prévisions</t>
  </si>
  <si>
    <t>Écart 2013</t>
  </si>
  <si>
    <t>du budget</t>
  </si>
  <si>
    <t>2011 ( sans ajust. 2011)</t>
  </si>
  <si>
    <t>2012 sans ajustement</t>
  </si>
  <si>
    <t>budget 2013</t>
  </si>
  <si>
    <t>budget vs prév.</t>
  </si>
  <si>
    <t>virement à faire</t>
  </si>
  <si>
    <t>Enquetes</t>
  </si>
  <si>
    <t>Plan d'effectifs policiers</t>
  </si>
  <si>
    <t>Ressources humaines</t>
  </si>
  <si>
    <t>Évenements spéciaux</t>
  </si>
  <si>
    <t>Cour municipale</t>
  </si>
  <si>
    <t>Cour provinciale</t>
  </si>
  <si>
    <t>Autres cours</t>
  </si>
  <si>
    <t>Groupe d'intervention</t>
  </si>
  <si>
    <t>Paiement backapy 2011</t>
  </si>
  <si>
    <t>Paiement banque 2012</t>
  </si>
  <si>
    <t>Pourcentage de l'année écoulée en 2008</t>
  </si>
  <si>
    <t xml:space="preserve">Budget 2013 disponible </t>
  </si>
  <si>
    <t xml:space="preserve">NOTES DU CONTROLEUR: </t>
  </si>
  <si>
    <t>Écart anti.</t>
  </si>
  <si>
    <t>Quelques dossiers particuliers</t>
  </si>
  <si>
    <t>dépenses</t>
  </si>
  <si>
    <t>budget alloué</t>
  </si>
  <si>
    <t>solde au 23 aout</t>
  </si>
  <si>
    <t>T.S. patrouille de parcs  ( au 23 août 2008) ( imputée au 21400 )</t>
  </si>
  <si>
    <t>T.S. pour cause de déontologie ( au 23 aout 2008) ( imputée au 21622</t>
  </si>
  <si>
    <t>T.S. études ( au 23 aout 2008)</t>
  </si>
  <si>
    <t>T.S. transport pour études ( au 23 aout 2008)</t>
  </si>
  <si>
    <t>TOTAL T.S. ÉTUDES ( imputée au 21600 )</t>
  </si>
  <si>
    <t>% de l'année écoulée en 2013:</t>
  </si>
  <si>
    <t>rh n'y arrivera pas…</t>
  </si>
  <si>
    <t>cours recommencent à grimper</t>
  </si>
  <si>
    <t>T.S. civils blancs et bleus ( permanents et temporaires ) ( objets 122, 124, 142, 144, 148)</t>
  </si>
  <si>
    <t>144 et 148</t>
  </si>
  <si>
    <t>Recherche et développement</t>
  </si>
  <si>
    <t>Budget 2013 disponible</t>
  </si>
  <si>
    <t>SERICE DE POLICE</t>
  </si>
  <si>
    <t>TS rénuméré - Division stationnements</t>
  </si>
  <si>
    <t>T.S. civils blancs et bleus ( permanents et temporaires ) ( objets 122, 124, 142, 144, 146 et 148)</t>
  </si>
  <si>
    <t>objet</t>
  </si>
  <si>
    <t xml:space="preserve">virement </t>
  </si>
  <si>
    <t>Brigadiers adultes</t>
  </si>
  <si>
    <t>148 et 146</t>
  </si>
  <si>
    <t>Contrôle animaliers</t>
  </si>
  <si>
    <t>Parcomètres</t>
  </si>
  <si>
    <t>Escouade de reglementation</t>
  </si>
  <si>
    <t>% de l'année écoulée en 2012:</t>
  </si>
  <si>
    <t>Surveiller contrôle animalier et stationnement</t>
  </si>
  <si>
    <t>Temps supplémentaire codes de raison (rémunéré et temps)</t>
  </si>
  <si>
    <t xml:space="preserve">Développement </t>
  </si>
  <si>
    <t>Déonto</t>
  </si>
  <si>
    <t xml:space="preserve">RÉEL  </t>
  </si>
  <si>
    <t>STATIONNEMENT</t>
  </si>
</sst>
</file>

<file path=xl/styles.xml><?xml version="1.0" encoding="utf-8"?>
<styleSheet xmlns="http://schemas.openxmlformats.org/spreadsheetml/2006/main">
  <numFmts count="15">
    <numFmt numFmtId="7" formatCode="#,##0.00\ &quot;$&quot;_);\(#,##0.00\ &quot;$&quot;\)"/>
    <numFmt numFmtId="8" formatCode="#,##0.00\ &quot;$&quot;_);[Red]\(#,##0.00\ &quot;$&quot;\)"/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 * #,##0.00_)\ [$€-1]_ ;_ * \(#,##0.00\)\ [$€-1]_ ;_ * &quot;-&quot;??_)\ [$€-1]_ "/>
    <numFmt numFmtId="165" formatCode="#,##0.00\ &quot;$&quot;"/>
    <numFmt numFmtId="166" formatCode="[$-F800]dddd\,\ mmmm\ dd\,\ yyyy"/>
    <numFmt numFmtId="168" formatCode="#,##0\ &quot;$&quot;"/>
    <numFmt numFmtId="169" formatCode="[Color46]&quot;L&quot;;[Color10]&quot;J&quot;;[Color1]&quot;K&quot;\ "/>
    <numFmt numFmtId="170" formatCode="[Green][&gt;0]&quot;l&quot;;[Red][&lt;0]&quot;l&quot;;[Yellow]&quot;l&quot;\ "/>
    <numFmt numFmtId="173" formatCode="[Red][&gt;0.02]&quot;l&quot;;[Green][&lt;-0.02]&quot;l&quot;;[Yellow]&quot;l&quot;\ "/>
    <numFmt numFmtId="174" formatCode="[Red][&gt;0.01]&quot;l&quot;;[Green][&lt;-0.01]&quot;l&quot;;[Yellow]&quot;l&quot;\ "/>
    <numFmt numFmtId="176" formatCode="[Color4][&gt;=0.1]&quot;l&quot;;[Color3][&lt;0]&quot;l&quot;;[Color6]&quot;l&quot;\ "/>
    <numFmt numFmtId="177" formatCode="[Color3][&lt;=0]&quot;l&quot;;[Color4][&gt;=0.01]&quot;l&quot;;[Color6]&quot;l&quot;\ "/>
    <numFmt numFmtId="178" formatCode="[Red][&gt;=0.1]&quot;l&quot;;[Green][&lt;0]&quot;l&quot;;[Yellow]&quot;l&quot;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u/>
      <sz val="11"/>
      <color theme="1"/>
      <name val="Arial Black"/>
      <family val="2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0"/>
      <color theme="1"/>
      <name val="Arial Black"/>
      <family val="2"/>
    </font>
    <font>
      <b/>
      <sz val="11"/>
      <color theme="1"/>
      <name val="Arial Black"/>
      <family val="2"/>
    </font>
    <font>
      <b/>
      <sz val="24"/>
      <name val="Wingdings"/>
      <charset val="2"/>
    </font>
    <font>
      <b/>
      <sz val="11"/>
      <color indexed="10"/>
      <name val="Arial"/>
      <family val="2"/>
    </font>
    <font>
      <sz val="12"/>
      <name val="Arial"/>
      <family val="2"/>
    </font>
    <font>
      <u/>
      <sz val="14"/>
      <color theme="1"/>
      <name val="Arial Black"/>
      <family val="2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Wingdings"/>
      <charset val="2"/>
    </font>
    <font>
      <b/>
      <u/>
      <sz val="16"/>
      <color theme="1"/>
      <name val="Arial Black"/>
      <family val="2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0"/>
      <name val="Arial"/>
      <family val="2"/>
    </font>
    <font>
      <sz val="10"/>
      <color indexed="60"/>
      <name val="Arial"/>
      <family val="2"/>
    </font>
    <font>
      <b/>
      <sz val="10"/>
      <color indexed="60"/>
      <name val="Arial"/>
      <family val="2"/>
    </font>
    <font>
      <b/>
      <u/>
      <sz val="8"/>
      <name val="Arial"/>
      <family val="2"/>
    </font>
    <font>
      <i/>
      <sz val="11"/>
      <name val="Arial"/>
      <family val="2"/>
    </font>
    <font>
      <b/>
      <i/>
      <u/>
      <sz val="12"/>
      <name val="Arial"/>
      <family val="2"/>
    </font>
    <font>
      <b/>
      <u/>
      <sz val="16"/>
      <name val="Arial"/>
      <family val="2"/>
    </font>
    <font>
      <sz val="12"/>
      <color indexed="10"/>
      <name val="Arial"/>
      <family val="2"/>
    </font>
    <font>
      <b/>
      <u/>
      <sz val="14"/>
      <name val="Arial"/>
      <family val="2"/>
    </font>
    <font>
      <b/>
      <u/>
      <sz val="16"/>
      <color theme="1"/>
      <name val="Calibri"/>
      <family val="2"/>
      <scheme val="minor"/>
    </font>
    <font>
      <b/>
      <u/>
      <sz val="12"/>
      <name val="Wingdings"/>
      <charset val="2"/>
    </font>
    <font>
      <b/>
      <u/>
      <sz val="24"/>
      <name val="Wingdings"/>
      <charset val="2"/>
    </font>
  </fonts>
  <fills count="2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DF34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7F945"/>
        <bgColor indexed="64"/>
      </patternFill>
    </fill>
    <fill>
      <patternFill patternType="solid">
        <fgColor rgb="FF41EF1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EEA16"/>
        <bgColor indexed="64"/>
      </patternFill>
    </fill>
    <fill>
      <patternFill patternType="solid">
        <fgColor rgb="FF2EFA41"/>
        <bgColor indexed="64"/>
      </patternFill>
    </fill>
    <fill>
      <patternFill patternType="solid">
        <fgColor rgb="FF13F51E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55FE48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5" fillId="0" borderId="0"/>
    <xf numFmtId="0" fontId="6" fillId="0" borderId="0" applyNumberFormat="0" applyFon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</cellStyleXfs>
  <cellXfs count="513">
    <xf numFmtId="0" fontId="0" fillId="0" borderId="0" xfId="0"/>
    <xf numFmtId="166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4" borderId="34" xfId="0" applyFont="1" applyFill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10" fontId="20" fillId="0" borderId="25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15" fontId="0" fillId="0" borderId="0" xfId="0" applyNumberFormat="1" applyAlignment="1">
      <alignment horizontal="left"/>
    </xf>
    <xf numFmtId="15" fontId="2" fillId="2" borderId="17" xfId="0" applyNumberFormat="1" applyFont="1" applyFill="1" applyBorder="1" applyAlignment="1">
      <alignment horizontal="center"/>
    </xf>
    <xf numFmtId="15" fontId="2" fillId="4" borderId="34" xfId="0" applyNumberFormat="1" applyFont="1" applyFill="1" applyBorder="1" applyAlignment="1">
      <alignment horizontal="center"/>
    </xf>
    <xf numFmtId="0" fontId="0" fillId="6" borderId="0" xfId="0" applyFill="1"/>
    <xf numFmtId="0" fontId="2" fillId="6" borderId="0" xfId="0" applyFont="1" applyFill="1" applyBorder="1" applyAlignment="1">
      <alignment horizontal="center"/>
    </xf>
    <xf numFmtId="169" fontId="23" fillId="6" borderId="0" xfId="0" applyNumberFormat="1" applyFont="1" applyFill="1"/>
    <xf numFmtId="0" fontId="25" fillId="6" borderId="0" xfId="0" applyFont="1" applyFill="1"/>
    <xf numFmtId="0" fontId="24" fillId="6" borderId="0" xfId="0" applyFont="1" applyFill="1"/>
    <xf numFmtId="0" fontId="18" fillId="6" borderId="0" xfId="0" applyFont="1" applyFill="1"/>
    <xf numFmtId="0" fontId="2" fillId="6" borderId="41" xfId="0" applyFont="1" applyFill="1" applyBorder="1" applyAlignment="1">
      <alignment horizontal="center"/>
    </xf>
    <xf numFmtId="0" fontId="19" fillId="6" borderId="0" xfId="0" applyFont="1" applyFill="1"/>
    <xf numFmtId="0" fontId="22" fillId="6" borderId="0" xfId="0" applyFont="1" applyFill="1"/>
    <xf numFmtId="0" fontId="0" fillId="6" borderId="0" xfId="0" applyFill="1" applyAlignment="1">
      <alignment horizontal="center"/>
    </xf>
    <xf numFmtId="168" fontId="21" fillId="6" borderId="0" xfId="0" applyNumberFormat="1" applyFont="1" applyFill="1" applyBorder="1" applyAlignment="1">
      <alignment horizontal="center"/>
    </xf>
    <xf numFmtId="0" fontId="4" fillId="0" borderId="0" xfId="0" applyFont="1"/>
    <xf numFmtId="0" fontId="0" fillId="0" borderId="0" xfId="0" applyBorder="1"/>
    <xf numFmtId="168" fontId="0" fillId="0" borderId="0" xfId="0" applyNumberFormat="1"/>
    <xf numFmtId="166" fontId="29" fillId="0" borderId="0" xfId="0" applyNumberFormat="1" applyFont="1" applyAlignment="1">
      <alignment horizontal="left"/>
    </xf>
    <xf numFmtId="0" fontId="30" fillId="0" borderId="0" xfId="0" applyFont="1"/>
    <xf numFmtId="0" fontId="2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168" fontId="2" fillId="0" borderId="23" xfId="0" applyNumberFormat="1" applyFont="1" applyFill="1" applyBorder="1" applyAlignment="1">
      <alignment horizontal="center"/>
    </xf>
    <xf numFmtId="168" fontId="2" fillId="0" borderId="24" xfId="0" applyNumberFormat="1" applyFont="1" applyFill="1" applyBorder="1" applyAlignment="1">
      <alignment horizontal="center"/>
    </xf>
    <xf numFmtId="168" fontId="20" fillId="0" borderId="24" xfId="0" applyNumberFormat="1" applyFont="1" applyBorder="1" applyAlignment="1">
      <alignment horizontal="center"/>
    </xf>
    <xf numFmtId="168" fontId="20" fillId="0" borderId="0" xfId="0" applyNumberFormat="1" applyFont="1" applyFill="1" applyBorder="1" applyAlignment="1">
      <alignment horizontal="center"/>
    </xf>
    <xf numFmtId="168" fontId="20" fillId="0" borderId="0" xfId="0" applyNumberFormat="1" applyFont="1" applyBorder="1" applyAlignment="1">
      <alignment horizontal="center"/>
    </xf>
    <xf numFmtId="10" fontId="20" fillId="0" borderId="0" xfId="0" applyNumberFormat="1" applyFont="1" applyBorder="1" applyAlignment="1">
      <alignment horizontal="center"/>
    </xf>
    <xf numFmtId="173" fontId="32" fillId="0" borderId="0" xfId="0" applyNumberFormat="1" applyFont="1" applyFill="1" applyBorder="1" applyAlignment="1">
      <alignment horizontal="left"/>
    </xf>
    <xf numFmtId="168" fontId="20" fillId="0" borderId="2" xfId="0" applyNumberFormat="1" applyFont="1" applyFill="1" applyBorder="1" applyAlignment="1">
      <alignment horizontal="center"/>
    </xf>
    <xf numFmtId="10" fontId="20" fillId="0" borderId="3" xfId="0" applyNumberFormat="1" applyFont="1" applyBorder="1" applyAlignment="1">
      <alignment horizontal="center"/>
    </xf>
    <xf numFmtId="10" fontId="20" fillId="0" borderId="22" xfId="0" applyNumberFormat="1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0" fillId="0" borderId="0" xfId="0" applyBorder="1" applyAlignment="1"/>
    <xf numFmtId="173" fontId="32" fillId="0" borderId="18" xfId="0" applyNumberFormat="1" applyFont="1" applyFill="1" applyBorder="1" applyAlignment="1">
      <alignment horizontal="left"/>
    </xf>
    <xf numFmtId="173" fontId="32" fillId="0" borderId="40" xfId="0" applyNumberFormat="1" applyFont="1" applyFill="1" applyBorder="1" applyAlignment="1">
      <alignment horizontal="left"/>
    </xf>
    <xf numFmtId="173" fontId="32" fillId="0" borderId="42" xfId="0" applyNumberFormat="1" applyFont="1" applyFill="1" applyBorder="1" applyAlignment="1">
      <alignment horizontal="left"/>
    </xf>
    <xf numFmtId="0" fontId="33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168" fontId="2" fillId="0" borderId="21" xfId="0" applyNumberFormat="1" applyFont="1" applyFill="1" applyBorder="1" applyAlignment="1">
      <alignment horizontal="center"/>
    </xf>
    <xf numFmtId="168" fontId="2" fillId="0" borderId="32" xfId="0" applyNumberFormat="1" applyFont="1" applyFill="1" applyBorder="1" applyAlignment="1">
      <alignment horizontal="center"/>
    </xf>
    <xf numFmtId="168" fontId="20" fillId="0" borderId="32" xfId="0" applyNumberFormat="1" applyFont="1" applyBorder="1" applyAlignment="1">
      <alignment horizontal="center"/>
    </xf>
    <xf numFmtId="168" fontId="2" fillId="0" borderId="26" xfId="0" applyNumberFormat="1" applyFont="1" applyFill="1" applyBorder="1" applyAlignment="1">
      <alignment horizontal="center"/>
    </xf>
    <xf numFmtId="168" fontId="2" fillId="0" borderId="27" xfId="0" applyNumberFormat="1" applyFont="1" applyFill="1" applyBorder="1" applyAlignment="1">
      <alignment horizontal="center"/>
    </xf>
    <xf numFmtId="168" fontId="20" fillId="0" borderId="27" xfId="0" applyNumberFormat="1" applyFont="1" applyBorder="1" applyAlignment="1">
      <alignment horizontal="center"/>
    </xf>
    <xf numFmtId="10" fontId="20" fillId="0" borderId="28" xfId="0" applyNumberFormat="1" applyFont="1" applyBorder="1" applyAlignment="1">
      <alignment horizontal="center"/>
    </xf>
    <xf numFmtId="173" fontId="32" fillId="0" borderId="43" xfId="0" applyNumberFormat="1" applyFont="1" applyFill="1" applyBorder="1" applyAlignment="1">
      <alignment horizontal="left"/>
    </xf>
    <xf numFmtId="173" fontId="32" fillId="0" borderId="4" xfId="0" applyNumberFormat="1" applyFont="1" applyFill="1" applyBorder="1" applyAlignment="1">
      <alignment horizontal="left"/>
    </xf>
    <xf numFmtId="168" fontId="34" fillId="0" borderId="4" xfId="0" applyNumberFormat="1" applyFont="1" applyFill="1" applyBorder="1" applyAlignment="1">
      <alignment horizontal="center"/>
    </xf>
    <xf numFmtId="168" fontId="34" fillId="0" borderId="2" xfId="0" applyNumberFormat="1" applyFont="1" applyFill="1" applyBorder="1" applyAlignment="1">
      <alignment horizontal="center"/>
    </xf>
    <xf numFmtId="10" fontId="34" fillId="0" borderId="3" xfId="0" applyNumberFormat="1" applyFont="1" applyBorder="1" applyAlignment="1">
      <alignment horizontal="center"/>
    </xf>
    <xf numFmtId="168" fontId="34" fillId="0" borderId="1" xfId="0" applyNumberFormat="1" applyFont="1" applyFill="1" applyBorder="1" applyAlignment="1">
      <alignment horizontal="center"/>
    </xf>
    <xf numFmtId="168" fontId="34" fillId="0" borderId="2" xfId="0" applyNumberFormat="1" applyFont="1" applyBorder="1" applyAlignment="1">
      <alignment horizontal="center"/>
    </xf>
    <xf numFmtId="174" fontId="26" fillId="0" borderId="41" xfId="0" applyNumberFormat="1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center"/>
    </xf>
    <xf numFmtId="166" fontId="35" fillId="0" borderId="0" xfId="0" applyNumberFormat="1" applyFont="1" applyAlignment="1">
      <alignment horizontal="left"/>
    </xf>
    <xf numFmtId="10" fontId="21" fillId="0" borderId="3" xfId="0" applyNumberFormat="1" applyFont="1" applyBorder="1" applyAlignment="1">
      <alignment horizontal="center"/>
    </xf>
    <xf numFmtId="7" fontId="4" fillId="16" borderId="35" xfId="11" applyNumberFormat="1" applyFont="1" applyFill="1" applyBorder="1" applyAlignment="1">
      <alignment horizontal="right"/>
    </xf>
    <xf numFmtId="7" fontId="4" fillId="13" borderId="35" xfId="11" applyNumberFormat="1" applyFont="1" applyFill="1" applyBorder="1" applyAlignment="1">
      <alignment horizontal="right" vertical="center"/>
    </xf>
    <xf numFmtId="44" fontId="13" fillId="0" borderId="0" xfId="11" applyFont="1" applyFill="1" applyAlignment="1">
      <alignment horizontal="center"/>
    </xf>
    <xf numFmtId="0" fontId="0" fillId="0" borderId="0" xfId="0" applyFill="1"/>
    <xf numFmtId="168" fontId="2" fillId="0" borderId="1" xfId="0" applyNumberFormat="1" applyFont="1" applyFill="1" applyBorder="1" applyAlignment="1">
      <alignment horizontal="center"/>
    </xf>
    <xf numFmtId="168" fontId="20" fillId="0" borderId="2" xfId="0" applyNumberFormat="1" applyFont="1" applyBorder="1" applyAlignment="1">
      <alignment horizontal="center"/>
    </xf>
    <xf numFmtId="170" fontId="26" fillId="0" borderId="41" xfId="0" applyNumberFormat="1" applyFont="1" applyFill="1" applyBorder="1" applyAlignment="1">
      <alignment horizontal="left" vertical="center"/>
    </xf>
    <xf numFmtId="168" fontId="20" fillId="6" borderId="38" xfId="0" applyNumberFormat="1" applyFont="1" applyFill="1" applyBorder="1" applyAlignment="1">
      <alignment horizontal="center"/>
    </xf>
    <xf numFmtId="168" fontId="20" fillId="6" borderId="50" xfId="0" applyNumberFormat="1" applyFont="1" applyFill="1" applyBorder="1" applyAlignment="1">
      <alignment horizontal="center"/>
    </xf>
    <xf numFmtId="170" fontId="26" fillId="6" borderId="36" xfId="0" applyNumberFormat="1" applyFont="1" applyFill="1" applyBorder="1" applyAlignment="1">
      <alignment horizontal="left" vertical="center"/>
    </xf>
    <xf numFmtId="10" fontId="20" fillId="0" borderId="25" xfId="0" applyNumberFormat="1" applyFont="1" applyBorder="1" applyAlignment="1">
      <alignment horizontal="center" vertical="center"/>
    </xf>
    <xf numFmtId="168" fontId="34" fillId="0" borderId="1" xfId="0" applyNumberFormat="1" applyFont="1" applyFill="1" applyBorder="1" applyAlignment="1">
      <alignment horizontal="center" vertical="center"/>
    </xf>
    <xf numFmtId="168" fontId="34" fillId="0" borderId="2" xfId="0" applyNumberFormat="1" applyFont="1" applyBorder="1" applyAlignment="1">
      <alignment horizontal="center" vertical="center"/>
    </xf>
    <xf numFmtId="10" fontId="34" fillId="0" borderId="3" xfId="0" applyNumberFormat="1" applyFont="1" applyBorder="1" applyAlignment="1">
      <alignment horizontal="center" vertical="center"/>
    </xf>
    <xf numFmtId="173" fontId="32" fillId="0" borderId="18" xfId="0" applyNumberFormat="1" applyFont="1" applyFill="1" applyBorder="1" applyAlignment="1">
      <alignment horizontal="left" vertical="center"/>
    </xf>
    <xf numFmtId="168" fontId="20" fillId="0" borderId="0" xfId="0" applyNumberFormat="1" applyFont="1" applyFill="1" applyBorder="1" applyAlignment="1">
      <alignment horizontal="center" vertical="center"/>
    </xf>
    <xf numFmtId="168" fontId="20" fillId="0" borderId="0" xfId="0" applyNumberFormat="1" applyFont="1" applyBorder="1" applyAlignment="1">
      <alignment horizontal="center" vertical="center"/>
    </xf>
    <xf numFmtId="10" fontId="20" fillId="0" borderId="0" xfId="0" applyNumberFormat="1" applyFont="1" applyBorder="1" applyAlignment="1">
      <alignment horizontal="center" vertical="center"/>
    </xf>
    <xf numFmtId="173" fontId="32" fillId="0" borderId="0" xfId="0" applyNumberFormat="1" applyFont="1" applyFill="1" applyBorder="1" applyAlignment="1">
      <alignment horizontal="left" vertical="center"/>
    </xf>
    <xf numFmtId="168" fontId="2" fillId="0" borderId="21" xfId="0" applyNumberFormat="1" applyFont="1" applyFill="1" applyBorder="1" applyAlignment="1">
      <alignment horizontal="center" vertical="center"/>
    </xf>
    <xf numFmtId="168" fontId="20" fillId="0" borderId="32" xfId="0" applyNumberFormat="1" applyFont="1" applyBorder="1" applyAlignment="1">
      <alignment horizontal="center" vertical="center"/>
    </xf>
    <xf numFmtId="10" fontId="20" fillId="0" borderId="22" xfId="0" applyNumberFormat="1" applyFont="1" applyBorder="1" applyAlignment="1">
      <alignment horizontal="center" vertical="center"/>
    </xf>
    <xf numFmtId="173" fontId="32" fillId="0" borderId="40" xfId="0" applyNumberFormat="1" applyFont="1" applyFill="1" applyBorder="1" applyAlignment="1">
      <alignment horizontal="left" vertical="center"/>
    </xf>
    <xf numFmtId="168" fontId="2" fillId="0" borderId="26" xfId="0" applyNumberFormat="1" applyFont="1" applyFill="1" applyBorder="1" applyAlignment="1">
      <alignment horizontal="center" vertical="center"/>
    </xf>
    <xf numFmtId="168" fontId="20" fillId="0" borderId="27" xfId="0" applyNumberFormat="1" applyFont="1" applyBorder="1" applyAlignment="1">
      <alignment horizontal="center" vertical="center"/>
    </xf>
    <xf numFmtId="10" fontId="20" fillId="0" borderId="28" xfId="0" applyNumberFormat="1" applyFont="1" applyBorder="1" applyAlignment="1">
      <alignment horizontal="center" vertical="center"/>
    </xf>
    <xf numFmtId="173" fontId="32" fillId="0" borderId="43" xfId="0" applyNumberFormat="1" applyFont="1" applyFill="1" applyBorder="1" applyAlignment="1">
      <alignment horizontal="left" vertical="center"/>
    </xf>
    <xf numFmtId="168" fontId="34" fillId="0" borderId="4" xfId="0" applyNumberFormat="1" applyFont="1" applyFill="1" applyBorder="1" applyAlignment="1">
      <alignment horizontal="center" vertical="center"/>
    </xf>
    <xf numFmtId="10" fontId="20" fillId="0" borderId="3" xfId="0" applyNumberFormat="1" applyFont="1" applyBorder="1" applyAlignment="1">
      <alignment horizontal="center" vertical="center"/>
    </xf>
    <xf numFmtId="173" fontId="32" fillId="0" borderId="4" xfId="0" applyNumberFormat="1" applyFont="1" applyFill="1" applyBorder="1" applyAlignment="1">
      <alignment horizontal="left" vertical="center"/>
    </xf>
    <xf numFmtId="168" fontId="2" fillId="0" borderId="1" xfId="0" applyNumberFormat="1" applyFont="1" applyFill="1" applyBorder="1" applyAlignment="1">
      <alignment horizontal="center" vertical="center"/>
    </xf>
    <xf numFmtId="168" fontId="20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68" fontId="2" fillId="0" borderId="23" xfId="0" applyNumberFormat="1" applyFont="1" applyFill="1" applyBorder="1" applyAlignment="1">
      <alignment horizontal="center" vertical="center"/>
    </xf>
    <xf numFmtId="168" fontId="20" fillId="0" borderId="24" xfId="0" applyNumberFormat="1" applyFont="1" applyBorder="1" applyAlignment="1">
      <alignment horizontal="center" vertical="center"/>
    </xf>
    <xf numFmtId="173" fontId="32" fillId="0" borderId="42" xfId="0" applyNumberFormat="1" applyFont="1" applyFill="1" applyBorder="1" applyAlignment="1">
      <alignment horizontal="left" vertical="center"/>
    </xf>
    <xf numFmtId="168" fontId="34" fillId="0" borderId="2" xfId="0" applyNumberFormat="1" applyFont="1" applyFill="1" applyBorder="1" applyAlignment="1">
      <alignment horizontal="center" vertical="center"/>
    </xf>
    <xf numFmtId="168" fontId="21" fillId="0" borderId="0" xfId="0" applyNumberFormat="1" applyFont="1" applyAlignment="1">
      <alignment vertical="center"/>
    </xf>
    <xf numFmtId="10" fontId="21" fillId="0" borderId="3" xfId="0" applyNumberFormat="1" applyFont="1" applyBorder="1" applyAlignment="1">
      <alignment horizontal="center" vertical="center"/>
    </xf>
    <xf numFmtId="0" fontId="10" fillId="0" borderId="7" xfId="0" applyFont="1" applyBorder="1"/>
    <xf numFmtId="0" fontId="0" fillId="0" borderId="10" xfId="0" applyBorder="1"/>
    <xf numFmtId="0" fontId="0" fillId="0" borderId="11" xfId="0" applyBorder="1"/>
    <xf numFmtId="0" fontId="0" fillId="0" borderId="0" xfId="0" applyFill="1" applyAlignment="1">
      <alignment horizontal="center"/>
    </xf>
    <xf numFmtId="16" fontId="0" fillId="0" borderId="0" xfId="0" applyNumberFormat="1"/>
    <xf numFmtId="1" fontId="0" fillId="0" borderId="0" xfId="0" applyNumberFormat="1"/>
    <xf numFmtId="0" fontId="36" fillId="0" borderId="12" xfId="0" applyFont="1" applyBorder="1"/>
    <xf numFmtId="0" fontId="0" fillId="0" borderId="13" xfId="0" applyBorder="1"/>
    <xf numFmtId="0" fontId="16" fillId="0" borderId="0" xfId="0" applyFont="1"/>
    <xf numFmtId="165" fontId="13" fillId="0" borderId="0" xfId="0" applyNumberFormat="1" applyFont="1" applyAlignment="1">
      <alignment horizontal="center"/>
    </xf>
    <xf numFmtId="0" fontId="17" fillId="0" borderId="6" xfId="0" applyFont="1" applyBorder="1"/>
    <xf numFmtId="0" fontId="0" fillId="0" borderId="14" xfId="0" applyBorder="1"/>
    <xf numFmtId="0" fontId="0" fillId="0" borderId="15" xfId="0" applyBorder="1"/>
    <xf numFmtId="165" fontId="0" fillId="0" borderId="0" xfId="0" applyNumberFormat="1"/>
    <xf numFmtId="0" fontId="4" fillId="0" borderId="0" xfId="0" applyFont="1" applyAlignment="1">
      <alignment horizontal="center"/>
    </xf>
    <xf numFmtId="0" fontId="17" fillId="0" borderId="0" xfId="0" applyFont="1"/>
    <xf numFmtId="0" fontId="37" fillId="7" borderId="0" xfId="0" applyFont="1" applyFill="1" applyAlignment="1">
      <alignment horizontal="center"/>
    </xf>
    <xf numFmtId="165" fontId="0" fillId="0" borderId="0" xfId="0" applyNumberFormat="1" applyAlignment="1">
      <alignment horizontal="center"/>
    </xf>
    <xf numFmtId="0" fontId="10" fillId="0" borderId="0" xfId="0" applyFont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  <xf numFmtId="0" fontId="0" fillId="0" borderId="7" xfId="0" applyBorder="1"/>
    <xf numFmtId="0" fontId="0" fillId="0" borderId="4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8" borderId="45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7" fillId="11" borderId="44" xfId="0" applyFont="1" applyFill="1" applyBorder="1" applyAlignment="1">
      <alignment horizontal="center"/>
    </xf>
    <xf numFmtId="0" fontId="38" fillId="7" borderId="44" xfId="0" applyFont="1" applyFill="1" applyBorder="1" applyAlignment="1">
      <alignment horizontal="center"/>
    </xf>
    <xf numFmtId="0" fontId="7" fillId="7" borderId="44" xfId="0" applyFont="1" applyFill="1" applyBorder="1" applyAlignment="1">
      <alignment horizontal="center"/>
    </xf>
    <xf numFmtId="0" fontId="7" fillId="12" borderId="44" xfId="0" applyFont="1" applyFill="1" applyBorder="1" applyAlignment="1">
      <alignment horizontal="center"/>
    </xf>
    <xf numFmtId="0" fontId="0" fillId="0" borderId="12" xfId="0" applyBorder="1"/>
    <xf numFmtId="0" fontId="0" fillId="0" borderId="4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49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166" fontId="0" fillId="3" borderId="20" xfId="0" applyNumberFormat="1" applyFill="1" applyBorder="1" applyAlignment="1">
      <alignment horizontal="center"/>
    </xf>
    <xf numFmtId="166" fontId="0" fillId="0" borderId="20" xfId="0" applyNumberForma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38" fillId="7" borderId="20" xfId="0" applyFont="1" applyFill="1" applyBorder="1" applyAlignment="1">
      <alignment horizontal="center"/>
    </xf>
    <xf numFmtId="0" fontId="7" fillId="7" borderId="20" xfId="0" applyFont="1" applyFill="1" applyBorder="1" applyAlignment="1">
      <alignment horizontal="center"/>
    </xf>
    <xf numFmtId="0" fontId="7" fillId="12" borderId="20" xfId="0" applyFont="1" applyFill="1" applyBorder="1" applyAlignment="1">
      <alignment horizontal="center"/>
    </xf>
    <xf numFmtId="0" fontId="0" fillId="13" borderId="16" xfId="0" applyFill="1" applyBorder="1"/>
    <xf numFmtId="0" fontId="0" fillId="13" borderId="8" xfId="0" applyFill="1" applyBorder="1" applyAlignment="1">
      <alignment horizontal="center"/>
    </xf>
    <xf numFmtId="168" fontId="0" fillId="13" borderId="8" xfId="0" applyNumberFormat="1" applyFill="1" applyBorder="1" applyAlignment="1">
      <alignment horizontal="center"/>
    </xf>
    <xf numFmtId="165" fontId="0" fillId="13" borderId="8" xfId="0" applyNumberFormat="1" applyFill="1" applyBorder="1" applyAlignment="1">
      <alignment horizontal="center"/>
    </xf>
    <xf numFmtId="8" fontId="4" fillId="13" borderId="8" xfId="0" applyNumberFormat="1" applyFont="1" applyFill="1" applyBorder="1" applyAlignment="1">
      <alignment horizontal="center"/>
    </xf>
    <xf numFmtId="0" fontId="0" fillId="13" borderId="8" xfId="0" applyFill="1" applyBorder="1"/>
    <xf numFmtId="8" fontId="0" fillId="13" borderId="8" xfId="0" applyNumberFormat="1" applyFill="1" applyBorder="1" applyAlignment="1">
      <alignment horizontal="center"/>
    </xf>
    <xf numFmtId="10" fontId="0" fillId="13" borderId="9" xfId="0" applyNumberFormat="1" applyFill="1" applyBorder="1" applyAlignment="1">
      <alignment horizontal="center"/>
    </xf>
    <xf numFmtId="165" fontId="0" fillId="13" borderId="7" xfId="0" applyNumberFormat="1" applyFill="1" applyBorder="1" applyAlignment="1">
      <alignment horizontal="center"/>
    </xf>
    <xf numFmtId="165" fontId="0" fillId="13" borderId="16" xfId="0" applyNumberFormat="1" applyFill="1" applyBorder="1"/>
    <xf numFmtId="165" fontId="0" fillId="13" borderId="8" xfId="0" applyNumberFormat="1" applyFill="1" applyBorder="1"/>
    <xf numFmtId="10" fontId="0" fillId="13" borderId="9" xfId="0" applyNumberFormat="1" applyFill="1" applyBorder="1"/>
    <xf numFmtId="165" fontId="0" fillId="13" borderId="13" xfId="0" applyNumberFormat="1" applyFill="1" applyBorder="1" applyAlignment="1">
      <alignment horizontal="center"/>
    </xf>
    <xf numFmtId="165" fontId="0" fillId="13" borderId="13" xfId="0" applyNumberFormat="1" applyFill="1" applyBorder="1" applyAlignment="1">
      <alignment horizontal="right"/>
    </xf>
    <xf numFmtId="165" fontId="0" fillId="13" borderId="8" xfId="0" applyNumberFormat="1" applyFill="1" applyBorder="1" applyAlignment="1">
      <alignment horizontal="right"/>
    </xf>
    <xf numFmtId="10" fontId="0" fillId="13" borderId="13" xfId="0" applyNumberFormat="1" applyFill="1" applyBorder="1" applyAlignment="1">
      <alignment horizontal="center"/>
    </xf>
    <xf numFmtId="10" fontId="0" fillId="13" borderId="13" xfId="0" applyNumberFormat="1" applyFill="1" applyBorder="1" applyAlignment="1">
      <alignment horizontal="right"/>
    </xf>
    <xf numFmtId="165" fontId="0" fillId="14" borderId="47" xfId="0" applyNumberFormat="1" applyFill="1" applyBorder="1" applyAlignment="1">
      <alignment horizontal="right"/>
    </xf>
    <xf numFmtId="165" fontId="0" fillId="11" borderId="47" xfId="0" applyNumberFormat="1" applyFill="1" applyBorder="1" applyAlignment="1">
      <alignment horizontal="right"/>
    </xf>
    <xf numFmtId="165" fontId="4" fillId="15" borderId="47" xfId="0" applyNumberFormat="1" applyFont="1" applyFill="1" applyBorder="1" applyAlignment="1">
      <alignment horizontal="right"/>
    </xf>
    <xf numFmtId="165" fontId="0" fillId="7" borderId="47" xfId="0" applyNumberFormat="1" applyFill="1" applyBorder="1" applyAlignment="1">
      <alignment horizontal="right"/>
    </xf>
    <xf numFmtId="165" fontId="0" fillId="12" borderId="47" xfId="0" applyNumberFormat="1" applyFill="1" applyBorder="1" applyAlignment="1">
      <alignment horizontal="right"/>
    </xf>
    <xf numFmtId="0" fontId="0" fillId="16" borderId="49" xfId="0" applyFill="1" applyBorder="1"/>
    <xf numFmtId="0" fontId="0" fillId="16" borderId="35" xfId="0" applyFill="1" applyBorder="1" applyAlignment="1">
      <alignment horizontal="center"/>
    </xf>
    <xf numFmtId="168" fontId="0" fillId="16" borderId="35" xfId="0" applyNumberFormat="1" applyFill="1" applyBorder="1" applyAlignment="1">
      <alignment horizontal="center"/>
    </xf>
    <xf numFmtId="165" fontId="0" fillId="16" borderId="35" xfId="0" applyNumberFormat="1" applyFill="1" applyBorder="1" applyAlignment="1">
      <alignment horizontal="center"/>
    </xf>
    <xf numFmtId="8" fontId="4" fillId="16" borderId="35" xfId="0" applyNumberFormat="1" applyFont="1" applyFill="1" applyBorder="1" applyAlignment="1">
      <alignment horizontal="center"/>
    </xf>
    <xf numFmtId="0" fontId="0" fillId="16" borderId="35" xfId="0" applyFill="1" applyBorder="1"/>
    <xf numFmtId="8" fontId="0" fillId="16" borderId="35" xfId="0" applyNumberFormat="1" applyFill="1" applyBorder="1" applyAlignment="1">
      <alignment horizontal="center"/>
    </xf>
    <xf numFmtId="10" fontId="0" fillId="16" borderId="48" xfId="0" applyNumberFormat="1" applyFill="1" applyBorder="1" applyAlignment="1">
      <alignment horizontal="center"/>
    </xf>
    <xf numFmtId="165" fontId="0" fillId="16" borderId="12" xfId="0" applyNumberFormat="1" applyFill="1" applyBorder="1" applyAlignment="1">
      <alignment horizontal="center"/>
    </xf>
    <xf numFmtId="165" fontId="0" fillId="16" borderId="49" xfId="0" applyNumberFormat="1" applyFill="1" applyBorder="1"/>
    <xf numFmtId="165" fontId="0" fillId="16" borderId="35" xfId="0" applyNumberFormat="1" applyFill="1" applyBorder="1"/>
    <xf numFmtId="10" fontId="0" fillId="16" borderId="48" xfId="0" applyNumberFormat="1" applyFill="1" applyBorder="1"/>
    <xf numFmtId="165" fontId="0" fillId="16" borderId="13" xfId="0" applyNumberFormat="1" applyFill="1" applyBorder="1" applyAlignment="1">
      <alignment horizontal="center"/>
    </xf>
    <xf numFmtId="165" fontId="0" fillId="16" borderId="13" xfId="0" applyNumberFormat="1" applyFill="1" applyBorder="1" applyAlignment="1">
      <alignment horizontal="right"/>
    </xf>
    <xf numFmtId="165" fontId="0" fillId="16" borderId="35" xfId="0" applyNumberFormat="1" applyFill="1" applyBorder="1" applyAlignment="1">
      <alignment horizontal="right"/>
    </xf>
    <xf numFmtId="10" fontId="0" fillId="16" borderId="13" xfId="0" applyNumberFormat="1" applyFill="1" applyBorder="1" applyAlignment="1">
      <alignment horizontal="center"/>
    </xf>
    <xf numFmtId="10" fontId="0" fillId="16" borderId="13" xfId="0" applyNumberFormat="1" applyFill="1" applyBorder="1" applyAlignment="1">
      <alignment horizontal="right"/>
    </xf>
    <xf numFmtId="165" fontId="0" fillId="17" borderId="47" xfId="0" applyNumberFormat="1" applyFill="1" applyBorder="1" applyAlignment="1">
      <alignment horizontal="right"/>
    </xf>
    <xf numFmtId="165" fontId="4" fillId="11" borderId="47" xfId="0" applyNumberFormat="1" applyFont="1" applyFill="1" applyBorder="1" applyAlignment="1">
      <alignment horizontal="right"/>
    </xf>
    <xf numFmtId="165" fontId="4" fillId="18" borderId="47" xfId="0" applyNumberFormat="1" applyFont="1" applyFill="1" applyBorder="1" applyAlignment="1">
      <alignment horizontal="right"/>
    </xf>
    <xf numFmtId="0" fontId="0" fillId="13" borderId="49" xfId="0" applyFill="1" applyBorder="1"/>
    <xf numFmtId="0" fontId="0" fillId="13" borderId="35" xfId="0" applyFill="1" applyBorder="1" applyAlignment="1">
      <alignment horizontal="center"/>
    </xf>
    <xf numFmtId="168" fontId="0" fillId="13" borderId="35" xfId="0" applyNumberFormat="1" applyFill="1" applyBorder="1" applyAlignment="1">
      <alignment horizontal="center"/>
    </xf>
    <xf numFmtId="165" fontId="0" fillId="13" borderId="35" xfId="0" applyNumberFormat="1" applyFill="1" applyBorder="1" applyAlignment="1">
      <alignment horizontal="center"/>
    </xf>
    <xf numFmtId="8" fontId="4" fillId="13" borderId="35" xfId="0" applyNumberFormat="1" applyFont="1" applyFill="1" applyBorder="1" applyAlignment="1">
      <alignment horizontal="center"/>
    </xf>
    <xf numFmtId="0" fontId="0" fillId="13" borderId="35" xfId="0" applyFill="1" applyBorder="1"/>
    <xf numFmtId="8" fontId="0" fillId="13" borderId="35" xfId="0" applyNumberFormat="1" applyFill="1" applyBorder="1" applyAlignment="1">
      <alignment horizontal="center"/>
    </xf>
    <xf numFmtId="10" fontId="0" fillId="13" borderId="48" xfId="0" applyNumberFormat="1" applyFill="1" applyBorder="1" applyAlignment="1">
      <alignment horizontal="center"/>
    </xf>
    <xf numFmtId="165" fontId="0" fillId="13" borderId="12" xfId="0" applyNumberFormat="1" applyFill="1" applyBorder="1" applyAlignment="1">
      <alignment horizontal="center"/>
    </xf>
    <xf numFmtId="165" fontId="0" fillId="13" borderId="49" xfId="0" applyNumberFormat="1" applyFill="1" applyBorder="1"/>
    <xf numFmtId="165" fontId="0" fillId="13" borderId="35" xfId="0" applyNumberFormat="1" applyFill="1" applyBorder="1"/>
    <xf numFmtId="10" fontId="0" fillId="13" borderId="48" xfId="0" applyNumberFormat="1" applyFill="1" applyBorder="1"/>
    <xf numFmtId="165" fontId="0" fillId="13" borderId="35" xfId="0" applyNumberFormat="1" applyFill="1" applyBorder="1" applyAlignment="1">
      <alignment horizontal="right"/>
    </xf>
    <xf numFmtId="165" fontId="4" fillId="17" borderId="47" xfId="0" applyNumberFormat="1" applyFont="1" applyFill="1" applyBorder="1" applyAlignment="1">
      <alignment horizontal="right"/>
    </xf>
    <xf numFmtId="165" fontId="4" fillId="19" borderId="47" xfId="0" applyNumberFormat="1" applyFont="1" applyFill="1" applyBorder="1" applyAlignment="1">
      <alignment horizontal="right"/>
    </xf>
    <xf numFmtId="0" fontId="4" fillId="13" borderId="49" xfId="0" applyFont="1" applyFill="1" applyBorder="1"/>
    <xf numFmtId="165" fontId="4" fillId="20" borderId="47" xfId="0" applyNumberFormat="1" applyFont="1" applyFill="1" applyBorder="1" applyAlignment="1">
      <alignment horizontal="right"/>
    </xf>
    <xf numFmtId="165" fontId="0" fillId="19" borderId="47" xfId="0" applyNumberFormat="1" applyFill="1" applyBorder="1" applyAlignment="1">
      <alignment horizontal="right"/>
    </xf>
    <xf numFmtId="0" fontId="0" fillId="16" borderId="17" xfId="0" applyFill="1" applyBorder="1"/>
    <xf numFmtId="0" fontId="0" fillId="16" borderId="34" xfId="0" applyFill="1" applyBorder="1" applyAlignment="1">
      <alignment horizontal="center"/>
    </xf>
    <xf numFmtId="168" fontId="0" fillId="16" borderId="34" xfId="0" applyNumberFormat="1" applyFill="1" applyBorder="1" applyAlignment="1">
      <alignment horizontal="center"/>
    </xf>
    <xf numFmtId="165" fontId="0" fillId="16" borderId="34" xfId="0" applyNumberFormat="1" applyFill="1" applyBorder="1" applyAlignment="1">
      <alignment horizontal="center"/>
    </xf>
    <xf numFmtId="8" fontId="4" fillId="16" borderId="34" xfId="0" applyNumberFormat="1" applyFont="1" applyFill="1" applyBorder="1" applyAlignment="1">
      <alignment horizontal="center"/>
    </xf>
    <xf numFmtId="0" fontId="0" fillId="16" borderId="34" xfId="0" applyFill="1" applyBorder="1"/>
    <xf numFmtId="8" fontId="0" fillId="16" borderId="34" xfId="0" applyNumberFormat="1" applyFill="1" applyBorder="1" applyAlignment="1">
      <alignment horizontal="center"/>
    </xf>
    <xf numFmtId="10" fontId="0" fillId="16" borderId="5" xfId="0" applyNumberFormat="1" applyFill="1" applyBorder="1" applyAlignment="1">
      <alignment horizontal="center"/>
    </xf>
    <xf numFmtId="165" fontId="0" fillId="16" borderId="6" xfId="0" applyNumberFormat="1" applyFill="1" applyBorder="1" applyAlignment="1">
      <alignment horizontal="center"/>
    </xf>
    <xf numFmtId="165" fontId="0" fillId="16" borderId="17" xfId="0" applyNumberFormat="1" applyFill="1" applyBorder="1"/>
    <xf numFmtId="165" fontId="0" fillId="16" borderId="34" xfId="0" applyNumberFormat="1" applyFill="1" applyBorder="1"/>
    <xf numFmtId="10" fontId="0" fillId="16" borderId="5" xfId="0" applyNumberFormat="1" applyFill="1" applyBorder="1"/>
    <xf numFmtId="165" fontId="0" fillId="16" borderId="15" xfId="0" applyNumberFormat="1" applyFill="1" applyBorder="1" applyAlignment="1">
      <alignment horizontal="center"/>
    </xf>
    <xf numFmtId="165" fontId="0" fillId="16" borderId="15" xfId="0" applyNumberFormat="1" applyFill="1" applyBorder="1" applyAlignment="1">
      <alignment horizontal="right"/>
    </xf>
    <xf numFmtId="165" fontId="0" fillId="16" borderId="34" xfId="0" applyNumberFormat="1" applyFill="1" applyBorder="1" applyAlignment="1">
      <alignment horizontal="right"/>
    </xf>
    <xf numFmtId="165" fontId="0" fillId="16" borderId="20" xfId="0" applyNumberFormat="1" applyFill="1" applyBorder="1" applyAlignment="1">
      <alignment horizontal="right"/>
    </xf>
    <xf numFmtId="10" fontId="0" fillId="16" borderId="20" xfId="0" applyNumberFormat="1" applyFill="1" applyBorder="1" applyAlignment="1">
      <alignment horizontal="right"/>
    </xf>
    <xf numFmtId="168" fontId="13" fillId="0" borderId="0" xfId="0" applyNumberFormat="1" applyFont="1" applyAlignment="1">
      <alignment horizontal="center"/>
    </xf>
    <xf numFmtId="8" fontId="13" fillId="0" borderId="0" xfId="0" applyNumberFormat="1" applyFont="1" applyFill="1" applyAlignment="1">
      <alignment horizontal="center"/>
    </xf>
    <xf numFmtId="165" fontId="13" fillId="8" borderId="10" xfId="0" applyNumberFormat="1" applyFont="1" applyFill="1" applyBorder="1" applyAlignment="1">
      <alignment horizontal="center"/>
    </xf>
    <xf numFmtId="8" fontId="13" fillId="0" borderId="0" xfId="0" applyNumberFormat="1" applyFont="1" applyAlignment="1">
      <alignment horizontal="center"/>
    </xf>
    <xf numFmtId="10" fontId="13" fillId="0" borderId="0" xfId="0" applyNumberFormat="1" applyFont="1" applyAlignment="1">
      <alignment horizontal="center"/>
    </xf>
    <xf numFmtId="165" fontId="13" fillId="9" borderId="10" xfId="0" applyNumberFormat="1" applyFont="1" applyFill="1" applyBorder="1" applyAlignment="1">
      <alignment horizontal="center"/>
    </xf>
    <xf numFmtId="165" fontId="13" fillId="10" borderId="0" xfId="0" applyNumberFormat="1" applyFont="1" applyFill="1"/>
    <xf numFmtId="165" fontId="13" fillId="0" borderId="0" xfId="0" applyNumberFormat="1" applyFont="1" applyFill="1" applyAlignment="1">
      <alignment horizontal="center"/>
    </xf>
    <xf numFmtId="10" fontId="0" fillId="0" borderId="13" xfId="0" applyNumberFormat="1" applyFill="1" applyBorder="1" applyAlignment="1">
      <alignment horizontal="center"/>
    </xf>
    <xf numFmtId="165" fontId="15" fillId="0" borderId="0" xfId="0" applyNumberFormat="1" applyFont="1" applyFill="1" applyAlignment="1">
      <alignment horizontal="center"/>
    </xf>
    <xf numFmtId="10" fontId="13" fillId="0" borderId="13" xfId="0" applyNumberFormat="1" applyFont="1" applyFill="1" applyBorder="1" applyAlignment="1">
      <alignment horizontal="center"/>
    </xf>
    <xf numFmtId="165" fontId="0" fillId="12" borderId="47" xfId="0" applyNumberFormat="1" applyFill="1" applyBorder="1" applyAlignment="1">
      <alignment horizontal="center"/>
    </xf>
    <xf numFmtId="165" fontId="13" fillId="0" borderId="0" xfId="0" applyNumberFormat="1" applyFont="1" applyFill="1" applyBorder="1" applyAlignment="1">
      <alignment horizontal="center"/>
    </xf>
    <xf numFmtId="165" fontId="0" fillId="10" borderId="0" xfId="0" applyNumberFormat="1" applyFill="1" applyBorder="1"/>
    <xf numFmtId="165" fontId="13" fillId="0" borderId="0" xfId="0" applyNumberFormat="1" applyFont="1"/>
    <xf numFmtId="165" fontId="39" fillId="0" borderId="0" xfId="0" applyNumberFormat="1" applyFont="1"/>
    <xf numFmtId="165" fontId="7" fillId="21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0" fontId="4" fillId="0" borderId="0" xfId="0" applyFont="1" applyFill="1"/>
    <xf numFmtId="10" fontId="10" fillId="0" borderId="44" xfId="0" applyNumberFormat="1" applyFont="1" applyBorder="1" applyAlignment="1">
      <alignment horizontal="center"/>
    </xf>
    <xf numFmtId="165" fontId="0" fillId="0" borderId="0" xfId="0" applyNumberFormat="1" applyFill="1"/>
    <xf numFmtId="165" fontId="0" fillId="0" borderId="0" xfId="0" applyNumberFormat="1" applyFill="1" applyAlignment="1">
      <alignment horizontal="center"/>
    </xf>
    <xf numFmtId="165" fontId="14" fillId="0" borderId="0" xfId="0" applyNumberFormat="1" applyFont="1" applyAlignment="1">
      <alignment horizontal="center"/>
    </xf>
    <xf numFmtId="165" fontId="14" fillId="0" borderId="0" xfId="0" applyNumberFormat="1" applyFont="1" applyFill="1" applyAlignment="1">
      <alignment horizontal="center"/>
    </xf>
    <xf numFmtId="15" fontId="0" fillId="0" borderId="0" xfId="0" applyNumberFormat="1"/>
    <xf numFmtId="0" fontId="40" fillId="0" borderId="7" xfId="0" applyFont="1" applyBorder="1"/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165" fontId="0" fillId="0" borderId="0" xfId="0" applyNumberFormat="1" applyBorder="1" applyAlignment="1">
      <alignment horizontal="center"/>
    </xf>
    <xf numFmtId="165" fontId="0" fillId="0" borderId="0" xfId="0" applyNumberFormat="1" applyFill="1" applyAlignment="1">
      <alignment horizontal="right"/>
    </xf>
    <xf numFmtId="0" fontId="0" fillId="0" borderId="0" xfId="0" applyAlignment="1">
      <alignment horizontal="right"/>
    </xf>
    <xf numFmtId="0" fontId="27" fillId="0" borderId="41" xfId="0" applyNumberFormat="1" applyFont="1" applyBorder="1" applyAlignment="1">
      <alignment horizontal="center"/>
    </xf>
    <xf numFmtId="165" fontId="27" fillId="0" borderId="41" xfId="0" applyNumberFormat="1" applyFont="1" applyBorder="1" applyAlignment="1">
      <alignment horizontal="center"/>
    </xf>
    <xf numFmtId="0" fontId="41" fillId="0" borderId="12" xfId="0" applyFont="1" applyBorder="1"/>
    <xf numFmtId="0" fontId="13" fillId="0" borderId="0" xfId="0" applyFont="1" applyBorder="1" applyAlignment="1"/>
    <xf numFmtId="0" fontId="0" fillId="0" borderId="0" xfId="0" applyBorder="1" applyAlignment="1">
      <alignment horizontal="center"/>
    </xf>
    <xf numFmtId="0" fontId="17" fillId="0" borderId="7" xfId="0" applyFont="1" applyBorder="1"/>
    <xf numFmtId="168" fontId="0" fillId="0" borderId="10" xfId="0" applyNumberFormat="1" applyBorder="1"/>
    <xf numFmtId="168" fontId="0" fillId="0" borderId="11" xfId="0" applyNumberFormat="1" applyBorder="1"/>
    <xf numFmtId="168" fontId="0" fillId="0" borderId="0" xfId="0" applyNumberFormat="1" applyBorder="1"/>
    <xf numFmtId="0" fontId="17" fillId="0" borderId="12" xfId="0" applyFont="1" applyBorder="1"/>
    <xf numFmtId="168" fontId="13" fillId="0" borderId="14" xfId="0" applyNumberFormat="1" applyFont="1" applyBorder="1"/>
    <xf numFmtId="0" fontId="40" fillId="0" borderId="12" xfId="0" applyFont="1" applyFill="1" applyBorder="1"/>
    <xf numFmtId="168" fontId="13" fillId="0" borderId="0" xfId="0" applyNumberFormat="1" applyFont="1" applyBorder="1"/>
    <xf numFmtId="10" fontId="10" fillId="10" borderId="4" xfId="0" applyNumberFormat="1" applyFont="1" applyFill="1" applyBorder="1"/>
    <xf numFmtId="10" fontId="10" fillId="0" borderId="0" xfId="0" applyNumberFormat="1" applyFont="1" applyFill="1" applyBorder="1"/>
    <xf numFmtId="10" fontId="10" fillId="0" borderId="13" xfId="0" applyNumberFormat="1" applyFont="1" applyFill="1" applyBorder="1"/>
    <xf numFmtId="10" fontId="10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/>
    <xf numFmtId="165" fontId="0" fillId="12" borderId="0" xfId="0" applyNumberFormat="1" applyFill="1" applyAlignment="1">
      <alignment horizontal="center"/>
    </xf>
    <xf numFmtId="165" fontId="0" fillId="0" borderId="0" xfId="0" applyNumberFormat="1" applyBorder="1"/>
    <xf numFmtId="10" fontId="9" fillId="0" borderId="33" xfId="0" applyNumberFormat="1" applyFont="1" applyBorder="1" applyAlignment="1">
      <alignment horizontal="center"/>
    </xf>
    <xf numFmtId="0" fontId="40" fillId="0" borderId="6" xfId="0" applyFont="1" applyFill="1" applyBorder="1"/>
    <xf numFmtId="15" fontId="17" fillId="0" borderId="0" xfId="0" applyNumberFormat="1" applyFont="1" applyAlignment="1">
      <alignment horizontal="left"/>
    </xf>
    <xf numFmtId="0" fontId="0" fillId="0" borderId="46" xfId="0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13" borderId="44" xfId="0" applyFill="1" applyBorder="1"/>
    <xf numFmtId="0" fontId="0" fillId="13" borderId="11" xfId="0" applyFill="1" applyBorder="1" applyAlignment="1">
      <alignment horizontal="center"/>
    </xf>
    <xf numFmtId="0" fontId="0" fillId="13" borderId="45" xfId="0" applyFill="1" applyBorder="1" applyAlignment="1">
      <alignment horizontal="center"/>
    </xf>
    <xf numFmtId="165" fontId="0" fillId="13" borderId="46" xfId="0" applyNumberFormat="1" applyFill="1" applyBorder="1" applyAlignment="1">
      <alignment horizontal="center"/>
    </xf>
    <xf numFmtId="165" fontId="0" fillId="13" borderId="16" xfId="0" applyNumberFormat="1" applyFill="1" applyBorder="1" applyAlignment="1">
      <alignment horizontal="center"/>
    </xf>
    <xf numFmtId="165" fontId="0" fillId="13" borderId="7" xfId="0" applyNumberFormat="1" applyFill="1" applyBorder="1"/>
    <xf numFmtId="10" fontId="0" fillId="13" borderId="46" xfId="0" applyNumberFormat="1" applyFill="1" applyBorder="1"/>
    <xf numFmtId="165" fontId="0" fillId="13" borderId="47" xfId="0" applyNumberFormat="1" applyFill="1" applyBorder="1" applyAlignment="1">
      <alignment horizontal="center"/>
    </xf>
    <xf numFmtId="165" fontId="0" fillId="13" borderId="44" xfId="0" applyNumberFormat="1" applyFill="1" applyBorder="1" applyAlignment="1">
      <alignment horizontal="right"/>
    </xf>
    <xf numFmtId="165" fontId="4" fillId="14" borderId="47" xfId="0" applyNumberFormat="1" applyFont="1" applyFill="1" applyBorder="1" applyAlignment="1">
      <alignment horizontal="right"/>
    </xf>
    <xf numFmtId="165" fontId="4" fillId="12" borderId="47" xfId="0" applyNumberFormat="1" applyFont="1" applyFill="1" applyBorder="1" applyAlignment="1">
      <alignment horizontal="center"/>
    </xf>
    <xf numFmtId="0" fontId="0" fillId="16" borderId="47" xfId="0" applyFill="1" applyBorder="1"/>
    <xf numFmtId="0" fontId="0" fillId="16" borderId="13" xfId="0" applyFill="1" applyBorder="1" applyAlignment="1">
      <alignment horizontal="center"/>
    </xf>
    <xf numFmtId="0" fontId="0" fillId="16" borderId="37" xfId="0" applyFill="1" applyBorder="1" applyAlignment="1">
      <alignment horizontal="center"/>
    </xf>
    <xf numFmtId="165" fontId="0" fillId="16" borderId="36" xfId="0" applyNumberFormat="1" applyFill="1" applyBorder="1" applyAlignment="1">
      <alignment horizontal="center"/>
    </xf>
    <xf numFmtId="165" fontId="0" fillId="16" borderId="49" xfId="0" applyNumberFormat="1" applyFill="1" applyBorder="1" applyAlignment="1">
      <alignment horizontal="center"/>
    </xf>
    <xf numFmtId="165" fontId="0" fillId="16" borderId="12" xfId="0" applyNumberFormat="1" applyFill="1" applyBorder="1"/>
    <xf numFmtId="10" fontId="0" fillId="16" borderId="36" xfId="0" applyNumberFormat="1" applyFill="1" applyBorder="1"/>
    <xf numFmtId="165" fontId="0" fillId="16" borderId="47" xfId="0" applyNumberFormat="1" applyFill="1" applyBorder="1" applyAlignment="1">
      <alignment horizontal="center"/>
    </xf>
    <xf numFmtId="165" fontId="0" fillId="16" borderId="47" xfId="0" applyNumberFormat="1" applyFill="1" applyBorder="1" applyAlignment="1">
      <alignment horizontal="right"/>
    </xf>
    <xf numFmtId="165" fontId="4" fillId="11" borderId="47" xfId="0" applyNumberFormat="1" applyFont="1" applyFill="1" applyBorder="1" applyAlignment="1">
      <alignment horizontal="center"/>
    </xf>
    <xf numFmtId="165" fontId="4" fillId="12" borderId="47" xfId="0" applyNumberFormat="1" applyFont="1" applyFill="1" applyBorder="1" applyAlignment="1">
      <alignment horizontal="right"/>
    </xf>
    <xf numFmtId="0" fontId="0" fillId="13" borderId="47" xfId="0" applyFill="1" applyBorder="1"/>
    <xf numFmtId="0" fontId="0" fillId="13" borderId="13" xfId="0" applyFill="1" applyBorder="1" applyAlignment="1">
      <alignment horizontal="center"/>
    </xf>
    <xf numFmtId="0" fontId="0" fillId="13" borderId="37" xfId="0" applyFill="1" applyBorder="1" applyAlignment="1">
      <alignment horizontal="center"/>
    </xf>
    <xf numFmtId="165" fontId="0" fillId="13" borderId="36" xfId="0" applyNumberFormat="1" applyFill="1" applyBorder="1" applyAlignment="1">
      <alignment horizontal="center"/>
    </xf>
    <xf numFmtId="165" fontId="0" fillId="13" borderId="49" xfId="0" applyNumberFormat="1" applyFill="1" applyBorder="1" applyAlignment="1">
      <alignment horizontal="center"/>
    </xf>
    <xf numFmtId="165" fontId="0" fillId="13" borderId="12" xfId="0" applyNumberFormat="1" applyFill="1" applyBorder="1"/>
    <xf numFmtId="10" fontId="0" fillId="13" borderId="36" xfId="0" applyNumberFormat="1" applyFill="1" applyBorder="1"/>
    <xf numFmtId="165" fontId="0" fillId="13" borderId="47" xfId="0" applyNumberFormat="1" applyFill="1" applyBorder="1" applyAlignment="1">
      <alignment horizontal="right"/>
    </xf>
    <xf numFmtId="165" fontId="4" fillId="7" borderId="47" xfId="0" applyNumberFormat="1" applyFont="1" applyFill="1" applyBorder="1" applyAlignment="1">
      <alignment horizontal="right"/>
    </xf>
    <xf numFmtId="165" fontId="4" fillId="26" borderId="47" xfId="0" applyNumberFormat="1" applyFont="1" applyFill="1" applyBorder="1" applyAlignment="1">
      <alignment horizontal="right"/>
    </xf>
    <xf numFmtId="10" fontId="0" fillId="16" borderId="49" xfId="0" applyNumberFormat="1" applyFill="1" applyBorder="1"/>
    <xf numFmtId="165" fontId="0" fillId="16" borderId="37" xfId="0" applyNumberFormat="1" applyFill="1" applyBorder="1"/>
    <xf numFmtId="10" fontId="0" fillId="13" borderId="49" xfId="0" applyNumberFormat="1" applyFill="1" applyBorder="1"/>
    <xf numFmtId="165" fontId="0" fillId="13" borderId="37" xfId="0" applyNumberFormat="1" applyFill="1" applyBorder="1"/>
    <xf numFmtId="165" fontId="0" fillId="12" borderId="13" xfId="0" applyNumberFormat="1" applyFill="1" applyBorder="1" applyAlignment="1">
      <alignment horizontal="right"/>
    </xf>
    <xf numFmtId="0" fontId="0" fillId="16" borderId="0" xfId="0" applyFill="1" applyBorder="1" applyAlignment="1">
      <alignment horizontal="center"/>
    </xf>
    <xf numFmtId="168" fontId="0" fillId="16" borderId="0" xfId="0" applyNumberFormat="1" applyFill="1" applyBorder="1" applyAlignment="1">
      <alignment horizontal="center"/>
    </xf>
    <xf numFmtId="165" fontId="0" fillId="16" borderId="0" xfId="0" applyNumberFormat="1" applyFill="1" applyBorder="1" applyAlignment="1">
      <alignment horizontal="center"/>
    </xf>
    <xf numFmtId="8" fontId="4" fillId="16" borderId="0" xfId="0" applyNumberFormat="1" applyFont="1" applyFill="1" applyBorder="1" applyAlignment="1">
      <alignment horizontal="center"/>
    </xf>
    <xf numFmtId="0" fontId="0" fillId="16" borderId="0" xfId="0" applyFill="1" applyBorder="1"/>
    <xf numFmtId="8" fontId="0" fillId="16" borderId="0" xfId="0" applyNumberFormat="1" applyFill="1" applyBorder="1" applyAlignment="1">
      <alignment horizontal="center"/>
    </xf>
    <xf numFmtId="10" fontId="0" fillId="16" borderId="0" xfId="0" applyNumberFormat="1" applyFill="1" applyBorder="1" applyAlignment="1">
      <alignment horizontal="center"/>
    </xf>
    <xf numFmtId="165" fontId="0" fillId="16" borderId="0" xfId="0" applyNumberFormat="1" applyFill="1" applyBorder="1"/>
    <xf numFmtId="10" fontId="0" fillId="16" borderId="12" xfId="0" applyNumberFormat="1" applyFill="1" applyBorder="1"/>
    <xf numFmtId="10" fontId="0" fillId="16" borderId="0" xfId="0" applyNumberFormat="1" applyFill="1" applyBorder="1"/>
    <xf numFmtId="165" fontId="4" fillId="11" borderId="0" xfId="0" applyNumberFormat="1" applyFont="1" applyFill="1" applyBorder="1" applyAlignment="1">
      <alignment horizontal="right"/>
    </xf>
    <xf numFmtId="165" fontId="4" fillId="11" borderId="0" xfId="0" applyNumberFormat="1" applyFont="1" applyFill="1" applyBorder="1" applyAlignment="1">
      <alignment horizontal="center"/>
    </xf>
    <xf numFmtId="0" fontId="0" fillId="13" borderId="20" xfId="0" applyFill="1" applyBorder="1"/>
    <xf numFmtId="0" fontId="0" fillId="13" borderId="15" xfId="0" applyFill="1" applyBorder="1" applyAlignment="1">
      <alignment horizontal="center"/>
    </xf>
    <xf numFmtId="0" fontId="0" fillId="13" borderId="14" xfId="0" applyFill="1" applyBorder="1" applyAlignment="1">
      <alignment horizontal="center"/>
    </xf>
    <xf numFmtId="168" fontId="0" fillId="13" borderId="14" xfId="0" applyNumberFormat="1" applyFill="1" applyBorder="1" applyAlignment="1">
      <alignment horizontal="center"/>
    </xf>
    <xf numFmtId="165" fontId="0" fillId="13" borderId="14" xfId="0" applyNumberFormat="1" applyFill="1" applyBorder="1" applyAlignment="1">
      <alignment horizontal="center"/>
    </xf>
    <xf numFmtId="165" fontId="0" fillId="13" borderId="6" xfId="0" applyNumberFormat="1" applyFill="1" applyBorder="1" applyAlignment="1">
      <alignment horizontal="center"/>
    </xf>
    <xf numFmtId="8" fontId="4" fillId="13" borderId="14" xfId="0" applyNumberFormat="1" applyFont="1" applyFill="1" applyBorder="1" applyAlignment="1">
      <alignment horizontal="center"/>
    </xf>
    <xf numFmtId="0" fontId="0" fillId="13" borderId="14" xfId="0" applyFill="1" applyBorder="1"/>
    <xf numFmtId="165" fontId="0" fillId="13" borderId="15" xfId="0" applyNumberFormat="1" applyFill="1" applyBorder="1" applyAlignment="1">
      <alignment horizontal="center"/>
    </xf>
    <xf numFmtId="165" fontId="0" fillId="13" borderId="6" xfId="0" applyNumberFormat="1" applyFill="1" applyBorder="1"/>
    <xf numFmtId="8" fontId="0" fillId="13" borderId="14" xfId="0" applyNumberFormat="1" applyFill="1" applyBorder="1" applyAlignment="1">
      <alignment horizontal="center"/>
    </xf>
    <xf numFmtId="10" fontId="0" fillId="13" borderId="14" xfId="0" applyNumberFormat="1" applyFill="1" applyBorder="1" applyAlignment="1">
      <alignment horizontal="center"/>
    </xf>
    <xf numFmtId="165" fontId="0" fillId="13" borderId="14" xfId="0" applyNumberFormat="1" applyFill="1" applyBorder="1"/>
    <xf numFmtId="10" fontId="0" fillId="13" borderId="6" xfId="0" applyNumberFormat="1" applyFill="1" applyBorder="1"/>
    <xf numFmtId="10" fontId="0" fillId="13" borderId="14" xfId="0" applyNumberFormat="1" applyFill="1" applyBorder="1"/>
    <xf numFmtId="165" fontId="0" fillId="13" borderId="20" xfId="0" applyNumberFormat="1" applyFill="1" applyBorder="1" applyAlignment="1">
      <alignment horizontal="center"/>
    </xf>
    <xf numFmtId="165" fontId="0" fillId="13" borderId="15" xfId="0" applyNumberFormat="1" applyFill="1" applyBorder="1" applyAlignment="1">
      <alignment horizontal="right"/>
    </xf>
    <xf numFmtId="165" fontId="0" fillId="13" borderId="20" xfId="0" applyNumberFormat="1" applyFill="1" applyBorder="1" applyAlignment="1">
      <alignment horizontal="right"/>
    </xf>
    <xf numFmtId="10" fontId="0" fillId="13" borderId="15" xfId="0" applyNumberFormat="1" applyFill="1" applyBorder="1" applyAlignment="1">
      <alignment horizontal="center"/>
    </xf>
    <xf numFmtId="165" fontId="4" fillId="11" borderId="14" xfId="0" applyNumberFormat="1" applyFont="1" applyFill="1" applyBorder="1" applyAlignment="1">
      <alignment horizontal="center"/>
    </xf>
    <xf numFmtId="165" fontId="4" fillId="19" borderId="20" xfId="0" applyNumberFormat="1" applyFont="1" applyFill="1" applyBorder="1" applyAlignment="1">
      <alignment horizontal="right"/>
    </xf>
    <xf numFmtId="165" fontId="0" fillId="7" borderId="20" xfId="0" applyNumberFormat="1" applyFill="1" applyBorder="1" applyAlignment="1">
      <alignment horizontal="right"/>
    </xf>
    <xf numFmtId="165" fontId="13" fillId="8" borderId="0" xfId="0" applyNumberFormat="1" applyFont="1" applyFill="1" applyBorder="1" applyAlignment="1">
      <alignment horizontal="center"/>
    </xf>
    <xf numFmtId="165" fontId="13" fillId="9" borderId="0" xfId="0" applyNumberFormat="1" applyFont="1" applyFill="1" applyBorder="1" applyAlignment="1">
      <alignment horizontal="center"/>
    </xf>
    <xf numFmtId="165" fontId="13" fillId="0" borderId="0" xfId="0" applyNumberFormat="1" applyFont="1" applyFill="1"/>
    <xf numFmtId="10" fontId="13" fillId="0" borderId="0" xfId="0" applyNumberFormat="1" applyFont="1" applyFill="1"/>
    <xf numFmtId="165" fontId="0" fillId="0" borderId="0" xfId="0" applyNumberFormat="1" applyFill="1" applyBorder="1" applyAlignment="1">
      <alignment horizontal="center"/>
    </xf>
    <xf numFmtId="165" fontId="12" fillId="0" borderId="0" xfId="0" applyNumberFormat="1" applyFont="1" applyFill="1" applyAlignment="1">
      <alignment horizontal="center"/>
    </xf>
    <xf numFmtId="10" fontId="10" fillId="0" borderId="41" xfId="0" applyNumberFormat="1" applyFont="1" applyBorder="1" applyAlignment="1">
      <alignment horizontal="center"/>
    </xf>
    <xf numFmtId="165" fontId="0" fillId="0" borderId="0" xfId="0" applyNumberFormat="1" applyAlignment="1">
      <alignment horizontal="right"/>
    </xf>
    <xf numFmtId="0" fontId="0" fillId="0" borderId="0" xfId="0" applyFill="1" applyAlignment="1">
      <alignment horizontal="right"/>
    </xf>
    <xf numFmtId="165" fontId="9" fillId="0" borderId="41" xfId="0" applyNumberFormat="1" applyFont="1" applyBorder="1" applyAlignment="1">
      <alignment horizontal="center"/>
    </xf>
    <xf numFmtId="165" fontId="42" fillId="0" borderId="41" xfId="0" applyNumberFormat="1" applyFont="1" applyBorder="1" applyAlignment="1">
      <alignment horizontal="center"/>
    </xf>
    <xf numFmtId="10" fontId="15" fillId="0" borderId="0" xfId="0" applyNumberFormat="1" applyFont="1" applyFill="1" applyBorder="1" applyAlignment="1">
      <alignment horizontal="center"/>
    </xf>
    <xf numFmtId="165" fontId="43" fillId="0" borderId="41" xfId="0" applyNumberFormat="1" applyFont="1" applyFill="1" applyBorder="1" applyAlignment="1">
      <alignment horizontal="center"/>
    </xf>
    <xf numFmtId="165" fontId="28" fillId="0" borderId="41" xfId="0" applyNumberFormat="1" applyFont="1" applyFill="1" applyBorder="1" applyAlignment="1">
      <alignment horizontal="center"/>
    </xf>
    <xf numFmtId="165" fontId="11" fillId="0" borderId="0" xfId="0" applyNumberFormat="1" applyFont="1" applyFill="1" applyAlignment="1">
      <alignment horizontal="center"/>
    </xf>
    <xf numFmtId="165" fontId="0" fillId="22" borderId="0" xfId="0" applyNumberFormat="1" applyFill="1" applyAlignment="1">
      <alignment horizontal="center"/>
    </xf>
    <xf numFmtId="165" fontId="28" fillId="12" borderId="0" xfId="0" applyNumberFormat="1" applyFont="1" applyFill="1" applyAlignment="1">
      <alignment horizontal="center"/>
    </xf>
    <xf numFmtId="0" fontId="10" fillId="0" borderId="6" xfId="0" applyFont="1" applyBorder="1"/>
    <xf numFmtId="0" fontId="0" fillId="0" borderId="16" xfId="0" applyBorder="1"/>
    <xf numFmtId="0" fontId="0" fillId="0" borderId="8" xfId="0" quotePrefix="1" applyBorder="1" applyAlignment="1">
      <alignment horizontal="center"/>
    </xf>
    <xf numFmtId="0" fontId="0" fillId="0" borderId="8" xfId="0" applyBorder="1"/>
    <xf numFmtId="0" fontId="0" fillId="8" borderId="8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7" fillId="11" borderId="8" xfId="0" applyFont="1" applyFill="1" applyBorder="1" applyAlignment="1">
      <alignment horizontal="center"/>
    </xf>
    <xf numFmtId="0" fontId="38" fillId="7" borderId="8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7" fillId="12" borderId="9" xfId="0" applyFont="1" applyFill="1" applyBorder="1" applyAlignment="1">
      <alignment horizontal="center"/>
    </xf>
    <xf numFmtId="0" fontId="0" fillId="0" borderId="17" xfId="0" applyBorder="1"/>
    <xf numFmtId="0" fontId="0" fillId="0" borderId="34" xfId="0" applyBorder="1"/>
    <xf numFmtId="0" fontId="0" fillId="8" borderId="34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10" borderId="34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166" fontId="0" fillId="3" borderId="34" xfId="0" applyNumberFormat="1" applyFill="1" applyBorder="1" applyAlignment="1">
      <alignment horizontal="center"/>
    </xf>
    <xf numFmtId="166" fontId="0" fillId="0" borderId="34" xfId="0" applyNumberForma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7" fillId="11" borderId="34" xfId="0" applyFont="1" applyFill="1" applyBorder="1" applyAlignment="1">
      <alignment horizontal="center"/>
    </xf>
    <xf numFmtId="0" fontId="38" fillId="7" borderId="34" xfId="0" applyFont="1" applyFill="1" applyBorder="1" applyAlignment="1">
      <alignment horizontal="center"/>
    </xf>
    <xf numFmtId="0" fontId="7" fillId="7" borderId="34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  <xf numFmtId="0" fontId="0" fillId="13" borderId="21" xfId="0" applyFill="1" applyBorder="1"/>
    <xf numFmtId="0" fontId="0" fillId="13" borderId="32" xfId="0" applyFill="1" applyBorder="1" applyAlignment="1">
      <alignment horizontal="center"/>
    </xf>
    <xf numFmtId="168" fontId="0" fillId="13" borderId="32" xfId="0" applyNumberFormat="1" applyFill="1" applyBorder="1" applyAlignment="1">
      <alignment horizontal="center"/>
    </xf>
    <xf numFmtId="165" fontId="0" fillId="13" borderId="32" xfId="0" applyNumberFormat="1" applyFill="1" applyBorder="1" applyAlignment="1">
      <alignment horizontal="center"/>
    </xf>
    <xf numFmtId="8" fontId="4" fillId="13" borderId="32" xfId="0" applyNumberFormat="1" applyFont="1" applyFill="1" applyBorder="1" applyAlignment="1">
      <alignment horizontal="center"/>
    </xf>
    <xf numFmtId="0" fontId="0" fillId="13" borderId="32" xfId="0" applyFill="1" applyBorder="1"/>
    <xf numFmtId="8" fontId="0" fillId="13" borderId="32" xfId="0" applyNumberFormat="1" applyFill="1" applyBorder="1" applyAlignment="1">
      <alignment horizontal="center"/>
    </xf>
    <xf numFmtId="10" fontId="0" fillId="13" borderId="32" xfId="0" applyNumberFormat="1" applyFill="1" applyBorder="1" applyAlignment="1">
      <alignment horizontal="center"/>
    </xf>
    <xf numFmtId="165" fontId="0" fillId="13" borderId="32" xfId="0" applyNumberFormat="1" applyFill="1" applyBorder="1"/>
    <xf numFmtId="165" fontId="4" fillId="14" borderId="24" xfId="0" applyNumberFormat="1" applyFont="1" applyFill="1" applyBorder="1" applyAlignment="1">
      <alignment horizontal="center"/>
    </xf>
    <xf numFmtId="165" fontId="4" fillId="17" borderId="32" xfId="0" applyNumberFormat="1" applyFont="1" applyFill="1" applyBorder="1" applyAlignment="1">
      <alignment horizontal="center"/>
    </xf>
    <xf numFmtId="165" fontId="0" fillId="11" borderId="32" xfId="0" applyNumberFormat="1" applyFill="1" applyBorder="1" applyAlignment="1">
      <alignment horizontal="center"/>
    </xf>
    <xf numFmtId="165" fontId="0" fillId="7" borderId="32" xfId="0" applyNumberFormat="1" applyFill="1" applyBorder="1" applyAlignment="1">
      <alignment horizontal="center"/>
    </xf>
    <xf numFmtId="165" fontId="0" fillId="12" borderId="22" xfId="0" applyNumberFormat="1" applyFill="1" applyBorder="1" applyAlignment="1">
      <alignment horizontal="center"/>
    </xf>
    <xf numFmtId="0" fontId="0" fillId="16" borderId="23" xfId="0" applyFill="1" applyBorder="1"/>
    <xf numFmtId="0" fontId="0" fillId="16" borderId="24" xfId="0" applyFill="1" applyBorder="1" applyAlignment="1">
      <alignment horizontal="center"/>
    </xf>
    <xf numFmtId="168" fontId="0" fillId="16" borderId="24" xfId="0" applyNumberFormat="1" applyFill="1" applyBorder="1" applyAlignment="1">
      <alignment horizontal="center"/>
    </xf>
    <xf numFmtId="165" fontId="0" fillId="16" borderId="24" xfId="0" applyNumberFormat="1" applyFill="1" applyBorder="1" applyAlignment="1">
      <alignment horizontal="center"/>
    </xf>
    <xf numFmtId="8" fontId="4" fillId="16" borderId="24" xfId="0" applyNumberFormat="1" applyFont="1" applyFill="1" applyBorder="1" applyAlignment="1">
      <alignment horizontal="center"/>
    </xf>
    <xf numFmtId="0" fontId="0" fillId="16" borderId="24" xfId="0" applyFill="1" applyBorder="1"/>
    <xf numFmtId="8" fontId="0" fillId="16" borderId="24" xfId="0" applyNumberFormat="1" applyFill="1" applyBorder="1" applyAlignment="1">
      <alignment horizontal="center"/>
    </xf>
    <xf numFmtId="10" fontId="0" fillId="16" borderId="24" xfId="0" applyNumberFormat="1" applyFill="1" applyBorder="1" applyAlignment="1">
      <alignment horizontal="center"/>
    </xf>
    <xf numFmtId="165" fontId="0" fillId="16" borderId="24" xfId="0" applyNumberFormat="1" applyFill="1" applyBorder="1"/>
    <xf numFmtId="165" fontId="0" fillId="25" borderId="24" xfId="0" applyNumberFormat="1" applyFill="1" applyBorder="1" applyAlignment="1">
      <alignment horizontal="center"/>
    </xf>
    <xf numFmtId="165" fontId="4" fillId="23" borderId="24" xfId="0" applyNumberFormat="1" applyFont="1" applyFill="1" applyBorder="1" applyAlignment="1">
      <alignment horizontal="center"/>
    </xf>
    <xf numFmtId="165" fontId="4" fillId="16" borderId="29" xfId="0" applyNumberFormat="1" applyFont="1" applyFill="1" applyBorder="1" applyAlignment="1">
      <alignment horizontal="center"/>
    </xf>
    <xf numFmtId="165" fontId="0" fillId="16" borderId="25" xfId="0" applyNumberFormat="1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6" borderId="0" xfId="0" applyFill="1"/>
    <xf numFmtId="165" fontId="4" fillId="24" borderId="24" xfId="0" applyNumberFormat="1" applyFont="1" applyFill="1" applyBorder="1" applyAlignment="1">
      <alignment horizontal="center"/>
    </xf>
    <xf numFmtId="0" fontId="0" fillId="13" borderId="23" xfId="0" applyFill="1" applyBorder="1"/>
    <xf numFmtId="0" fontId="0" fillId="13" borderId="24" xfId="0" applyFill="1" applyBorder="1" applyAlignment="1">
      <alignment horizontal="center"/>
    </xf>
    <xf numFmtId="168" fontId="0" fillId="13" borderId="24" xfId="0" applyNumberFormat="1" applyFill="1" applyBorder="1" applyAlignment="1">
      <alignment horizontal="center"/>
    </xf>
    <xf numFmtId="165" fontId="0" fillId="13" borderId="24" xfId="0" applyNumberFormat="1" applyFill="1" applyBorder="1" applyAlignment="1">
      <alignment horizontal="center"/>
    </xf>
    <xf numFmtId="8" fontId="4" fillId="13" borderId="24" xfId="0" applyNumberFormat="1" applyFont="1" applyFill="1" applyBorder="1" applyAlignment="1">
      <alignment horizontal="center"/>
    </xf>
    <xf numFmtId="0" fontId="0" fillId="13" borderId="24" xfId="0" applyFill="1" applyBorder="1"/>
    <xf numFmtId="8" fontId="0" fillId="13" borderId="24" xfId="0" applyNumberFormat="1" applyFill="1" applyBorder="1" applyAlignment="1">
      <alignment horizontal="center"/>
    </xf>
    <xf numFmtId="10" fontId="0" fillId="13" borderId="24" xfId="0" applyNumberFormat="1" applyFill="1" applyBorder="1" applyAlignment="1">
      <alignment horizontal="center"/>
    </xf>
    <xf numFmtId="165" fontId="0" fillId="13" borderId="24" xfId="0" applyNumberFormat="1" applyFill="1" applyBorder="1"/>
    <xf numFmtId="165" fontId="4" fillId="15" borderId="32" xfId="0" applyNumberFormat="1" applyFont="1" applyFill="1" applyBorder="1" applyAlignment="1">
      <alignment horizontal="center"/>
    </xf>
    <xf numFmtId="165" fontId="0" fillId="13" borderId="25" xfId="0" applyNumberFormat="1" applyFill="1" applyBorder="1" applyAlignment="1">
      <alignment horizontal="center"/>
    </xf>
    <xf numFmtId="0" fontId="0" fillId="13" borderId="0" xfId="0" applyFill="1"/>
    <xf numFmtId="165" fontId="4" fillId="17" borderId="24" xfId="0" applyNumberFormat="1" applyFont="1" applyFill="1" applyBorder="1" applyAlignment="1">
      <alignment horizontal="center"/>
    </xf>
    <xf numFmtId="165" fontId="4" fillId="14" borderId="39" xfId="0" applyNumberFormat="1" applyFont="1" applyFill="1" applyBorder="1" applyAlignment="1">
      <alignment horizontal="center"/>
    </xf>
    <xf numFmtId="165" fontId="4" fillId="25" borderId="24" xfId="0" applyNumberFormat="1" applyFont="1" applyFill="1" applyBorder="1" applyAlignment="1">
      <alignment horizontal="center"/>
    </xf>
    <xf numFmtId="165" fontId="4" fillId="15" borderId="24" xfId="0" applyNumberFormat="1" applyFont="1" applyFill="1" applyBorder="1" applyAlignment="1">
      <alignment horizontal="center"/>
    </xf>
    <xf numFmtId="165" fontId="4" fillId="16" borderId="24" xfId="0" applyNumberFormat="1" applyFont="1" applyFill="1" applyBorder="1" applyAlignment="1">
      <alignment horizontal="center"/>
    </xf>
    <xf numFmtId="0" fontId="0" fillId="13" borderId="31" xfId="0" applyFill="1" applyBorder="1"/>
    <xf numFmtId="0" fontId="0" fillId="13" borderId="29" xfId="0" applyFill="1" applyBorder="1" applyAlignment="1">
      <alignment horizontal="center"/>
    </xf>
    <xf numFmtId="168" fontId="0" fillId="13" borderId="29" xfId="0" applyNumberFormat="1" applyFill="1" applyBorder="1" applyAlignment="1">
      <alignment horizontal="center"/>
    </xf>
    <xf numFmtId="165" fontId="0" fillId="13" borderId="29" xfId="0" applyNumberFormat="1" applyFill="1" applyBorder="1" applyAlignment="1">
      <alignment horizontal="center"/>
    </xf>
    <xf numFmtId="8" fontId="4" fillId="13" borderId="29" xfId="0" applyNumberFormat="1" applyFont="1" applyFill="1" applyBorder="1" applyAlignment="1">
      <alignment horizontal="center"/>
    </xf>
    <xf numFmtId="0" fontId="0" fillId="13" borderId="29" xfId="0" applyFill="1" applyBorder="1"/>
    <xf numFmtId="8" fontId="0" fillId="13" borderId="29" xfId="0" applyNumberFormat="1" applyFill="1" applyBorder="1" applyAlignment="1">
      <alignment horizontal="center"/>
    </xf>
    <xf numFmtId="10" fontId="0" fillId="13" borderId="29" xfId="0" applyNumberFormat="1" applyFill="1" applyBorder="1" applyAlignment="1">
      <alignment horizontal="center"/>
    </xf>
    <xf numFmtId="165" fontId="0" fillId="13" borderId="29" xfId="0" applyNumberFormat="1" applyFill="1" applyBorder="1"/>
    <xf numFmtId="165" fontId="4" fillId="13" borderId="29" xfId="0" applyNumberFormat="1" applyFont="1" applyFill="1" applyBorder="1" applyAlignment="1">
      <alignment horizontal="center"/>
    </xf>
    <xf numFmtId="165" fontId="0" fillId="13" borderId="30" xfId="0" applyNumberFormat="1" applyFill="1" applyBorder="1" applyAlignment="1">
      <alignment horizontal="center"/>
    </xf>
    <xf numFmtId="10" fontId="13" fillId="0" borderId="0" xfId="0" applyNumberFormat="1" applyFont="1" applyFill="1" applyAlignment="1">
      <alignment horizontal="center"/>
    </xf>
    <xf numFmtId="165" fontId="44" fillId="0" borderId="0" xfId="0" applyNumberFormat="1" applyFont="1" applyFill="1" applyAlignment="1">
      <alignment horizontal="center"/>
    </xf>
    <xf numFmtId="0" fontId="13" fillId="0" borderId="0" xfId="0" applyNumberFormat="1" applyFont="1" applyFill="1" applyAlignment="1">
      <alignment horizontal="center"/>
    </xf>
    <xf numFmtId="165" fontId="7" fillId="0" borderId="0" xfId="0" applyNumberFormat="1" applyFont="1" applyFill="1" applyAlignment="1">
      <alignment horizontal="center"/>
    </xf>
    <xf numFmtId="165" fontId="27" fillId="0" borderId="41" xfId="0" applyNumberFormat="1" applyFont="1" applyFill="1" applyBorder="1" applyAlignment="1">
      <alignment horizontal="center"/>
    </xf>
    <xf numFmtId="0" fontId="0" fillId="18" borderId="0" xfId="0" applyFill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17" fillId="0" borderId="14" xfId="0" applyFont="1" applyBorder="1"/>
    <xf numFmtId="166" fontId="45" fillId="0" borderId="0" xfId="0" applyNumberFormat="1" applyFont="1" applyAlignment="1">
      <alignment horizontal="left"/>
    </xf>
    <xf numFmtId="0" fontId="45" fillId="0" borderId="0" xfId="0" applyFont="1" applyBorder="1" applyAlignment="1">
      <alignment horizontal="left"/>
    </xf>
    <xf numFmtId="170" fontId="47" fillId="0" borderId="41" xfId="0" applyNumberFormat="1" applyFont="1" applyFill="1" applyBorder="1" applyAlignment="1">
      <alignment horizontal="left" vertical="center"/>
    </xf>
    <xf numFmtId="168" fontId="21" fillId="0" borderId="1" xfId="0" applyNumberFormat="1" applyFont="1" applyFill="1" applyBorder="1" applyAlignment="1">
      <alignment horizontal="center"/>
    </xf>
    <xf numFmtId="168" fontId="21" fillId="0" borderId="2" xfId="0" applyNumberFormat="1" applyFont="1" applyBorder="1" applyAlignment="1">
      <alignment horizontal="center"/>
    </xf>
    <xf numFmtId="173" fontId="46" fillId="0" borderId="4" xfId="0" applyNumberFormat="1" applyFont="1" applyFill="1" applyBorder="1" applyAlignment="1">
      <alignment horizontal="left"/>
    </xf>
    <xf numFmtId="168" fontId="21" fillId="0" borderId="2" xfId="0" applyNumberFormat="1" applyFont="1" applyFill="1" applyBorder="1" applyAlignment="1">
      <alignment horizontal="center"/>
    </xf>
    <xf numFmtId="168" fontId="21" fillId="0" borderId="4" xfId="0" applyNumberFormat="1" applyFont="1" applyBorder="1"/>
    <xf numFmtId="168" fontId="21" fillId="0" borderId="18" xfId="0" applyNumberFormat="1" applyFont="1" applyBorder="1"/>
    <xf numFmtId="176" fontId="26" fillId="0" borderId="41" xfId="0" applyNumberFormat="1" applyFont="1" applyFill="1" applyBorder="1" applyAlignment="1">
      <alignment horizontal="left" vertical="center"/>
    </xf>
    <xf numFmtId="177" fontId="26" fillId="0" borderId="41" xfId="0" applyNumberFormat="1" applyFont="1" applyFill="1" applyBorder="1" applyAlignment="1">
      <alignment horizontal="left" vertical="center"/>
    </xf>
    <xf numFmtId="178" fontId="26" fillId="0" borderId="41" xfId="0" applyNumberFormat="1" applyFont="1" applyFill="1" applyBorder="1" applyAlignment="1">
      <alignment horizontal="left" vertical="center"/>
    </xf>
    <xf numFmtId="0" fontId="20" fillId="5" borderId="4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2">
    <cellStyle name="Euro" xfId="5"/>
    <cellStyle name="Lien hypertexte 2" xfId="4"/>
    <cellStyle name="Milliers 2" xfId="9"/>
    <cellStyle name="Monétaire 2" xfId="6"/>
    <cellStyle name="Monétaire 3" xfId="11"/>
    <cellStyle name="Normal" xfId="0" builtinId="0"/>
    <cellStyle name="Normal 2" xfId="3"/>
    <cellStyle name="Normal 3" xfId="7"/>
    <cellStyle name="Normal 4" xfId="1"/>
    <cellStyle name="Normal 5" xfId="10"/>
    <cellStyle name="Pourcentage 2" xfId="8"/>
    <cellStyle name="Pourcentage 3" xfId="2"/>
  </cellStyles>
  <dxfs count="7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13</xdr:col>
      <xdr:colOff>54742</xdr:colOff>
      <xdr:row>0</xdr:row>
      <xdr:rowOff>0</xdr:rowOff>
    </xdr:to>
    <xdr:sp macro="" textlink="">
      <xdr:nvSpPr>
        <xdr:cNvPr id="7" name="Rectangle à coins arrondis 6"/>
        <xdr:cNvSpPr/>
      </xdr:nvSpPr>
      <xdr:spPr>
        <a:xfrm>
          <a:off x="1" y="1495645"/>
          <a:ext cx="11451896" cy="5348830"/>
        </a:xfrm>
        <a:prstGeom prst="roundRect">
          <a:avLst/>
        </a:prstGeom>
        <a:noFill/>
        <a:ln w="38100"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1"/>
            <a:tileRect/>
          </a:gradFill>
        </a:ln>
        <a:effectLst>
          <a:innerShdw blurRad="114300">
            <a:schemeClr val="tx2">
              <a:lumMod val="60000"/>
              <a:lumOff val="40000"/>
            </a:schemeClr>
          </a:innerShdw>
        </a:effectLst>
        <a:scene3d>
          <a:camera prst="obliqueTopRight"/>
          <a:lightRig rig="sunrise" dir="t"/>
        </a:scene3d>
        <a:sp3d z="50800" extrusionH="133350" contourW="12700" prstMaterial="softEdge">
          <a:bevelT w="82550" h="120650" prst="relaxedInset"/>
          <a:extrusionClr>
            <a:schemeClr val="tx2">
              <a:lumMod val="60000"/>
              <a:lumOff val="40000"/>
            </a:schemeClr>
          </a:extrusionClr>
          <a:contourClr>
            <a:schemeClr val="tx2">
              <a:lumMod val="20000"/>
              <a:lumOff val="8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8</xdr:col>
      <xdr:colOff>76638</xdr:colOff>
      <xdr:row>2</xdr:row>
      <xdr:rowOff>10948</xdr:rowOff>
    </xdr:from>
    <xdr:to>
      <xdr:col>8</xdr:col>
      <xdr:colOff>397424</xdr:colOff>
      <xdr:row>5</xdr:row>
      <xdr:rowOff>179121</xdr:rowOff>
    </xdr:to>
    <xdr:sp macro="" textlink="">
      <xdr:nvSpPr>
        <xdr:cNvPr id="14" name="Flèche vers le bas 13"/>
        <xdr:cNvSpPr/>
      </xdr:nvSpPr>
      <xdr:spPr>
        <a:xfrm>
          <a:off x="6470431" y="8419224"/>
          <a:ext cx="320786" cy="759380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13</xdr:col>
      <xdr:colOff>76638</xdr:colOff>
      <xdr:row>2</xdr:row>
      <xdr:rowOff>10948</xdr:rowOff>
    </xdr:from>
    <xdr:to>
      <xdr:col>13</xdr:col>
      <xdr:colOff>397424</xdr:colOff>
      <xdr:row>5</xdr:row>
      <xdr:rowOff>179121</xdr:rowOff>
    </xdr:to>
    <xdr:sp macro="" textlink="">
      <xdr:nvSpPr>
        <xdr:cNvPr id="15" name="Flèche vers le bas 14"/>
        <xdr:cNvSpPr/>
      </xdr:nvSpPr>
      <xdr:spPr>
        <a:xfrm>
          <a:off x="6995948" y="7488620"/>
          <a:ext cx="320786" cy="759380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43793</xdr:colOff>
      <xdr:row>1</xdr:row>
      <xdr:rowOff>21896</xdr:rowOff>
    </xdr:from>
    <xdr:to>
      <xdr:col>14</xdr:col>
      <xdr:colOff>54742</xdr:colOff>
      <xdr:row>33</xdr:row>
      <xdr:rowOff>54741</xdr:rowOff>
    </xdr:to>
    <xdr:sp macro="" textlink="">
      <xdr:nvSpPr>
        <xdr:cNvPr id="18" name="Rectangle 17"/>
        <xdr:cNvSpPr/>
      </xdr:nvSpPr>
      <xdr:spPr>
        <a:xfrm>
          <a:off x="43793" y="10565086"/>
          <a:ext cx="11802242" cy="7433879"/>
        </a:xfrm>
        <a:prstGeom prst="rect">
          <a:avLst/>
        </a:prstGeom>
        <a:noFill/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4</xdr:col>
      <xdr:colOff>10947</xdr:colOff>
      <xdr:row>27</xdr:row>
      <xdr:rowOff>76833</xdr:rowOff>
    </xdr:from>
    <xdr:to>
      <xdr:col>9</xdr:col>
      <xdr:colOff>821121</xdr:colOff>
      <xdr:row>32</xdr:row>
      <xdr:rowOff>65626</xdr:rowOff>
    </xdr:to>
    <xdr:sp macro="" textlink="">
      <xdr:nvSpPr>
        <xdr:cNvPr id="22" name="Rectangle à coins arrondis 21"/>
        <xdr:cNvSpPr/>
      </xdr:nvSpPr>
      <xdr:spPr>
        <a:xfrm>
          <a:off x="3996119" y="5058299"/>
          <a:ext cx="4521640" cy="1576293"/>
        </a:xfrm>
        <a:prstGeom prst="roundRect">
          <a:avLst/>
        </a:prstGeom>
        <a:noFill/>
        <a:ln w="98425" cmpd="sng">
          <a:round/>
        </a:ln>
        <a:effectLst>
          <a:innerShdw blurRad="63500" dist="50800">
            <a:prstClr val="black">
              <a:alpha val="50000"/>
            </a:prstClr>
          </a:innerShdw>
        </a:effectLst>
        <a:scene3d>
          <a:camera prst="obliqueTopRight"/>
          <a:lightRig rig="threePt" dir="t"/>
        </a:scene3d>
        <a:sp3d>
          <a:bevelT prst="slope"/>
          <a:bevelB prst="relaxedInset"/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9</xdr:col>
      <xdr:colOff>153276</xdr:colOff>
      <xdr:row>27</xdr:row>
      <xdr:rowOff>218966</xdr:rowOff>
    </xdr:from>
    <xdr:to>
      <xdr:col>9</xdr:col>
      <xdr:colOff>328448</xdr:colOff>
      <xdr:row>28</xdr:row>
      <xdr:rowOff>295603</xdr:rowOff>
    </xdr:to>
    <xdr:sp macro="" textlink="">
      <xdr:nvSpPr>
        <xdr:cNvPr id="23" name="Flèche vers le bas 22"/>
        <xdr:cNvSpPr/>
      </xdr:nvSpPr>
      <xdr:spPr>
        <a:xfrm>
          <a:off x="7849914" y="5200432"/>
          <a:ext cx="175172" cy="328447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8</xdr:col>
      <xdr:colOff>76638</xdr:colOff>
      <xdr:row>49</xdr:row>
      <xdr:rowOff>10948</xdr:rowOff>
    </xdr:from>
    <xdr:to>
      <xdr:col>8</xdr:col>
      <xdr:colOff>397424</xdr:colOff>
      <xdr:row>52</xdr:row>
      <xdr:rowOff>179121</xdr:rowOff>
    </xdr:to>
    <xdr:sp macro="" textlink="">
      <xdr:nvSpPr>
        <xdr:cNvPr id="29" name="Flèche vers le bas 28"/>
        <xdr:cNvSpPr/>
      </xdr:nvSpPr>
      <xdr:spPr>
        <a:xfrm>
          <a:off x="6853621" y="10838793"/>
          <a:ext cx="320786" cy="759380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43793</xdr:colOff>
      <xdr:row>48</xdr:row>
      <xdr:rowOff>21896</xdr:rowOff>
    </xdr:from>
    <xdr:to>
      <xdr:col>14</xdr:col>
      <xdr:colOff>54742</xdr:colOff>
      <xdr:row>74</xdr:row>
      <xdr:rowOff>54741</xdr:rowOff>
    </xdr:to>
    <xdr:sp macro="" textlink="">
      <xdr:nvSpPr>
        <xdr:cNvPr id="31" name="Rectangle 30"/>
        <xdr:cNvSpPr/>
      </xdr:nvSpPr>
      <xdr:spPr>
        <a:xfrm>
          <a:off x="43793" y="10565086"/>
          <a:ext cx="11802242" cy="7433879"/>
        </a:xfrm>
        <a:prstGeom prst="rect">
          <a:avLst/>
        </a:prstGeom>
        <a:noFill/>
        <a:effectLst>
          <a:glow rad="1016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186120</xdr:colOff>
      <xdr:row>0</xdr:row>
      <xdr:rowOff>0</xdr:rowOff>
    </xdr:to>
    <xdr:sp macro="" textlink="">
      <xdr:nvSpPr>
        <xdr:cNvPr id="35" name="Rectangle à coins arrondis 34"/>
        <xdr:cNvSpPr/>
      </xdr:nvSpPr>
      <xdr:spPr>
        <a:xfrm>
          <a:off x="0" y="1514476"/>
          <a:ext cx="11530395" cy="6250640"/>
        </a:xfrm>
        <a:prstGeom prst="roundRect">
          <a:avLst/>
        </a:prstGeom>
        <a:noFill/>
        <a:ln w="38100">
          <a:gradFill flip="none" rotWithShape="1"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1"/>
            <a:tileRect/>
          </a:gradFill>
        </a:ln>
        <a:effectLst>
          <a:innerShdw blurRad="114300">
            <a:schemeClr val="tx2">
              <a:lumMod val="60000"/>
              <a:lumOff val="40000"/>
            </a:schemeClr>
          </a:innerShdw>
        </a:effectLst>
        <a:scene3d>
          <a:camera prst="obliqueTopRight"/>
          <a:lightRig rig="sunrise" dir="t"/>
        </a:scene3d>
        <a:sp3d z="50800" extrusionH="133350" contourW="12700" prstMaterial="softEdge">
          <a:bevelT w="82550" h="120650" prst="relaxedInset"/>
          <a:extrusionClr>
            <a:schemeClr val="tx2">
              <a:lumMod val="60000"/>
              <a:lumOff val="40000"/>
            </a:schemeClr>
          </a:extrusionClr>
          <a:contourClr>
            <a:schemeClr val="tx2">
              <a:lumMod val="20000"/>
              <a:lumOff val="8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B1:N71"/>
  <sheetViews>
    <sheetView showGridLines="0" tabSelected="1" zoomScale="87" zoomScaleNormal="87" workbookViewId="0"/>
  </sheetViews>
  <sheetFormatPr baseColWidth="10" defaultRowHeight="15"/>
  <cols>
    <col min="1" max="1" width="2.140625" customWidth="1"/>
    <col min="2" max="2" width="24.85546875" style="1" customWidth="1"/>
    <col min="3" max="3" width="18.7109375" customWidth="1"/>
    <col min="4" max="4" width="14.140625" customWidth="1"/>
    <col min="5" max="5" width="13.7109375" customWidth="1"/>
    <col min="6" max="6" width="13.5703125" bestFit="1" customWidth="1"/>
    <col min="7" max="7" width="15.5703125" customWidth="1"/>
    <col min="8" max="8" width="1.85546875" hidden="1" customWidth="1"/>
    <col min="9" max="9" width="15" customWidth="1"/>
    <col min="10" max="10" width="13.5703125" customWidth="1"/>
    <col min="11" max="11" width="14.28515625" customWidth="1"/>
    <col min="12" max="12" width="13.5703125" bestFit="1" customWidth="1"/>
    <col min="13" max="13" width="13.28515625" customWidth="1"/>
    <col min="14" max="14" width="11.140625" customWidth="1"/>
    <col min="15" max="15" width="2" customWidth="1"/>
    <col min="30" max="30" width="16.85546875" customWidth="1"/>
    <col min="31" max="31" width="16.140625" customWidth="1"/>
  </cols>
  <sheetData>
    <row r="1" spans="2:14">
      <c r="B1"/>
      <c r="C1" s="2"/>
      <c r="D1" s="2"/>
    </row>
    <row r="2" spans="2:14" ht="22.5">
      <c r="B2" s="31" t="s">
        <v>20</v>
      </c>
    </row>
    <row r="3" spans="2:14" ht="15.75" thickBot="1">
      <c r="B3" s="1">
        <f>ts!Y7</f>
        <v>41510</v>
      </c>
    </row>
    <row r="4" spans="2:14" ht="16.5" thickBot="1">
      <c r="B4" s="14"/>
      <c r="D4" s="510" t="s">
        <v>118</v>
      </c>
      <c r="E4" s="511"/>
      <c r="F4" s="511"/>
      <c r="G4" s="512"/>
      <c r="H4" s="47"/>
      <c r="I4" s="13"/>
      <c r="J4" s="510" t="s">
        <v>35</v>
      </c>
      <c r="K4" s="511"/>
      <c r="L4" s="511"/>
      <c r="M4" s="512"/>
      <c r="N4" s="13"/>
    </row>
    <row r="5" spans="2:14">
      <c r="B5" s="12"/>
      <c r="D5" s="3" t="s">
        <v>18</v>
      </c>
      <c r="E5" s="4" t="s">
        <v>18</v>
      </c>
      <c r="F5" s="5" t="s">
        <v>9</v>
      </c>
      <c r="G5" s="6" t="s">
        <v>10</v>
      </c>
      <c r="H5" s="47"/>
      <c r="I5" s="13"/>
      <c r="J5" s="3" t="s">
        <v>7</v>
      </c>
      <c r="K5" s="4" t="s">
        <v>8</v>
      </c>
      <c r="L5" s="5" t="s">
        <v>9</v>
      </c>
      <c r="M5" s="6" t="s">
        <v>10</v>
      </c>
      <c r="N5" s="13"/>
    </row>
    <row r="6" spans="2:14" ht="25.5" thickBot="1">
      <c r="B6" s="51" t="s">
        <v>21</v>
      </c>
      <c r="C6" s="32" t="s">
        <v>23</v>
      </c>
      <c r="D6" s="15">
        <f>+B3-365</f>
        <v>41145</v>
      </c>
      <c r="E6" s="16">
        <f>+B3</f>
        <v>41510</v>
      </c>
      <c r="F6" s="9" t="s">
        <v>13</v>
      </c>
      <c r="G6" s="10" t="s">
        <v>13</v>
      </c>
      <c r="H6" s="47"/>
      <c r="I6" s="13"/>
      <c r="J6" s="7" t="s">
        <v>11</v>
      </c>
      <c r="K6" s="8" t="s">
        <v>12</v>
      </c>
      <c r="L6" s="9" t="s">
        <v>13</v>
      </c>
      <c r="M6" s="10" t="s">
        <v>13</v>
      </c>
      <c r="N6" s="13"/>
    </row>
    <row r="7" spans="2:14" ht="20.100000000000001" customHeight="1" thickBot="1">
      <c r="B7" s="45" t="s">
        <v>0</v>
      </c>
      <c r="C7" s="52" t="s">
        <v>4</v>
      </c>
      <c r="D7" s="65">
        <f>ts!X11+ts!X47</f>
        <v>289480.19</v>
      </c>
      <c r="E7" s="65">
        <f>ts!Y11+ts!Y47</f>
        <v>314972.69</v>
      </c>
      <c r="F7" s="58">
        <f>+E7-D7</f>
        <v>25492.5</v>
      </c>
      <c r="G7" s="44">
        <f t="shared" ref="G7:G9" si="0">+F7/D7</f>
        <v>8.8063020823635638E-2</v>
      </c>
      <c r="H7" s="48"/>
      <c r="I7" s="509">
        <f>+G7</f>
        <v>8.8063020823635638E-2</v>
      </c>
      <c r="J7" s="65">
        <f>ts!U11+ts!V47</f>
        <v>654417.40999999992</v>
      </c>
      <c r="K7" s="63">
        <f>ts!AC11</f>
        <v>677133.87926339521</v>
      </c>
      <c r="L7" s="66">
        <f>+K7-J7</f>
        <v>22716.469263395295</v>
      </c>
      <c r="M7" s="64">
        <f t="shared" ref="M7" si="1">+L7/J7</f>
        <v>3.471250751625831E-2</v>
      </c>
      <c r="N7" s="77">
        <f>-M7</f>
        <v>-3.471250751625831E-2</v>
      </c>
    </row>
    <row r="8" spans="2:14" ht="9.9499999999999993" customHeight="1" thickBot="1">
      <c r="B8" s="46"/>
      <c r="C8" s="33"/>
      <c r="D8" s="38"/>
      <c r="E8" s="38"/>
      <c r="F8" s="39"/>
      <c r="G8" s="40"/>
      <c r="H8" s="41"/>
      <c r="I8" s="67"/>
      <c r="J8" s="38"/>
      <c r="K8" s="38"/>
      <c r="L8" s="39"/>
      <c r="M8" s="40"/>
      <c r="N8" s="67"/>
    </row>
    <row r="9" spans="2:14" ht="20.100000000000001" customHeight="1" thickBot="1">
      <c r="B9" s="45" t="s">
        <v>22</v>
      </c>
      <c r="C9" s="34" t="s">
        <v>24</v>
      </c>
      <c r="D9" s="53">
        <f>ts!X9+ts!X23+ts!X45</f>
        <v>300596.97000000003</v>
      </c>
      <c r="E9" s="53">
        <f>ts!Y9+ts!Y23+ts!Y45</f>
        <v>341924.17799999996</v>
      </c>
      <c r="F9" s="58">
        <f>+E9-D9</f>
        <v>41327.207999999926</v>
      </c>
      <c r="G9" s="44">
        <f t="shared" si="0"/>
        <v>0.1374837810241398</v>
      </c>
      <c r="H9" s="49"/>
      <c r="I9" s="507">
        <f>G9</f>
        <v>0.1374837810241398</v>
      </c>
      <c r="J9" s="53">
        <f>ts!U9+ts!U23+ts!V45</f>
        <v>573792.67000000004</v>
      </c>
      <c r="K9" s="54">
        <f>ts!AC9+ts!AE45+ts!AE23</f>
        <v>585577.2309795703</v>
      </c>
      <c r="L9" s="55">
        <f>+K9-J9</f>
        <v>11784.560979570262</v>
      </c>
      <c r="M9" s="44">
        <f t="shared" ref="M9:M10" si="2">+L9/J9</f>
        <v>2.0538012414083751E-2</v>
      </c>
      <c r="N9" s="77">
        <f t="shared" ref="N9:N20" si="3">-M9</f>
        <v>-2.0538012414083751E-2</v>
      </c>
    </row>
    <row r="10" spans="2:14" ht="20.100000000000001" customHeight="1" thickBot="1">
      <c r="B10" s="46"/>
      <c r="C10" s="34" t="s">
        <v>25</v>
      </c>
      <c r="D10" s="56">
        <f>ts!X20+ts!X21+ts!X22+ts!X58</f>
        <v>161432.59000000003</v>
      </c>
      <c r="E10" s="56">
        <f>ts!Y20+ts!Y21+ts!Y22+ts!Y58</f>
        <v>202405.99</v>
      </c>
      <c r="F10" s="58">
        <f>+E10-D10</f>
        <v>40973.399999999965</v>
      </c>
      <c r="G10" s="59">
        <f t="shared" ref="G10:G11" si="4">+F10/D10</f>
        <v>0.25381120379720079</v>
      </c>
      <c r="H10" s="60"/>
      <c r="I10" s="507">
        <f t="shared" ref="I10:I22" si="5">-G10</f>
        <v>-0.25381120379720079</v>
      </c>
      <c r="J10" s="56">
        <f>ts!U20+ts!U21+ts!U22+ts!V58</f>
        <v>277518.79000000004</v>
      </c>
      <c r="K10" s="57">
        <f>ts!AC20+ts!AC21+ts!AC22</f>
        <v>346777.71756611834</v>
      </c>
      <c r="L10" s="58">
        <f>+K10-J10</f>
        <v>69258.927566118306</v>
      </c>
      <c r="M10" s="59">
        <f t="shared" si="2"/>
        <v>0.24956482249767051</v>
      </c>
      <c r="N10" s="77">
        <f t="shared" si="3"/>
        <v>-0.24956482249767051</v>
      </c>
    </row>
    <row r="11" spans="2:14" ht="20.100000000000001" customHeight="1" thickBot="1">
      <c r="B11" s="46"/>
      <c r="C11" s="52" t="s">
        <v>4</v>
      </c>
      <c r="D11" s="62">
        <f>+D10+D9</f>
        <v>462029.56000000006</v>
      </c>
      <c r="E11" s="62">
        <f t="shared" ref="E11:F11" si="6">+E10+E9</f>
        <v>544330.16799999995</v>
      </c>
      <c r="F11" s="62">
        <f t="shared" si="6"/>
        <v>82300.607999999891</v>
      </c>
      <c r="G11" s="43">
        <f t="shared" si="4"/>
        <v>0.17812844701970992</v>
      </c>
      <c r="H11" s="61"/>
      <c r="I11" s="507">
        <f t="shared" si="5"/>
        <v>-0.17812844701970992</v>
      </c>
      <c r="J11" s="62">
        <f>+J10+J9</f>
        <v>851311.46000000008</v>
      </c>
      <c r="K11" s="62">
        <f t="shared" ref="K11:L11" si="7">+K10+K9</f>
        <v>932354.94854568865</v>
      </c>
      <c r="L11" s="62">
        <f t="shared" si="7"/>
        <v>81043.488545688568</v>
      </c>
      <c r="M11" s="64">
        <f>+L11/J11</f>
        <v>9.519839959124779E-2</v>
      </c>
      <c r="N11" s="77">
        <f t="shared" si="3"/>
        <v>-9.519839959124779E-2</v>
      </c>
    </row>
    <row r="12" spans="2:14" ht="9.9499999999999993" customHeight="1" thickBot="1">
      <c r="B12" s="46"/>
      <c r="C12" s="52"/>
      <c r="D12" s="38"/>
      <c r="E12" s="38"/>
      <c r="F12" s="39"/>
      <c r="G12" s="40"/>
      <c r="H12" s="41"/>
      <c r="I12" s="67"/>
      <c r="J12" s="38"/>
      <c r="K12" s="38"/>
      <c r="L12" s="39"/>
      <c r="M12" s="40"/>
      <c r="N12" s="67"/>
    </row>
    <row r="13" spans="2:14" ht="20.100000000000001" customHeight="1" thickBot="1">
      <c r="B13" s="45" t="s">
        <v>26</v>
      </c>
      <c r="C13" s="52" t="s">
        <v>4</v>
      </c>
      <c r="D13" s="75">
        <f>ts!X10+ts!X13+ts!X14+ts!X18+ts!X19+ts!X24+ts!X57+ts!X56</f>
        <v>387125.50000000006</v>
      </c>
      <c r="E13" s="75">
        <f>ts!Y10+ts!Y13+ts!Y14+ts!Y18+ts!Y19+ts!Y24+ts!Y57+ts!Y56</f>
        <v>68310.903999999995</v>
      </c>
      <c r="F13" s="76">
        <f t="shared" ref="F13" si="8">+E13-D13</f>
        <v>-318814.59600000008</v>
      </c>
      <c r="G13" s="43">
        <f t="shared" ref="G13" si="9">+F13/D13</f>
        <v>-0.82354325922730487</v>
      </c>
      <c r="H13" s="49"/>
      <c r="I13" s="507">
        <f t="shared" si="5"/>
        <v>0.82354325922730487</v>
      </c>
      <c r="J13" s="53">
        <f>ts!U10+ts!U13+ts!U14+ts!U18+ts!U19+ts!U24+ts!V57+ts!V56</f>
        <v>457091.39</v>
      </c>
      <c r="K13" s="54">
        <f>ts!AC10+ts!AE13+ts!AE14+ts!AE18+ts!AE19+ts!AE24</f>
        <v>145184.54718775081</v>
      </c>
      <c r="L13" s="55">
        <f t="shared" ref="L13" si="10">+K13-J13</f>
        <v>-311906.8428122492</v>
      </c>
      <c r="M13" s="44">
        <f t="shared" ref="M13" si="11">+L13/J13</f>
        <v>-0.68237304319437997</v>
      </c>
      <c r="N13" s="77">
        <f t="shared" si="3"/>
        <v>0.68237304319437997</v>
      </c>
    </row>
    <row r="14" spans="2:14" ht="9.9499999999999993" customHeight="1" thickBot="1"/>
    <row r="15" spans="2:14" ht="20.100000000000001" customHeight="1" thickBot="1">
      <c r="B15" s="45" t="s">
        <v>116</v>
      </c>
      <c r="C15" s="68" t="s">
        <v>30</v>
      </c>
      <c r="D15" s="53">
        <f>ts!X17</f>
        <v>111514.83</v>
      </c>
      <c r="E15" s="53">
        <f>ts!Y17</f>
        <v>185355.32100000003</v>
      </c>
      <c r="F15" s="55">
        <f>+E15-D15</f>
        <v>73840.491000000024</v>
      </c>
      <c r="G15" s="44">
        <f t="shared" ref="G15:G19" si="12">+F15/D15</f>
        <v>0.66215848600585248</v>
      </c>
      <c r="H15" s="49"/>
      <c r="I15" s="507">
        <f t="shared" si="5"/>
        <v>-0.66215848600585248</v>
      </c>
      <c r="J15" s="53">
        <f>ts!U17</f>
        <v>199777.69</v>
      </c>
      <c r="K15" s="54">
        <f>ts!AC17</f>
        <v>250000</v>
      </c>
      <c r="L15" s="55">
        <f>+K15-J15</f>
        <v>50222.31</v>
      </c>
      <c r="M15" s="44">
        <f t="shared" ref="M15:M17" si="13">+L15/J15</f>
        <v>0.25139098364787377</v>
      </c>
      <c r="N15" s="77">
        <f t="shared" si="3"/>
        <v>-0.25139098364787377</v>
      </c>
    </row>
    <row r="16" spans="2:14" ht="20.100000000000001" customHeight="1" thickBot="1">
      <c r="C16" s="68" t="s">
        <v>31</v>
      </c>
      <c r="D16" s="35">
        <f>ts!X48+ts!X49</f>
        <v>85027.34</v>
      </c>
      <c r="E16" s="35">
        <f>ts!Y48+ts!Y49</f>
        <v>53112.28</v>
      </c>
      <c r="F16" s="37">
        <f>+E16-D16</f>
        <v>-31915.059999999998</v>
      </c>
      <c r="G16" s="11">
        <f t="shared" si="12"/>
        <v>-0.37535056371280107</v>
      </c>
      <c r="H16" s="50"/>
      <c r="I16" s="507">
        <f t="shared" si="5"/>
        <v>0.37535056371280107</v>
      </c>
      <c r="J16" s="35">
        <f>ts!V48+ts!V49</f>
        <v>133513.26</v>
      </c>
      <c r="K16" s="36">
        <f>ts!AC48+ts!AC49</f>
        <v>86041.323901805546</v>
      </c>
      <c r="L16" s="37">
        <f>+K16-J16</f>
        <v>-47471.936098194463</v>
      </c>
      <c r="M16" s="11">
        <f t="shared" si="13"/>
        <v>-0.35555971068487474</v>
      </c>
      <c r="N16" s="77">
        <f t="shared" si="3"/>
        <v>0.35555971068487474</v>
      </c>
    </row>
    <row r="17" spans="2:14" ht="20.100000000000001" customHeight="1" thickBot="1">
      <c r="C17" s="68" t="s">
        <v>32</v>
      </c>
      <c r="D17" s="35">
        <f>ts!X15+ts!X44+ts!X50+ts!X51+ts!X8</f>
        <v>13370.38</v>
      </c>
      <c r="E17" s="35">
        <f>ts!Y15+ts!Y44+ts!Y50+ts!Y51+ts!Y8</f>
        <v>14744.994000000001</v>
      </c>
      <c r="F17" s="37">
        <f>+E17-D17</f>
        <v>1374.6140000000014</v>
      </c>
      <c r="G17" s="11">
        <f t="shared" si="12"/>
        <v>0.10281039132769611</v>
      </c>
      <c r="H17" s="50"/>
      <c r="I17" s="507">
        <f t="shared" si="5"/>
        <v>-0.10281039132769611</v>
      </c>
      <c r="J17" s="35">
        <f>ts!U15+ts!V44+ts!V50+ts!V51+ts!U8+ts!V52</f>
        <v>17318.43</v>
      </c>
      <c r="K17" s="36">
        <f>ts!AE8+ts!AE15+ts!AC51+ts!AE52+ts!AE44</f>
        <v>21704.398876661478</v>
      </c>
      <c r="L17" s="37">
        <f>+K17-J17</f>
        <v>4385.9688766614781</v>
      </c>
      <c r="M17" s="11">
        <f t="shared" si="13"/>
        <v>0.25325441605627519</v>
      </c>
      <c r="N17" s="77">
        <f t="shared" si="3"/>
        <v>-0.25325441605627519</v>
      </c>
    </row>
    <row r="18" spans="2:14" ht="20.100000000000001" customHeight="1" thickBot="1">
      <c r="C18" s="68" t="s">
        <v>34</v>
      </c>
      <c r="D18" s="35">
        <f>ts!X55</f>
        <v>0</v>
      </c>
      <c r="E18" s="35">
        <f>ts!Y55</f>
        <v>32.049999999999997</v>
      </c>
      <c r="F18" s="37">
        <f>+E18-D18</f>
        <v>32.049999999999997</v>
      </c>
      <c r="G18" s="11">
        <v>1</v>
      </c>
      <c r="H18" s="50"/>
      <c r="I18" s="507">
        <f t="shared" si="5"/>
        <v>-1</v>
      </c>
      <c r="J18" s="35">
        <f>ts!V55</f>
        <v>0</v>
      </c>
      <c r="K18" s="36">
        <f>ts!AE55</f>
        <v>49.568855932203384</v>
      </c>
      <c r="L18" s="37">
        <f>+K18-J18</f>
        <v>49.568855932203384</v>
      </c>
      <c r="M18" s="11">
        <v>1</v>
      </c>
      <c r="N18" s="77">
        <f t="shared" si="3"/>
        <v>-1</v>
      </c>
    </row>
    <row r="19" spans="2:14" ht="20.100000000000001" customHeight="1" thickBot="1">
      <c r="C19" s="68" t="s">
        <v>33</v>
      </c>
      <c r="D19" s="56">
        <f>ts!X16</f>
        <v>85599.84</v>
      </c>
      <c r="E19" s="56">
        <f>ts!Y16</f>
        <v>128589.73999999999</v>
      </c>
      <c r="F19" s="37">
        <f>+E19-D19</f>
        <v>42989.899999999994</v>
      </c>
      <c r="G19" s="11">
        <f t="shared" si="12"/>
        <v>0.5022193966717694</v>
      </c>
      <c r="H19" s="60"/>
      <c r="I19" s="507">
        <f t="shared" si="5"/>
        <v>-0.5022193966717694</v>
      </c>
      <c r="J19" s="56">
        <f>ts!U16</f>
        <v>127168.21</v>
      </c>
      <c r="K19" s="57">
        <f>ts!AC16</f>
        <v>238009.15170202887</v>
      </c>
      <c r="L19" s="37">
        <f>+K19-J19</f>
        <v>110840.94170202887</v>
      </c>
      <c r="M19" s="11">
        <f t="shared" ref="M19" si="14">+L19/J19</f>
        <v>0.87160888481507182</v>
      </c>
      <c r="N19" s="77">
        <f t="shared" si="3"/>
        <v>-0.87160888481507182</v>
      </c>
    </row>
    <row r="20" spans="2:14" ht="20.100000000000001" customHeight="1" thickBot="1">
      <c r="D20" s="62">
        <f>SUM(D15:D19)</f>
        <v>295512.39</v>
      </c>
      <c r="E20" s="63">
        <f>SUM(E15:E19)</f>
        <v>381834.38500000001</v>
      </c>
      <c r="F20" s="63">
        <f>SUM(F14:F19)</f>
        <v>86321.995000000024</v>
      </c>
      <c r="G20" s="43">
        <f>+F20/D20</f>
        <v>0.29210956264811783</v>
      </c>
      <c r="H20" s="61"/>
      <c r="I20" s="507">
        <f t="shared" si="5"/>
        <v>-0.29210956264811783</v>
      </c>
      <c r="J20" s="62">
        <f>SUM(J15:J19)</f>
        <v>477777.59</v>
      </c>
      <c r="K20" s="42">
        <f>SUM(K15:K19)</f>
        <v>595804.44333642814</v>
      </c>
      <c r="L20" s="42">
        <f>SUM(L14:L19)</f>
        <v>118026.85333642809</v>
      </c>
      <c r="M20" s="43">
        <f>+L20/J20</f>
        <v>0.24703304593341868</v>
      </c>
      <c r="N20" s="77">
        <f t="shared" si="3"/>
        <v>-0.24703304593341868</v>
      </c>
    </row>
    <row r="21" spans="2:14" ht="16.5" customHeight="1" thickBot="1">
      <c r="K21" s="30"/>
    </row>
    <row r="22" spans="2:14" ht="20.100000000000001" customHeight="1" thickBot="1">
      <c r="B22" s="498" t="s">
        <v>5</v>
      </c>
      <c r="C22" s="52" t="s">
        <v>4</v>
      </c>
      <c r="D22" s="505">
        <f>+D7+D11+D13+D20</f>
        <v>1434147.6400000001</v>
      </c>
      <c r="E22" s="506">
        <f>+E7+E11+E13+E20</f>
        <v>1309448.1469999999</v>
      </c>
      <c r="F22" s="506">
        <f>+F7+F11+F13+F20</f>
        <v>-124699.49300000016</v>
      </c>
      <c r="G22" s="70">
        <f>+F22/D22</f>
        <v>-8.6950248023278942E-2</v>
      </c>
      <c r="H22" s="61"/>
      <c r="I22" s="508">
        <f t="shared" si="5"/>
        <v>8.6950248023278942E-2</v>
      </c>
      <c r="J22" s="506">
        <f>+J7+J11+J13+J20</f>
        <v>2440597.85</v>
      </c>
      <c r="K22" s="506">
        <f>+K7+K11+K13+K20</f>
        <v>2350477.8183332626</v>
      </c>
      <c r="L22" s="506">
        <f>+L7+L11+L13+L20</f>
        <v>-90120.031666737254</v>
      </c>
      <c r="M22" s="70">
        <f>+L22/J22</f>
        <v>-3.6925391730037477E-2</v>
      </c>
      <c r="N22" s="77">
        <f>-M22</f>
        <v>3.6925391730037477E-2</v>
      </c>
    </row>
    <row r="23" spans="2:14" ht="15.75" thickBot="1">
      <c r="K23" s="30"/>
      <c r="L23" s="30"/>
    </row>
    <row r="24" spans="2:14" ht="20.100000000000001" customHeight="1" thickBot="1">
      <c r="B24" s="499" t="s">
        <v>119</v>
      </c>
      <c r="C24" s="52" t="s">
        <v>4</v>
      </c>
      <c r="D24" s="501">
        <f>'ts stationnements'!W16</f>
        <v>15614.03</v>
      </c>
      <c r="E24" s="501">
        <f>'ts stationnements'!X16</f>
        <v>18605.23</v>
      </c>
      <c r="F24" s="502">
        <f t="shared" ref="F24" si="15">+E24-D24</f>
        <v>2991.1999999999989</v>
      </c>
      <c r="G24" s="70">
        <f t="shared" ref="G24" si="16">+F24/D24</f>
        <v>0.19157129837716455</v>
      </c>
      <c r="H24" s="503"/>
      <c r="I24" s="500">
        <f>-G24</f>
        <v>-0.19157129837716455</v>
      </c>
      <c r="J24" s="501">
        <f>'ts stationnements'!U16</f>
        <v>25062.989999999998</v>
      </c>
      <c r="K24" s="504">
        <f>'ts stationnements'!AA19</f>
        <v>29990.133444008425</v>
      </c>
      <c r="L24" s="502">
        <f t="shared" ref="L24" si="17">+K24-J24</f>
        <v>4927.1434440084267</v>
      </c>
      <c r="M24" s="70">
        <f t="shared" ref="M24" si="18">+L24/J24</f>
        <v>0.1965904085669119</v>
      </c>
      <c r="N24" s="77">
        <f>-M24</f>
        <v>-0.1965904085669119</v>
      </c>
    </row>
    <row r="28" spans="2:14" ht="24" thickBot="1">
      <c r="E28" s="17"/>
      <c r="F28" s="17"/>
      <c r="G28" s="17"/>
      <c r="H28" s="17"/>
      <c r="I28" s="18"/>
      <c r="J28" s="19"/>
    </row>
    <row r="29" spans="2:14" ht="24.75" thickBot="1">
      <c r="E29" s="20">
        <v>2013</v>
      </c>
      <c r="F29" s="21" t="s">
        <v>15</v>
      </c>
      <c r="G29" s="22"/>
      <c r="H29" s="22"/>
      <c r="I29" s="23" t="s">
        <v>16</v>
      </c>
      <c r="J29" s="19"/>
    </row>
    <row r="30" spans="2:14" ht="21.75" customHeight="1">
      <c r="E30" s="17"/>
      <c r="F30" s="24" t="s">
        <v>5</v>
      </c>
      <c r="G30" s="25"/>
      <c r="H30" s="25"/>
      <c r="I30" s="78">
        <f>ts!W62-Synthèse!K22</f>
        <v>51792.181666737422</v>
      </c>
      <c r="J30" s="80">
        <f>I30</f>
        <v>51792.181666737422</v>
      </c>
    </row>
    <row r="31" spans="2:14" ht="21.75" customHeight="1">
      <c r="E31" s="17"/>
      <c r="F31" s="24" t="s">
        <v>19</v>
      </c>
      <c r="G31" s="25"/>
      <c r="H31" s="25"/>
      <c r="I31" s="79">
        <f>'ts stationnements'!V16-Synthèse!K24</f>
        <v>69.866555991575297</v>
      </c>
      <c r="J31" s="80">
        <f>I31</f>
        <v>69.866555991575297</v>
      </c>
    </row>
    <row r="32" spans="2:14" ht="18.75">
      <c r="E32" s="26"/>
      <c r="F32" s="17"/>
      <c r="G32" s="17"/>
      <c r="H32" s="17"/>
      <c r="I32" s="27">
        <f>+I31+I30</f>
        <v>51862.048222728998</v>
      </c>
      <c r="J32" s="17"/>
    </row>
    <row r="49" spans="2:9" ht="22.5">
      <c r="B49" s="31" t="s">
        <v>115</v>
      </c>
    </row>
    <row r="50" spans="2:9" ht="15.75" thickBot="1">
      <c r="B50" s="1">
        <f>B3</f>
        <v>41510</v>
      </c>
    </row>
    <row r="51" spans="2:9" ht="16.5" thickBot="1">
      <c r="B51" s="14"/>
      <c r="D51" s="510" t="str">
        <f>D4</f>
        <v xml:space="preserve">RÉEL  </v>
      </c>
      <c r="E51" s="511"/>
      <c r="F51" s="511"/>
      <c r="G51" s="512"/>
      <c r="H51" s="47"/>
      <c r="I51" s="13"/>
    </row>
    <row r="52" spans="2:9">
      <c r="B52" s="12"/>
      <c r="D52" s="3" t="s">
        <v>18</v>
      </c>
      <c r="E52" s="4" t="s">
        <v>18</v>
      </c>
      <c r="F52" s="5" t="s">
        <v>9</v>
      </c>
      <c r="G52" s="6" t="s">
        <v>10</v>
      </c>
      <c r="H52" s="47"/>
      <c r="I52" s="13"/>
    </row>
    <row r="53" spans="2:9" ht="25.5" thickBot="1">
      <c r="B53" s="51" t="s">
        <v>21</v>
      </c>
      <c r="C53" s="32" t="s">
        <v>23</v>
      </c>
      <c r="D53" s="15">
        <f>+B50-365</f>
        <v>41145</v>
      </c>
      <c r="E53" s="16">
        <f>+B50</f>
        <v>41510</v>
      </c>
      <c r="F53" s="9" t="s">
        <v>13</v>
      </c>
      <c r="G53" s="10" t="s">
        <v>13</v>
      </c>
      <c r="H53" s="47"/>
      <c r="I53" s="13"/>
    </row>
    <row r="54" spans="2:9" ht="17.25" customHeight="1" thickBot="1">
      <c r="B54" s="45" t="s">
        <v>0</v>
      </c>
      <c r="C54" s="52" t="s">
        <v>4</v>
      </c>
      <c r="D54" s="82" t="e">
        <f>GETPIVOTDATA("Somme de $ TRANS 2012",#REF!,"Division","Gendarmerie")</f>
        <v>#REF!</v>
      </c>
      <c r="E54" s="82" t="e">
        <f>GETPIVOTDATA("Somme de $ TRANS 2013",#REF!,"Division","Gendarmerie")</f>
        <v>#REF!</v>
      </c>
      <c r="F54" s="83" t="e">
        <f>+E54-D54</f>
        <v>#REF!</v>
      </c>
      <c r="G54" s="84" t="e">
        <f t="shared" ref="G54" si="19">+F54/D54</f>
        <v>#REF!</v>
      </c>
      <c r="H54" s="85"/>
      <c r="I54" s="77" t="e">
        <f t="shared" ref="I54:I71" si="20">-G54</f>
        <v>#REF!</v>
      </c>
    </row>
    <row r="55" spans="2:9" ht="17.25" customHeight="1" thickBot="1">
      <c r="B55" s="46"/>
      <c r="C55" s="33"/>
      <c r="D55" s="86"/>
      <c r="E55" s="86"/>
      <c r="F55" s="87"/>
      <c r="G55" s="88"/>
      <c r="H55" s="89"/>
      <c r="I55" s="88"/>
    </row>
    <row r="56" spans="2:9" ht="17.25" customHeight="1" thickBot="1">
      <c r="B56" s="45" t="s">
        <v>22</v>
      </c>
      <c r="C56" s="34" t="s">
        <v>24</v>
      </c>
      <c r="D56" s="90" t="e">
        <f>GETPIVOTDATA("Somme de $ TRANS 2012",#REF!,"Division","B.E.C.")+GETPIVOTDATA("Somme de $ TRANS 2012",#REF!,"Division","Liaison")</f>
        <v>#REF!</v>
      </c>
      <c r="E56" s="90" t="e">
        <f>GETPIVOTDATA("Somme de $ TRANS 2013",#REF!,"Division","B.E.C.")+GETPIVOTDATA("Somme de $ TRANS 2013",#REF!,"Division","Liaison")</f>
        <v>#REF!</v>
      </c>
      <c r="F56" s="91" t="e">
        <f>+E56-D56</f>
        <v>#REF!</v>
      </c>
      <c r="G56" s="92" t="e">
        <f t="shared" ref="G56:G58" si="21">+F56/D56</f>
        <v>#REF!</v>
      </c>
      <c r="H56" s="93"/>
      <c r="I56" s="77" t="e">
        <f t="shared" si="20"/>
        <v>#REF!</v>
      </c>
    </row>
    <row r="57" spans="2:9" ht="17.25" customHeight="1" thickBot="1">
      <c r="B57" s="46"/>
      <c r="C57" s="34" t="s">
        <v>25</v>
      </c>
      <c r="D57" s="94" t="e">
        <f>GETPIVOTDATA("Somme de $ TRANS 2012",#REF!,"Division","cour")</f>
        <v>#REF!</v>
      </c>
      <c r="E57" s="94" t="e">
        <f>GETPIVOTDATA("Somme de $ TRANS 2013",#REF!,"Division","cour")</f>
        <v>#REF!</v>
      </c>
      <c r="F57" s="95" t="e">
        <f>+E57-D57</f>
        <v>#REF!</v>
      </c>
      <c r="G57" s="96" t="e">
        <f t="shared" si="21"/>
        <v>#REF!</v>
      </c>
      <c r="H57" s="97"/>
      <c r="I57" s="77" t="e">
        <f t="shared" si="20"/>
        <v>#REF!</v>
      </c>
    </row>
    <row r="58" spans="2:9" ht="17.25" customHeight="1" thickBot="1">
      <c r="B58" s="46"/>
      <c r="C58" s="52" t="s">
        <v>4</v>
      </c>
      <c r="D58" s="98" t="e">
        <f>+D57+D56</f>
        <v>#REF!</v>
      </c>
      <c r="E58" s="98" t="e">
        <f t="shared" ref="E58" si="22">+E57+E56</f>
        <v>#REF!</v>
      </c>
      <c r="F58" s="98" t="e">
        <f t="shared" ref="F58" si="23">+F57+F56</f>
        <v>#REF!</v>
      </c>
      <c r="G58" s="99" t="e">
        <f t="shared" si="21"/>
        <v>#REF!</v>
      </c>
      <c r="H58" s="100"/>
      <c r="I58" s="77" t="e">
        <f t="shared" si="20"/>
        <v>#REF!</v>
      </c>
    </row>
    <row r="59" spans="2:9" ht="17.25" customHeight="1" thickBot="1">
      <c r="B59" s="46"/>
      <c r="C59" s="52"/>
      <c r="D59" s="86"/>
      <c r="E59" s="86"/>
      <c r="F59" s="87"/>
      <c r="G59" s="88"/>
      <c r="H59" s="89"/>
      <c r="I59" s="67"/>
    </row>
    <row r="60" spans="2:9" ht="17.25" customHeight="1" thickBot="1">
      <c r="B60" s="45" t="s">
        <v>26</v>
      </c>
      <c r="C60" s="52" t="s">
        <v>4</v>
      </c>
      <c r="D60" s="101" t="e">
        <f>GETPIVOTDATA("Somme de $ TRANS 2012",#REF!,"Division","Circulation")+GETPIVOTDATA("Somme de $ TRANS 2012",#REF!,"Division","Communautaires")</f>
        <v>#REF!</v>
      </c>
      <c r="E60" s="101" t="e">
        <f>GETPIVOTDATA("Somme de $ TRANS 2013",#REF!,"Division","Circulation")+GETPIVOTDATA("Somme de $ TRANS 2013",#REF!,"Division","Communautaires")</f>
        <v>#REF!</v>
      </c>
      <c r="F60" s="102" t="e">
        <f t="shared" ref="F60" si="24">+E60-D60</f>
        <v>#REF!</v>
      </c>
      <c r="G60" s="99" t="e">
        <f t="shared" ref="G60" si="25">+F60/D60</f>
        <v>#REF!</v>
      </c>
      <c r="H60" s="93"/>
      <c r="I60" s="77" t="e">
        <f t="shared" si="20"/>
        <v>#REF!</v>
      </c>
    </row>
    <row r="61" spans="2:9" ht="17.25" customHeight="1" thickBot="1">
      <c r="D61" s="103"/>
      <c r="E61" s="103"/>
      <c r="F61" s="103"/>
      <c r="G61" s="103"/>
      <c r="H61" s="103"/>
      <c r="I61" s="103"/>
    </row>
    <row r="62" spans="2:9" ht="17.25" customHeight="1" thickBot="1">
      <c r="B62" s="45" t="s">
        <v>116</v>
      </c>
      <c r="C62" s="68" t="s">
        <v>30</v>
      </c>
      <c r="D62" s="90" t="e">
        <f>GETPIVOTDATA("Somme de $ TRANS 2012",#REF!,"Division","Direction-rh")</f>
        <v>#REF!</v>
      </c>
      <c r="E62" s="90" t="e">
        <f>GETPIVOTDATA("Somme de $ TRANS 2013",#REF!,"Division","Direction-rh")</f>
        <v>#REF!</v>
      </c>
      <c r="F62" s="91" t="e">
        <f>+E62-D62</f>
        <v>#REF!</v>
      </c>
      <c r="G62" s="92" t="e">
        <f t="shared" ref="G62:G64" si="26">+F62/D62</f>
        <v>#REF!</v>
      </c>
      <c r="H62" s="93"/>
      <c r="I62" s="77" t="e">
        <f t="shared" si="20"/>
        <v>#REF!</v>
      </c>
    </row>
    <row r="63" spans="2:9" ht="17.25" customHeight="1" thickBot="1">
      <c r="C63" s="68" t="s">
        <v>31</v>
      </c>
      <c r="D63" s="104" t="e">
        <f>GETPIVOTDATA("Somme de $ TRANS 2012",#REF!,"Division","9-1-1")</f>
        <v>#REF!</v>
      </c>
      <c r="E63" s="104" t="e">
        <f>GETPIVOTDATA("Somme de $ TRANS 2013",#REF!,"Division","9-1-1")</f>
        <v>#REF!</v>
      </c>
      <c r="F63" s="105" t="e">
        <f>+E63-D63</f>
        <v>#REF!</v>
      </c>
      <c r="G63" s="81" t="e">
        <f t="shared" si="26"/>
        <v>#REF!</v>
      </c>
      <c r="H63" s="106"/>
      <c r="I63" s="77" t="e">
        <f t="shared" si="20"/>
        <v>#REF!</v>
      </c>
    </row>
    <row r="64" spans="2:9" ht="17.25" customHeight="1" thickBot="1">
      <c r="C64" s="68" t="s">
        <v>32</v>
      </c>
      <c r="D64" s="104" t="e">
        <f>GETPIVOTDATA("Somme de $ TRANS 2012",#REF!,"Division","Soutien")+GETPIVOTDATA("Somme de $ TRANS 2012",#REF!,"Division","Direction")</f>
        <v>#REF!</v>
      </c>
      <c r="E64" s="104" t="e">
        <f>GETPIVOTDATA("Somme de $ TRANS 2013",#REF!,"Division","Soutien")+GETPIVOTDATA("Somme de $ TRANS 2013",#REF!,"Division","Direction")</f>
        <v>#REF!</v>
      </c>
      <c r="F64" s="105" t="e">
        <f>+E64-D64</f>
        <v>#REF!</v>
      </c>
      <c r="G64" s="81" t="e">
        <f t="shared" si="26"/>
        <v>#REF!</v>
      </c>
      <c r="H64" s="106"/>
      <c r="I64" s="77" t="e">
        <f t="shared" si="20"/>
        <v>#REF!</v>
      </c>
    </row>
    <row r="65" spans="2:9" ht="17.25" customHeight="1" thickBot="1">
      <c r="C65" s="68" t="s">
        <v>117</v>
      </c>
      <c r="D65" s="104" t="e">
        <f>GETPIVOTDATA("Somme de $ TRANS 2012",#REF!,"Division","Direction-déonto")</f>
        <v>#REF!</v>
      </c>
      <c r="E65" s="104" t="e">
        <f>GETPIVOTDATA("Somme de $ TRANS 2013",#REF!,"Division","Direction-déonto")</f>
        <v>#REF!</v>
      </c>
      <c r="F65" s="105" t="e">
        <f>+E65-D65</f>
        <v>#REF!</v>
      </c>
      <c r="G65" s="81" t="e">
        <f t="shared" ref="G65" si="27">+F65/D65</f>
        <v>#REF!</v>
      </c>
      <c r="H65" s="106"/>
      <c r="I65" s="77" t="e">
        <f t="shared" si="20"/>
        <v>#REF!</v>
      </c>
    </row>
    <row r="66" spans="2:9" ht="17.25" customHeight="1" thickBot="1">
      <c r="C66" s="68" t="s">
        <v>34</v>
      </c>
      <c r="D66" s="104">
        <f>ts!X97</f>
        <v>0</v>
      </c>
      <c r="E66" s="104">
        <f>ts!Y97</f>
        <v>0</v>
      </c>
      <c r="F66" s="105">
        <f>+E66-D66</f>
        <v>0</v>
      </c>
      <c r="G66" s="81">
        <v>0</v>
      </c>
      <c r="H66" s="106"/>
      <c r="I66" s="77">
        <f t="shared" si="20"/>
        <v>0</v>
      </c>
    </row>
    <row r="67" spans="2:9" ht="17.25" customHeight="1" thickBot="1">
      <c r="D67" s="98" t="e">
        <f>SUM(D62:D66)</f>
        <v>#REF!</v>
      </c>
      <c r="E67" s="107" t="e">
        <f>SUM(E62:E66)</f>
        <v>#REF!</v>
      </c>
      <c r="F67" s="107" t="e">
        <f>SUM(F61:F66)</f>
        <v>#REF!</v>
      </c>
      <c r="G67" s="99" t="e">
        <f>+F67/D67</f>
        <v>#REF!</v>
      </c>
      <c r="H67" s="100"/>
      <c r="I67" s="77" t="e">
        <f t="shared" si="20"/>
        <v>#REF!</v>
      </c>
    </row>
    <row r="68" spans="2:9" ht="17.25" customHeight="1" thickBot="1">
      <c r="D68" s="103"/>
      <c r="E68" s="103"/>
      <c r="F68" s="103"/>
      <c r="G68" s="103"/>
      <c r="H68" s="103"/>
      <c r="I68" s="103"/>
    </row>
    <row r="69" spans="2:9" ht="17.25" customHeight="1" thickBot="1">
      <c r="B69" s="45" t="s">
        <v>3</v>
      </c>
      <c r="C69" s="52" t="s">
        <v>4</v>
      </c>
      <c r="D69" s="101" t="e">
        <f>GETPIVOTDATA("Somme de $ TRANS 2012",#REF!,"Division","Stationnements")+GETPIVOTDATA("Somme de $ TRANS 2012",#REF!,"Division","Contrôle animalier")</f>
        <v>#REF!</v>
      </c>
      <c r="E69" s="101" t="e">
        <f>GETPIVOTDATA("Somme de $ TRANS 2013",#REF!,"Division","Stationnements")+GETPIVOTDATA("Somme de $ TRANS 2013",#REF!,"Division","Contrôle animalier")</f>
        <v>#REF!</v>
      </c>
      <c r="F69" s="102" t="e">
        <f t="shared" ref="F69" si="28">+E69-D69</f>
        <v>#REF!</v>
      </c>
      <c r="G69" s="99" t="e">
        <f t="shared" ref="G69" si="29">+F69/D69</f>
        <v>#REF!</v>
      </c>
      <c r="H69" s="93"/>
      <c r="I69" s="77" t="e">
        <f t="shared" si="20"/>
        <v>#REF!</v>
      </c>
    </row>
    <row r="70" spans="2:9" ht="17.25" customHeight="1" thickBot="1">
      <c r="D70" s="103"/>
      <c r="E70" s="103"/>
      <c r="F70" s="103"/>
      <c r="G70" s="103"/>
      <c r="H70" s="103"/>
      <c r="I70" s="103"/>
    </row>
    <row r="71" spans="2:9" ht="17.25" customHeight="1" thickBot="1">
      <c r="B71" s="69" t="s">
        <v>1</v>
      </c>
      <c r="D71" s="108" t="e">
        <f>+D54+D58+D60+D67+D69</f>
        <v>#REF!</v>
      </c>
      <c r="E71" s="108" t="e">
        <f t="shared" ref="E71:F71" si="30">+E54+E58+E60+E67+E69</f>
        <v>#REF!</v>
      </c>
      <c r="F71" s="108" t="e">
        <f t="shared" si="30"/>
        <v>#REF!</v>
      </c>
      <c r="G71" s="109" t="e">
        <f>+F71/D71</f>
        <v>#REF!</v>
      </c>
      <c r="H71" s="100"/>
      <c r="I71" s="77" t="e">
        <f t="shared" si="20"/>
        <v>#REF!</v>
      </c>
    </row>
  </sheetData>
  <mergeCells count="3">
    <mergeCell ref="D51:G51"/>
    <mergeCell ref="D4:G4"/>
    <mergeCell ref="J4:M4"/>
  </mergeCells>
  <conditionalFormatting sqref="M24:N24 M22:N22 M7:N13 M15:N20 J30:J31 G24:I24 G54:I60 G62:I67 G69:I69 G71:I71 G15:I20 G22:I22 G7:I13">
    <cfRule type="cellIs" dxfId="6" priority="105" operator="lessThan">
      <formula>0</formula>
    </cfRule>
  </conditionalFormatting>
  <conditionalFormatting sqref="I24">
    <cfRule type="cellIs" dxfId="5" priority="48" operator="lessThan">
      <formula>0</formula>
    </cfRule>
  </conditionalFormatting>
  <conditionalFormatting sqref="I24">
    <cfRule type="cellIs" dxfId="4" priority="47" operator="lessThan">
      <formula>0</formula>
    </cfRule>
  </conditionalFormatting>
  <conditionalFormatting sqref="I24">
    <cfRule type="cellIs" dxfId="3" priority="46" operator="lessThan">
      <formula>0</formula>
    </cfRule>
  </conditionalFormatting>
  <conditionalFormatting sqref="N24">
    <cfRule type="cellIs" dxfId="2" priority="24" operator="lessThan">
      <formula>0</formula>
    </cfRule>
  </conditionalFormatting>
  <conditionalFormatting sqref="N24">
    <cfRule type="cellIs" dxfId="1" priority="23" operator="lessThan">
      <formula>0</formula>
    </cfRule>
  </conditionalFormatting>
  <conditionalFormatting sqref="N24">
    <cfRule type="cellIs" dxfId="0" priority="22" operator="lessThan">
      <formula>0</formula>
    </cfRule>
  </conditionalFormatting>
  <printOptions horizontalCentered="1"/>
  <pageMargins left="0" right="0" top="0" bottom="0" header="0" footer="0"/>
  <pageSetup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Q69"/>
  <sheetViews>
    <sheetView showGridLines="0" showZeros="0" topLeftCell="A45" zoomScaleNormal="100" zoomScaleSheetLayoutView="100" workbookViewId="0">
      <pane xSplit="5" topLeftCell="U1" activePane="topRight" state="frozen"/>
      <selection pane="topRight" activeCell="W62" sqref="W62"/>
    </sheetView>
  </sheetViews>
  <sheetFormatPr baseColWidth="10" defaultRowHeight="15"/>
  <cols>
    <col min="1" max="1" width="26.7109375" customWidth="1"/>
    <col min="2" max="2" width="7.28515625" customWidth="1"/>
    <col min="3" max="3" width="9.5703125" customWidth="1"/>
    <col min="4" max="4" width="14.140625" hidden="1" customWidth="1"/>
    <col min="5" max="5" width="14.7109375" hidden="1" customWidth="1"/>
    <col min="6" max="6" width="14.7109375" customWidth="1"/>
    <col min="7" max="7" width="13.85546875" hidden="1" customWidth="1"/>
    <col min="8" max="8" width="2" hidden="1" customWidth="1"/>
    <col min="9" max="9" width="16" hidden="1" customWidth="1"/>
    <col min="10" max="10" width="13.85546875" hidden="1" customWidth="1"/>
    <col min="11" max="11" width="14.7109375" customWidth="1"/>
    <col min="12" max="12" width="16" hidden="1" customWidth="1"/>
    <col min="13" max="13" width="11.5703125" hidden="1" customWidth="1"/>
    <col min="14" max="14" width="12.28515625" hidden="1" customWidth="1"/>
    <col min="15" max="15" width="14.140625" hidden="1" customWidth="1"/>
    <col min="16" max="16" width="18.5703125" bestFit="1" customWidth="1"/>
    <col min="17" max="18" width="18.42578125" hidden="1" customWidth="1"/>
    <col min="19" max="22" width="18.42578125" customWidth="1"/>
    <col min="23" max="23" width="14.7109375" customWidth="1"/>
    <col min="24" max="24" width="18.7109375" style="2" customWidth="1"/>
    <col min="25" max="25" width="19" style="74" customWidth="1"/>
    <col min="26" max="26" width="9.28515625" style="113" customWidth="1"/>
    <col min="27" max="27" width="21.7109375" customWidth="1"/>
    <col min="28" max="28" width="13.140625" customWidth="1"/>
    <col min="29" max="29" width="19" style="2" customWidth="1"/>
    <col min="30" max="30" width="19" style="2" hidden="1" customWidth="1"/>
    <col min="31" max="31" width="19" style="2" bestFit="1" customWidth="1"/>
    <col min="32" max="32" width="17" style="2" bestFit="1" customWidth="1"/>
    <col min="33" max="33" width="15.140625" style="2" bestFit="1" customWidth="1"/>
    <col min="34" max="34" width="15" style="2" bestFit="1" customWidth="1"/>
    <col min="257" max="257" width="26.7109375" customWidth="1"/>
    <col min="258" max="258" width="7.28515625" customWidth="1"/>
    <col min="259" max="259" width="9.5703125" customWidth="1"/>
    <col min="260" max="261" width="0" hidden="1" customWidth="1"/>
    <col min="262" max="262" width="14.7109375" customWidth="1"/>
    <col min="263" max="266" width="0" hidden="1" customWidth="1"/>
    <col min="267" max="267" width="14.7109375" customWidth="1"/>
    <col min="268" max="271" width="0" hidden="1" customWidth="1"/>
    <col min="272" max="272" width="18.5703125" bestFit="1" customWidth="1"/>
    <col min="273" max="274" width="0" hidden="1" customWidth="1"/>
    <col min="275" max="278" width="18.42578125" customWidth="1"/>
    <col min="279" max="279" width="14.7109375" customWidth="1"/>
    <col min="280" max="280" width="18.7109375" customWidth="1"/>
    <col min="281" max="281" width="19" customWidth="1"/>
    <col min="282" max="282" width="9.28515625" customWidth="1"/>
    <col min="283" max="283" width="21.7109375" customWidth="1"/>
    <col min="284" max="284" width="13.140625" customWidth="1"/>
    <col min="285" max="285" width="19" customWidth="1"/>
    <col min="286" max="286" width="0" hidden="1" customWidth="1"/>
    <col min="287" max="287" width="19" bestFit="1" customWidth="1"/>
    <col min="288" max="288" width="17" bestFit="1" customWidth="1"/>
    <col min="289" max="289" width="15.140625" bestFit="1" customWidth="1"/>
    <col min="290" max="290" width="15" bestFit="1" customWidth="1"/>
    <col min="513" max="513" width="26.7109375" customWidth="1"/>
    <col min="514" max="514" width="7.28515625" customWidth="1"/>
    <col min="515" max="515" width="9.5703125" customWidth="1"/>
    <col min="516" max="517" width="0" hidden="1" customWidth="1"/>
    <col min="518" max="518" width="14.7109375" customWidth="1"/>
    <col min="519" max="522" width="0" hidden="1" customWidth="1"/>
    <col min="523" max="523" width="14.7109375" customWidth="1"/>
    <col min="524" max="527" width="0" hidden="1" customWidth="1"/>
    <col min="528" max="528" width="18.5703125" bestFit="1" customWidth="1"/>
    <col min="529" max="530" width="0" hidden="1" customWidth="1"/>
    <col min="531" max="534" width="18.42578125" customWidth="1"/>
    <col min="535" max="535" width="14.7109375" customWidth="1"/>
    <col min="536" max="536" width="18.7109375" customWidth="1"/>
    <col min="537" max="537" width="19" customWidth="1"/>
    <col min="538" max="538" width="9.28515625" customWidth="1"/>
    <col min="539" max="539" width="21.7109375" customWidth="1"/>
    <col min="540" max="540" width="13.140625" customWidth="1"/>
    <col min="541" max="541" width="19" customWidth="1"/>
    <col min="542" max="542" width="0" hidden="1" customWidth="1"/>
    <col min="543" max="543" width="19" bestFit="1" customWidth="1"/>
    <col min="544" max="544" width="17" bestFit="1" customWidth="1"/>
    <col min="545" max="545" width="15.140625" bestFit="1" customWidth="1"/>
    <col min="546" max="546" width="15" bestFit="1" customWidth="1"/>
    <col min="769" max="769" width="26.7109375" customWidth="1"/>
    <col min="770" max="770" width="7.28515625" customWidth="1"/>
    <col min="771" max="771" width="9.5703125" customWidth="1"/>
    <col min="772" max="773" width="0" hidden="1" customWidth="1"/>
    <col min="774" max="774" width="14.7109375" customWidth="1"/>
    <col min="775" max="778" width="0" hidden="1" customWidth="1"/>
    <col min="779" max="779" width="14.7109375" customWidth="1"/>
    <col min="780" max="783" width="0" hidden="1" customWidth="1"/>
    <col min="784" max="784" width="18.5703125" bestFit="1" customWidth="1"/>
    <col min="785" max="786" width="0" hidden="1" customWidth="1"/>
    <col min="787" max="790" width="18.42578125" customWidth="1"/>
    <col min="791" max="791" width="14.7109375" customWidth="1"/>
    <col min="792" max="792" width="18.7109375" customWidth="1"/>
    <col min="793" max="793" width="19" customWidth="1"/>
    <col min="794" max="794" width="9.28515625" customWidth="1"/>
    <col min="795" max="795" width="21.7109375" customWidth="1"/>
    <col min="796" max="796" width="13.140625" customWidth="1"/>
    <col min="797" max="797" width="19" customWidth="1"/>
    <col min="798" max="798" width="0" hidden="1" customWidth="1"/>
    <col min="799" max="799" width="19" bestFit="1" customWidth="1"/>
    <col min="800" max="800" width="17" bestFit="1" customWidth="1"/>
    <col min="801" max="801" width="15.140625" bestFit="1" customWidth="1"/>
    <col min="802" max="802" width="15" bestFit="1" customWidth="1"/>
    <col min="1025" max="1025" width="26.7109375" customWidth="1"/>
    <col min="1026" max="1026" width="7.28515625" customWidth="1"/>
    <col min="1027" max="1027" width="9.5703125" customWidth="1"/>
    <col min="1028" max="1029" width="0" hidden="1" customWidth="1"/>
    <col min="1030" max="1030" width="14.7109375" customWidth="1"/>
    <col min="1031" max="1034" width="0" hidden="1" customWidth="1"/>
    <col min="1035" max="1035" width="14.7109375" customWidth="1"/>
    <col min="1036" max="1039" width="0" hidden="1" customWidth="1"/>
    <col min="1040" max="1040" width="18.5703125" bestFit="1" customWidth="1"/>
    <col min="1041" max="1042" width="0" hidden="1" customWidth="1"/>
    <col min="1043" max="1046" width="18.42578125" customWidth="1"/>
    <col min="1047" max="1047" width="14.7109375" customWidth="1"/>
    <col min="1048" max="1048" width="18.7109375" customWidth="1"/>
    <col min="1049" max="1049" width="19" customWidth="1"/>
    <col min="1050" max="1050" width="9.28515625" customWidth="1"/>
    <col min="1051" max="1051" width="21.7109375" customWidth="1"/>
    <col min="1052" max="1052" width="13.140625" customWidth="1"/>
    <col min="1053" max="1053" width="19" customWidth="1"/>
    <col min="1054" max="1054" width="0" hidden="1" customWidth="1"/>
    <col min="1055" max="1055" width="19" bestFit="1" customWidth="1"/>
    <col min="1056" max="1056" width="17" bestFit="1" customWidth="1"/>
    <col min="1057" max="1057" width="15.140625" bestFit="1" customWidth="1"/>
    <col min="1058" max="1058" width="15" bestFit="1" customWidth="1"/>
    <col min="1281" max="1281" width="26.7109375" customWidth="1"/>
    <col min="1282" max="1282" width="7.28515625" customWidth="1"/>
    <col min="1283" max="1283" width="9.5703125" customWidth="1"/>
    <col min="1284" max="1285" width="0" hidden="1" customWidth="1"/>
    <col min="1286" max="1286" width="14.7109375" customWidth="1"/>
    <col min="1287" max="1290" width="0" hidden="1" customWidth="1"/>
    <col min="1291" max="1291" width="14.7109375" customWidth="1"/>
    <col min="1292" max="1295" width="0" hidden="1" customWidth="1"/>
    <col min="1296" max="1296" width="18.5703125" bestFit="1" customWidth="1"/>
    <col min="1297" max="1298" width="0" hidden="1" customWidth="1"/>
    <col min="1299" max="1302" width="18.42578125" customWidth="1"/>
    <col min="1303" max="1303" width="14.7109375" customWidth="1"/>
    <col min="1304" max="1304" width="18.7109375" customWidth="1"/>
    <col min="1305" max="1305" width="19" customWidth="1"/>
    <col min="1306" max="1306" width="9.28515625" customWidth="1"/>
    <col min="1307" max="1307" width="21.7109375" customWidth="1"/>
    <col min="1308" max="1308" width="13.140625" customWidth="1"/>
    <col min="1309" max="1309" width="19" customWidth="1"/>
    <col min="1310" max="1310" width="0" hidden="1" customWidth="1"/>
    <col min="1311" max="1311" width="19" bestFit="1" customWidth="1"/>
    <col min="1312" max="1312" width="17" bestFit="1" customWidth="1"/>
    <col min="1313" max="1313" width="15.140625" bestFit="1" customWidth="1"/>
    <col min="1314" max="1314" width="15" bestFit="1" customWidth="1"/>
    <col min="1537" max="1537" width="26.7109375" customWidth="1"/>
    <col min="1538" max="1538" width="7.28515625" customWidth="1"/>
    <col min="1539" max="1539" width="9.5703125" customWidth="1"/>
    <col min="1540" max="1541" width="0" hidden="1" customWidth="1"/>
    <col min="1542" max="1542" width="14.7109375" customWidth="1"/>
    <col min="1543" max="1546" width="0" hidden="1" customWidth="1"/>
    <col min="1547" max="1547" width="14.7109375" customWidth="1"/>
    <col min="1548" max="1551" width="0" hidden="1" customWidth="1"/>
    <col min="1552" max="1552" width="18.5703125" bestFit="1" customWidth="1"/>
    <col min="1553" max="1554" width="0" hidden="1" customWidth="1"/>
    <col min="1555" max="1558" width="18.42578125" customWidth="1"/>
    <col min="1559" max="1559" width="14.7109375" customWidth="1"/>
    <col min="1560" max="1560" width="18.7109375" customWidth="1"/>
    <col min="1561" max="1561" width="19" customWidth="1"/>
    <col min="1562" max="1562" width="9.28515625" customWidth="1"/>
    <col min="1563" max="1563" width="21.7109375" customWidth="1"/>
    <col min="1564" max="1564" width="13.140625" customWidth="1"/>
    <col min="1565" max="1565" width="19" customWidth="1"/>
    <col min="1566" max="1566" width="0" hidden="1" customWidth="1"/>
    <col min="1567" max="1567" width="19" bestFit="1" customWidth="1"/>
    <col min="1568" max="1568" width="17" bestFit="1" customWidth="1"/>
    <col min="1569" max="1569" width="15.140625" bestFit="1" customWidth="1"/>
    <col min="1570" max="1570" width="15" bestFit="1" customWidth="1"/>
    <col min="1793" max="1793" width="26.7109375" customWidth="1"/>
    <col min="1794" max="1794" width="7.28515625" customWidth="1"/>
    <col min="1795" max="1795" width="9.5703125" customWidth="1"/>
    <col min="1796" max="1797" width="0" hidden="1" customWidth="1"/>
    <col min="1798" max="1798" width="14.7109375" customWidth="1"/>
    <col min="1799" max="1802" width="0" hidden="1" customWidth="1"/>
    <col min="1803" max="1803" width="14.7109375" customWidth="1"/>
    <col min="1804" max="1807" width="0" hidden="1" customWidth="1"/>
    <col min="1808" max="1808" width="18.5703125" bestFit="1" customWidth="1"/>
    <col min="1809" max="1810" width="0" hidden="1" customWidth="1"/>
    <col min="1811" max="1814" width="18.42578125" customWidth="1"/>
    <col min="1815" max="1815" width="14.7109375" customWidth="1"/>
    <col min="1816" max="1816" width="18.7109375" customWidth="1"/>
    <col min="1817" max="1817" width="19" customWidth="1"/>
    <col min="1818" max="1818" width="9.28515625" customWidth="1"/>
    <col min="1819" max="1819" width="21.7109375" customWidth="1"/>
    <col min="1820" max="1820" width="13.140625" customWidth="1"/>
    <col min="1821" max="1821" width="19" customWidth="1"/>
    <col min="1822" max="1822" width="0" hidden="1" customWidth="1"/>
    <col min="1823" max="1823" width="19" bestFit="1" customWidth="1"/>
    <col min="1824" max="1824" width="17" bestFit="1" customWidth="1"/>
    <col min="1825" max="1825" width="15.140625" bestFit="1" customWidth="1"/>
    <col min="1826" max="1826" width="15" bestFit="1" customWidth="1"/>
    <col min="2049" max="2049" width="26.7109375" customWidth="1"/>
    <col min="2050" max="2050" width="7.28515625" customWidth="1"/>
    <col min="2051" max="2051" width="9.5703125" customWidth="1"/>
    <col min="2052" max="2053" width="0" hidden="1" customWidth="1"/>
    <col min="2054" max="2054" width="14.7109375" customWidth="1"/>
    <col min="2055" max="2058" width="0" hidden="1" customWidth="1"/>
    <col min="2059" max="2059" width="14.7109375" customWidth="1"/>
    <col min="2060" max="2063" width="0" hidden="1" customWidth="1"/>
    <col min="2064" max="2064" width="18.5703125" bestFit="1" customWidth="1"/>
    <col min="2065" max="2066" width="0" hidden="1" customWidth="1"/>
    <col min="2067" max="2070" width="18.42578125" customWidth="1"/>
    <col min="2071" max="2071" width="14.7109375" customWidth="1"/>
    <col min="2072" max="2072" width="18.7109375" customWidth="1"/>
    <col min="2073" max="2073" width="19" customWidth="1"/>
    <col min="2074" max="2074" width="9.28515625" customWidth="1"/>
    <col min="2075" max="2075" width="21.7109375" customWidth="1"/>
    <col min="2076" max="2076" width="13.140625" customWidth="1"/>
    <col min="2077" max="2077" width="19" customWidth="1"/>
    <col min="2078" max="2078" width="0" hidden="1" customWidth="1"/>
    <col min="2079" max="2079" width="19" bestFit="1" customWidth="1"/>
    <col min="2080" max="2080" width="17" bestFit="1" customWidth="1"/>
    <col min="2081" max="2081" width="15.140625" bestFit="1" customWidth="1"/>
    <col min="2082" max="2082" width="15" bestFit="1" customWidth="1"/>
    <col min="2305" max="2305" width="26.7109375" customWidth="1"/>
    <col min="2306" max="2306" width="7.28515625" customWidth="1"/>
    <col min="2307" max="2307" width="9.5703125" customWidth="1"/>
    <col min="2308" max="2309" width="0" hidden="1" customWidth="1"/>
    <col min="2310" max="2310" width="14.7109375" customWidth="1"/>
    <col min="2311" max="2314" width="0" hidden="1" customWidth="1"/>
    <col min="2315" max="2315" width="14.7109375" customWidth="1"/>
    <col min="2316" max="2319" width="0" hidden="1" customWidth="1"/>
    <col min="2320" max="2320" width="18.5703125" bestFit="1" customWidth="1"/>
    <col min="2321" max="2322" width="0" hidden="1" customWidth="1"/>
    <col min="2323" max="2326" width="18.42578125" customWidth="1"/>
    <col min="2327" max="2327" width="14.7109375" customWidth="1"/>
    <col min="2328" max="2328" width="18.7109375" customWidth="1"/>
    <col min="2329" max="2329" width="19" customWidth="1"/>
    <col min="2330" max="2330" width="9.28515625" customWidth="1"/>
    <col min="2331" max="2331" width="21.7109375" customWidth="1"/>
    <col min="2332" max="2332" width="13.140625" customWidth="1"/>
    <col min="2333" max="2333" width="19" customWidth="1"/>
    <col min="2334" max="2334" width="0" hidden="1" customWidth="1"/>
    <col min="2335" max="2335" width="19" bestFit="1" customWidth="1"/>
    <col min="2336" max="2336" width="17" bestFit="1" customWidth="1"/>
    <col min="2337" max="2337" width="15.140625" bestFit="1" customWidth="1"/>
    <col min="2338" max="2338" width="15" bestFit="1" customWidth="1"/>
    <col min="2561" max="2561" width="26.7109375" customWidth="1"/>
    <col min="2562" max="2562" width="7.28515625" customWidth="1"/>
    <col min="2563" max="2563" width="9.5703125" customWidth="1"/>
    <col min="2564" max="2565" width="0" hidden="1" customWidth="1"/>
    <col min="2566" max="2566" width="14.7109375" customWidth="1"/>
    <col min="2567" max="2570" width="0" hidden="1" customWidth="1"/>
    <col min="2571" max="2571" width="14.7109375" customWidth="1"/>
    <col min="2572" max="2575" width="0" hidden="1" customWidth="1"/>
    <col min="2576" max="2576" width="18.5703125" bestFit="1" customWidth="1"/>
    <col min="2577" max="2578" width="0" hidden="1" customWidth="1"/>
    <col min="2579" max="2582" width="18.42578125" customWidth="1"/>
    <col min="2583" max="2583" width="14.7109375" customWidth="1"/>
    <col min="2584" max="2584" width="18.7109375" customWidth="1"/>
    <col min="2585" max="2585" width="19" customWidth="1"/>
    <col min="2586" max="2586" width="9.28515625" customWidth="1"/>
    <col min="2587" max="2587" width="21.7109375" customWidth="1"/>
    <col min="2588" max="2588" width="13.140625" customWidth="1"/>
    <col min="2589" max="2589" width="19" customWidth="1"/>
    <col min="2590" max="2590" width="0" hidden="1" customWidth="1"/>
    <col min="2591" max="2591" width="19" bestFit="1" customWidth="1"/>
    <col min="2592" max="2592" width="17" bestFit="1" customWidth="1"/>
    <col min="2593" max="2593" width="15.140625" bestFit="1" customWidth="1"/>
    <col min="2594" max="2594" width="15" bestFit="1" customWidth="1"/>
    <col min="2817" max="2817" width="26.7109375" customWidth="1"/>
    <col min="2818" max="2818" width="7.28515625" customWidth="1"/>
    <col min="2819" max="2819" width="9.5703125" customWidth="1"/>
    <col min="2820" max="2821" width="0" hidden="1" customWidth="1"/>
    <col min="2822" max="2822" width="14.7109375" customWidth="1"/>
    <col min="2823" max="2826" width="0" hidden="1" customWidth="1"/>
    <col min="2827" max="2827" width="14.7109375" customWidth="1"/>
    <col min="2828" max="2831" width="0" hidden="1" customWidth="1"/>
    <col min="2832" max="2832" width="18.5703125" bestFit="1" customWidth="1"/>
    <col min="2833" max="2834" width="0" hidden="1" customWidth="1"/>
    <col min="2835" max="2838" width="18.42578125" customWidth="1"/>
    <col min="2839" max="2839" width="14.7109375" customWidth="1"/>
    <col min="2840" max="2840" width="18.7109375" customWidth="1"/>
    <col min="2841" max="2841" width="19" customWidth="1"/>
    <col min="2842" max="2842" width="9.28515625" customWidth="1"/>
    <col min="2843" max="2843" width="21.7109375" customWidth="1"/>
    <col min="2844" max="2844" width="13.140625" customWidth="1"/>
    <col min="2845" max="2845" width="19" customWidth="1"/>
    <col min="2846" max="2846" width="0" hidden="1" customWidth="1"/>
    <col min="2847" max="2847" width="19" bestFit="1" customWidth="1"/>
    <col min="2848" max="2848" width="17" bestFit="1" customWidth="1"/>
    <col min="2849" max="2849" width="15.140625" bestFit="1" customWidth="1"/>
    <col min="2850" max="2850" width="15" bestFit="1" customWidth="1"/>
    <col min="3073" max="3073" width="26.7109375" customWidth="1"/>
    <col min="3074" max="3074" width="7.28515625" customWidth="1"/>
    <col min="3075" max="3075" width="9.5703125" customWidth="1"/>
    <col min="3076" max="3077" width="0" hidden="1" customWidth="1"/>
    <col min="3078" max="3078" width="14.7109375" customWidth="1"/>
    <col min="3079" max="3082" width="0" hidden="1" customWidth="1"/>
    <col min="3083" max="3083" width="14.7109375" customWidth="1"/>
    <col min="3084" max="3087" width="0" hidden="1" customWidth="1"/>
    <col min="3088" max="3088" width="18.5703125" bestFit="1" customWidth="1"/>
    <col min="3089" max="3090" width="0" hidden="1" customWidth="1"/>
    <col min="3091" max="3094" width="18.42578125" customWidth="1"/>
    <col min="3095" max="3095" width="14.7109375" customWidth="1"/>
    <col min="3096" max="3096" width="18.7109375" customWidth="1"/>
    <col min="3097" max="3097" width="19" customWidth="1"/>
    <col min="3098" max="3098" width="9.28515625" customWidth="1"/>
    <col min="3099" max="3099" width="21.7109375" customWidth="1"/>
    <col min="3100" max="3100" width="13.140625" customWidth="1"/>
    <col min="3101" max="3101" width="19" customWidth="1"/>
    <col min="3102" max="3102" width="0" hidden="1" customWidth="1"/>
    <col min="3103" max="3103" width="19" bestFit="1" customWidth="1"/>
    <col min="3104" max="3104" width="17" bestFit="1" customWidth="1"/>
    <col min="3105" max="3105" width="15.140625" bestFit="1" customWidth="1"/>
    <col min="3106" max="3106" width="15" bestFit="1" customWidth="1"/>
    <col min="3329" max="3329" width="26.7109375" customWidth="1"/>
    <col min="3330" max="3330" width="7.28515625" customWidth="1"/>
    <col min="3331" max="3331" width="9.5703125" customWidth="1"/>
    <col min="3332" max="3333" width="0" hidden="1" customWidth="1"/>
    <col min="3334" max="3334" width="14.7109375" customWidth="1"/>
    <col min="3335" max="3338" width="0" hidden="1" customWidth="1"/>
    <col min="3339" max="3339" width="14.7109375" customWidth="1"/>
    <col min="3340" max="3343" width="0" hidden="1" customWidth="1"/>
    <col min="3344" max="3344" width="18.5703125" bestFit="1" customWidth="1"/>
    <col min="3345" max="3346" width="0" hidden="1" customWidth="1"/>
    <col min="3347" max="3350" width="18.42578125" customWidth="1"/>
    <col min="3351" max="3351" width="14.7109375" customWidth="1"/>
    <col min="3352" max="3352" width="18.7109375" customWidth="1"/>
    <col min="3353" max="3353" width="19" customWidth="1"/>
    <col min="3354" max="3354" width="9.28515625" customWidth="1"/>
    <col min="3355" max="3355" width="21.7109375" customWidth="1"/>
    <col min="3356" max="3356" width="13.140625" customWidth="1"/>
    <col min="3357" max="3357" width="19" customWidth="1"/>
    <col min="3358" max="3358" width="0" hidden="1" customWidth="1"/>
    <col min="3359" max="3359" width="19" bestFit="1" customWidth="1"/>
    <col min="3360" max="3360" width="17" bestFit="1" customWidth="1"/>
    <col min="3361" max="3361" width="15.140625" bestFit="1" customWidth="1"/>
    <col min="3362" max="3362" width="15" bestFit="1" customWidth="1"/>
    <col min="3585" max="3585" width="26.7109375" customWidth="1"/>
    <col min="3586" max="3586" width="7.28515625" customWidth="1"/>
    <col min="3587" max="3587" width="9.5703125" customWidth="1"/>
    <col min="3588" max="3589" width="0" hidden="1" customWidth="1"/>
    <col min="3590" max="3590" width="14.7109375" customWidth="1"/>
    <col min="3591" max="3594" width="0" hidden="1" customWidth="1"/>
    <col min="3595" max="3595" width="14.7109375" customWidth="1"/>
    <col min="3596" max="3599" width="0" hidden="1" customWidth="1"/>
    <col min="3600" max="3600" width="18.5703125" bestFit="1" customWidth="1"/>
    <col min="3601" max="3602" width="0" hidden="1" customWidth="1"/>
    <col min="3603" max="3606" width="18.42578125" customWidth="1"/>
    <col min="3607" max="3607" width="14.7109375" customWidth="1"/>
    <col min="3608" max="3608" width="18.7109375" customWidth="1"/>
    <col min="3609" max="3609" width="19" customWidth="1"/>
    <col min="3610" max="3610" width="9.28515625" customWidth="1"/>
    <col min="3611" max="3611" width="21.7109375" customWidth="1"/>
    <col min="3612" max="3612" width="13.140625" customWidth="1"/>
    <col min="3613" max="3613" width="19" customWidth="1"/>
    <col min="3614" max="3614" width="0" hidden="1" customWidth="1"/>
    <col min="3615" max="3615" width="19" bestFit="1" customWidth="1"/>
    <col min="3616" max="3616" width="17" bestFit="1" customWidth="1"/>
    <col min="3617" max="3617" width="15.140625" bestFit="1" customWidth="1"/>
    <col min="3618" max="3618" width="15" bestFit="1" customWidth="1"/>
    <col min="3841" max="3841" width="26.7109375" customWidth="1"/>
    <col min="3842" max="3842" width="7.28515625" customWidth="1"/>
    <col min="3843" max="3843" width="9.5703125" customWidth="1"/>
    <col min="3844" max="3845" width="0" hidden="1" customWidth="1"/>
    <col min="3846" max="3846" width="14.7109375" customWidth="1"/>
    <col min="3847" max="3850" width="0" hidden="1" customWidth="1"/>
    <col min="3851" max="3851" width="14.7109375" customWidth="1"/>
    <col min="3852" max="3855" width="0" hidden="1" customWidth="1"/>
    <col min="3856" max="3856" width="18.5703125" bestFit="1" customWidth="1"/>
    <col min="3857" max="3858" width="0" hidden="1" customWidth="1"/>
    <col min="3859" max="3862" width="18.42578125" customWidth="1"/>
    <col min="3863" max="3863" width="14.7109375" customWidth="1"/>
    <col min="3864" max="3864" width="18.7109375" customWidth="1"/>
    <col min="3865" max="3865" width="19" customWidth="1"/>
    <col min="3866" max="3866" width="9.28515625" customWidth="1"/>
    <col min="3867" max="3867" width="21.7109375" customWidth="1"/>
    <col min="3868" max="3868" width="13.140625" customWidth="1"/>
    <col min="3869" max="3869" width="19" customWidth="1"/>
    <col min="3870" max="3870" width="0" hidden="1" customWidth="1"/>
    <col min="3871" max="3871" width="19" bestFit="1" customWidth="1"/>
    <col min="3872" max="3872" width="17" bestFit="1" customWidth="1"/>
    <col min="3873" max="3873" width="15.140625" bestFit="1" customWidth="1"/>
    <col min="3874" max="3874" width="15" bestFit="1" customWidth="1"/>
    <col min="4097" max="4097" width="26.7109375" customWidth="1"/>
    <col min="4098" max="4098" width="7.28515625" customWidth="1"/>
    <col min="4099" max="4099" width="9.5703125" customWidth="1"/>
    <col min="4100" max="4101" width="0" hidden="1" customWidth="1"/>
    <col min="4102" max="4102" width="14.7109375" customWidth="1"/>
    <col min="4103" max="4106" width="0" hidden="1" customWidth="1"/>
    <col min="4107" max="4107" width="14.7109375" customWidth="1"/>
    <col min="4108" max="4111" width="0" hidden="1" customWidth="1"/>
    <col min="4112" max="4112" width="18.5703125" bestFit="1" customWidth="1"/>
    <col min="4113" max="4114" width="0" hidden="1" customWidth="1"/>
    <col min="4115" max="4118" width="18.42578125" customWidth="1"/>
    <col min="4119" max="4119" width="14.7109375" customWidth="1"/>
    <col min="4120" max="4120" width="18.7109375" customWidth="1"/>
    <col min="4121" max="4121" width="19" customWidth="1"/>
    <col min="4122" max="4122" width="9.28515625" customWidth="1"/>
    <col min="4123" max="4123" width="21.7109375" customWidth="1"/>
    <col min="4124" max="4124" width="13.140625" customWidth="1"/>
    <col min="4125" max="4125" width="19" customWidth="1"/>
    <col min="4126" max="4126" width="0" hidden="1" customWidth="1"/>
    <col min="4127" max="4127" width="19" bestFit="1" customWidth="1"/>
    <col min="4128" max="4128" width="17" bestFit="1" customWidth="1"/>
    <col min="4129" max="4129" width="15.140625" bestFit="1" customWidth="1"/>
    <col min="4130" max="4130" width="15" bestFit="1" customWidth="1"/>
    <col min="4353" max="4353" width="26.7109375" customWidth="1"/>
    <col min="4354" max="4354" width="7.28515625" customWidth="1"/>
    <col min="4355" max="4355" width="9.5703125" customWidth="1"/>
    <col min="4356" max="4357" width="0" hidden="1" customWidth="1"/>
    <col min="4358" max="4358" width="14.7109375" customWidth="1"/>
    <col min="4359" max="4362" width="0" hidden="1" customWidth="1"/>
    <col min="4363" max="4363" width="14.7109375" customWidth="1"/>
    <col min="4364" max="4367" width="0" hidden="1" customWidth="1"/>
    <col min="4368" max="4368" width="18.5703125" bestFit="1" customWidth="1"/>
    <col min="4369" max="4370" width="0" hidden="1" customWidth="1"/>
    <col min="4371" max="4374" width="18.42578125" customWidth="1"/>
    <col min="4375" max="4375" width="14.7109375" customWidth="1"/>
    <col min="4376" max="4376" width="18.7109375" customWidth="1"/>
    <col min="4377" max="4377" width="19" customWidth="1"/>
    <col min="4378" max="4378" width="9.28515625" customWidth="1"/>
    <col min="4379" max="4379" width="21.7109375" customWidth="1"/>
    <col min="4380" max="4380" width="13.140625" customWidth="1"/>
    <col min="4381" max="4381" width="19" customWidth="1"/>
    <col min="4382" max="4382" width="0" hidden="1" customWidth="1"/>
    <col min="4383" max="4383" width="19" bestFit="1" customWidth="1"/>
    <col min="4384" max="4384" width="17" bestFit="1" customWidth="1"/>
    <col min="4385" max="4385" width="15.140625" bestFit="1" customWidth="1"/>
    <col min="4386" max="4386" width="15" bestFit="1" customWidth="1"/>
    <col min="4609" max="4609" width="26.7109375" customWidth="1"/>
    <col min="4610" max="4610" width="7.28515625" customWidth="1"/>
    <col min="4611" max="4611" width="9.5703125" customWidth="1"/>
    <col min="4612" max="4613" width="0" hidden="1" customWidth="1"/>
    <col min="4614" max="4614" width="14.7109375" customWidth="1"/>
    <col min="4615" max="4618" width="0" hidden="1" customWidth="1"/>
    <col min="4619" max="4619" width="14.7109375" customWidth="1"/>
    <col min="4620" max="4623" width="0" hidden="1" customWidth="1"/>
    <col min="4624" max="4624" width="18.5703125" bestFit="1" customWidth="1"/>
    <col min="4625" max="4626" width="0" hidden="1" customWidth="1"/>
    <col min="4627" max="4630" width="18.42578125" customWidth="1"/>
    <col min="4631" max="4631" width="14.7109375" customWidth="1"/>
    <col min="4632" max="4632" width="18.7109375" customWidth="1"/>
    <col min="4633" max="4633" width="19" customWidth="1"/>
    <col min="4634" max="4634" width="9.28515625" customWidth="1"/>
    <col min="4635" max="4635" width="21.7109375" customWidth="1"/>
    <col min="4636" max="4636" width="13.140625" customWidth="1"/>
    <col min="4637" max="4637" width="19" customWidth="1"/>
    <col min="4638" max="4638" width="0" hidden="1" customWidth="1"/>
    <col min="4639" max="4639" width="19" bestFit="1" customWidth="1"/>
    <col min="4640" max="4640" width="17" bestFit="1" customWidth="1"/>
    <col min="4641" max="4641" width="15.140625" bestFit="1" customWidth="1"/>
    <col min="4642" max="4642" width="15" bestFit="1" customWidth="1"/>
    <col min="4865" max="4865" width="26.7109375" customWidth="1"/>
    <col min="4866" max="4866" width="7.28515625" customWidth="1"/>
    <col min="4867" max="4867" width="9.5703125" customWidth="1"/>
    <col min="4868" max="4869" width="0" hidden="1" customWidth="1"/>
    <col min="4870" max="4870" width="14.7109375" customWidth="1"/>
    <col min="4871" max="4874" width="0" hidden="1" customWidth="1"/>
    <col min="4875" max="4875" width="14.7109375" customWidth="1"/>
    <col min="4876" max="4879" width="0" hidden="1" customWidth="1"/>
    <col min="4880" max="4880" width="18.5703125" bestFit="1" customWidth="1"/>
    <col min="4881" max="4882" width="0" hidden="1" customWidth="1"/>
    <col min="4883" max="4886" width="18.42578125" customWidth="1"/>
    <col min="4887" max="4887" width="14.7109375" customWidth="1"/>
    <col min="4888" max="4888" width="18.7109375" customWidth="1"/>
    <col min="4889" max="4889" width="19" customWidth="1"/>
    <col min="4890" max="4890" width="9.28515625" customWidth="1"/>
    <col min="4891" max="4891" width="21.7109375" customWidth="1"/>
    <col min="4892" max="4892" width="13.140625" customWidth="1"/>
    <col min="4893" max="4893" width="19" customWidth="1"/>
    <col min="4894" max="4894" width="0" hidden="1" customWidth="1"/>
    <col min="4895" max="4895" width="19" bestFit="1" customWidth="1"/>
    <col min="4896" max="4896" width="17" bestFit="1" customWidth="1"/>
    <col min="4897" max="4897" width="15.140625" bestFit="1" customWidth="1"/>
    <col min="4898" max="4898" width="15" bestFit="1" customWidth="1"/>
    <col min="5121" max="5121" width="26.7109375" customWidth="1"/>
    <col min="5122" max="5122" width="7.28515625" customWidth="1"/>
    <col min="5123" max="5123" width="9.5703125" customWidth="1"/>
    <col min="5124" max="5125" width="0" hidden="1" customWidth="1"/>
    <col min="5126" max="5126" width="14.7109375" customWidth="1"/>
    <col min="5127" max="5130" width="0" hidden="1" customWidth="1"/>
    <col min="5131" max="5131" width="14.7109375" customWidth="1"/>
    <col min="5132" max="5135" width="0" hidden="1" customWidth="1"/>
    <col min="5136" max="5136" width="18.5703125" bestFit="1" customWidth="1"/>
    <col min="5137" max="5138" width="0" hidden="1" customWidth="1"/>
    <col min="5139" max="5142" width="18.42578125" customWidth="1"/>
    <col min="5143" max="5143" width="14.7109375" customWidth="1"/>
    <col min="5144" max="5144" width="18.7109375" customWidth="1"/>
    <col min="5145" max="5145" width="19" customWidth="1"/>
    <col min="5146" max="5146" width="9.28515625" customWidth="1"/>
    <col min="5147" max="5147" width="21.7109375" customWidth="1"/>
    <col min="5148" max="5148" width="13.140625" customWidth="1"/>
    <col min="5149" max="5149" width="19" customWidth="1"/>
    <col min="5150" max="5150" width="0" hidden="1" customWidth="1"/>
    <col min="5151" max="5151" width="19" bestFit="1" customWidth="1"/>
    <col min="5152" max="5152" width="17" bestFit="1" customWidth="1"/>
    <col min="5153" max="5153" width="15.140625" bestFit="1" customWidth="1"/>
    <col min="5154" max="5154" width="15" bestFit="1" customWidth="1"/>
    <col min="5377" max="5377" width="26.7109375" customWidth="1"/>
    <col min="5378" max="5378" width="7.28515625" customWidth="1"/>
    <col min="5379" max="5379" width="9.5703125" customWidth="1"/>
    <col min="5380" max="5381" width="0" hidden="1" customWidth="1"/>
    <col min="5382" max="5382" width="14.7109375" customWidth="1"/>
    <col min="5383" max="5386" width="0" hidden="1" customWidth="1"/>
    <col min="5387" max="5387" width="14.7109375" customWidth="1"/>
    <col min="5388" max="5391" width="0" hidden="1" customWidth="1"/>
    <col min="5392" max="5392" width="18.5703125" bestFit="1" customWidth="1"/>
    <col min="5393" max="5394" width="0" hidden="1" customWidth="1"/>
    <col min="5395" max="5398" width="18.42578125" customWidth="1"/>
    <col min="5399" max="5399" width="14.7109375" customWidth="1"/>
    <col min="5400" max="5400" width="18.7109375" customWidth="1"/>
    <col min="5401" max="5401" width="19" customWidth="1"/>
    <col min="5402" max="5402" width="9.28515625" customWidth="1"/>
    <col min="5403" max="5403" width="21.7109375" customWidth="1"/>
    <col min="5404" max="5404" width="13.140625" customWidth="1"/>
    <col min="5405" max="5405" width="19" customWidth="1"/>
    <col min="5406" max="5406" width="0" hidden="1" customWidth="1"/>
    <col min="5407" max="5407" width="19" bestFit="1" customWidth="1"/>
    <col min="5408" max="5408" width="17" bestFit="1" customWidth="1"/>
    <col min="5409" max="5409" width="15.140625" bestFit="1" customWidth="1"/>
    <col min="5410" max="5410" width="15" bestFit="1" customWidth="1"/>
    <col min="5633" max="5633" width="26.7109375" customWidth="1"/>
    <col min="5634" max="5634" width="7.28515625" customWidth="1"/>
    <col min="5635" max="5635" width="9.5703125" customWidth="1"/>
    <col min="5636" max="5637" width="0" hidden="1" customWidth="1"/>
    <col min="5638" max="5638" width="14.7109375" customWidth="1"/>
    <col min="5639" max="5642" width="0" hidden="1" customWidth="1"/>
    <col min="5643" max="5643" width="14.7109375" customWidth="1"/>
    <col min="5644" max="5647" width="0" hidden="1" customWidth="1"/>
    <col min="5648" max="5648" width="18.5703125" bestFit="1" customWidth="1"/>
    <col min="5649" max="5650" width="0" hidden="1" customWidth="1"/>
    <col min="5651" max="5654" width="18.42578125" customWidth="1"/>
    <col min="5655" max="5655" width="14.7109375" customWidth="1"/>
    <col min="5656" max="5656" width="18.7109375" customWidth="1"/>
    <col min="5657" max="5657" width="19" customWidth="1"/>
    <col min="5658" max="5658" width="9.28515625" customWidth="1"/>
    <col min="5659" max="5659" width="21.7109375" customWidth="1"/>
    <col min="5660" max="5660" width="13.140625" customWidth="1"/>
    <col min="5661" max="5661" width="19" customWidth="1"/>
    <col min="5662" max="5662" width="0" hidden="1" customWidth="1"/>
    <col min="5663" max="5663" width="19" bestFit="1" customWidth="1"/>
    <col min="5664" max="5664" width="17" bestFit="1" customWidth="1"/>
    <col min="5665" max="5665" width="15.140625" bestFit="1" customWidth="1"/>
    <col min="5666" max="5666" width="15" bestFit="1" customWidth="1"/>
    <col min="5889" max="5889" width="26.7109375" customWidth="1"/>
    <col min="5890" max="5890" width="7.28515625" customWidth="1"/>
    <col min="5891" max="5891" width="9.5703125" customWidth="1"/>
    <col min="5892" max="5893" width="0" hidden="1" customWidth="1"/>
    <col min="5894" max="5894" width="14.7109375" customWidth="1"/>
    <col min="5895" max="5898" width="0" hidden="1" customWidth="1"/>
    <col min="5899" max="5899" width="14.7109375" customWidth="1"/>
    <col min="5900" max="5903" width="0" hidden="1" customWidth="1"/>
    <col min="5904" max="5904" width="18.5703125" bestFit="1" customWidth="1"/>
    <col min="5905" max="5906" width="0" hidden="1" customWidth="1"/>
    <col min="5907" max="5910" width="18.42578125" customWidth="1"/>
    <col min="5911" max="5911" width="14.7109375" customWidth="1"/>
    <col min="5912" max="5912" width="18.7109375" customWidth="1"/>
    <col min="5913" max="5913" width="19" customWidth="1"/>
    <col min="5914" max="5914" width="9.28515625" customWidth="1"/>
    <col min="5915" max="5915" width="21.7109375" customWidth="1"/>
    <col min="5916" max="5916" width="13.140625" customWidth="1"/>
    <col min="5917" max="5917" width="19" customWidth="1"/>
    <col min="5918" max="5918" width="0" hidden="1" customWidth="1"/>
    <col min="5919" max="5919" width="19" bestFit="1" customWidth="1"/>
    <col min="5920" max="5920" width="17" bestFit="1" customWidth="1"/>
    <col min="5921" max="5921" width="15.140625" bestFit="1" customWidth="1"/>
    <col min="5922" max="5922" width="15" bestFit="1" customWidth="1"/>
    <col min="6145" max="6145" width="26.7109375" customWidth="1"/>
    <col min="6146" max="6146" width="7.28515625" customWidth="1"/>
    <col min="6147" max="6147" width="9.5703125" customWidth="1"/>
    <col min="6148" max="6149" width="0" hidden="1" customWidth="1"/>
    <col min="6150" max="6150" width="14.7109375" customWidth="1"/>
    <col min="6151" max="6154" width="0" hidden="1" customWidth="1"/>
    <col min="6155" max="6155" width="14.7109375" customWidth="1"/>
    <col min="6156" max="6159" width="0" hidden="1" customWidth="1"/>
    <col min="6160" max="6160" width="18.5703125" bestFit="1" customWidth="1"/>
    <col min="6161" max="6162" width="0" hidden="1" customWidth="1"/>
    <col min="6163" max="6166" width="18.42578125" customWidth="1"/>
    <col min="6167" max="6167" width="14.7109375" customWidth="1"/>
    <col min="6168" max="6168" width="18.7109375" customWidth="1"/>
    <col min="6169" max="6169" width="19" customWidth="1"/>
    <col min="6170" max="6170" width="9.28515625" customWidth="1"/>
    <col min="6171" max="6171" width="21.7109375" customWidth="1"/>
    <col min="6172" max="6172" width="13.140625" customWidth="1"/>
    <col min="6173" max="6173" width="19" customWidth="1"/>
    <col min="6174" max="6174" width="0" hidden="1" customWidth="1"/>
    <col min="6175" max="6175" width="19" bestFit="1" customWidth="1"/>
    <col min="6176" max="6176" width="17" bestFit="1" customWidth="1"/>
    <col min="6177" max="6177" width="15.140625" bestFit="1" customWidth="1"/>
    <col min="6178" max="6178" width="15" bestFit="1" customWidth="1"/>
    <col min="6401" max="6401" width="26.7109375" customWidth="1"/>
    <col min="6402" max="6402" width="7.28515625" customWidth="1"/>
    <col min="6403" max="6403" width="9.5703125" customWidth="1"/>
    <col min="6404" max="6405" width="0" hidden="1" customWidth="1"/>
    <col min="6406" max="6406" width="14.7109375" customWidth="1"/>
    <col min="6407" max="6410" width="0" hidden="1" customWidth="1"/>
    <col min="6411" max="6411" width="14.7109375" customWidth="1"/>
    <col min="6412" max="6415" width="0" hidden="1" customWidth="1"/>
    <col min="6416" max="6416" width="18.5703125" bestFit="1" customWidth="1"/>
    <col min="6417" max="6418" width="0" hidden="1" customWidth="1"/>
    <col min="6419" max="6422" width="18.42578125" customWidth="1"/>
    <col min="6423" max="6423" width="14.7109375" customWidth="1"/>
    <col min="6424" max="6424" width="18.7109375" customWidth="1"/>
    <col min="6425" max="6425" width="19" customWidth="1"/>
    <col min="6426" max="6426" width="9.28515625" customWidth="1"/>
    <col min="6427" max="6427" width="21.7109375" customWidth="1"/>
    <col min="6428" max="6428" width="13.140625" customWidth="1"/>
    <col min="6429" max="6429" width="19" customWidth="1"/>
    <col min="6430" max="6430" width="0" hidden="1" customWidth="1"/>
    <col min="6431" max="6431" width="19" bestFit="1" customWidth="1"/>
    <col min="6432" max="6432" width="17" bestFit="1" customWidth="1"/>
    <col min="6433" max="6433" width="15.140625" bestFit="1" customWidth="1"/>
    <col min="6434" max="6434" width="15" bestFit="1" customWidth="1"/>
    <col min="6657" max="6657" width="26.7109375" customWidth="1"/>
    <col min="6658" max="6658" width="7.28515625" customWidth="1"/>
    <col min="6659" max="6659" width="9.5703125" customWidth="1"/>
    <col min="6660" max="6661" width="0" hidden="1" customWidth="1"/>
    <col min="6662" max="6662" width="14.7109375" customWidth="1"/>
    <col min="6663" max="6666" width="0" hidden="1" customWidth="1"/>
    <col min="6667" max="6667" width="14.7109375" customWidth="1"/>
    <col min="6668" max="6671" width="0" hidden="1" customWidth="1"/>
    <col min="6672" max="6672" width="18.5703125" bestFit="1" customWidth="1"/>
    <col min="6673" max="6674" width="0" hidden="1" customWidth="1"/>
    <col min="6675" max="6678" width="18.42578125" customWidth="1"/>
    <col min="6679" max="6679" width="14.7109375" customWidth="1"/>
    <col min="6680" max="6680" width="18.7109375" customWidth="1"/>
    <col min="6681" max="6681" width="19" customWidth="1"/>
    <col min="6682" max="6682" width="9.28515625" customWidth="1"/>
    <col min="6683" max="6683" width="21.7109375" customWidth="1"/>
    <col min="6684" max="6684" width="13.140625" customWidth="1"/>
    <col min="6685" max="6685" width="19" customWidth="1"/>
    <col min="6686" max="6686" width="0" hidden="1" customWidth="1"/>
    <col min="6687" max="6687" width="19" bestFit="1" customWidth="1"/>
    <col min="6688" max="6688" width="17" bestFit="1" customWidth="1"/>
    <col min="6689" max="6689" width="15.140625" bestFit="1" customWidth="1"/>
    <col min="6690" max="6690" width="15" bestFit="1" customWidth="1"/>
    <col min="6913" max="6913" width="26.7109375" customWidth="1"/>
    <col min="6914" max="6914" width="7.28515625" customWidth="1"/>
    <col min="6915" max="6915" width="9.5703125" customWidth="1"/>
    <col min="6916" max="6917" width="0" hidden="1" customWidth="1"/>
    <col min="6918" max="6918" width="14.7109375" customWidth="1"/>
    <col min="6919" max="6922" width="0" hidden="1" customWidth="1"/>
    <col min="6923" max="6923" width="14.7109375" customWidth="1"/>
    <col min="6924" max="6927" width="0" hidden="1" customWidth="1"/>
    <col min="6928" max="6928" width="18.5703125" bestFit="1" customWidth="1"/>
    <col min="6929" max="6930" width="0" hidden="1" customWidth="1"/>
    <col min="6931" max="6934" width="18.42578125" customWidth="1"/>
    <col min="6935" max="6935" width="14.7109375" customWidth="1"/>
    <col min="6936" max="6936" width="18.7109375" customWidth="1"/>
    <col min="6937" max="6937" width="19" customWidth="1"/>
    <col min="6938" max="6938" width="9.28515625" customWidth="1"/>
    <col min="6939" max="6939" width="21.7109375" customWidth="1"/>
    <col min="6940" max="6940" width="13.140625" customWidth="1"/>
    <col min="6941" max="6941" width="19" customWidth="1"/>
    <col min="6942" max="6942" width="0" hidden="1" customWidth="1"/>
    <col min="6943" max="6943" width="19" bestFit="1" customWidth="1"/>
    <col min="6944" max="6944" width="17" bestFit="1" customWidth="1"/>
    <col min="6945" max="6945" width="15.140625" bestFit="1" customWidth="1"/>
    <col min="6946" max="6946" width="15" bestFit="1" customWidth="1"/>
    <col min="7169" max="7169" width="26.7109375" customWidth="1"/>
    <col min="7170" max="7170" width="7.28515625" customWidth="1"/>
    <col min="7171" max="7171" width="9.5703125" customWidth="1"/>
    <col min="7172" max="7173" width="0" hidden="1" customWidth="1"/>
    <col min="7174" max="7174" width="14.7109375" customWidth="1"/>
    <col min="7175" max="7178" width="0" hidden="1" customWidth="1"/>
    <col min="7179" max="7179" width="14.7109375" customWidth="1"/>
    <col min="7180" max="7183" width="0" hidden="1" customWidth="1"/>
    <col min="7184" max="7184" width="18.5703125" bestFit="1" customWidth="1"/>
    <col min="7185" max="7186" width="0" hidden="1" customWidth="1"/>
    <col min="7187" max="7190" width="18.42578125" customWidth="1"/>
    <col min="7191" max="7191" width="14.7109375" customWidth="1"/>
    <col min="7192" max="7192" width="18.7109375" customWidth="1"/>
    <col min="7193" max="7193" width="19" customWidth="1"/>
    <col min="7194" max="7194" width="9.28515625" customWidth="1"/>
    <col min="7195" max="7195" width="21.7109375" customWidth="1"/>
    <col min="7196" max="7196" width="13.140625" customWidth="1"/>
    <col min="7197" max="7197" width="19" customWidth="1"/>
    <col min="7198" max="7198" width="0" hidden="1" customWidth="1"/>
    <col min="7199" max="7199" width="19" bestFit="1" customWidth="1"/>
    <col min="7200" max="7200" width="17" bestFit="1" customWidth="1"/>
    <col min="7201" max="7201" width="15.140625" bestFit="1" customWidth="1"/>
    <col min="7202" max="7202" width="15" bestFit="1" customWidth="1"/>
    <col min="7425" max="7425" width="26.7109375" customWidth="1"/>
    <col min="7426" max="7426" width="7.28515625" customWidth="1"/>
    <col min="7427" max="7427" width="9.5703125" customWidth="1"/>
    <col min="7428" max="7429" width="0" hidden="1" customWidth="1"/>
    <col min="7430" max="7430" width="14.7109375" customWidth="1"/>
    <col min="7431" max="7434" width="0" hidden="1" customWidth="1"/>
    <col min="7435" max="7435" width="14.7109375" customWidth="1"/>
    <col min="7436" max="7439" width="0" hidden="1" customWidth="1"/>
    <col min="7440" max="7440" width="18.5703125" bestFit="1" customWidth="1"/>
    <col min="7441" max="7442" width="0" hidden="1" customWidth="1"/>
    <col min="7443" max="7446" width="18.42578125" customWidth="1"/>
    <col min="7447" max="7447" width="14.7109375" customWidth="1"/>
    <col min="7448" max="7448" width="18.7109375" customWidth="1"/>
    <col min="7449" max="7449" width="19" customWidth="1"/>
    <col min="7450" max="7450" width="9.28515625" customWidth="1"/>
    <col min="7451" max="7451" width="21.7109375" customWidth="1"/>
    <col min="7452" max="7452" width="13.140625" customWidth="1"/>
    <col min="7453" max="7453" width="19" customWidth="1"/>
    <col min="7454" max="7454" width="0" hidden="1" customWidth="1"/>
    <col min="7455" max="7455" width="19" bestFit="1" customWidth="1"/>
    <col min="7456" max="7456" width="17" bestFit="1" customWidth="1"/>
    <col min="7457" max="7457" width="15.140625" bestFit="1" customWidth="1"/>
    <col min="7458" max="7458" width="15" bestFit="1" customWidth="1"/>
    <col min="7681" max="7681" width="26.7109375" customWidth="1"/>
    <col min="7682" max="7682" width="7.28515625" customWidth="1"/>
    <col min="7683" max="7683" width="9.5703125" customWidth="1"/>
    <col min="7684" max="7685" width="0" hidden="1" customWidth="1"/>
    <col min="7686" max="7686" width="14.7109375" customWidth="1"/>
    <col min="7687" max="7690" width="0" hidden="1" customWidth="1"/>
    <col min="7691" max="7691" width="14.7109375" customWidth="1"/>
    <col min="7692" max="7695" width="0" hidden="1" customWidth="1"/>
    <col min="7696" max="7696" width="18.5703125" bestFit="1" customWidth="1"/>
    <col min="7697" max="7698" width="0" hidden="1" customWidth="1"/>
    <col min="7699" max="7702" width="18.42578125" customWidth="1"/>
    <col min="7703" max="7703" width="14.7109375" customWidth="1"/>
    <col min="7704" max="7704" width="18.7109375" customWidth="1"/>
    <col min="7705" max="7705" width="19" customWidth="1"/>
    <col min="7706" max="7706" width="9.28515625" customWidth="1"/>
    <col min="7707" max="7707" width="21.7109375" customWidth="1"/>
    <col min="7708" max="7708" width="13.140625" customWidth="1"/>
    <col min="7709" max="7709" width="19" customWidth="1"/>
    <col min="7710" max="7710" width="0" hidden="1" customWidth="1"/>
    <col min="7711" max="7711" width="19" bestFit="1" customWidth="1"/>
    <col min="7712" max="7712" width="17" bestFit="1" customWidth="1"/>
    <col min="7713" max="7713" width="15.140625" bestFit="1" customWidth="1"/>
    <col min="7714" max="7714" width="15" bestFit="1" customWidth="1"/>
    <col min="7937" max="7937" width="26.7109375" customWidth="1"/>
    <col min="7938" max="7938" width="7.28515625" customWidth="1"/>
    <col min="7939" max="7939" width="9.5703125" customWidth="1"/>
    <col min="7940" max="7941" width="0" hidden="1" customWidth="1"/>
    <col min="7942" max="7942" width="14.7109375" customWidth="1"/>
    <col min="7943" max="7946" width="0" hidden="1" customWidth="1"/>
    <col min="7947" max="7947" width="14.7109375" customWidth="1"/>
    <col min="7948" max="7951" width="0" hidden="1" customWidth="1"/>
    <col min="7952" max="7952" width="18.5703125" bestFit="1" customWidth="1"/>
    <col min="7953" max="7954" width="0" hidden="1" customWidth="1"/>
    <col min="7955" max="7958" width="18.42578125" customWidth="1"/>
    <col min="7959" max="7959" width="14.7109375" customWidth="1"/>
    <col min="7960" max="7960" width="18.7109375" customWidth="1"/>
    <col min="7961" max="7961" width="19" customWidth="1"/>
    <col min="7962" max="7962" width="9.28515625" customWidth="1"/>
    <col min="7963" max="7963" width="21.7109375" customWidth="1"/>
    <col min="7964" max="7964" width="13.140625" customWidth="1"/>
    <col min="7965" max="7965" width="19" customWidth="1"/>
    <col min="7966" max="7966" width="0" hidden="1" customWidth="1"/>
    <col min="7967" max="7967" width="19" bestFit="1" customWidth="1"/>
    <col min="7968" max="7968" width="17" bestFit="1" customWidth="1"/>
    <col min="7969" max="7969" width="15.140625" bestFit="1" customWidth="1"/>
    <col min="7970" max="7970" width="15" bestFit="1" customWidth="1"/>
    <col min="8193" max="8193" width="26.7109375" customWidth="1"/>
    <col min="8194" max="8194" width="7.28515625" customWidth="1"/>
    <col min="8195" max="8195" width="9.5703125" customWidth="1"/>
    <col min="8196" max="8197" width="0" hidden="1" customWidth="1"/>
    <col min="8198" max="8198" width="14.7109375" customWidth="1"/>
    <col min="8199" max="8202" width="0" hidden="1" customWidth="1"/>
    <col min="8203" max="8203" width="14.7109375" customWidth="1"/>
    <col min="8204" max="8207" width="0" hidden="1" customWidth="1"/>
    <col min="8208" max="8208" width="18.5703125" bestFit="1" customWidth="1"/>
    <col min="8209" max="8210" width="0" hidden="1" customWidth="1"/>
    <col min="8211" max="8214" width="18.42578125" customWidth="1"/>
    <col min="8215" max="8215" width="14.7109375" customWidth="1"/>
    <col min="8216" max="8216" width="18.7109375" customWidth="1"/>
    <col min="8217" max="8217" width="19" customWidth="1"/>
    <col min="8218" max="8218" width="9.28515625" customWidth="1"/>
    <col min="8219" max="8219" width="21.7109375" customWidth="1"/>
    <col min="8220" max="8220" width="13.140625" customWidth="1"/>
    <col min="8221" max="8221" width="19" customWidth="1"/>
    <col min="8222" max="8222" width="0" hidden="1" customWidth="1"/>
    <col min="8223" max="8223" width="19" bestFit="1" customWidth="1"/>
    <col min="8224" max="8224" width="17" bestFit="1" customWidth="1"/>
    <col min="8225" max="8225" width="15.140625" bestFit="1" customWidth="1"/>
    <col min="8226" max="8226" width="15" bestFit="1" customWidth="1"/>
    <col min="8449" max="8449" width="26.7109375" customWidth="1"/>
    <col min="8450" max="8450" width="7.28515625" customWidth="1"/>
    <col min="8451" max="8451" width="9.5703125" customWidth="1"/>
    <col min="8452" max="8453" width="0" hidden="1" customWidth="1"/>
    <col min="8454" max="8454" width="14.7109375" customWidth="1"/>
    <col min="8455" max="8458" width="0" hidden="1" customWidth="1"/>
    <col min="8459" max="8459" width="14.7109375" customWidth="1"/>
    <col min="8460" max="8463" width="0" hidden="1" customWidth="1"/>
    <col min="8464" max="8464" width="18.5703125" bestFit="1" customWidth="1"/>
    <col min="8465" max="8466" width="0" hidden="1" customWidth="1"/>
    <col min="8467" max="8470" width="18.42578125" customWidth="1"/>
    <col min="8471" max="8471" width="14.7109375" customWidth="1"/>
    <col min="8472" max="8472" width="18.7109375" customWidth="1"/>
    <col min="8473" max="8473" width="19" customWidth="1"/>
    <col min="8474" max="8474" width="9.28515625" customWidth="1"/>
    <col min="8475" max="8475" width="21.7109375" customWidth="1"/>
    <col min="8476" max="8476" width="13.140625" customWidth="1"/>
    <col min="8477" max="8477" width="19" customWidth="1"/>
    <col min="8478" max="8478" width="0" hidden="1" customWidth="1"/>
    <col min="8479" max="8479" width="19" bestFit="1" customWidth="1"/>
    <col min="8480" max="8480" width="17" bestFit="1" customWidth="1"/>
    <col min="8481" max="8481" width="15.140625" bestFit="1" customWidth="1"/>
    <col min="8482" max="8482" width="15" bestFit="1" customWidth="1"/>
    <col min="8705" max="8705" width="26.7109375" customWidth="1"/>
    <col min="8706" max="8706" width="7.28515625" customWidth="1"/>
    <col min="8707" max="8707" width="9.5703125" customWidth="1"/>
    <col min="8708" max="8709" width="0" hidden="1" customWidth="1"/>
    <col min="8710" max="8710" width="14.7109375" customWidth="1"/>
    <col min="8711" max="8714" width="0" hidden="1" customWidth="1"/>
    <col min="8715" max="8715" width="14.7109375" customWidth="1"/>
    <col min="8716" max="8719" width="0" hidden="1" customWidth="1"/>
    <col min="8720" max="8720" width="18.5703125" bestFit="1" customWidth="1"/>
    <col min="8721" max="8722" width="0" hidden="1" customWidth="1"/>
    <col min="8723" max="8726" width="18.42578125" customWidth="1"/>
    <col min="8727" max="8727" width="14.7109375" customWidth="1"/>
    <col min="8728" max="8728" width="18.7109375" customWidth="1"/>
    <col min="8729" max="8729" width="19" customWidth="1"/>
    <col min="8730" max="8730" width="9.28515625" customWidth="1"/>
    <col min="8731" max="8731" width="21.7109375" customWidth="1"/>
    <col min="8732" max="8732" width="13.140625" customWidth="1"/>
    <col min="8733" max="8733" width="19" customWidth="1"/>
    <col min="8734" max="8734" width="0" hidden="1" customWidth="1"/>
    <col min="8735" max="8735" width="19" bestFit="1" customWidth="1"/>
    <col min="8736" max="8736" width="17" bestFit="1" customWidth="1"/>
    <col min="8737" max="8737" width="15.140625" bestFit="1" customWidth="1"/>
    <col min="8738" max="8738" width="15" bestFit="1" customWidth="1"/>
    <col min="8961" max="8961" width="26.7109375" customWidth="1"/>
    <col min="8962" max="8962" width="7.28515625" customWidth="1"/>
    <col min="8963" max="8963" width="9.5703125" customWidth="1"/>
    <col min="8964" max="8965" width="0" hidden="1" customWidth="1"/>
    <col min="8966" max="8966" width="14.7109375" customWidth="1"/>
    <col min="8967" max="8970" width="0" hidden="1" customWidth="1"/>
    <col min="8971" max="8971" width="14.7109375" customWidth="1"/>
    <col min="8972" max="8975" width="0" hidden="1" customWidth="1"/>
    <col min="8976" max="8976" width="18.5703125" bestFit="1" customWidth="1"/>
    <col min="8977" max="8978" width="0" hidden="1" customWidth="1"/>
    <col min="8979" max="8982" width="18.42578125" customWidth="1"/>
    <col min="8983" max="8983" width="14.7109375" customWidth="1"/>
    <col min="8984" max="8984" width="18.7109375" customWidth="1"/>
    <col min="8985" max="8985" width="19" customWidth="1"/>
    <col min="8986" max="8986" width="9.28515625" customWidth="1"/>
    <col min="8987" max="8987" width="21.7109375" customWidth="1"/>
    <col min="8988" max="8988" width="13.140625" customWidth="1"/>
    <col min="8989" max="8989" width="19" customWidth="1"/>
    <col min="8990" max="8990" width="0" hidden="1" customWidth="1"/>
    <col min="8991" max="8991" width="19" bestFit="1" customWidth="1"/>
    <col min="8992" max="8992" width="17" bestFit="1" customWidth="1"/>
    <col min="8993" max="8993" width="15.140625" bestFit="1" customWidth="1"/>
    <col min="8994" max="8994" width="15" bestFit="1" customWidth="1"/>
    <col min="9217" max="9217" width="26.7109375" customWidth="1"/>
    <col min="9218" max="9218" width="7.28515625" customWidth="1"/>
    <col min="9219" max="9219" width="9.5703125" customWidth="1"/>
    <col min="9220" max="9221" width="0" hidden="1" customWidth="1"/>
    <col min="9222" max="9222" width="14.7109375" customWidth="1"/>
    <col min="9223" max="9226" width="0" hidden="1" customWidth="1"/>
    <col min="9227" max="9227" width="14.7109375" customWidth="1"/>
    <col min="9228" max="9231" width="0" hidden="1" customWidth="1"/>
    <col min="9232" max="9232" width="18.5703125" bestFit="1" customWidth="1"/>
    <col min="9233" max="9234" width="0" hidden="1" customWidth="1"/>
    <col min="9235" max="9238" width="18.42578125" customWidth="1"/>
    <col min="9239" max="9239" width="14.7109375" customWidth="1"/>
    <col min="9240" max="9240" width="18.7109375" customWidth="1"/>
    <col min="9241" max="9241" width="19" customWidth="1"/>
    <col min="9242" max="9242" width="9.28515625" customWidth="1"/>
    <col min="9243" max="9243" width="21.7109375" customWidth="1"/>
    <col min="9244" max="9244" width="13.140625" customWidth="1"/>
    <col min="9245" max="9245" width="19" customWidth="1"/>
    <col min="9246" max="9246" width="0" hidden="1" customWidth="1"/>
    <col min="9247" max="9247" width="19" bestFit="1" customWidth="1"/>
    <col min="9248" max="9248" width="17" bestFit="1" customWidth="1"/>
    <col min="9249" max="9249" width="15.140625" bestFit="1" customWidth="1"/>
    <col min="9250" max="9250" width="15" bestFit="1" customWidth="1"/>
    <col min="9473" max="9473" width="26.7109375" customWidth="1"/>
    <col min="9474" max="9474" width="7.28515625" customWidth="1"/>
    <col min="9475" max="9475" width="9.5703125" customWidth="1"/>
    <col min="9476" max="9477" width="0" hidden="1" customWidth="1"/>
    <col min="9478" max="9478" width="14.7109375" customWidth="1"/>
    <col min="9479" max="9482" width="0" hidden="1" customWidth="1"/>
    <col min="9483" max="9483" width="14.7109375" customWidth="1"/>
    <col min="9484" max="9487" width="0" hidden="1" customWidth="1"/>
    <col min="9488" max="9488" width="18.5703125" bestFit="1" customWidth="1"/>
    <col min="9489" max="9490" width="0" hidden="1" customWidth="1"/>
    <col min="9491" max="9494" width="18.42578125" customWidth="1"/>
    <col min="9495" max="9495" width="14.7109375" customWidth="1"/>
    <col min="9496" max="9496" width="18.7109375" customWidth="1"/>
    <col min="9497" max="9497" width="19" customWidth="1"/>
    <col min="9498" max="9498" width="9.28515625" customWidth="1"/>
    <col min="9499" max="9499" width="21.7109375" customWidth="1"/>
    <col min="9500" max="9500" width="13.140625" customWidth="1"/>
    <col min="9501" max="9501" width="19" customWidth="1"/>
    <col min="9502" max="9502" width="0" hidden="1" customWidth="1"/>
    <col min="9503" max="9503" width="19" bestFit="1" customWidth="1"/>
    <col min="9504" max="9504" width="17" bestFit="1" customWidth="1"/>
    <col min="9505" max="9505" width="15.140625" bestFit="1" customWidth="1"/>
    <col min="9506" max="9506" width="15" bestFit="1" customWidth="1"/>
    <col min="9729" max="9729" width="26.7109375" customWidth="1"/>
    <col min="9730" max="9730" width="7.28515625" customWidth="1"/>
    <col min="9731" max="9731" width="9.5703125" customWidth="1"/>
    <col min="9732" max="9733" width="0" hidden="1" customWidth="1"/>
    <col min="9734" max="9734" width="14.7109375" customWidth="1"/>
    <col min="9735" max="9738" width="0" hidden="1" customWidth="1"/>
    <col min="9739" max="9739" width="14.7109375" customWidth="1"/>
    <col min="9740" max="9743" width="0" hidden="1" customWidth="1"/>
    <col min="9744" max="9744" width="18.5703125" bestFit="1" customWidth="1"/>
    <col min="9745" max="9746" width="0" hidden="1" customWidth="1"/>
    <col min="9747" max="9750" width="18.42578125" customWidth="1"/>
    <col min="9751" max="9751" width="14.7109375" customWidth="1"/>
    <col min="9752" max="9752" width="18.7109375" customWidth="1"/>
    <col min="9753" max="9753" width="19" customWidth="1"/>
    <col min="9754" max="9754" width="9.28515625" customWidth="1"/>
    <col min="9755" max="9755" width="21.7109375" customWidth="1"/>
    <col min="9756" max="9756" width="13.140625" customWidth="1"/>
    <col min="9757" max="9757" width="19" customWidth="1"/>
    <col min="9758" max="9758" width="0" hidden="1" customWidth="1"/>
    <col min="9759" max="9759" width="19" bestFit="1" customWidth="1"/>
    <col min="9760" max="9760" width="17" bestFit="1" customWidth="1"/>
    <col min="9761" max="9761" width="15.140625" bestFit="1" customWidth="1"/>
    <col min="9762" max="9762" width="15" bestFit="1" customWidth="1"/>
    <col min="9985" max="9985" width="26.7109375" customWidth="1"/>
    <col min="9986" max="9986" width="7.28515625" customWidth="1"/>
    <col min="9987" max="9987" width="9.5703125" customWidth="1"/>
    <col min="9988" max="9989" width="0" hidden="1" customWidth="1"/>
    <col min="9990" max="9990" width="14.7109375" customWidth="1"/>
    <col min="9991" max="9994" width="0" hidden="1" customWidth="1"/>
    <col min="9995" max="9995" width="14.7109375" customWidth="1"/>
    <col min="9996" max="9999" width="0" hidden="1" customWidth="1"/>
    <col min="10000" max="10000" width="18.5703125" bestFit="1" customWidth="1"/>
    <col min="10001" max="10002" width="0" hidden="1" customWidth="1"/>
    <col min="10003" max="10006" width="18.42578125" customWidth="1"/>
    <col min="10007" max="10007" width="14.7109375" customWidth="1"/>
    <col min="10008" max="10008" width="18.7109375" customWidth="1"/>
    <col min="10009" max="10009" width="19" customWidth="1"/>
    <col min="10010" max="10010" width="9.28515625" customWidth="1"/>
    <col min="10011" max="10011" width="21.7109375" customWidth="1"/>
    <col min="10012" max="10012" width="13.140625" customWidth="1"/>
    <col min="10013" max="10013" width="19" customWidth="1"/>
    <col min="10014" max="10014" width="0" hidden="1" customWidth="1"/>
    <col min="10015" max="10015" width="19" bestFit="1" customWidth="1"/>
    <col min="10016" max="10016" width="17" bestFit="1" customWidth="1"/>
    <col min="10017" max="10017" width="15.140625" bestFit="1" customWidth="1"/>
    <col min="10018" max="10018" width="15" bestFit="1" customWidth="1"/>
    <col min="10241" max="10241" width="26.7109375" customWidth="1"/>
    <col min="10242" max="10242" width="7.28515625" customWidth="1"/>
    <col min="10243" max="10243" width="9.5703125" customWidth="1"/>
    <col min="10244" max="10245" width="0" hidden="1" customWidth="1"/>
    <col min="10246" max="10246" width="14.7109375" customWidth="1"/>
    <col min="10247" max="10250" width="0" hidden="1" customWidth="1"/>
    <col min="10251" max="10251" width="14.7109375" customWidth="1"/>
    <col min="10252" max="10255" width="0" hidden="1" customWidth="1"/>
    <col min="10256" max="10256" width="18.5703125" bestFit="1" customWidth="1"/>
    <col min="10257" max="10258" width="0" hidden="1" customWidth="1"/>
    <col min="10259" max="10262" width="18.42578125" customWidth="1"/>
    <col min="10263" max="10263" width="14.7109375" customWidth="1"/>
    <col min="10264" max="10264" width="18.7109375" customWidth="1"/>
    <col min="10265" max="10265" width="19" customWidth="1"/>
    <col min="10266" max="10266" width="9.28515625" customWidth="1"/>
    <col min="10267" max="10267" width="21.7109375" customWidth="1"/>
    <col min="10268" max="10268" width="13.140625" customWidth="1"/>
    <col min="10269" max="10269" width="19" customWidth="1"/>
    <col min="10270" max="10270" width="0" hidden="1" customWidth="1"/>
    <col min="10271" max="10271" width="19" bestFit="1" customWidth="1"/>
    <col min="10272" max="10272" width="17" bestFit="1" customWidth="1"/>
    <col min="10273" max="10273" width="15.140625" bestFit="1" customWidth="1"/>
    <col min="10274" max="10274" width="15" bestFit="1" customWidth="1"/>
    <col min="10497" max="10497" width="26.7109375" customWidth="1"/>
    <col min="10498" max="10498" width="7.28515625" customWidth="1"/>
    <col min="10499" max="10499" width="9.5703125" customWidth="1"/>
    <col min="10500" max="10501" width="0" hidden="1" customWidth="1"/>
    <col min="10502" max="10502" width="14.7109375" customWidth="1"/>
    <col min="10503" max="10506" width="0" hidden="1" customWidth="1"/>
    <col min="10507" max="10507" width="14.7109375" customWidth="1"/>
    <col min="10508" max="10511" width="0" hidden="1" customWidth="1"/>
    <col min="10512" max="10512" width="18.5703125" bestFit="1" customWidth="1"/>
    <col min="10513" max="10514" width="0" hidden="1" customWidth="1"/>
    <col min="10515" max="10518" width="18.42578125" customWidth="1"/>
    <col min="10519" max="10519" width="14.7109375" customWidth="1"/>
    <col min="10520" max="10520" width="18.7109375" customWidth="1"/>
    <col min="10521" max="10521" width="19" customWidth="1"/>
    <col min="10522" max="10522" width="9.28515625" customWidth="1"/>
    <col min="10523" max="10523" width="21.7109375" customWidth="1"/>
    <col min="10524" max="10524" width="13.140625" customWidth="1"/>
    <col min="10525" max="10525" width="19" customWidth="1"/>
    <col min="10526" max="10526" width="0" hidden="1" customWidth="1"/>
    <col min="10527" max="10527" width="19" bestFit="1" customWidth="1"/>
    <col min="10528" max="10528" width="17" bestFit="1" customWidth="1"/>
    <col min="10529" max="10529" width="15.140625" bestFit="1" customWidth="1"/>
    <col min="10530" max="10530" width="15" bestFit="1" customWidth="1"/>
    <col min="10753" max="10753" width="26.7109375" customWidth="1"/>
    <col min="10754" max="10754" width="7.28515625" customWidth="1"/>
    <col min="10755" max="10755" width="9.5703125" customWidth="1"/>
    <col min="10756" max="10757" width="0" hidden="1" customWidth="1"/>
    <col min="10758" max="10758" width="14.7109375" customWidth="1"/>
    <col min="10759" max="10762" width="0" hidden="1" customWidth="1"/>
    <col min="10763" max="10763" width="14.7109375" customWidth="1"/>
    <col min="10764" max="10767" width="0" hidden="1" customWidth="1"/>
    <col min="10768" max="10768" width="18.5703125" bestFit="1" customWidth="1"/>
    <col min="10769" max="10770" width="0" hidden="1" customWidth="1"/>
    <col min="10771" max="10774" width="18.42578125" customWidth="1"/>
    <col min="10775" max="10775" width="14.7109375" customWidth="1"/>
    <col min="10776" max="10776" width="18.7109375" customWidth="1"/>
    <col min="10777" max="10777" width="19" customWidth="1"/>
    <col min="10778" max="10778" width="9.28515625" customWidth="1"/>
    <col min="10779" max="10779" width="21.7109375" customWidth="1"/>
    <col min="10780" max="10780" width="13.140625" customWidth="1"/>
    <col min="10781" max="10781" width="19" customWidth="1"/>
    <col min="10782" max="10782" width="0" hidden="1" customWidth="1"/>
    <col min="10783" max="10783" width="19" bestFit="1" customWidth="1"/>
    <col min="10784" max="10784" width="17" bestFit="1" customWidth="1"/>
    <col min="10785" max="10785" width="15.140625" bestFit="1" customWidth="1"/>
    <col min="10786" max="10786" width="15" bestFit="1" customWidth="1"/>
    <col min="11009" max="11009" width="26.7109375" customWidth="1"/>
    <col min="11010" max="11010" width="7.28515625" customWidth="1"/>
    <col min="11011" max="11011" width="9.5703125" customWidth="1"/>
    <col min="11012" max="11013" width="0" hidden="1" customWidth="1"/>
    <col min="11014" max="11014" width="14.7109375" customWidth="1"/>
    <col min="11015" max="11018" width="0" hidden="1" customWidth="1"/>
    <col min="11019" max="11019" width="14.7109375" customWidth="1"/>
    <col min="11020" max="11023" width="0" hidden="1" customWidth="1"/>
    <col min="11024" max="11024" width="18.5703125" bestFit="1" customWidth="1"/>
    <col min="11025" max="11026" width="0" hidden="1" customWidth="1"/>
    <col min="11027" max="11030" width="18.42578125" customWidth="1"/>
    <col min="11031" max="11031" width="14.7109375" customWidth="1"/>
    <col min="11032" max="11032" width="18.7109375" customWidth="1"/>
    <col min="11033" max="11033" width="19" customWidth="1"/>
    <col min="11034" max="11034" width="9.28515625" customWidth="1"/>
    <col min="11035" max="11035" width="21.7109375" customWidth="1"/>
    <col min="11036" max="11036" width="13.140625" customWidth="1"/>
    <col min="11037" max="11037" width="19" customWidth="1"/>
    <col min="11038" max="11038" width="0" hidden="1" customWidth="1"/>
    <col min="11039" max="11039" width="19" bestFit="1" customWidth="1"/>
    <col min="11040" max="11040" width="17" bestFit="1" customWidth="1"/>
    <col min="11041" max="11041" width="15.140625" bestFit="1" customWidth="1"/>
    <col min="11042" max="11042" width="15" bestFit="1" customWidth="1"/>
    <col min="11265" max="11265" width="26.7109375" customWidth="1"/>
    <col min="11266" max="11266" width="7.28515625" customWidth="1"/>
    <col min="11267" max="11267" width="9.5703125" customWidth="1"/>
    <col min="11268" max="11269" width="0" hidden="1" customWidth="1"/>
    <col min="11270" max="11270" width="14.7109375" customWidth="1"/>
    <col min="11271" max="11274" width="0" hidden="1" customWidth="1"/>
    <col min="11275" max="11275" width="14.7109375" customWidth="1"/>
    <col min="11276" max="11279" width="0" hidden="1" customWidth="1"/>
    <col min="11280" max="11280" width="18.5703125" bestFit="1" customWidth="1"/>
    <col min="11281" max="11282" width="0" hidden="1" customWidth="1"/>
    <col min="11283" max="11286" width="18.42578125" customWidth="1"/>
    <col min="11287" max="11287" width="14.7109375" customWidth="1"/>
    <col min="11288" max="11288" width="18.7109375" customWidth="1"/>
    <col min="11289" max="11289" width="19" customWidth="1"/>
    <col min="11290" max="11290" width="9.28515625" customWidth="1"/>
    <col min="11291" max="11291" width="21.7109375" customWidth="1"/>
    <col min="11292" max="11292" width="13.140625" customWidth="1"/>
    <col min="11293" max="11293" width="19" customWidth="1"/>
    <col min="11294" max="11294" width="0" hidden="1" customWidth="1"/>
    <col min="11295" max="11295" width="19" bestFit="1" customWidth="1"/>
    <col min="11296" max="11296" width="17" bestFit="1" customWidth="1"/>
    <col min="11297" max="11297" width="15.140625" bestFit="1" customWidth="1"/>
    <col min="11298" max="11298" width="15" bestFit="1" customWidth="1"/>
    <col min="11521" max="11521" width="26.7109375" customWidth="1"/>
    <col min="11522" max="11522" width="7.28515625" customWidth="1"/>
    <col min="11523" max="11523" width="9.5703125" customWidth="1"/>
    <col min="11524" max="11525" width="0" hidden="1" customWidth="1"/>
    <col min="11526" max="11526" width="14.7109375" customWidth="1"/>
    <col min="11527" max="11530" width="0" hidden="1" customWidth="1"/>
    <col min="11531" max="11531" width="14.7109375" customWidth="1"/>
    <col min="11532" max="11535" width="0" hidden="1" customWidth="1"/>
    <col min="11536" max="11536" width="18.5703125" bestFit="1" customWidth="1"/>
    <col min="11537" max="11538" width="0" hidden="1" customWidth="1"/>
    <col min="11539" max="11542" width="18.42578125" customWidth="1"/>
    <col min="11543" max="11543" width="14.7109375" customWidth="1"/>
    <col min="11544" max="11544" width="18.7109375" customWidth="1"/>
    <col min="11545" max="11545" width="19" customWidth="1"/>
    <col min="11546" max="11546" width="9.28515625" customWidth="1"/>
    <col min="11547" max="11547" width="21.7109375" customWidth="1"/>
    <col min="11548" max="11548" width="13.140625" customWidth="1"/>
    <col min="11549" max="11549" width="19" customWidth="1"/>
    <col min="11550" max="11550" width="0" hidden="1" customWidth="1"/>
    <col min="11551" max="11551" width="19" bestFit="1" customWidth="1"/>
    <col min="11552" max="11552" width="17" bestFit="1" customWidth="1"/>
    <col min="11553" max="11553" width="15.140625" bestFit="1" customWidth="1"/>
    <col min="11554" max="11554" width="15" bestFit="1" customWidth="1"/>
    <col min="11777" max="11777" width="26.7109375" customWidth="1"/>
    <col min="11778" max="11778" width="7.28515625" customWidth="1"/>
    <col min="11779" max="11779" width="9.5703125" customWidth="1"/>
    <col min="11780" max="11781" width="0" hidden="1" customWidth="1"/>
    <col min="11782" max="11782" width="14.7109375" customWidth="1"/>
    <col min="11783" max="11786" width="0" hidden="1" customWidth="1"/>
    <col min="11787" max="11787" width="14.7109375" customWidth="1"/>
    <col min="11788" max="11791" width="0" hidden="1" customWidth="1"/>
    <col min="11792" max="11792" width="18.5703125" bestFit="1" customWidth="1"/>
    <col min="11793" max="11794" width="0" hidden="1" customWidth="1"/>
    <col min="11795" max="11798" width="18.42578125" customWidth="1"/>
    <col min="11799" max="11799" width="14.7109375" customWidth="1"/>
    <col min="11800" max="11800" width="18.7109375" customWidth="1"/>
    <col min="11801" max="11801" width="19" customWidth="1"/>
    <col min="11802" max="11802" width="9.28515625" customWidth="1"/>
    <col min="11803" max="11803" width="21.7109375" customWidth="1"/>
    <col min="11804" max="11804" width="13.140625" customWidth="1"/>
    <col min="11805" max="11805" width="19" customWidth="1"/>
    <col min="11806" max="11806" width="0" hidden="1" customWidth="1"/>
    <col min="11807" max="11807" width="19" bestFit="1" customWidth="1"/>
    <col min="11808" max="11808" width="17" bestFit="1" customWidth="1"/>
    <col min="11809" max="11809" width="15.140625" bestFit="1" customWidth="1"/>
    <col min="11810" max="11810" width="15" bestFit="1" customWidth="1"/>
    <col min="12033" max="12033" width="26.7109375" customWidth="1"/>
    <col min="12034" max="12034" width="7.28515625" customWidth="1"/>
    <col min="12035" max="12035" width="9.5703125" customWidth="1"/>
    <col min="12036" max="12037" width="0" hidden="1" customWidth="1"/>
    <col min="12038" max="12038" width="14.7109375" customWidth="1"/>
    <col min="12039" max="12042" width="0" hidden="1" customWidth="1"/>
    <col min="12043" max="12043" width="14.7109375" customWidth="1"/>
    <col min="12044" max="12047" width="0" hidden="1" customWidth="1"/>
    <col min="12048" max="12048" width="18.5703125" bestFit="1" customWidth="1"/>
    <col min="12049" max="12050" width="0" hidden="1" customWidth="1"/>
    <col min="12051" max="12054" width="18.42578125" customWidth="1"/>
    <col min="12055" max="12055" width="14.7109375" customWidth="1"/>
    <col min="12056" max="12056" width="18.7109375" customWidth="1"/>
    <col min="12057" max="12057" width="19" customWidth="1"/>
    <col min="12058" max="12058" width="9.28515625" customWidth="1"/>
    <col min="12059" max="12059" width="21.7109375" customWidth="1"/>
    <col min="12060" max="12060" width="13.140625" customWidth="1"/>
    <col min="12061" max="12061" width="19" customWidth="1"/>
    <col min="12062" max="12062" width="0" hidden="1" customWidth="1"/>
    <col min="12063" max="12063" width="19" bestFit="1" customWidth="1"/>
    <col min="12064" max="12064" width="17" bestFit="1" customWidth="1"/>
    <col min="12065" max="12065" width="15.140625" bestFit="1" customWidth="1"/>
    <col min="12066" max="12066" width="15" bestFit="1" customWidth="1"/>
    <col min="12289" max="12289" width="26.7109375" customWidth="1"/>
    <col min="12290" max="12290" width="7.28515625" customWidth="1"/>
    <col min="12291" max="12291" width="9.5703125" customWidth="1"/>
    <col min="12292" max="12293" width="0" hidden="1" customWidth="1"/>
    <col min="12294" max="12294" width="14.7109375" customWidth="1"/>
    <col min="12295" max="12298" width="0" hidden="1" customWidth="1"/>
    <col min="12299" max="12299" width="14.7109375" customWidth="1"/>
    <col min="12300" max="12303" width="0" hidden="1" customWidth="1"/>
    <col min="12304" max="12304" width="18.5703125" bestFit="1" customWidth="1"/>
    <col min="12305" max="12306" width="0" hidden="1" customWidth="1"/>
    <col min="12307" max="12310" width="18.42578125" customWidth="1"/>
    <col min="12311" max="12311" width="14.7109375" customWidth="1"/>
    <col min="12312" max="12312" width="18.7109375" customWidth="1"/>
    <col min="12313" max="12313" width="19" customWidth="1"/>
    <col min="12314" max="12314" width="9.28515625" customWidth="1"/>
    <col min="12315" max="12315" width="21.7109375" customWidth="1"/>
    <col min="12316" max="12316" width="13.140625" customWidth="1"/>
    <col min="12317" max="12317" width="19" customWidth="1"/>
    <col min="12318" max="12318" width="0" hidden="1" customWidth="1"/>
    <col min="12319" max="12319" width="19" bestFit="1" customWidth="1"/>
    <col min="12320" max="12320" width="17" bestFit="1" customWidth="1"/>
    <col min="12321" max="12321" width="15.140625" bestFit="1" customWidth="1"/>
    <col min="12322" max="12322" width="15" bestFit="1" customWidth="1"/>
    <col min="12545" max="12545" width="26.7109375" customWidth="1"/>
    <col min="12546" max="12546" width="7.28515625" customWidth="1"/>
    <col min="12547" max="12547" width="9.5703125" customWidth="1"/>
    <col min="12548" max="12549" width="0" hidden="1" customWidth="1"/>
    <col min="12550" max="12550" width="14.7109375" customWidth="1"/>
    <col min="12551" max="12554" width="0" hidden="1" customWidth="1"/>
    <col min="12555" max="12555" width="14.7109375" customWidth="1"/>
    <col min="12556" max="12559" width="0" hidden="1" customWidth="1"/>
    <col min="12560" max="12560" width="18.5703125" bestFit="1" customWidth="1"/>
    <col min="12561" max="12562" width="0" hidden="1" customWidth="1"/>
    <col min="12563" max="12566" width="18.42578125" customWidth="1"/>
    <col min="12567" max="12567" width="14.7109375" customWidth="1"/>
    <col min="12568" max="12568" width="18.7109375" customWidth="1"/>
    <col min="12569" max="12569" width="19" customWidth="1"/>
    <col min="12570" max="12570" width="9.28515625" customWidth="1"/>
    <col min="12571" max="12571" width="21.7109375" customWidth="1"/>
    <col min="12572" max="12572" width="13.140625" customWidth="1"/>
    <col min="12573" max="12573" width="19" customWidth="1"/>
    <col min="12574" max="12574" width="0" hidden="1" customWidth="1"/>
    <col min="12575" max="12575" width="19" bestFit="1" customWidth="1"/>
    <col min="12576" max="12576" width="17" bestFit="1" customWidth="1"/>
    <col min="12577" max="12577" width="15.140625" bestFit="1" customWidth="1"/>
    <col min="12578" max="12578" width="15" bestFit="1" customWidth="1"/>
    <col min="12801" max="12801" width="26.7109375" customWidth="1"/>
    <col min="12802" max="12802" width="7.28515625" customWidth="1"/>
    <col min="12803" max="12803" width="9.5703125" customWidth="1"/>
    <col min="12804" max="12805" width="0" hidden="1" customWidth="1"/>
    <col min="12806" max="12806" width="14.7109375" customWidth="1"/>
    <col min="12807" max="12810" width="0" hidden="1" customWidth="1"/>
    <col min="12811" max="12811" width="14.7109375" customWidth="1"/>
    <col min="12812" max="12815" width="0" hidden="1" customWidth="1"/>
    <col min="12816" max="12816" width="18.5703125" bestFit="1" customWidth="1"/>
    <col min="12817" max="12818" width="0" hidden="1" customWidth="1"/>
    <col min="12819" max="12822" width="18.42578125" customWidth="1"/>
    <col min="12823" max="12823" width="14.7109375" customWidth="1"/>
    <col min="12824" max="12824" width="18.7109375" customWidth="1"/>
    <col min="12825" max="12825" width="19" customWidth="1"/>
    <col min="12826" max="12826" width="9.28515625" customWidth="1"/>
    <col min="12827" max="12827" width="21.7109375" customWidth="1"/>
    <col min="12828" max="12828" width="13.140625" customWidth="1"/>
    <col min="12829" max="12829" width="19" customWidth="1"/>
    <col min="12830" max="12830" width="0" hidden="1" customWidth="1"/>
    <col min="12831" max="12831" width="19" bestFit="1" customWidth="1"/>
    <col min="12832" max="12832" width="17" bestFit="1" customWidth="1"/>
    <col min="12833" max="12833" width="15.140625" bestFit="1" customWidth="1"/>
    <col min="12834" max="12834" width="15" bestFit="1" customWidth="1"/>
    <col min="13057" max="13057" width="26.7109375" customWidth="1"/>
    <col min="13058" max="13058" width="7.28515625" customWidth="1"/>
    <col min="13059" max="13059" width="9.5703125" customWidth="1"/>
    <col min="13060" max="13061" width="0" hidden="1" customWidth="1"/>
    <col min="13062" max="13062" width="14.7109375" customWidth="1"/>
    <col min="13063" max="13066" width="0" hidden="1" customWidth="1"/>
    <col min="13067" max="13067" width="14.7109375" customWidth="1"/>
    <col min="13068" max="13071" width="0" hidden="1" customWidth="1"/>
    <col min="13072" max="13072" width="18.5703125" bestFit="1" customWidth="1"/>
    <col min="13073" max="13074" width="0" hidden="1" customWidth="1"/>
    <col min="13075" max="13078" width="18.42578125" customWidth="1"/>
    <col min="13079" max="13079" width="14.7109375" customWidth="1"/>
    <col min="13080" max="13080" width="18.7109375" customWidth="1"/>
    <col min="13081" max="13081" width="19" customWidth="1"/>
    <col min="13082" max="13082" width="9.28515625" customWidth="1"/>
    <col min="13083" max="13083" width="21.7109375" customWidth="1"/>
    <col min="13084" max="13084" width="13.140625" customWidth="1"/>
    <col min="13085" max="13085" width="19" customWidth="1"/>
    <col min="13086" max="13086" width="0" hidden="1" customWidth="1"/>
    <col min="13087" max="13087" width="19" bestFit="1" customWidth="1"/>
    <col min="13088" max="13088" width="17" bestFit="1" customWidth="1"/>
    <col min="13089" max="13089" width="15.140625" bestFit="1" customWidth="1"/>
    <col min="13090" max="13090" width="15" bestFit="1" customWidth="1"/>
    <col min="13313" max="13313" width="26.7109375" customWidth="1"/>
    <col min="13314" max="13314" width="7.28515625" customWidth="1"/>
    <col min="13315" max="13315" width="9.5703125" customWidth="1"/>
    <col min="13316" max="13317" width="0" hidden="1" customWidth="1"/>
    <col min="13318" max="13318" width="14.7109375" customWidth="1"/>
    <col min="13319" max="13322" width="0" hidden="1" customWidth="1"/>
    <col min="13323" max="13323" width="14.7109375" customWidth="1"/>
    <col min="13324" max="13327" width="0" hidden="1" customWidth="1"/>
    <col min="13328" max="13328" width="18.5703125" bestFit="1" customWidth="1"/>
    <col min="13329" max="13330" width="0" hidden="1" customWidth="1"/>
    <col min="13331" max="13334" width="18.42578125" customWidth="1"/>
    <col min="13335" max="13335" width="14.7109375" customWidth="1"/>
    <col min="13336" max="13336" width="18.7109375" customWidth="1"/>
    <col min="13337" max="13337" width="19" customWidth="1"/>
    <col min="13338" max="13338" width="9.28515625" customWidth="1"/>
    <col min="13339" max="13339" width="21.7109375" customWidth="1"/>
    <col min="13340" max="13340" width="13.140625" customWidth="1"/>
    <col min="13341" max="13341" width="19" customWidth="1"/>
    <col min="13342" max="13342" width="0" hidden="1" customWidth="1"/>
    <col min="13343" max="13343" width="19" bestFit="1" customWidth="1"/>
    <col min="13344" max="13344" width="17" bestFit="1" customWidth="1"/>
    <col min="13345" max="13345" width="15.140625" bestFit="1" customWidth="1"/>
    <col min="13346" max="13346" width="15" bestFit="1" customWidth="1"/>
    <col min="13569" max="13569" width="26.7109375" customWidth="1"/>
    <col min="13570" max="13570" width="7.28515625" customWidth="1"/>
    <col min="13571" max="13571" width="9.5703125" customWidth="1"/>
    <col min="13572" max="13573" width="0" hidden="1" customWidth="1"/>
    <col min="13574" max="13574" width="14.7109375" customWidth="1"/>
    <col min="13575" max="13578" width="0" hidden="1" customWidth="1"/>
    <col min="13579" max="13579" width="14.7109375" customWidth="1"/>
    <col min="13580" max="13583" width="0" hidden="1" customWidth="1"/>
    <col min="13584" max="13584" width="18.5703125" bestFit="1" customWidth="1"/>
    <col min="13585" max="13586" width="0" hidden="1" customWidth="1"/>
    <col min="13587" max="13590" width="18.42578125" customWidth="1"/>
    <col min="13591" max="13591" width="14.7109375" customWidth="1"/>
    <col min="13592" max="13592" width="18.7109375" customWidth="1"/>
    <col min="13593" max="13593" width="19" customWidth="1"/>
    <col min="13594" max="13594" width="9.28515625" customWidth="1"/>
    <col min="13595" max="13595" width="21.7109375" customWidth="1"/>
    <col min="13596" max="13596" width="13.140625" customWidth="1"/>
    <col min="13597" max="13597" width="19" customWidth="1"/>
    <col min="13598" max="13598" width="0" hidden="1" customWidth="1"/>
    <col min="13599" max="13599" width="19" bestFit="1" customWidth="1"/>
    <col min="13600" max="13600" width="17" bestFit="1" customWidth="1"/>
    <col min="13601" max="13601" width="15.140625" bestFit="1" customWidth="1"/>
    <col min="13602" max="13602" width="15" bestFit="1" customWidth="1"/>
    <col min="13825" max="13825" width="26.7109375" customWidth="1"/>
    <col min="13826" max="13826" width="7.28515625" customWidth="1"/>
    <col min="13827" max="13827" width="9.5703125" customWidth="1"/>
    <col min="13828" max="13829" width="0" hidden="1" customWidth="1"/>
    <col min="13830" max="13830" width="14.7109375" customWidth="1"/>
    <col min="13831" max="13834" width="0" hidden="1" customWidth="1"/>
    <col min="13835" max="13835" width="14.7109375" customWidth="1"/>
    <col min="13836" max="13839" width="0" hidden="1" customWidth="1"/>
    <col min="13840" max="13840" width="18.5703125" bestFit="1" customWidth="1"/>
    <col min="13841" max="13842" width="0" hidden="1" customWidth="1"/>
    <col min="13843" max="13846" width="18.42578125" customWidth="1"/>
    <col min="13847" max="13847" width="14.7109375" customWidth="1"/>
    <col min="13848" max="13848" width="18.7109375" customWidth="1"/>
    <col min="13849" max="13849" width="19" customWidth="1"/>
    <col min="13850" max="13850" width="9.28515625" customWidth="1"/>
    <col min="13851" max="13851" width="21.7109375" customWidth="1"/>
    <col min="13852" max="13852" width="13.140625" customWidth="1"/>
    <col min="13853" max="13853" width="19" customWidth="1"/>
    <col min="13854" max="13854" width="0" hidden="1" customWidth="1"/>
    <col min="13855" max="13855" width="19" bestFit="1" customWidth="1"/>
    <col min="13856" max="13856" width="17" bestFit="1" customWidth="1"/>
    <col min="13857" max="13857" width="15.140625" bestFit="1" customWidth="1"/>
    <col min="13858" max="13858" width="15" bestFit="1" customWidth="1"/>
    <col min="14081" max="14081" width="26.7109375" customWidth="1"/>
    <col min="14082" max="14082" width="7.28515625" customWidth="1"/>
    <col min="14083" max="14083" width="9.5703125" customWidth="1"/>
    <col min="14084" max="14085" width="0" hidden="1" customWidth="1"/>
    <col min="14086" max="14086" width="14.7109375" customWidth="1"/>
    <col min="14087" max="14090" width="0" hidden="1" customWidth="1"/>
    <col min="14091" max="14091" width="14.7109375" customWidth="1"/>
    <col min="14092" max="14095" width="0" hidden="1" customWidth="1"/>
    <col min="14096" max="14096" width="18.5703125" bestFit="1" customWidth="1"/>
    <col min="14097" max="14098" width="0" hidden="1" customWidth="1"/>
    <col min="14099" max="14102" width="18.42578125" customWidth="1"/>
    <col min="14103" max="14103" width="14.7109375" customWidth="1"/>
    <col min="14104" max="14104" width="18.7109375" customWidth="1"/>
    <col min="14105" max="14105" width="19" customWidth="1"/>
    <col min="14106" max="14106" width="9.28515625" customWidth="1"/>
    <col min="14107" max="14107" width="21.7109375" customWidth="1"/>
    <col min="14108" max="14108" width="13.140625" customWidth="1"/>
    <col min="14109" max="14109" width="19" customWidth="1"/>
    <col min="14110" max="14110" width="0" hidden="1" customWidth="1"/>
    <col min="14111" max="14111" width="19" bestFit="1" customWidth="1"/>
    <col min="14112" max="14112" width="17" bestFit="1" customWidth="1"/>
    <col min="14113" max="14113" width="15.140625" bestFit="1" customWidth="1"/>
    <col min="14114" max="14114" width="15" bestFit="1" customWidth="1"/>
    <col min="14337" max="14337" width="26.7109375" customWidth="1"/>
    <col min="14338" max="14338" width="7.28515625" customWidth="1"/>
    <col min="14339" max="14339" width="9.5703125" customWidth="1"/>
    <col min="14340" max="14341" width="0" hidden="1" customWidth="1"/>
    <col min="14342" max="14342" width="14.7109375" customWidth="1"/>
    <col min="14343" max="14346" width="0" hidden="1" customWidth="1"/>
    <col min="14347" max="14347" width="14.7109375" customWidth="1"/>
    <col min="14348" max="14351" width="0" hidden="1" customWidth="1"/>
    <col min="14352" max="14352" width="18.5703125" bestFit="1" customWidth="1"/>
    <col min="14353" max="14354" width="0" hidden="1" customWidth="1"/>
    <col min="14355" max="14358" width="18.42578125" customWidth="1"/>
    <col min="14359" max="14359" width="14.7109375" customWidth="1"/>
    <col min="14360" max="14360" width="18.7109375" customWidth="1"/>
    <col min="14361" max="14361" width="19" customWidth="1"/>
    <col min="14362" max="14362" width="9.28515625" customWidth="1"/>
    <col min="14363" max="14363" width="21.7109375" customWidth="1"/>
    <col min="14364" max="14364" width="13.140625" customWidth="1"/>
    <col min="14365" max="14365" width="19" customWidth="1"/>
    <col min="14366" max="14366" width="0" hidden="1" customWidth="1"/>
    <col min="14367" max="14367" width="19" bestFit="1" customWidth="1"/>
    <col min="14368" max="14368" width="17" bestFit="1" customWidth="1"/>
    <col min="14369" max="14369" width="15.140625" bestFit="1" customWidth="1"/>
    <col min="14370" max="14370" width="15" bestFit="1" customWidth="1"/>
    <col min="14593" max="14593" width="26.7109375" customWidth="1"/>
    <col min="14594" max="14594" width="7.28515625" customWidth="1"/>
    <col min="14595" max="14595" width="9.5703125" customWidth="1"/>
    <col min="14596" max="14597" width="0" hidden="1" customWidth="1"/>
    <col min="14598" max="14598" width="14.7109375" customWidth="1"/>
    <col min="14599" max="14602" width="0" hidden="1" customWidth="1"/>
    <col min="14603" max="14603" width="14.7109375" customWidth="1"/>
    <col min="14604" max="14607" width="0" hidden="1" customWidth="1"/>
    <col min="14608" max="14608" width="18.5703125" bestFit="1" customWidth="1"/>
    <col min="14609" max="14610" width="0" hidden="1" customWidth="1"/>
    <col min="14611" max="14614" width="18.42578125" customWidth="1"/>
    <col min="14615" max="14615" width="14.7109375" customWidth="1"/>
    <col min="14616" max="14616" width="18.7109375" customWidth="1"/>
    <col min="14617" max="14617" width="19" customWidth="1"/>
    <col min="14618" max="14618" width="9.28515625" customWidth="1"/>
    <col min="14619" max="14619" width="21.7109375" customWidth="1"/>
    <col min="14620" max="14620" width="13.140625" customWidth="1"/>
    <col min="14621" max="14621" width="19" customWidth="1"/>
    <col min="14622" max="14622" width="0" hidden="1" customWidth="1"/>
    <col min="14623" max="14623" width="19" bestFit="1" customWidth="1"/>
    <col min="14624" max="14624" width="17" bestFit="1" customWidth="1"/>
    <col min="14625" max="14625" width="15.140625" bestFit="1" customWidth="1"/>
    <col min="14626" max="14626" width="15" bestFit="1" customWidth="1"/>
    <col min="14849" max="14849" width="26.7109375" customWidth="1"/>
    <col min="14850" max="14850" width="7.28515625" customWidth="1"/>
    <col min="14851" max="14851" width="9.5703125" customWidth="1"/>
    <col min="14852" max="14853" width="0" hidden="1" customWidth="1"/>
    <col min="14854" max="14854" width="14.7109375" customWidth="1"/>
    <col min="14855" max="14858" width="0" hidden="1" customWidth="1"/>
    <col min="14859" max="14859" width="14.7109375" customWidth="1"/>
    <col min="14860" max="14863" width="0" hidden="1" customWidth="1"/>
    <col min="14864" max="14864" width="18.5703125" bestFit="1" customWidth="1"/>
    <col min="14865" max="14866" width="0" hidden="1" customWidth="1"/>
    <col min="14867" max="14870" width="18.42578125" customWidth="1"/>
    <col min="14871" max="14871" width="14.7109375" customWidth="1"/>
    <col min="14872" max="14872" width="18.7109375" customWidth="1"/>
    <col min="14873" max="14873" width="19" customWidth="1"/>
    <col min="14874" max="14874" width="9.28515625" customWidth="1"/>
    <col min="14875" max="14875" width="21.7109375" customWidth="1"/>
    <col min="14876" max="14876" width="13.140625" customWidth="1"/>
    <col min="14877" max="14877" width="19" customWidth="1"/>
    <col min="14878" max="14878" width="0" hidden="1" customWidth="1"/>
    <col min="14879" max="14879" width="19" bestFit="1" customWidth="1"/>
    <col min="14880" max="14880" width="17" bestFit="1" customWidth="1"/>
    <col min="14881" max="14881" width="15.140625" bestFit="1" customWidth="1"/>
    <col min="14882" max="14882" width="15" bestFit="1" customWidth="1"/>
    <col min="15105" max="15105" width="26.7109375" customWidth="1"/>
    <col min="15106" max="15106" width="7.28515625" customWidth="1"/>
    <col min="15107" max="15107" width="9.5703125" customWidth="1"/>
    <col min="15108" max="15109" width="0" hidden="1" customWidth="1"/>
    <col min="15110" max="15110" width="14.7109375" customWidth="1"/>
    <col min="15111" max="15114" width="0" hidden="1" customWidth="1"/>
    <col min="15115" max="15115" width="14.7109375" customWidth="1"/>
    <col min="15116" max="15119" width="0" hidden="1" customWidth="1"/>
    <col min="15120" max="15120" width="18.5703125" bestFit="1" customWidth="1"/>
    <col min="15121" max="15122" width="0" hidden="1" customWidth="1"/>
    <col min="15123" max="15126" width="18.42578125" customWidth="1"/>
    <col min="15127" max="15127" width="14.7109375" customWidth="1"/>
    <col min="15128" max="15128" width="18.7109375" customWidth="1"/>
    <col min="15129" max="15129" width="19" customWidth="1"/>
    <col min="15130" max="15130" width="9.28515625" customWidth="1"/>
    <col min="15131" max="15131" width="21.7109375" customWidth="1"/>
    <col min="15132" max="15132" width="13.140625" customWidth="1"/>
    <col min="15133" max="15133" width="19" customWidth="1"/>
    <col min="15134" max="15134" width="0" hidden="1" customWidth="1"/>
    <col min="15135" max="15135" width="19" bestFit="1" customWidth="1"/>
    <col min="15136" max="15136" width="17" bestFit="1" customWidth="1"/>
    <col min="15137" max="15137" width="15.140625" bestFit="1" customWidth="1"/>
    <col min="15138" max="15138" width="15" bestFit="1" customWidth="1"/>
    <col min="15361" max="15361" width="26.7109375" customWidth="1"/>
    <col min="15362" max="15362" width="7.28515625" customWidth="1"/>
    <col min="15363" max="15363" width="9.5703125" customWidth="1"/>
    <col min="15364" max="15365" width="0" hidden="1" customWidth="1"/>
    <col min="15366" max="15366" width="14.7109375" customWidth="1"/>
    <col min="15367" max="15370" width="0" hidden="1" customWidth="1"/>
    <col min="15371" max="15371" width="14.7109375" customWidth="1"/>
    <col min="15372" max="15375" width="0" hidden="1" customWidth="1"/>
    <col min="15376" max="15376" width="18.5703125" bestFit="1" customWidth="1"/>
    <col min="15377" max="15378" width="0" hidden="1" customWidth="1"/>
    <col min="15379" max="15382" width="18.42578125" customWidth="1"/>
    <col min="15383" max="15383" width="14.7109375" customWidth="1"/>
    <col min="15384" max="15384" width="18.7109375" customWidth="1"/>
    <col min="15385" max="15385" width="19" customWidth="1"/>
    <col min="15386" max="15386" width="9.28515625" customWidth="1"/>
    <col min="15387" max="15387" width="21.7109375" customWidth="1"/>
    <col min="15388" max="15388" width="13.140625" customWidth="1"/>
    <col min="15389" max="15389" width="19" customWidth="1"/>
    <col min="15390" max="15390" width="0" hidden="1" customWidth="1"/>
    <col min="15391" max="15391" width="19" bestFit="1" customWidth="1"/>
    <col min="15392" max="15392" width="17" bestFit="1" customWidth="1"/>
    <col min="15393" max="15393" width="15.140625" bestFit="1" customWidth="1"/>
    <col min="15394" max="15394" width="15" bestFit="1" customWidth="1"/>
    <col min="15617" max="15617" width="26.7109375" customWidth="1"/>
    <col min="15618" max="15618" width="7.28515625" customWidth="1"/>
    <col min="15619" max="15619" width="9.5703125" customWidth="1"/>
    <col min="15620" max="15621" width="0" hidden="1" customWidth="1"/>
    <col min="15622" max="15622" width="14.7109375" customWidth="1"/>
    <col min="15623" max="15626" width="0" hidden="1" customWidth="1"/>
    <col min="15627" max="15627" width="14.7109375" customWidth="1"/>
    <col min="15628" max="15631" width="0" hidden="1" customWidth="1"/>
    <col min="15632" max="15632" width="18.5703125" bestFit="1" customWidth="1"/>
    <col min="15633" max="15634" width="0" hidden="1" customWidth="1"/>
    <col min="15635" max="15638" width="18.42578125" customWidth="1"/>
    <col min="15639" max="15639" width="14.7109375" customWidth="1"/>
    <col min="15640" max="15640" width="18.7109375" customWidth="1"/>
    <col min="15641" max="15641" width="19" customWidth="1"/>
    <col min="15642" max="15642" width="9.28515625" customWidth="1"/>
    <col min="15643" max="15643" width="21.7109375" customWidth="1"/>
    <col min="15644" max="15644" width="13.140625" customWidth="1"/>
    <col min="15645" max="15645" width="19" customWidth="1"/>
    <col min="15646" max="15646" width="0" hidden="1" customWidth="1"/>
    <col min="15647" max="15647" width="19" bestFit="1" customWidth="1"/>
    <col min="15648" max="15648" width="17" bestFit="1" customWidth="1"/>
    <col min="15649" max="15649" width="15.140625" bestFit="1" customWidth="1"/>
    <col min="15650" max="15650" width="15" bestFit="1" customWidth="1"/>
    <col min="15873" max="15873" width="26.7109375" customWidth="1"/>
    <col min="15874" max="15874" width="7.28515625" customWidth="1"/>
    <col min="15875" max="15875" width="9.5703125" customWidth="1"/>
    <col min="15876" max="15877" width="0" hidden="1" customWidth="1"/>
    <col min="15878" max="15878" width="14.7109375" customWidth="1"/>
    <col min="15879" max="15882" width="0" hidden="1" customWidth="1"/>
    <col min="15883" max="15883" width="14.7109375" customWidth="1"/>
    <col min="15884" max="15887" width="0" hidden="1" customWidth="1"/>
    <col min="15888" max="15888" width="18.5703125" bestFit="1" customWidth="1"/>
    <col min="15889" max="15890" width="0" hidden="1" customWidth="1"/>
    <col min="15891" max="15894" width="18.42578125" customWidth="1"/>
    <col min="15895" max="15895" width="14.7109375" customWidth="1"/>
    <col min="15896" max="15896" width="18.7109375" customWidth="1"/>
    <col min="15897" max="15897" width="19" customWidth="1"/>
    <col min="15898" max="15898" width="9.28515625" customWidth="1"/>
    <col min="15899" max="15899" width="21.7109375" customWidth="1"/>
    <col min="15900" max="15900" width="13.140625" customWidth="1"/>
    <col min="15901" max="15901" width="19" customWidth="1"/>
    <col min="15902" max="15902" width="0" hidden="1" customWidth="1"/>
    <col min="15903" max="15903" width="19" bestFit="1" customWidth="1"/>
    <col min="15904" max="15904" width="17" bestFit="1" customWidth="1"/>
    <col min="15905" max="15905" width="15.140625" bestFit="1" customWidth="1"/>
    <col min="15906" max="15906" width="15" bestFit="1" customWidth="1"/>
    <col min="16129" max="16129" width="26.7109375" customWidth="1"/>
    <col min="16130" max="16130" width="7.28515625" customWidth="1"/>
    <col min="16131" max="16131" width="9.5703125" customWidth="1"/>
    <col min="16132" max="16133" width="0" hidden="1" customWidth="1"/>
    <col min="16134" max="16134" width="14.7109375" customWidth="1"/>
    <col min="16135" max="16138" width="0" hidden="1" customWidth="1"/>
    <col min="16139" max="16139" width="14.7109375" customWidth="1"/>
    <col min="16140" max="16143" width="0" hidden="1" customWidth="1"/>
    <col min="16144" max="16144" width="18.5703125" bestFit="1" customWidth="1"/>
    <col min="16145" max="16146" width="0" hidden="1" customWidth="1"/>
    <col min="16147" max="16150" width="18.42578125" customWidth="1"/>
    <col min="16151" max="16151" width="14.7109375" customWidth="1"/>
    <col min="16152" max="16152" width="18.7109375" customWidth="1"/>
    <col min="16153" max="16153" width="19" customWidth="1"/>
    <col min="16154" max="16154" width="9.28515625" customWidth="1"/>
    <col min="16155" max="16155" width="21.7109375" customWidth="1"/>
    <col min="16156" max="16156" width="13.140625" customWidth="1"/>
    <col min="16157" max="16157" width="19" customWidth="1"/>
    <col min="16158" max="16158" width="0" hidden="1" customWidth="1"/>
    <col min="16159" max="16159" width="19" bestFit="1" customWidth="1"/>
    <col min="16160" max="16160" width="17" bestFit="1" customWidth="1"/>
    <col min="16161" max="16161" width="15.140625" bestFit="1" customWidth="1"/>
    <col min="16162" max="16162" width="15" bestFit="1" customWidth="1"/>
  </cols>
  <sheetData>
    <row r="1" spans="1:43" ht="15.75">
      <c r="A1" s="110" t="s">
        <v>37</v>
      </c>
      <c r="B1" s="111"/>
      <c r="C1" s="112"/>
      <c r="AP1" s="114">
        <v>41275</v>
      </c>
      <c r="AQ1" s="115">
        <f>+Y7-AP1+1</f>
        <v>236</v>
      </c>
    </row>
    <row r="2" spans="1:43">
      <c r="A2" s="116" t="s">
        <v>38</v>
      </c>
      <c r="B2" s="29"/>
      <c r="C2" s="117"/>
      <c r="AB2" s="118" t="s">
        <v>39</v>
      </c>
      <c r="AC2" s="119">
        <f>287224.64*0.9</f>
        <v>258502.17600000001</v>
      </c>
    </row>
    <row r="3" spans="1:43" ht="15.75" thickBot="1">
      <c r="A3" s="120" t="s">
        <v>40</v>
      </c>
      <c r="B3" s="121"/>
      <c r="C3" s="122"/>
      <c r="AA3" s="123"/>
      <c r="AB3">
        <v>2013</v>
      </c>
      <c r="AC3" s="124" t="s">
        <v>41</v>
      </c>
    </row>
    <row r="4" spans="1:43">
      <c r="A4" s="125"/>
      <c r="AA4" s="123"/>
      <c r="AC4" s="124" t="s">
        <v>42</v>
      </c>
      <c r="AD4" s="124" t="s">
        <v>43</v>
      </c>
      <c r="AE4" s="126" t="s">
        <v>44</v>
      </c>
      <c r="AF4" s="127"/>
    </row>
    <row r="5" spans="1:43" ht="16.5" thickBot="1">
      <c r="A5" s="128" t="s">
        <v>45</v>
      </c>
      <c r="Y5" s="129"/>
      <c r="Z5" s="130"/>
      <c r="AA5" s="123"/>
      <c r="AC5" s="124" t="s">
        <v>46</v>
      </c>
      <c r="AD5" s="124"/>
      <c r="AE5" s="126" t="s">
        <v>47</v>
      </c>
      <c r="AF5" s="127"/>
    </row>
    <row r="6" spans="1:43">
      <c r="A6" s="131"/>
      <c r="B6" s="132" t="s">
        <v>48</v>
      </c>
      <c r="C6" s="133" t="s">
        <v>49</v>
      </c>
      <c r="D6" s="133" t="s">
        <v>50</v>
      </c>
      <c r="E6" s="134" t="s">
        <v>51</v>
      </c>
      <c r="F6" s="134" t="s">
        <v>51</v>
      </c>
      <c r="G6" s="135" t="s">
        <v>52</v>
      </c>
      <c r="I6" s="136" t="s">
        <v>17</v>
      </c>
      <c r="J6" s="137" t="s">
        <v>53</v>
      </c>
      <c r="K6" s="138" t="s">
        <v>51</v>
      </c>
      <c r="L6" s="134" t="s">
        <v>54</v>
      </c>
      <c r="M6" s="139" t="s">
        <v>55</v>
      </c>
      <c r="N6" s="140" t="s">
        <v>56</v>
      </c>
      <c r="O6" s="141" t="s">
        <v>57</v>
      </c>
      <c r="P6" s="142" t="s">
        <v>51</v>
      </c>
      <c r="Q6" s="143" t="s">
        <v>58</v>
      </c>
      <c r="R6" s="144" t="s">
        <v>59</v>
      </c>
      <c r="S6" s="145" t="s">
        <v>51</v>
      </c>
      <c r="T6" s="145" t="s">
        <v>51</v>
      </c>
      <c r="U6" s="145" t="s">
        <v>60</v>
      </c>
      <c r="V6" s="145" t="s">
        <v>60</v>
      </c>
      <c r="W6" s="146" t="s">
        <v>61</v>
      </c>
      <c r="X6" s="146" t="s">
        <v>62</v>
      </c>
      <c r="Y6" s="146" t="s">
        <v>62</v>
      </c>
      <c r="Z6" s="145"/>
      <c r="AA6" s="145" t="s">
        <v>63</v>
      </c>
      <c r="AB6" s="145" t="s">
        <v>64</v>
      </c>
      <c r="AC6" s="147" t="s">
        <v>65</v>
      </c>
      <c r="AD6" s="147"/>
      <c r="AE6" s="148" t="s">
        <v>65</v>
      </c>
      <c r="AF6" s="147" t="s">
        <v>66</v>
      </c>
      <c r="AG6" s="149" t="s">
        <v>66</v>
      </c>
      <c r="AH6" s="150" t="s">
        <v>66</v>
      </c>
    </row>
    <row r="7" spans="1:43" ht="15.75" thickBot="1">
      <c r="A7" s="151"/>
      <c r="B7" s="152"/>
      <c r="C7" s="153"/>
      <c r="D7" s="153">
        <f>+F7</f>
        <v>2008</v>
      </c>
      <c r="E7" s="154">
        <v>2007</v>
      </c>
      <c r="F7" s="155">
        <v>2008</v>
      </c>
      <c r="G7" s="156">
        <v>2007</v>
      </c>
      <c r="I7" s="157">
        <v>2008</v>
      </c>
      <c r="J7" s="158"/>
      <c r="K7" s="159">
        <v>2009</v>
      </c>
      <c r="L7" s="154">
        <f>+K7</f>
        <v>2009</v>
      </c>
      <c r="M7" s="156" t="s">
        <v>67</v>
      </c>
      <c r="N7" s="160"/>
      <c r="O7" s="161">
        <v>2009</v>
      </c>
      <c r="P7" s="162">
        <v>2010</v>
      </c>
      <c r="Q7" s="159">
        <v>2009</v>
      </c>
      <c r="R7" s="162">
        <v>2009</v>
      </c>
      <c r="S7" s="163">
        <v>2011</v>
      </c>
      <c r="T7" s="164" t="s">
        <v>68</v>
      </c>
      <c r="U7" s="165">
        <v>2012</v>
      </c>
      <c r="V7" s="165" t="s">
        <v>69</v>
      </c>
      <c r="W7" s="166">
        <v>2013</v>
      </c>
      <c r="X7" s="167">
        <v>41145</v>
      </c>
      <c r="Y7" s="167">
        <v>41510</v>
      </c>
      <c r="Z7" s="168"/>
      <c r="AA7" s="168">
        <f>+Y7</f>
        <v>41510</v>
      </c>
      <c r="AB7" s="165" t="s">
        <v>70</v>
      </c>
      <c r="AC7" s="169">
        <v>2013</v>
      </c>
      <c r="AD7" s="169"/>
      <c r="AE7" s="170">
        <v>2013</v>
      </c>
      <c r="AF7" s="169" t="s">
        <v>71</v>
      </c>
      <c r="AG7" s="171" t="str">
        <f>+AF7</f>
        <v>budget vs prév.</v>
      </c>
      <c r="AH7" s="172" t="str">
        <f>+AG7</f>
        <v>budget vs prév.</v>
      </c>
      <c r="AI7" t="s">
        <v>72</v>
      </c>
    </row>
    <row r="8" spans="1:43">
      <c r="A8" s="173" t="s">
        <v>36</v>
      </c>
      <c r="B8" s="174">
        <v>21100</v>
      </c>
      <c r="C8" s="174">
        <v>121</v>
      </c>
      <c r="D8" s="175">
        <v>1720</v>
      </c>
      <c r="E8" s="176">
        <v>1980.84</v>
      </c>
      <c r="F8" s="176">
        <v>9709.27</v>
      </c>
      <c r="G8" s="177">
        <f>+D8-F8</f>
        <v>-7989.27</v>
      </c>
      <c r="H8" s="178"/>
      <c r="I8" s="176">
        <v>9260</v>
      </c>
      <c r="J8" s="176">
        <f>+F8-E8</f>
        <v>7728.43</v>
      </c>
      <c r="K8" s="176">
        <v>812.79</v>
      </c>
      <c r="L8" s="179">
        <f>+I8-K8</f>
        <v>8447.2099999999991</v>
      </c>
      <c r="M8" s="180">
        <f>1-K8/I8</f>
        <v>0.91222570194384445</v>
      </c>
      <c r="N8" s="181">
        <f>+K8-F8</f>
        <v>-8896.48</v>
      </c>
      <c r="O8" s="182"/>
      <c r="P8" s="176">
        <v>163.22</v>
      </c>
      <c r="Q8" s="183">
        <f>+O8-P8</f>
        <v>-163.22</v>
      </c>
      <c r="R8" s="184"/>
      <c r="S8" s="185"/>
      <c r="T8" s="185"/>
      <c r="U8" s="186">
        <v>1859.23</v>
      </c>
      <c r="V8" s="186">
        <v>1859.23</v>
      </c>
      <c r="W8" s="186">
        <v>7000</v>
      </c>
      <c r="X8" s="187">
        <v>1774.72</v>
      </c>
      <c r="Y8" s="186">
        <v>8105.46</v>
      </c>
      <c r="Z8" s="188">
        <f t="shared" ref="Z8:Z25" si="0">(+Y8-X8)/X8</f>
        <v>3.5671767940858277</v>
      </c>
      <c r="AA8" s="186">
        <f t="shared" ref="AA8:AA24" si="1">+W8-Y8</f>
        <v>-1105.46</v>
      </c>
      <c r="AB8" s="189">
        <f t="shared" ref="AB8:AB26" si="2">+Y8/W8</f>
        <v>1.1579228571428573</v>
      </c>
      <c r="AC8" s="190">
        <f>(Y8/X8*V8)</f>
        <v>8491.4321108681925</v>
      </c>
      <c r="AD8" s="191"/>
      <c r="AE8" s="192">
        <f>+Y8*365/$AQ$1</f>
        <v>12535.986864406779</v>
      </c>
      <c r="AF8" s="191">
        <f>+W8-AE8</f>
        <v>-5535.9868644067792</v>
      </c>
      <c r="AG8" s="193">
        <f t="shared" ref="AG8:AG24" si="3">+W8-AE8</f>
        <v>-5535.9868644067792</v>
      </c>
      <c r="AH8" s="194">
        <f>W8-AE8</f>
        <v>-5535.9868644067792</v>
      </c>
      <c r="AI8">
        <v>-4800</v>
      </c>
    </row>
    <row r="9" spans="1:43">
      <c r="A9" s="195" t="s">
        <v>73</v>
      </c>
      <c r="B9" s="196">
        <v>21200</v>
      </c>
      <c r="C9" s="196">
        <v>121</v>
      </c>
      <c r="D9" s="197">
        <v>425000</v>
      </c>
      <c r="E9" s="198">
        <v>442256.99</v>
      </c>
      <c r="F9" s="198">
        <v>582128.18000000005</v>
      </c>
      <c r="G9" s="199">
        <f t="shared" ref="G9:G24" si="4">+D9-F9</f>
        <v>-157128.18000000005</v>
      </c>
      <c r="H9" s="200"/>
      <c r="I9" s="198">
        <v>532130</v>
      </c>
      <c r="J9" s="198">
        <f t="shared" ref="J9:J24" si="5">+F9-E9</f>
        <v>139871.19000000006</v>
      </c>
      <c r="K9" s="198">
        <v>473330</v>
      </c>
      <c r="L9" s="201">
        <f t="shared" ref="L9:L24" si="6">+I9-K9</f>
        <v>58800</v>
      </c>
      <c r="M9" s="202">
        <f t="shared" ref="M9:M24" si="7">1-K9/I9</f>
        <v>0.11049931407738711</v>
      </c>
      <c r="N9" s="203">
        <f t="shared" ref="N9:N24" si="8">+K9-F9</f>
        <v>-108798.18000000005</v>
      </c>
      <c r="O9" s="204">
        <v>425000</v>
      </c>
      <c r="P9" s="198">
        <v>389462</v>
      </c>
      <c r="Q9" s="205">
        <f t="shared" ref="Q9:Q24" si="9">+O9-P9</f>
        <v>35538</v>
      </c>
      <c r="R9" s="206">
        <f t="shared" ref="R9:R24" si="10">1-Q9/O9</f>
        <v>0.91638117647058825</v>
      </c>
      <c r="S9" s="207">
        <v>526038.46</v>
      </c>
      <c r="T9" s="207">
        <f>+S9-66965.2</f>
        <v>459073.25999999995</v>
      </c>
      <c r="U9" s="208">
        <f>517403.5</f>
        <v>517403.5</v>
      </c>
      <c r="V9" s="208">
        <f>517403.5-96393</f>
        <v>421010.5</v>
      </c>
      <c r="W9" s="208">
        <v>505000</v>
      </c>
      <c r="X9" s="209">
        <f>373326.34-96393</f>
        <v>276933.34000000003</v>
      </c>
      <c r="Y9" s="208">
        <f>361639.96-71757.28*0.9</f>
        <v>297058.408</v>
      </c>
      <c r="Z9" s="210">
        <f t="shared" si="0"/>
        <v>7.2671163392605487E-2</v>
      </c>
      <c r="AA9" s="208">
        <f t="shared" si="1"/>
        <v>207941.592</v>
      </c>
      <c r="AB9" s="211">
        <f t="shared" si="2"/>
        <v>0.58823447128712869</v>
      </c>
      <c r="AC9" s="212">
        <f>(Y9/X9*V9)+71757.28*0.9</f>
        <v>516187.37483550253</v>
      </c>
      <c r="AD9" s="213">
        <f>Y9/6*26</f>
        <v>1287253.1013333332</v>
      </c>
      <c r="AE9" s="214">
        <f>+Y9*365/$AQ$1+(71757.28*0.9)</f>
        <v>524015.10674576275</v>
      </c>
      <c r="AF9" s="191">
        <f t="shared" ref="AF9:AF24" si="11">+W9-AC9</f>
        <v>-11187.374835502531</v>
      </c>
      <c r="AG9" s="193">
        <f t="shared" si="3"/>
        <v>-19015.106745762751</v>
      </c>
      <c r="AH9" s="194">
        <f>W9-AC9</f>
        <v>-11187.374835502531</v>
      </c>
      <c r="AI9">
        <v>57000</v>
      </c>
    </row>
    <row r="10" spans="1:43">
      <c r="A10" s="215" t="s">
        <v>27</v>
      </c>
      <c r="B10" s="216">
        <v>21300</v>
      </c>
      <c r="C10" s="216">
        <v>121</v>
      </c>
      <c r="D10" s="217">
        <v>36490</v>
      </c>
      <c r="E10" s="218">
        <v>35462.519999999997</v>
      </c>
      <c r="F10" s="218">
        <v>36256.33</v>
      </c>
      <c r="G10" s="219">
        <f t="shared" si="4"/>
        <v>233.66999999999825</v>
      </c>
      <c r="H10" s="220"/>
      <c r="I10" s="218">
        <v>37980</v>
      </c>
      <c r="J10" s="218">
        <f t="shared" si="5"/>
        <v>793.81000000000495</v>
      </c>
      <c r="K10" s="218">
        <v>46891.12</v>
      </c>
      <c r="L10" s="221">
        <f t="shared" si="6"/>
        <v>-8911.1200000000026</v>
      </c>
      <c r="M10" s="222">
        <f t="shared" si="7"/>
        <v>-0.23462664560294888</v>
      </c>
      <c r="N10" s="223">
        <f t="shared" si="8"/>
        <v>10634.79</v>
      </c>
      <c r="O10" s="224">
        <v>36490</v>
      </c>
      <c r="P10" s="218">
        <v>36198</v>
      </c>
      <c r="Q10" s="225">
        <f t="shared" si="9"/>
        <v>292</v>
      </c>
      <c r="R10" s="226">
        <f t="shared" si="10"/>
        <v>0.99199780761852563</v>
      </c>
      <c r="S10" s="185">
        <v>42332.480000000003</v>
      </c>
      <c r="T10" s="185">
        <f>+S10-4622.8</f>
        <v>37709.68</v>
      </c>
      <c r="U10" s="186">
        <f>37230.53</f>
        <v>37230.53</v>
      </c>
      <c r="V10" s="186">
        <f>37230.53-6373.76</f>
        <v>30856.769999999997</v>
      </c>
      <c r="W10" s="186">
        <v>40500</v>
      </c>
      <c r="X10" s="227">
        <f>19175.38-6373.76</f>
        <v>12801.62</v>
      </c>
      <c r="Y10" s="186">
        <f>17451.83-7284.7*0.9</f>
        <v>10895.600000000002</v>
      </c>
      <c r="Z10" s="188">
        <f t="shared" si="0"/>
        <v>-0.14888896873989374</v>
      </c>
      <c r="AA10" s="186">
        <f t="shared" si="1"/>
        <v>29604.399999999998</v>
      </c>
      <c r="AB10" s="189">
        <f t="shared" si="2"/>
        <v>0.26902716049382719</v>
      </c>
      <c r="AC10" s="212">
        <f>(Y10/X10*V10)+7284.7*0.9</f>
        <v>32818.767336055906</v>
      </c>
      <c r="AD10" s="213">
        <f t="shared" ref="AD10:AD24" si="12">Y10/6*26</f>
        <v>47214.266666666677</v>
      </c>
      <c r="AE10" s="214">
        <f>+Y10*365/$AQ$1+7284.7*0.9</f>
        <v>23407.475762711867</v>
      </c>
      <c r="AF10" s="191">
        <f t="shared" si="11"/>
        <v>7681.2326639440944</v>
      </c>
      <c r="AG10" s="193">
        <f t="shared" si="3"/>
        <v>17092.524237288133</v>
      </c>
      <c r="AH10" s="194">
        <f>W10-AC10</f>
        <v>7681.2326639440944</v>
      </c>
      <c r="AI10">
        <v>-7200</v>
      </c>
    </row>
    <row r="11" spans="1:43">
      <c r="A11" s="195" t="s">
        <v>0</v>
      </c>
      <c r="B11" s="196">
        <v>21400</v>
      </c>
      <c r="C11" s="196">
        <v>121</v>
      </c>
      <c r="D11" s="197">
        <v>606780</v>
      </c>
      <c r="E11" s="198">
        <v>700126.31</v>
      </c>
      <c r="F11" s="198">
        <v>729597.05</v>
      </c>
      <c r="G11" s="199">
        <f t="shared" si="4"/>
        <v>-122817.05000000005</v>
      </c>
      <c r="H11" s="200"/>
      <c r="I11" s="198">
        <v>639370</v>
      </c>
      <c r="J11" s="198">
        <f t="shared" si="5"/>
        <v>29470.739999999991</v>
      </c>
      <c r="K11" s="198">
        <v>739852</v>
      </c>
      <c r="L11" s="201">
        <f t="shared" si="6"/>
        <v>-100482</v>
      </c>
      <c r="M11" s="202">
        <f t="shared" si="7"/>
        <v>-0.15715782723618554</v>
      </c>
      <c r="N11" s="203">
        <f t="shared" si="8"/>
        <v>10254.949999999953</v>
      </c>
      <c r="O11" s="204">
        <f>606780+10000</f>
        <v>616780</v>
      </c>
      <c r="P11" s="198">
        <v>518351</v>
      </c>
      <c r="Q11" s="205">
        <f t="shared" si="9"/>
        <v>98429</v>
      </c>
      <c r="R11" s="206">
        <f t="shared" si="10"/>
        <v>0.8404147345893187</v>
      </c>
      <c r="S11" s="207">
        <v>620211.81000000006</v>
      </c>
      <c r="T11" s="207">
        <f>+S11-86682.7</f>
        <v>533529.1100000001</v>
      </c>
      <c r="U11" s="208">
        <f>654410.83</f>
        <v>654410.82999999996</v>
      </c>
      <c r="V11" s="208">
        <f>654410.83-143592</f>
        <v>510818.82999999996</v>
      </c>
      <c r="W11" s="208">
        <v>631050</v>
      </c>
      <c r="X11" s="209">
        <f>433072.19-143592</f>
        <v>289480.19</v>
      </c>
      <c r="Y11" s="208">
        <f>436303.49-134812*0.9</f>
        <v>314972.69</v>
      </c>
      <c r="Z11" s="210">
        <f t="shared" si="0"/>
        <v>8.8063020823635638E-2</v>
      </c>
      <c r="AA11" s="208">
        <f t="shared" si="1"/>
        <v>316077.31</v>
      </c>
      <c r="AB11" s="211">
        <f t="shared" si="2"/>
        <v>0.49912477616670631</v>
      </c>
      <c r="AC11" s="212">
        <f>(Y11/X11*V11)+134812*0.9</f>
        <v>677133.87926339521</v>
      </c>
      <c r="AD11" s="213">
        <f t="shared" si="12"/>
        <v>1364881.6566666667</v>
      </c>
      <c r="AE11" s="214">
        <f>+Y11*365/$AQ$1+134812*0.9</f>
        <v>608470.7654661017</v>
      </c>
      <c r="AF11" s="191">
        <f t="shared" si="11"/>
        <v>-46083.879263395211</v>
      </c>
      <c r="AG11" s="193">
        <f t="shared" si="3"/>
        <v>22579.2345338983</v>
      </c>
      <c r="AH11" s="194">
        <f>W11-AC11</f>
        <v>-46083.879263395211</v>
      </c>
      <c r="AI11">
        <v>-176700</v>
      </c>
    </row>
    <row r="12" spans="1:43">
      <c r="A12" s="195"/>
      <c r="B12" s="196">
        <v>21400</v>
      </c>
      <c r="C12" s="196">
        <v>141</v>
      </c>
      <c r="D12" s="197"/>
      <c r="E12" s="198"/>
      <c r="F12" s="198"/>
      <c r="G12" s="199"/>
      <c r="H12" s="200"/>
      <c r="I12" s="198"/>
      <c r="J12" s="198"/>
      <c r="K12" s="198"/>
      <c r="L12" s="201"/>
      <c r="M12" s="202"/>
      <c r="N12" s="203"/>
      <c r="O12" s="204"/>
      <c r="P12" s="198"/>
      <c r="Q12" s="205"/>
      <c r="R12" s="206"/>
      <c r="S12" s="207"/>
      <c r="T12" s="207"/>
      <c r="U12" s="208"/>
      <c r="V12" s="208"/>
      <c r="W12" s="208">
        <v>2000</v>
      </c>
      <c r="X12" s="209">
        <v>0</v>
      </c>
      <c r="Y12" s="208">
        <v>0</v>
      </c>
      <c r="Z12" s="210" t="e">
        <f t="shared" si="0"/>
        <v>#DIV/0!</v>
      </c>
      <c r="AA12" s="208"/>
      <c r="AB12" s="211"/>
      <c r="AC12" s="212"/>
      <c r="AD12" s="213"/>
      <c r="AE12" s="214"/>
      <c r="AF12" s="191"/>
      <c r="AG12" s="193">
        <f t="shared" si="3"/>
        <v>2000</v>
      </c>
      <c r="AH12" s="194">
        <f>W12-AC12</f>
        <v>2000</v>
      </c>
    </row>
    <row r="13" spans="1:43">
      <c r="A13" s="215" t="s">
        <v>14</v>
      </c>
      <c r="B13" s="216">
        <v>21420</v>
      </c>
      <c r="C13" s="216">
        <v>121</v>
      </c>
      <c r="D13" s="217">
        <v>16000</v>
      </c>
      <c r="E13" s="218">
        <v>4610.01</v>
      </c>
      <c r="F13" s="218">
        <v>2082.52</v>
      </c>
      <c r="G13" s="219">
        <f t="shared" si="4"/>
        <v>13917.48</v>
      </c>
      <c r="H13" s="220"/>
      <c r="I13" s="218">
        <v>4110</v>
      </c>
      <c r="J13" s="218">
        <f t="shared" si="5"/>
        <v>-2527.4900000000002</v>
      </c>
      <c r="K13" s="218">
        <v>4515.43</v>
      </c>
      <c r="L13" s="221">
        <f t="shared" si="6"/>
        <v>-405.43000000000029</v>
      </c>
      <c r="M13" s="222">
        <f t="shared" si="7"/>
        <v>-9.8644768856447795E-2</v>
      </c>
      <c r="N13" s="223">
        <f t="shared" si="8"/>
        <v>2432.9100000000003</v>
      </c>
      <c r="O13" s="224">
        <v>16000</v>
      </c>
      <c r="P13" s="218">
        <v>16884</v>
      </c>
      <c r="Q13" s="225">
        <f t="shared" si="9"/>
        <v>-884</v>
      </c>
      <c r="R13" s="226">
        <f t="shared" si="10"/>
        <v>1.05525</v>
      </c>
      <c r="S13" s="185">
        <v>12546.16</v>
      </c>
      <c r="T13" s="185">
        <f>+S13-2626.89</f>
        <v>9919.27</v>
      </c>
      <c r="U13" s="186">
        <f>13054.19</f>
        <v>13054.19</v>
      </c>
      <c r="V13" s="186">
        <f>13054.19</f>
        <v>13054.19</v>
      </c>
      <c r="W13" s="186">
        <v>18980</v>
      </c>
      <c r="X13" s="227">
        <f>7495.87-1242.47</f>
        <v>6253.4</v>
      </c>
      <c r="Y13" s="186">
        <f>8098.96-547.44*0.9</f>
        <v>7606.2640000000001</v>
      </c>
      <c r="Z13" s="188">
        <f t="shared" si="0"/>
        <v>0.21634055074039732</v>
      </c>
      <c r="AA13" s="186">
        <f t="shared" si="1"/>
        <v>11373.736000000001</v>
      </c>
      <c r="AB13" s="189">
        <f t="shared" si="2"/>
        <v>0.40075152792413066</v>
      </c>
      <c r="AC13" s="190">
        <f>(Y13/X13*T13)+547.44*0.9</f>
        <v>12557.9063347427</v>
      </c>
      <c r="AD13" s="213">
        <f t="shared" si="12"/>
        <v>32960.477333333329</v>
      </c>
      <c r="AE13" s="228">
        <v>18980</v>
      </c>
      <c r="AF13" s="191">
        <f t="shared" si="11"/>
        <v>6422.0936652573</v>
      </c>
      <c r="AG13" s="193">
        <f t="shared" si="3"/>
        <v>0</v>
      </c>
      <c r="AH13" s="194">
        <f>W13-AE13</f>
        <v>0</v>
      </c>
      <c r="AI13">
        <v>-9400</v>
      </c>
    </row>
    <row r="14" spans="1:43">
      <c r="A14" s="195" t="s">
        <v>2</v>
      </c>
      <c r="B14" s="196">
        <v>21421</v>
      </c>
      <c r="C14" s="196">
        <v>121</v>
      </c>
      <c r="D14" s="197"/>
      <c r="E14" s="198"/>
      <c r="F14" s="198">
        <v>4060</v>
      </c>
      <c r="G14" s="199"/>
      <c r="H14" s="200"/>
      <c r="I14" s="198">
        <v>12000</v>
      </c>
      <c r="J14" s="198">
        <f t="shared" si="5"/>
        <v>4060</v>
      </c>
      <c r="K14" s="198">
        <v>16787.5</v>
      </c>
      <c r="L14" s="201">
        <f t="shared" si="6"/>
        <v>-4787.5</v>
      </c>
      <c r="M14" s="202">
        <f t="shared" si="7"/>
        <v>-0.3989583333333333</v>
      </c>
      <c r="N14" s="203">
        <f t="shared" si="8"/>
        <v>12727.5</v>
      </c>
      <c r="O14" s="204">
        <v>25000</v>
      </c>
      <c r="P14" s="198">
        <v>27980</v>
      </c>
      <c r="Q14" s="205">
        <f t="shared" si="9"/>
        <v>-2980</v>
      </c>
      <c r="R14" s="206">
        <f t="shared" si="10"/>
        <v>1.1192</v>
      </c>
      <c r="S14" s="207">
        <v>58485.47</v>
      </c>
      <c r="T14" s="207">
        <f>+S14-24650.24</f>
        <v>33835.229999999996</v>
      </c>
      <c r="U14" s="208">
        <f>38451.53</f>
        <v>38451.53</v>
      </c>
      <c r="V14" s="208">
        <f>38451.53-8300</f>
        <v>30151.53</v>
      </c>
      <c r="W14" s="208">
        <v>29660</v>
      </c>
      <c r="X14" s="209">
        <f>30671.74-8300</f>
        <v>22371.74</v>
      </c>
      <c r="Y14" s="208">
        <f>27450.37-10476.97*0.9</f>
        <v>18021.097000000002</v>
      </c>
      <c r="Z14" s="210">
        <f t="shared" si="0"/>
        <v>-0.19447047927429872</v>
      </c>
      <c r="AA14" s="208">
        <f t="shared" si="1"/>
        <v>11638.902999999998</v>
      </c>
      <c r="AB14" s="211">
        <f t="shared" si="2"/>
        <v>0.60758924477410658</v>
      </c>
      <c r="AC14" s="190">
        <f>(Y14/X14*T14)+10476.97*0.9</f>
        <v>36684.549605543863</v>
      </c>
      <c r="AD14" s="213">
        <f t="shared" si="12"/>
        <v>78091.420333333343</v>
      </c>
      <c r="AE14" s="228">
        <f>W14</f>
        <v>29660</v>
      </c>
      <c r="AF14" s="191">
        <f t="shared" si="11"/>
        <v>-7024.5496055438634</v>
      </c>
      <c r="AG14" s="193">
        <f t="shared" si="3"/>
        <v>0</v>
      </c>
      <c r="AH14" s="194">
        <f>W14-AE14</f>
        <v>0</v>
      </c>
      <c r="AI14">
        <v>3500</v>
      </c>
    </row>
    <row r="15" spans="1:43">
      <c r="A15" s="215" t="s">
        <v>32</v>
      </c>
      <c r="B15" s="216">
        <v>21600</v>
      </c>
      <c r="C15" s="216">
        <v>121</v>
      </c>
      <c r="D15" s="217">
        <v>305630</v>
      </c>
      <c r="E15" s="218">
        <v>271988.07</v>
      </c>
      <c r="F15" s="218">
        <v>276906.57</v>
      </c>
      <c r="G15" s="219">
        <f t="shared" si="4"/>
        <v>28723.429999999993</v>
      </c>
      <c r="H15" s="220"/>
      <c r="I15" s="218">
        <v>228750</v>
      </c>
      <c r="J15" s="218">
        <f t="shared" si="5"/>
        <v>4918.5</v>
      </c>
      <c r="K15" s="218">
        <v>119466.01</v>
      </c>
      <c r="L15" s="221">
        <f t="shared" si="6"/>
        <v>109283.99</v>
      </c>
      <c r="M15" s="222">
        <f t="shared" si="7"/>
        <v>0.47774421857923499</v>
      </c>
      <c r="N15" s="223">
        <f t="shared" si="8"/>
        <v>-157440.56</v>
      </c>
      <c r="O15" s="224">
        <v>178310</v>
      </c>
      <c r="P15" s="218">
        <v>151196</v>
      </c>
      <c r="Q15" s="225">
        <f t="shared" si="9"/>
        <v>27114</v>
      </c>
      <c r="R15" s="226">
        <f t="shared" si="10"/>
        <v>0.84793898267062984</v>
      </c>
      <c r="S15" s="185"/>
      <c r="T15" s="185"/>
      <c r="U15" s="186">
        <f>7407.19</f>
        <v>7407.19</v>
      </c>
      <c r="V15" s="186">
        <f>7407.19</f>
        <v>7407.19</v>
      </c>
      <c r="W15" s="186">
        <v>2750</v>
      </c>
      <c r="X15" s="227">
        <v>4540.26</v>
      </c>
      <c r="Y15" s="186">
        <f>2375.8-968.94*0.9</f>
        <v>1503.7540000000001</v>
      </c>
      <c r="Z15" s="188">
        <f t="shared" si="0"/>
        <v>-0.66879561963411793</v>
      </c>
      <c r="AA15" s="186">
        <f t="shared" si="1"/>
        <v>1246.2459999999999</v>
      </c>
      <c r="AB15" s="189">
        <f t="shared" si="2"/>
        <v>0.5468196363636364</v>
      </c>
      <c r="AC15" s="190">
        <f>(Y15/X15*T15)+968.94*0.9</f>
        <v>872.04600000000005</v>
      </c>
      <c r="AD15" s="213">
        <f t="shared" si="12"/>
        <v>6516.2673333333341</v>
      </c>
      <c r="AE15" s="229">
        <f>+Y15*365/$AQ$1+969.94*0.9</f>
        <v>3198.6672288135596</v>
      </c>
      <c r="AF15" s="191">
        <f t="shared" si="11"/>
        <v>1877.954</v>
      </c>
      <c r="AG15" s="193">
        <f t="shared" si="3"/>
        <v>-448.66722881355963</v>
      </c>
      <c r="AH15" s="194">
        <f>W15-AE15</f>
        <v>-448.66722881355963</v>
      </c>
      <c r="AI15">
        <v>500</v>
      </c>
    </row>
    <row r="16" spans="1:43">
      <c r="A16" s="195" t="s">
        <v>74</v>
      </c>
      <c r="B16" s="196">
        <v>21602</v>
      </c>
      <c r="C16" s="196">
        <v>121</v>
      </c>
      <c r="D16" s="197"/>
      <c r="E16" s="198"/>
      <c r="F16" s="198"/>
      <c r="G16" s="199"/>
      <c r="H16" s="200"/>
      <c r="I16" s="198"/>
      <c r="J16" s="198"/>
      <c r="K16" s="198"/>
      <c r="L16" s="201"/>
      <c r="M16" s="202"/>
      <c r="N16" s="203"/>
      <c r="O16" s="204"/>
      <c r="P16" s="198">
        <v>19606</v>
      </c>
      <c r="Q16" s="205"/>
      <c r="R16" s="206"/>
      <c r="S16" s="207">
        <v>72305.8</v>
      </c>
      <c r="T16" s="207">
        <f>+S16-7738.49</f>
        <v>64567.310000000005</v>
      </c>
      <c r="U16" s="208">
        <f>127168.21</f>
        <v>127168.21</v>
      </c>
      <c r="V16" s="208">
        <f>127168.21</f>
        <v>127168.21</v>
      </c>
      <c r="W16" s="208">
        <v>339950</v>
      </c>
      <c r="X16" s="71">
        <v>85599.84</v>
      </c>
      <c r="Y16" s="208">
        <f>175564.34-52194*0.9</f>
        <v>128589.73999999999</v>
      </c>
      <c r="Z16" s="210">
        <f t="shared" si="0"/>
        <v>0.5022193966717694</v>
      </c>
      <c r="AA16" s="208">
        <f t="shared" si="1"/>
        <v>211360.26</v>
      </c>
      <c r="AB16" s="211">
        <f t="shared" si="2"/>
        <v>0.37826074422709222</v>
      </c>
      <c r="AC16" s="212">
        <f>(Y16/X16*V16)+52194*0.9</f>
        <v>238009.15170202887</v>
      </c>
      <c r="AD16" s="213">
        <f t="shared" si="12"/>
        <v>557222.20666666667</v>
      </c>
      <c r="AE16" s="214">
        <f>+Y16*365/$AQ$1+52194*0.9</f>
        <v>245852.79957627118</v>
      </c>
      <c r="AF16" s="191">
        <f t="shared" si="11"/>
        <v>101940.84829797113</v>
      </c>
      <c r="AG16" s="193">
        <f t="shared" si="3"/>
        <v>94097.20042372882</v>
      </c>
      <c r="AH16" s="194">
        <f>W16-AC16</f>
        <v>101940.84829797113</v>
      </c>
      <c r="AI16">
        <v>-165400</v>
      </c>
    </row>
    <row r="17" spans="1:35">
      <c r="A17" s="230" t="s">
        <v>75</v>
      </c>
      <c r="B17" s="216">
        <v>21603</v>
      </c>
      <c r="C17" s="216">
        <v>121</v>
      </c>
      <c r="D17" s="217"/>
      <c r="E17" s="218"/>
      <c r="F17" s="218"/>
      <c r="G17" s="219"/>
      <c r="H17" s="220"/>
      <c r="I17" s="218"/>
      <c r="J17" s="218"/>
      <c r="K17" s="218">
        <v>142000</v>
      </c>
      <c r="L17" s="221"/>
      <c r="M17" s="222"/>
      <c r="N17" s="223"/>
      <c r="O17" s="224"/>
      <c r="P17" s="218"/>
      <c r="Q17" s="225"/>
      <c r="R17" s="226"/>
      <c r="S17" s="185">
        <v>127249.33</v>
      </c>
      <c r="T17" s="185">
        <f>+S17-1119.6</f>
        <v>126129.73</v>
      </c>
      <c r="U17" s="186">
        <v>199777.69</v>
      </c>
      <c r="V17" s="186">
        <v>199777.69</v>
      </c>
      <c r="W17" s="186">
        <v>200000</v>
      </c>
      <c r="X17" s="72">
        <v>111514.83</v>
      </c>
      <c r="Y17" s="186">
        <f>190011.39-5173.41*0.9</f>
        <v>185355.32100000003</v>
      </c>
      <c r="Z17" s="188">
        <f t="shared" si="0"/>
        <v>0.66215848600585248</v>
      </c>
      <c r="AA17" s="186">
        <f t="shared" si="1"/>
        <v>14644.678999999975</v>
      </c>
      <c r="AB17" s="189">
        <f t="shared" si="2"/>
        <v>0.92677660500000014</v>
      </c>
      <c r="AC17" s="212">
        <v>250000</v>
      </c>
      <c r="AD17" s="213"/>
      <c r="AE17" s="214">
        <f>+Y17*365/$AQ$1+5173.41*0.9</f>
        <v>291328.49342796614</v>
      </c>
      <c r="AF17" s="191">
        <f t="shared" si="11"/>
        <v>-50000</v>
      </c>
      <c r="AG17" s="193">
        <f t="shared" si="3"/>
        <v>-91328.493427966139</v>
      </c>
      <c r="AH17" s="194">
        <f>W17-AC17</f>
        <v>-50000</v>
      </c>
      <c r="AI17">
        <v>5000</v>
      </c>
    </row>
    <row r="18" spans="1:35">
      <c r="A18" s="195" t="s">
        <v>76</v>
      </c>
      <c r="B18" s="196">
        <v>21610</v>
      </c>
      <c r="C18" s="196">
        <v>121</v>
      </c>
      <c r="D18" s="197">
        <v>23910</v>
      </c>
      <c r="E18" s="198">
        <v>112781.43</v>
      </c>
      <c r="F18" s="198">
        <v>17736.650000000001</v>
      </c>
      <c r="G18" s="199">
        <f t="shared" si="4"/>
        <v>6173.3499999999985</v>
      </c>
      <c r="H18" s="200"/>
      <c r="I18" s="198">
        <v>24750</v>
      </c>
      <c r="J18" s="198">
        <f t="shared" si="5"/>
        <v>-95044.78</v>
      </c>
      <c r="K18" s="198">
        <v>29496</v>
      </c>
      <c r="L18" s="201">
        <f t="shared" si="6"/>
        <v>-4746</v>
      </c>
      <c r="M18" s="202">
        <f t="shared" si="7"/>
        <v>-0.19175757575757579</v>
      </c>
      <c r="N18" s="203">
        <f t="shared" si="8"/>
        <v>11759.349999999999</v>
      </c>
      <c r="O18" s="204">
        <v>23910</v>
      </c>
      <c r="P18" s="198">
        <v>45080</v>
      </c>
      <c r="Q18" s="205">
        <f t="shared" si="9"/>
        <v>-21170</v>
      </c>
      <c r="R18" s="206">
        <f t="shared" si="10"/>
        <v>1.8854035968214138</v>
      </c>
      <c r="S18" s="207">
        <v>20697.169999999998</v>
      </c>
      <c r="T18" s="207">
        <f t="shared" ref="T18:T23" si="13">+S18</f>
        <v>20697.169999999998</v>
      </c>
      <c r="U18" s="208">
        <v>274596.74</v>
      </c>
      <c r="V18" s="208">
        <v>274596.74</v>
      </c>
      <c r="W18" s="208">
        <v>29000</v>
      </c>
      <c r="X18" s="209">
        <v>283417.90000000002</v>
      </c>
      <c r="Y18" s="208">
        <v>9335.11</v>
      </c>
      <c r="Z18" s="210">
        <f t="shared" si="0"/>
        <v>-0.96706238385084364</v>
      </c>
      <c r="AA18" s="208">
        <f t="shared" si="1"/>
        <v>19664.89</v>
      </c>
      <c r="AB18" s="211">
        <f t="shared" si="2"/>
        <v>0.32190034482758623</v>
      </c>
      <c r="AC18" s="190">
        <f>(Y18/X18*T18)+5173.41*0.9</f>
        <v>5337.784440833836</v>
      </c>
      <c r="AD18" s="213">
        <f t="shared" si="12"/>
        <v>40452.143333333333</v>
      </c>
      <c r="AE18" s="231">
        <v>29000</v>
      </c>
      <c r="AF18" s="191">
        <f t="shared" si="11"/>
        <v>23662.215559166165</v>
      </c>
      <c r="AG18" s="193">
        <f t="shared" si="3"/>
        <v>0</v>
      </c>
      <c r="AH18" s="194">
        <f>W18-AE18</f>
        <v>0</v>
      </c>
      <c r="AI18">
        <f>387000-12600</f>
        <v>374400</v>
      </c>
    </row>
    <row r="19" spans="1:35">
      <c r="A19" s="215" t="s">
        <v>28</v>
      </c>
      <c r="B19" s="216">
        <v>21611</v>
      </c>
      <c r="C19" s="216">
        <v>121</v>
      </c>
      <c r="D19" s="217">
        <v>71460</v>
      </c>
      <c r="E19" s="218">
        <v>27274.639999999999</v>
      </c>
      <c r="F19" s="218">
        <v>463.62</v>
      </c>
      <c r="G19" s="219">
        <f t="shared" si="4"/>
        <v>70996.38</v>
      </c>
      <c r="H19" s="220"/>
      <c r="I19" s="218">
        <v>25000</v>
      </c>
      <c r="J19" s="218">
        <f t="shared" si="5"/>
        <v>-26811.02</v>
      </c>
      <c r="K19" s="218">
        <v>6625.15</v>
      </c>
      <c r="L19" s="221">
        <f t="shared" si="6"/>
        <v>18374.849999999999</v>
      </c>
      <c r="M19" s="222">
        <f t="shared" si="7"/>
        <v>0.73499400000000004</v>
      </c>
      <c r="N19" s="223">
        <f t="shared" si="8"/>
        <v>6161.53</v>
      </c>
      <c r="O19" s="224">
        <v>71460</v>
      </c>
      <c r="P19" s="218">
        <v>30979</v>
      </c>
      <c r="Q19" s="225">
        <f t="shared" si="9"/>
        <v>40481</v>
      </c>
      <c r="R19" s="226">
        <f t="shared" si="10"/>
        <v>0.433515253288553</v>
      </c>
      <c r="S19" s="185">
        <v>12629.46</v>
      </c>
      <c r="T19" s="185">
        <f t="shared" si="13"/>
        <v>12629.46</v>
      </c>
      <c r="U19" s="186">
        <v>80899.67</v>
      </c>
      <c r="V19" s="186">
        <v>80899.67</v>
      </c>
      <c r="W19" s="186">
        <v>78290</v>
      </c>
      <c r="X19" s="227">
        <v>60673.24</v>
      </c>
      <c r="Y19" s="186">
        <v>10336.66</v>
      </c>
      <c r="Z19" s="188">
        <f t="shared" si="0"/>
        <v>-0.82963395394740747</v>
      </c>
      <c r="AA19" s="186">
        <f t="shared" si="1"/>
        <v>67953.34</v>
      </c>
      <c r="AB19" s="189">
        <f t="shared" si="2"/>
        <v>0.13203039979563164</v>
      </c>
      <c r="AC19" s="191"/>
      <c r="AD19" s="213">
        <f t="shared" si="12"/>
        <v>44792.193333333329</v>
      </c>
      <c r="AE19" s="231">
        <f>+Y19*365/$AQ$1</f>
        <v>15986.78347457627</v>
      </c>
      <c r="AF19" s="191">
        <f t="shared" si="11"/>
        <v>78290</v>
      </c>
      <c r="AG19" s="193">
        <f t="shared" si="3"/>
        <v>62303.216525423733</v>
      </c>
      <c r="AH19" s="194">
        <f>W19-AE19</f>
        <v>62303.216525423733</v>
      </c>
      <c r="AI19">
        <v>5300</v>
      </c>
    </row>
    <row r="20" spans="1:35">
      <c r="A20" s="195" t="s">
        <v>77</v>
      </c>
      <c r="B20" s="196">
        <v>21620</v>
      </c>
      <c r="C20" s="196">
        <v>121</v>
      </c>
      <c r="D20" s="197">
        <v>70290</v>
      </c>
      <c r="E20" s="198">
        <v>89795.83</v>
      </c>
      <c r="F20" s="198">
        <v>104611.78</v>
      </c>
      <c r="G20" s="199">
        <f t="shared" si="4"/>
        <v>-34321.78</v>
      </c>
      <c r="H20" s="200"/>
      <c r="I20" s="198">
        <v>75050</v>
      </c>
      <c r="J20" s="198">
        <f t="shared" si="5"/>
        <v>14815.949999999997</v>
      </c>
      <c r="K20" s="198">
        <v>110173.26</v>
      </c>
      <c r="L20" s="201">
        <f t="shared" si="6"/>
        <v>-35123.259999999995</v>
      </c>
      <c r="M20" s="202">
        <f t="shared" si="7"/>
        <v>-0.46799813457694861</v>
      </c>
      <c r="N20" s="203">
        <f t="shared" si="8"/>
        <v>5561.4799999999959</v>
      </c>
      <c r="O20" s="204">
        <v>70290</v>
      </c>
      <c r="P20" s="198">
        <v>101399</v>
      </c>
      <c r="Q20" s="205">
        <f t="shared" si="9"/>
        <v>-31109</v>
      </c>
      <c r="R20" s="206">
        <f t="shared" si="10"/>
        <v>1.4425807369469341</v>
      </c>
      <c r="S20" s="207">
        <v>100302.16</v>
      </c>
      <c r="T20" s="207">
        <f t="shared" si="13"/>
        <v>100302.16</v>
      </c>
      <c r="U20" s="208">
        <v>74791.86</v>
      </c>
      <c r="V20" s="208">
        <v>74791.86</v>
      </c>
      <c r="W20" s="208">
        <v>78560</v>
      </c>
      <c r="X20" s="209">
        <v>44839</v>
      </c>
      <c r="Y20" s="208">
        <v>54201.81</v>
      </c>
      <c r="Z20" s="210">
        <f t="shared" si="0"/>
        <v>0.20880951849952045</v>
      </c>
      <c r="AA20" s="208">
        <f t="shared" si="1"/>
        <v>24358.190000000002</v>
      </c>
      <c r="AB20" s="211">
        <f t="shared" si="2"/>
        <v>0.68994157331975559</v>
      </c>
      <c r="AC20" s="232">
        <f>(Y20/X20*V20)</f>
        <v>90409.112274283543</v>
      </c>
      <c r="AD20" s="213">
        <f t="shared" si="12"/>
        <v>234874.51</v>
      </c>
      <c r="AE20" s="214">
        <f>+Y20*365/$AQ$1</f>
        <v>83829.070550847449</v>
      </c>
      <c r="AF20" s="191">
        <f t="shared" si="11"/>
        <v>-11849.112274283543</v>
      </c>
      <c r="AG20" s="193">
        <f t="shared" si="3"/>
        <v>-5269.0705508474493</v>
      </c>
      <c r="AH20" s="194">
        <f>W20-AC20</f>
        <v>-11849.112274283543</v>
      </c>
      <c r="AI20">
        <v>-2300</v>
      </c>
    </row>
    <row r="21" spans="1:35">
      <c r="A21" s="215" t="s">
        <v>78</v>
      </c>
      <c r="B21" s="216">
        <v>21621</v>
      </c>
      <c r="C21" s="216">
        <v>121</v>
      </c>
      <c r="D21" s="217">
        <v>200000</v>
      </c>
      <c r="E21" s="218">
        <v>239471.39</v>
      </c>
      <c r="F21" s="218">
        <v>194532.56</v>
      </c>
      <c r="G21" s="219">
        <f t="shared" si="4"/>
        <v>5467.4400000000023</v>
      </c>
      <c r="H21" s="220"/>
      <c r="I21" s="218">
        <v>209470</v>
      </c>
      <c r="J21" s="218">
        <f t="shared" si="5"/>
        <v>-44938.830000000016</v>
      </c>
      <c r="K21" s="218">
        <v>266547.88</v>
      </c>
      <c r="L21" s="221">
        <f t="shared" si="6"/>
        <v>-57077.880000000005</v>
      </c>
      <c r="M21" s="222">
        <f t="shared" si="7"/>
        <v>-0.27248713419582749</v>
      </c>
      <c r="N21" s="223">
        <f t="shared" si="8"/>
        <v>72015.320000000007</v>
      </c>
      <c r="O21" s="224">
        <v>200000</v>
      </c>
      <c r="P21" s="218">
        <v>300155</v>
      </c>
      <c r="Q21" s="225">
        <f t="shared" si="9"/>
        <v>-100155</v>
      </c>
      <c r="R21" s="226">
        <f t="shared" si="10"/>
        <v>1.500775</v>
      </c>
      <c r="S21" s="185">
        <v>231757.46</v>
      </c>
      <c r="T21" s="185">
        <f t="shared" si="13"/>
        <v>231757.46</v>
      </c>
      <c r="U21" s="186">
        <v>187162.66</v>
      </c>
      <c r="V21" s="186">
        <v>187162.66</v>
      </c>
      <c r="W21" s="186">
        <v>200550</v>
      </c>
      <c r="X21" s="227">
        <v>109631.52</v>
      </c>
      <c r="Y21" s="186">
        <v>142553.75</v>
      </c>
      <c r="Z21" s="188">
        <f t="shared" si="0"/>
        <v>0.30029894687221337</v>
      </c>
      <c r="AA21" s="186">
        <f t="shared" si="1"/>
        <v>57996.25</v>
      </c>
      <c r="AB21" s="189">
        <f t="shared" si="2"/>
        <v>0.71081401146846168</v>
      </c>
      <c r="AC21" s="212">
        <f>(Y21/X21*V21)</f>
        <v>243367.40969180211</v>
      </c>
      <c r="AD21" s="213">
        <f t="shared" si="12"/>
        <v>617732.91666666663</v>
      </c>
      <c r="AE21" s="214">
        <f>+Y21*365/$AQ$1</f>
        <v>220475.07944915254</v>
      </c>
      <c r="AF21" s="191">
        <f t="shared" si="11"/>
        <v>-42817.40969180211</v>
      </c>
      <c r="AG21" s="193">
        <f t="shared" si="3"/>
        <v>-19925.079449152545</v>
      </c>
      <c r="AH21" s="194">
        <f>W21-AC21</f>
        <v>-42817.40969180211</v>
      </c>
      <c r="AI21">
        <v>-60000</v>
      </c>
    </row>
    <row r="22" spans="1:35">
      <c r="A22" s="195" t="s">
        <v>79</v>
      </c>
      <c r="B22" s="196">
        <v>21622</v>
      </c>
      <c r="C22" s="196">
        <v>121</v>
      </c>
      <c r="D22" s="197">
        <v>15000</v>
      </c>
      <c r="E22" s="198">
        <v>10922.09</v>
      </c>
      <c r="F22" s="198">
        <v>14627.09</v>
      </c>
      <c r="G22" s="199">
        <f t="shared" si="4"/>
        <v>372.90999999999985</v>
      </c>
      <c r="H22" s="200"/>
      <c r="I22" s="198">
        <v>15600</v>
      </c>
      <c r="J22" s="198">
        <f t="shared" si="5"/>
        <v>3705</v>
      </c>
      <c r="K22" s="198">
        <v>14849</v>
      </c>
      <c r="L22" s="201">
        <f t="shared" si="6"/>
        <v>751</v>
      </c>
      <c r="M22" s="202">
        <f t="shared" si="7"/>
        <v>4.8141025641025625E-2</v>
      </c>
      <c r="N22" s="203">
        <f t="shared" si="8"/>
        <v>221.90999999999985</v>
      </c>
      <c r="O22" s="204">
        <v>15000</v>
      </c>
      <c r="P22" s="198">
        <v>24304</v>
      </c>
      <c r="Q22" s="205">
        <f t="shared" si="9"/>
        <v>-9304</v>
      </c>
      <c r="R22" s="206">
        <f t="shared" si="10"/>
        <v>1.6202666666666667</v>
      </c>
      <c r="S22" s="207">
        <v>18898.95</v>
      </c>
      <c r="T22" s="207">
        <f t="shared" si="13"/>
        <v>18898.95</v>
      </c>
      <c r="U22" s="208">
        <f>15214.59</f>
        <v>15214.59</v>
      </c>
      <c r="V22" s="208">
        <f>15214.59</f>
        <v>15214.59</v>
      </c>
      <c r="W22" s="208">
        <v>14000</v>
      </c>
      <c r="X22" s="209">
        <v>6612.39</v>
      </c>
      <c r="Y22" s="208">
        <v>5650.43</v>
      </c>
      <c r="Z22" s="210">
        <f t="shared" si="0"/>
        <v>-0.14547841249533072</v>
      </c>
      <c r="AA22" s="208">
        <f t="shared" si="1"/>
        <v>8349.57</v>
      </c>
      <c r="AB22" s="211">
        <f t="shared" si="2"/>
        <v>0.40360214285714285</v>
      </c>
      <c r="AC22" s="212">
        <f>(Y22/X22*V22)</f>
        <v>13001.195600032666</v>
      </c>
      <c r="AD22" s="213">
        <f t="shared" si="12"/>
        <v>24485.196666666667</v>
      </c>
      <c r="AE22" s="214">
        <f>+Y22*365/$AQ$1+1075.89</f>
        <v>9814.9025000000001</v>
      </c>
      <c r="AF22" s="191">
        <f t="shared" si="11"/>
        <v>998.80439996733367</v>
      </c>
      <c r="AG22" s="193">
        <f t="shared" si="3"/>
        <v>4185.0974999999999</v>
      </c>
      <c r="AH22" s="194">
        <f>W22-AC22</f>
        <v>998.80439996733367</v>
      </c>
      <c r="AI22">
        <v>-5300</v>
      </c>
    </row>
    <row r="23" spans="1:35">
      <c r="A23" s="215" t="s">
        <v>80</v>
      </c>
      <c r="B23" s="216">
        <v>21700</v>
      </c>
      <c r="C23" s="216">
        <v>121</v>
      </c>
      <c r="D23" s="217">
        <v>56260</v>
      </c>
      <c r="E23" s="218">
        <v>73284.39</v>
      </c>
      <c r="F23" s="218">
        <v>61185.81</v>
      </c>
      <c r="G23" s="219">
        <f t="shared" si="4"/>
        <v>-4925.8099999999977</v>
      </c>
      <c r="H23" s="220"/>
      <c r="I23" s="218">
        <v>59690</v>
      </c>
      <c r="J23" s="218">
        <f t="shared" si="5"/>
        <v>-12098.580000000002</v>
      </c>
      <c r="K23" s="218">
        <v>36985.07</v>
      </c>
      <c r="L23" s="221">
        <f t="shared" si="6"/>
        <v>22704.93</v>
      </c>
      <c r="M23" s="222">
        <f t="shared" si="7"/>
        <v>0.38038080080415482</v>
      </c>
      <c r="N23" s="223">
        <f t="shared" si="8"/>
        <v>-24200.739999999998</v>
      </c>
      <c r="O23" s="224">
        <v>56260</v>
      </c>
      <c r="P23" s="218">
        <v>53332</v>
      </c>
      <c r="Q23" s="225">
        <f t="shared" si="9"/>
        <v>2928</v>
      </c>
      <c r="R23" s="226">
        <f t="shared" si="10"/>
        <v>0.94795591894774267</v>
      </c>
      <c r="S23" s="185">
        <v>73077.25</v>
      </c>
      <c r="T23" s="185">
        <f t="shared" si="13"/>
        <v>73077.25</v>
      </c>
      <c r="U23" s="186">
        <v>54499.42</v>
      </c>
      <c r="V23" s="186">
        <v>54499.42</v>
      </c>
      <c r="W23" s="186">
        <v>66800</v>
      </c>
      <c r="X23" s="227">
        <v>22164.48</v>
      </c>
      <c r="Y23" s="186">
        <v>44582.67</v>
      </c>
      <c r="Z23" s="188">
        <f t="shared" si="0"/>
        <v>1.011446693087318</v>
      </c>
      <c r="AA23" s="186">
        <f t="shared" si="1"/>
        <v>22217.33</v>
      </c>
      <c r="AB23" s="189">
        <f t="shared" si="2"/>
        <v>0.66740523952095809</v>
      </c>
      <c r="AC23" s="190">
        <f>(Y23/X23*T23)</f>
        <v>146990.99285241522</v>
      </c>
      <c r="AD23" s="213">
        <f t="shared" si="12"/>
        <v>193191.57</v>
      </c>
      <c r="AE23" s="231">
        <f>+Y23*365/$AQ$1</f>
        <v>68952.010805084734</v>
      </c>
      <c r="AF23" s="191">
        <f t="shared" si="11"/>
        <v>-80190.99285241522</v>
      </c>
      <c r="AG23" s="193">
        <f t="shared" si="3"/>
        <v>-2152.0108050847339</v>
      </c>
      <c r="AH23" s="194">
        <f>W23-AE23</f>
        <v>-2152.0108050847339</v>
      </c>
      <c r="AI23">
        <v>-14600</v>
      </c>
    </row>
    <row r="24" spans="1:35" ht="15.75" thickBot="1">
      <c r="A24" s="233" t="s">
        <v>29</v>
      </c>
      <c r="B24" s="234">
        <v>21710</v>
      </c>
      <c r="C24" s="234">
        <v>121</v>
      </c>
      <c r="D24" s="235">
        <v>10120</v>
      </c>
      <c r="E24" s="236">
        <v>15593.89</v>
      </c>
      <c r="F24" s="236">
        <v>8223.8799999999992</v>
      </c>
      <c r="G24" s="237">
        <f t="shared" si="4"/>
        <v>1896.1200000000008</v>
      </c>
      <c r="H24" s="238"/>
      <c r="I24" s="236">
        <v>10450</v>
      </c>
      <c r="J24" s="198">
        <f t="shared" si="5"/>
        <v>-7370.01</v>
      </c>
      <c r="K24" s="236">
        <v>7562.21</v>
      </c>
      <c r="L24" s="239">
        <f t="shared" si="6"/>
        <v>2887.79</v>
      </c>
      <c r="M24" s="240">
        <f t="shared" si="7"/>
        <v>0.27634354066985645</v>
      </c>
      <c r="N24" s="241">
        <f t="shared" si="8"/>
        <v>-661.66999999999916</v>
      </c>
      <c r="O24" s="242">
        <v>10120</v>
      </c>
      <c r="P24" s="236">
        <v>5386</v>
      </c>
      <c r="Q24" s="243">
        <f t="shared" si="9"/>
        <v>4734</v>
      </c>
      <c r="R24" s="244">
        <f t="shared" si="10"/>
        <v>0.53221343873517779</v>
      </c>
      <c r="S24" s="245"/>
      <c r="T24" s="245"/>
      <c r="U24" s="246">
        <v>11363.81</v>
      </c>
      <c r="V24" s="246">
        <v>11363.81</v>
      </c>
      <c r="W24" s="246">
        <v>14000</v>
      </c>
      <c r="X24" s="247">
        <v>112.68</v>
      </c>
      <c r="Y24" s="246">
        <f>15724.75-4009.53*0.9</f>
        <v>12116.172999999999</v>
      </c>
      <c r="Z24" s="210">
        <f t="shared" si="0"/>
        <v>106.52727192048276</v>
      </c>
      <c r="AA24" s="248">
        <f t="shared" si="1"/>
        <v>1883.8270000000011</v>
      </c>
      <c r="AB24" s="249">
        <f t="shared" si="2"/>
        <v>0.86544092857142851</v>
      </c>
      <c r="AC24" s="190">
        <f>(Y24/X24*T24)+4009.53</f>
        <v>4009.53</v>
      </c>
      <c r="AD24" s="213">
        <f t="shared" si="12"/>
        <v>52503.416333333327</v>
      </c>
      <c r="AE24" s="231">
        <f>+Y24*365/$AQ$1</f>
        <v>18738.996377118641</v>
      </c>
      <c r="AF24" s="191">
        <f t="shared" si="11"/>
        <v>9990.4699999999993</v>
      </c>
      <c r="AG24" s="193">
        <f t="shared" si="3"/>
        <v>-4738.9963771186412</v>
      </c>
      <c r="AH24" s="194">
        <f>W24-AE24</f>
        <v>-4738.9963771186412</v>
      </c>
    </row>
    <row r="25" spans="1:35" ht="15.75">
      <c r="A25" t="s">
        <v>1</v>
      </c>
      <c r="B25" s="2"/>
      <c r="C25" s="2"/>
      <c r="D25" s="250">
        <f>SUM(D8:D24)</f>
        <v>1838660</v>
      </c>
      <c r="E25" s="119">
        <f>SUM(E8:E24)</f>
        <v>2025548.4000000001</v>
      </c>
      <c r="F25" s="119">
        <f>SUM(F8:F24)</f>
        <v>2042121.3100000003</v>
      </c>
      <c r="G25" s="251">
        <f>SUM(G8:G24)</f>
        <v>-199401.31000000008</v>
      </c>
      <c r="H25" s="119"/>
      <c r="I25" s="119">
        <f>SUM(I8:I24)</f>
        <v>1883610</v>
      </c>
      <c r="J25" s="252">
        <f>SUM(J8:J24)</f>
        <v>16572.910000000025</v>
      </c>
      <c r="K25" s="119">
        <f>SUM(K8:K24)</f>
        <v>2015893.4199999997</v>
      </c>
      <c r="L25" s="253">
        <f>SUM(L8:L24)</f>
        <v>9716.5800000000017</v>
      </c>
      <c r="M25" s="254"/>
      <c r="N25" s="255">
        <f t="shared" ref="N25:AA25" si="14">SUM(N8:N24)</f>
        <v>-168227.89000000007</v>
      </c>
      <c r="O25" s="256">
        <f t="shared" si="14"/>
        <v>1744620</v>
      </c>
      <c r="P25" s="257">
        <f t="shared" si="14"/>
        <v>1720475.22</v>
      </c>
      <c r="Q25" s="257">
        <f t="shared" si="14"/>
        <v>43750.78</v>
      </c>
      <c r="R25" s="257">
        <f t="shared" si="14"/>
        <v>14.13389331275555</v>
      </c>
      <c r="S25" s="257">
        <f t="shared" si="14"/>
        <v>1916531.9599999997</v>
      </c>
      <c r="T25" s="257">
        <f t="shared" si="14"/>
        <v>1722126.0399999998</v>
      </c>
      <c r="U25" s="257">
        <f>SUM(U8:U24)</f>
        <v>2295291.6499999994</v>
      </c>
      <c r="V25" s="257">
        <f t="shared" si="14"/>
        <v>2040632.89</v>
      </c>
      <c r="W25" s="257">
        <f>SUM(W8:W24)</f>
        <v>2258090</v>
      </c>
      <c r="X25" s="257">
        <f t="shared" si="14"/>
        <v>1338721.1499999997</v>
      </c>
      <c r="Y25" s="257">
        <f>SUM(Y8:Y24)</f>
        <v>1250884.9369999997</v>
      </c>
      <c r="Z25" s="258">
        <f t="shared" si="0"/>
        <v>-6.5612030556176704E-2</v>
      </c>
      <c r="AA25" s="259">
        <f t="shared" si="14"/>
        <v>1005205.0630000001</v>
      </c>
      <c r="AB25" s="260">
        <f t="shared" si="2"/>
        <v>0.55395707744155442</v>
      </c>
      <c r="AC25" s="73">
        <f>SUM(AC9:AC24)</f>
        <v>2267379.6999366367</v>
      </c>
      <c r="AD25" s="73"/>
      <c r="AE25" s="257">
        <f>SUM(AE8:AE24)</f>
        <v>2204246.1382288137</v>
      </c>
      <c r="AF25" s="257">
        <f>SUM(AF8:AF24)</f>
        <v>-23825.686801043244</v>
      </c>
      <c r="AG25" s="257">
        <f>SUM(AG8:AG24)</f>
        <v>53843.861771186392</v>
      </c>
      <c r="AH25" s="261">
        <f>SUM(AH8:AH24)</f>
        <v>110.66454689917555</v>
      </c>
      <c r="AI25" s="262">
        <f>SUM(AI8:AI24)</f>
        <v>0</v>
      </c>
    </row>
    <row r="26" spans="1:35" ht="15.75" thickBot="1">
      <c r="B26" s="2"/>
      <c r="C26" s="2"/>
      <c r="D26" s="250"/>
      <c r="E26" s="119"/>
      <c r="F26" s="119"/>
      <c r="G26" s="251"/>
      <c r="H26" s="119"/>
      <c r="I26" s="119"/>
      <c r="O26" s="263">
        <v>256708</v>
      </c>
      <c r="P26" s="123"/>
      <c r="S26" s="118" t="s">
        <v>81</v>
      </c>
      <c r="T26" s="264">
        <f>+S25-T25</f>
        <v>194405.91999999993</v>
      </c>
      <c r="U26" s="265" t="s">
        <v>82</v>
      </c>
      <c r="V26" s="264">
        <f>U25-V25</f>
        <v>254658.75999999954</v>
      </c>
      <c r="W26" s="123"/>
      <c r="X26" s="127"/>
      <c r="Y26" s="266">
        <f>+Y25-X25</f>
        <v>-87836.212999999989</v>
      </c>
      <c r="Z26" s="266"/>
      <c r="AB26" s="258" t="e">
        <f t="shared" si="2"/>
        <v>#DIV/0!</v>
      </c>
      <c r="AC26" s="127"/>
      <c r="AD26" s="127"/>
      <c r="AE26" s="267">
        <f>+AC26</f>
        <v>0</v>
      </c>
    </row>
    <row r="27" spans="1:35" ht="16.5" thickBot="1">
      <c r="G27" s="268"/>
      <c r="I27" t="s">
        <v>83</v>
      </c>
      <c r="M27" s="269">
        <f>366/366</f>
        <v>1</v>
      </c>
      <c r="O27" s="264">
        <f>+O25+O26</f>
        <v>2001328</v>
      </c>
      <c r="P27" s="123"/>
      <c r="Y27" s="270"/>
      <c r="Z27" s="271"/>
      <c r="AA27" s="28" t="s">
        <v>84</v>
      </c>
      <c r="AC27" s="272">
        <f>W25</f>
        <v>2258090</v>
      </c>
      <c r="AD27" s="272"/>
      <c r="AE27" s="273">
        <f>+AC27</f>
        <v>2258090</v>
      </c>
      <c r="AI27" s="274"/>
    </row>
    <row r="28" spans="1:35" ht="15.75" thickBot="1">
      <c r="A28" s="275" t="s">
        <v>85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2"/>
      <c r="P28" s="111"/>
      <c r="Q28" s="111"/>
      <c r="R28" s="276" t="s">
        <v>86</v>
      </c>
      <c r="S28" s="276"/>
      <c r="T28" s="276"/>
      <c r="U28" s="276"/>
      <c r="V28" s="276"/>
      <c r="W28" s="277"/>
      <c r="X28" s="278"/>
      <c r="Y28" s="279"/>
      <c r="AA28" s="280"/>
      <c r="AB28" s="280"/>
      <c r="AC28" s="281">
        <f>+AC27-AC25</f>
        <v>-9289.6999366367236</v>
      </c>
      <c r="AD28" s="282"/>
      <c r="AE28" s="282">
        <f>+AE27-AE25</f>
        <v>53843.861771186348</v>
      </c>
    </row>
    <row r="29" spans="1:35" ht="16.5" hidden="1" thickBot="1">
      <c r="A29" s="283" t="s">
        <v>87</v>
      </c>
      <c r="B29" s="29"/>
      <c r="C29" s="29"/>
      <c r="D29" s="29"/>
      <c r="E29" s="29"/>
      <c r="F29" s="284" t="s">
        <v>88</v>
      </c>
      <c r="G29" s="284" t="s">
        <v>89</v>
      </c>
      <c r="H29" s="284"/>
      <c r="I29" s="284" t="s">
        <v>90</v>
      </c>
      <c r="J29" s="284"/>
      <c r="K29" s="284"/>
      <c r="L29" s="284"/>
      <c r="M29" s="29"/>
      <c r="N29" s="29"/>
      <c r="O29" s="117"/>
      <c r="P29" s="29"/>
      <c r="Q29" s="29"/>
      <c r="R29" s="29"/>
      <c r="S29" s="29"/>
      <c r="T29" s="29"/>
      <c r="U29" s="29"/>
      <c r="V29" s="29"/>
      <c r="W29" s="117"/>
      <c r="X29" s="285"/>
    </row>
    <row r="30" spans="1:35" ht="15.75" hidden="1" thickBot="1">
      <c r="A30" s="286" t="s">
        <v>91</v>
      </c>
      <c r="B30" s="111"/>
      <c r="C30" s="111"/>
      <c r="D30" s="111"/>
      <c r="E30" s="111"/>
      <c r="F30" s="287">
        <v>28587.9</v>
      </c>
      <c r="G30" s="287">
        <v>43320</v>
      </c>
      <c r="H30" s="287"/>
      <c r="I30" s="288">
        <f>+G30-F30</f>
        <v>14732.099999999999</v>
      </c>
      <c r="J30" s="289"/>
      <c r="K30" s="289"/>
      <c r="L30" s="289"/>
      <c r="M30" s="29"/>
      <c r="N30" s="29"/>
      <c r="O30" s="117"/>
      <c r="P30" s="29"/>
      <c r="Q30" s="29"/>
      <c r="R30" s="29"/>
      <c r="S30" s="29"/>
      <c r="T30" s="29"/>
      <c r="U30" s="29"/>
      <c r="V30" s="29"/>
      <c r="W30" s="117"/>
      <c r="X30" s="285"/>
    </row>
    <row r="31" spans="1:35" ht="15.75" hidden="1" thickBot="1">
      <c r="A31" s="290" t="s">
        <v>92</v>
      </c>
      <c r="B31" s="29"/>
      <c r="C31" s="29"/>
      <c r="D31" s="29"/>
      <c r="E31" s="29"/>
      <c r="F31" s="289">
        <v>3395.44</v>
      </c>
      <c r="G31" s="29"/>
      <c r="H31" s="29"/>
      <c r="I31" s="117"/>
      <c r="J31" s="29"/>
      <c r="K31" s="29"/>
      <c r="L31" s="29"/>
      <c r="M31" s="29"/>
      <c r="N31" s="29"/>
      <c r="O31" s="117"/>
      <c r="P31" s="29"/>
      <c r="Q31" s="29"/>
      <c r="R31" s="29"/>
      <c r="S31" s="29"/>
      <c r="T31" s="29"/>
      <c r="U31" s="29"/>
      <c r="V31" s="29"/>
      <c r="W31" s="117"/>
      <c r="X31" s="285"/>
    </row>
    <row r="32" spans="1:35" ht="15.75" hidden="1" thickBot="1">
      <c r="A32" s="290"/>
      <c r="B32" s="29"/>
      <c r="C32" s="29"/>
      <c r="D32" s="29"/>
      <c r="E32" s="29"/>
      <c r="F32" s="289"/>
      <c r="G32" s="29"/>
      <c r="H32" s="29"/>
      <c r="I32" s="117"/>
      <c r="J32" s="29"/>
      <c r="K32" s="29"/>
      <c r="L32" s="29"/>
      <c r="M32" s="29"/>
      <c r="N32" s="29"/>
      <c r="O32" s="117"/>
      <c r="P32" s="29"/>
      <c r="Q32" s="29"/>
      <c r="R32" s="29"/>
      <c r="S32" s="29"/>
      <c r="T32" s="29"/>
      <c r="U32" s="29"/>
      <c r="V32" s="29"/>
      <c r="W32" s="117"/>
      <c r="X32" s="285"/>
    </row>
    <row r="33" spans="1:34" ht="15.75" hidden="1" thickBot="1">
      <c r="A33" s="290" t="s">
        <v>93</v>
      </c>
      <c r="B33" s="29"/>
      <c r="C33" s="29"/>
      <c r="D33" s="29"/>
      <c r="E33" s="29"/>
      <c r="F33" s="289">
        <v>68080.740000000005</v>
      </c>
      <c r="G33" s="29"/>
      <c r="H33" s="29"/>
      <c r="I33" s="117"/>
      <c r="J33" s="29"/>
      <c r="K33" s="29"/>
      <c r="L33" s="29"/>
      <c r="M33" s="29"/>
      <c r="N33" s="29"/>
      <c r="O33" s="117"/>
      <c r="P33" s="29"/>
      <c r="Q33" s="29"/>
      <c r="R33" s="29"/>
      <c r="S33" s="29"/>
      <c r="T33" s="29"/>
      <c r="U33" s="29"/>
      <c r="V33" s="29"/>
      <c r="W33" s="117"/>
      <c r="X33" s="285"/>
    </row>
    <row r="34" spans="1:34" ht="15.75" hidden="1" thickBot="1">
      <c r="A34" s="290" t="s">
        <v>94</v>
      </c>
      <c r="B34" s="29"/>
      <c r="C34" s="29"/>
      <c r="D34" s="29"/>
      <c r="E34" s="29"/>
      <c r="F34" s="289">
        <v>49390.48</v>
      </c>
      <c r="G34" s="29"/>
      <c r="H34" s="29"/>
      <c r="I34" s="117"/>
      <c r="J34" s="29"/>
      <c r="K34" s="29"/>
      <c r="L34" s="29"/>
      <c r="M34" s="29"/>
      <c r="N34" s="29"/>
      <c r="O34" s="117"/>
      <c r="P34" s="29"/>
      <c r="Q34" s="29"/>
      <c r="R34" s="29"/>
      <c r="S34" s="29"/>
      <c r="T34" s="29"/>
      <c r="U34" s="29"/>
      <c r="V34" s="29"/>
      <c r="W34" s="117"/>
      <c r="X34" s="285"/>
    </row>
    <row r="35" spans="1:34" ht="15.75" hidden="1" thickBot="1">
      <c r="A35" s="120" t="s">
        <v>95</v>
      </c>
      <c r="B35" s="121"/>
      <c r="C35" s="121"/>
      <c r="D35" s="121"/>
      <c r="E35" s="121"/>
      <c r="F35" s="291">
        <f>+F33+F34</f>
        <v>117471.22</v>
      </c>
      <c r="G35" s="121"/>
      <c r="H35" s="121"/>
      <c r="I35" s="122"/>
      <c r="J35" s="29"/>
      <c r="K35" s="29"/>
      <c r="L35" s="29"/>
      <c r="M35" s="29"/>
      <c r="N35" s="29"/>
      <c r="O35" s="117"/>
      <c r="P35" s="29"/>
      <c r="Q35" s="29"/>
      <c r="R35" s="29"/>
      <c r="S35" s="29"/>
      <c r="T35" s="29"/>
      <c r="U35" s="29"/>
      <c r="V35" s="29"/>
      <c r="W35" s="117"/>
      <c r="X35" s="285"/>
    </row>
    <row r="36" spans="1:34" ht="16.5" thickBot="1">
      <c r="A36" s="292"/>
      <c r="B36" s="29"/>
      <c r="C36" s="29"/>
      <c r="D36" s="29"/>
      <c r="E36" s="29"/>
      <c r="F36" s="293"/>
      <c r="G36" s="29"/>
      <c r="H36" s="29"/>
      <c r="I36" s="29"/>
      <c r="J36" s="29"/>
      <c r="K36" s="29"/>
      <c r="L36" s="29"/>
      <c r="M36" s="29"/>
      <c r="N36" s="29"/>
      <c r="O36" s="117"/>
      <c r="P36" s="29"/>
      <c r="Q36" s="29"/>
      <c r="R36" s="294">
        <f>((R7-AI27)/365)</f>
        <v>5.5041095890410956</v>
      </c>
      <c r="S36" s="295"/>
      <c r="T36" s="295"/>
      <c r="U36" s="295"/>
      <c r="V36" s="295"/>
      <c r="W36" s="296"/>
      <c r="X36" s="297"/>
      <c r="Y36" s="298"/>
      <c r="Z36" s="297"/>
      <c r="AA36" s="74" t="s">
        <v>96</v>
      </c>
      <c r="AB36" s="295"/>
      <c r="AC36" s="299">
        <f>+AE8+AC9+AC10+AC11+AE13+AE14+AE15+AC16+AC17+AE18+AE19+AC20+AC21+AC22+AE23+AE24</f>
        <v>2257979.3354531014</v>
      </c>
      <c r="AD36" s="299"/>
      <c r="AE36" s="271"/>
    </row>
    <row r="37" spans="1:34" ht="16.5" thickTop="1" thickBot="1">
      <c r="A37" s="292" t="s">
        <v>97</v>
      </c>
      <c r="B37" s="29"/>
      <c r="C37" s="29"/>
      <c r="D37" s="29"/>
      <c r="E37" s="29"/>
      <c r="F37" s="293"/>
      <c r="G37" s="29"/>
      <c r="H37" s="29"/>
      <c r="I37" s="29"/>
      <c r="J37" s="29"/>
      <c r="K37" s="29"/>
      <c r="L37" s="29"/>
      <c r="M37" s="29"/>
      <c r="N37" s="29"/>
      <c r="O37" s="117"/>
      <c r="P37" s="300"/>
      <c r="Q37" s="29"/>
      <c r="R37" s="29"/>
      <c r="S37" s="29"/>
      <c r="T37" s="29"/>
      <c r="U37" s="29"/>
      <c r="V37" s="29"/>
      <c r="W37" s="117"/>
      <c r="X37" s="285"/>
      <c r="AA37" s="301">
        <f>+(Y7+1-AP1)/365</f>
        <v>0.64657534246575343</v>
      </c>
      <c r="AC37" s="299">
        <f>AC27-AC36</f>
        <v>110.66454689856619</v>
      </c>
      <c r="AD37" s="299"/>
    </row>
    <row r="38" spans="1:34" ht="16.5" thickTop="1" thickBot="1">
      <c r="A38" s="302" t="s">
        <v>98</v>
      </c>
      <c r="B38" s="121"/>
      <c r="C38" s="121"/>
      <c r="D38" s="121"/>
      <c r="E38" s="121"/>
      <c r="F38" s="291"/>
      <c r="G38" s="121"/>
      <c r="H38" s="121"/>
      <c r="I38" s="121"/>
      <c r="J38" s="121"/>
      <c r="K38" s="121"/>
      <c r="L38" s="121"/>
      <c r="M38" s="121"/>
      <c r="N38" s="121"/>
      <c r="O38" s="122"/>
      <c r="P38" s="121"/>
      <c r="Q38" s="121"/>
      <c r="R38" s="121"/>
      <c r="S38" s="121"/>
      <c r="T38" s="121"/>
      <c r="U38" s="121"/>
      <c r="V38" s="121"/>
      <c r="W38" s="122"/>
      <c r="X38" s="285"/>
      <c r="AC38" s="271"/>
    </row>
    <row r="39" spans="1:34">
      <c r="A39" s="303"/>
      <c r="AC39"/>
      <c r="AD39"/>
      <c r="AE39"/>
    </row>
    <row r="40" spans="1:34" ht="15.75">
      <c r="A40" s="128"/>
      <c r="AC40" s="124" t="s">
        <v>41</v>
      </c>
      <c r="AD40" s="124"/>
      <c r="AE40" s="126" t="s">
        <v>44</v>
      </c>
    </row>
    <row r="41" spans="1:34" ht="16.5" thickBot="1">
      <c r="A41" s="128" t="s">
        <v>99</v>
      </c>
      <c r="AC41" s="124" t="s">
        <v>42</v>
      </c>
      <c r="AD41" s="124"/>
      <c r="AE41" s="126" t="s">
        <v>47</v>
      </c>
    </row>
    <row r="42" spans="1:34">
      <c r="A42" s="131"/>
      <c r="B42" s="132" t="s">
        <v>48</v>
      </c>
      <c r="C42" s="133"/>
      <c r="D42" s="133" t="s">
        <v>50</v>
      </c>
      <c r="E42" s="304" t="s">
        <v>51</v>
      </c>
      <c r="F42" s="136" t="s">
        <v>51</v>
      </c>
      <c r="G42" s="135" t="s">
        <v>52</v>
      </c>
      <c r="H42" s="111"/>
      <c r="I42" s="136" t="s">
        <v>17</v>
      </c>
      <c r="J42" s="305" t="s">
        <v>53</v>
      </c>
      <c r="K42" s="306" t="s">
        <v>51</v>
      </c>
      <c r="L42" s="134" t="s">
        <v>54</v>
      </c>
      <c r="M42" s="139" t="s">
        <v>55</v>
      </c>
      <c r="N42" s="140" t="s">
        <v>56</v>
      </c>
      <c r="O42" s="307" t="s">
        <v>57</v>
      </c>
      <c r="P42" s="308" t="s">
        <v>51</v>
      </c>
      <c r="Q42" s="143" t="s">
        <v>58</v>
      </c>
      <c r="R42" s="144" t="s">
        <v>59</v>
      </c>
      <c r="S42" s="145" t="s">
        <v>51</v>
      </c>
      <c r="T42" s="145"/>
      <c r="U42" s="145"/>
      <c r="V42" s="145" t="s">
        <v>60</v>
      </c>
      <c r="W42" s="146" t="s">
        <v>61</v>
      </c>
      <c r="X42" s="146" t="s">
        <v>62</v>
      </c>
      <c r="Y42" s="146" t="s">
        <v>62</v>
      </c>
      <c r="Z42" s="145"/>
      <c r="AA42" s="145" t="s">
        <v>63</v>
      </c>
      <c r="AB42" s="145" t="s">
        <v>64</v>
      </c>
      <c r="AC42" s="147" t="s">
        <v>65</v>
      </c>
      <c r="AD42" s="147"/>
      <c r="AE42" s="148" t="s">
        <v>65</v>
      </c>
      <c r="AF42" s="147" t="s">
        <v>66</v>
      </c>
      <c r="AG42" s="149" t="s">
        <v>66</v>
      </c>
      <c r="AH42" s="150" t="s">
        <v>66</v>
      </c>
    </row>
    <row r="43" spans="1:34" ht="15.75" thickBot="1">
      <c r="A43" s="151"/>
      <c r="B43" s="152"/>
      <c r="C43" s="153"/>
      <c r="D43" s="153">
        <f>+F43</f>
        <v>2008</v>
      </c>
      <c r="E43" s="309">
        <v>2007</v>
      </c>
      <c r="F43" s="157">
        <v>2008</v>
      </c>
      <c r="G43" s="156">
        <v>2007</v>
      </c>
      <c r="H43" s="29"/>
      <c r="I43" s="157">
        <v>2008</v>
      </c>
      <c r="J43" s="310"/>
      <c r="K43" s="311">
        <v>2009</v>
      </c>
      <c r="L43" s="154">
        <f>+K43</f>
        <v>2009</v>
      </c>
      <c r="M43" s="156" t="s">
        <v>67</v>
      </c>
      <c r="N43" s="160"/>
      <c r="O43" s="312">
        <v>2009</v>
      </c>
      <c r="P43" s="313">
        <v>2010</v>
      </c>
      <c r="Q43" s="159">
        <v>2009</v>
      </c>
      <c r="R43" s="162">
        <v>2009</v>
      </c>
      <c r="S43" s="163">
        <v>2011</v>
      </c>
      <c r="T43" s="163"/>
      <c r="U43" s="163"/>
      <c r="V43" s="165">
        <v>2012</v>
      </c>
      <c r="W43" s="166">
        <v>2013</v>
      </c>
      <c r="X43" s="167">
        <v>41138</v>
      </c>
      <c r="Y43" s="167">
        <f>X43+365</f>
        <v>41503</v>
      </c>
      <c r="Z43" s="168"/>
      <c r="AA43" s="168">
        <f>+Y43</f>
        <v>41503</v>
      </c>
      <c r="AB43" s="165" t="s">
        <v>70</v>
      </c>
      <c r="AC43" s="169">
        <v>2013</v>
      </c>
      <c r="AD43" s="169"/>
      <c r="AE43" s="170">
        <v>2013</v>
      </c>
      <c r="AF43" s="169" t="s">
        <v>71</v>
      </c>
      <c r="AG43" s="171" t="str">
        <f>+AF43</f>
        <v>budget vs prév.</v>
      </c>
      <c r="AH43" s="172" t="str">
        <f>+AG43</f>
        <v>budget vs prév.</v>
      </c>
    </row>
    <row r="44" spans="1:34">
      <c r="A44" s="314" t="s">
        <v>36</v>
      </c>
      <c r="B44" s="315">
        <v>21100</v>
      </c>
      <c r="C44" s="316">
        <v>122</v>
      </c>
      <c r="D44" s="175">
        <v>1720</v>
      </c>
      <c r="E44" s="317">
        <f>3179.73+10.39</f>
        <v>3190.12</v>
      </c>
      <c r="F44" s="318">
        <v>694</v>
      </c>
      <c r="G44" s="177">
        <f>+D44-F44</f>
        <v>1026</v>
      </c>
      <c r="H44" s="178"/>
      <c r="I44" s="176">
        <v>9260</v>
      </c>
      <c r="J44" s="317">
        <f t="shared" ref="J44:J50" si="15">+F44-E44</f>
        <v>-2496.12</v>
      </c>
      <c r="K44" s="182">
        <v>6858.77</v>
      </c>
      <c r="L44" s="179">
        <f>+I44-K44</f>
        <v>2401.2299999999996</v>
      </c>
      <c r="M44" s="180">
        <f>1-K44/I44</f>
        <v>0.25931209503239738</v>
      </c>
      <c r="N44" s="181">
        <f t="shared" ref="N44:N50" si="16">+K44-F44</f>
        <v>6164.77</v>
      </c>
      <c r="O44" s="319">
        <v>4390</v>
      </c>
      <c r="P44" s="182">
        <v>2263</v>
      </c>
      <c r="Q44" s="183">
        <f>+O44-P44</f>
        <v>2127</v>
      </c>
      <c r="R44" s="320">
        <f>1-Q44/O44</f>
        <v>0.51548974943052395</v>
      </c>
      <c r="S44" s="321">
        <v>1721</v>
      </c>
      <c r="T44" s="185"/>
      <c r="U44" s="185"/>
      <c r="V44" s="186">
        <v>636.55999999999995</v>
      </c>
      <c r="W44" s="186">
        <v>1000</v>
      </c>
      <c r="X44" s="322">
        <v>242.5</v>
      </c>
      <c r="Y44" s="186">
        <v>876.97</v>
      </c>
      <c r="Z44" s="210">
        <f t="shared" ref="Z44:Z51" si="17">(+Y44-X44)/X44</f>
        <v>2.6163711340206186</v>
      </c>
      <c r="AA44" s="186">
        <f t="shared" ref="AA44:AA57" si="18">+W44-Y44</f>
        <v>123.02999999999997</v>
      </c>
      <c r="AB44" s="189">
        <f>+Y44/W44</f>
        <v>0.87697000000000003</v>
      </c>
      <c r="AC44" s="323">
        <f>Y44/X44*S44</f>
        <v>6223.7747216494845</v>
      </c>
      <c r="AD44" s="324"/>
      <c r="AE44" s="228">
        <f t="shared" ref="AE44:AE56" si="19">+Y44*365/$AQ$1</f>
        <v>1356.3307203389829</v>
      </c>
      <c r="AF44" s="191">
        <f t="shared" ref="AF44:AF57" si="20">+W44-AC44</f>
        <v>-5223.7747216494845</v>
      </c>
      <c r="AG44" s="193">
        <f t="shared" ref="AG44:AG55" si="21">+W44-AE44</f>
        <v>-356.33072033898293</v>
      </c>
      <c r="AH44" s="194">
        <f>W44-AE44</f>
        <v>-356.33072033898293</v>
      </c>
    </row>
    <row r="45" spans="1:34">
      <c r="A45" s="325" t="s">
        <v>73</v>
      </c>
      <c r="B45" s="326">
        <v>21200</v>
      </c>
      <c r="C45" s="327">
        <v>122</v>
      </c>
      <c r="D45" s="197">
        <v>425000</v>
      </c>
      <c r="E45" s="328">
        <v>51.48</v>
      </c>
      <c r="F45" s="329"/>
      <c r="G45" s="199">
        <f>+D45-F45</f>
        <v>425000</v>
      </c>
      <c r="H45" s="200"/>
      <c r="I45" s="198">
        <v>532130</v>
      </c>
      <c r="J45" s="328">
        <f t="shared" si="15"/>
        <v>-51.48</v>
      </c>
      <c r="K45" s="204">
        <v>5657</v>
      </c>
      <c r="L45" s="201">
        <f>+I45-K45</f>
        <v>526473</v>
      </c>
      <c r="M45" s="202">
        <f>1-K45/I45</f>
        <v>0.9893691391201398</v>
      </c>
      <c r="N45" s="203">
        <f t="shared" si="16"/>
        <v>5657</v>
      </c>
      <c r="O45" s="330">
        <v>4000</v>
      </c>
      <c r="P45" s="204">
        <v>791</v>
      </c>
      <c r="Q45" s="205">
        <f>+O45-P45</f>
        <v>3209</v>
      </c>
      <c r="R45" s="331">
        <f>1-Q45/O45</f>
        <v>0.19774999999999998</v>
      </c>
      <c r="S45" s="332">
        <v>880.56</v>
      </c>
      <c r="T45" s="207"/>
      <c r="U45" s="207"/>
      <c r="V45" s="208">
        <v>1889.75</v>
      </c>
      <c r="W45" s="208">
        <v>1540</v>
      </c>
      <c r="X45" s="333">
        <v>1499.15</v>
      </c>
      <c r="Y45" s="208">
        <v>283.10000000000002</v>
      </c>
      <c r="Z45" s="210">
        <f t="shared" si="17"/>
        <v>-0.81115965713904548</v>
      </c>
      <c r="AA45" s="208">
        <f t="shared" si="18"/>
        <v>1256.9000000000001</v>
      </c>
      <c r="AB45" s="211">
        <f>+Y45/W45</f>
        <v>0.18383116883116885</v>
      </c>
      <c r="AC45" s="323">
        <f>Y45/X45*V45</f>
        <v>356.86103792148884</v>
      </c>
      <c r="AD45" s="334"/>
      <c r="AE45" s="335">
        <f t="shared" si="19"/>
        <v>437.84533898305091</v>
      </c>
      <c r="AF45" s="191">
        <f t="shared" si="20"/>
        <v>1183.1389620785112</v>
      </c>
      <c r="AG45" s="193">
        <f t="shared" si="21"/>
        <v>1102.1546610169491</v>
      </c>
      <c r="AH45" s="194">
        <f>W45-AE45</f>
        <v>1102.1546610169491</v>
      </c>
    </row>
    <row r="46" spans="1:34">
      <c r="A46" s="336" t="s">
        <v>27</v>
      </c>
      <c r="B46" s="337">
        <v>21300</v>
      </c>
      <c r="C46" s="338">
        <v>122</v>
      </c>
      <c r="D46" s="217"/>
      <c r="E46" s="339"/>
      <c r="F46" s="340"/>
      <c r="G46" s="219"/>
      <c r="H46" s="220"/>
      <c r="I46" s="218"/>
      <c r="J46" s="339">
        <f t="shared" si="15"/>
        <v>0</v>
      </c>
      <c r="K46" s="224">
        <v>310.75</v>
      </c>
      <c r="L46" s="221"/>
      <c r="M46" s="222"/>
      <c r="N46" s="223">
        <f t="shared" si="16"/>
        <v>310.75</v>
      </c>
      <c r="O46" s="341"/>
      <c r="P46" s="224">
        <v>6245</v>
      </c>
      <c r="Q46" s="225"/>
      <c r="R46" s="342"/>
      <c r="S46" s="321">
        <v>3034.96</v>
      </c>
      <c r="T46" s="185"/>
      <c r="U46" s="185"/>
      <c r="V46" s="186">
        <v>0</v>
      </c>
      <c r="W46" s="186">
        <v>0</v>
      </c>
      <c r="X46" s="343">
        <v>0</v>
      </c>
      <c r="Y46" s="186">
        <v>0</v>
      </c>
      <c r="Z46" s="210"/>
      <c r="AA46" s="186">
        <f t="shared" si="18"/>
        <v>0</v>
      </c>
      <c r="AB46" s="189"/>
      <c r="AC46" s="323" t="e">
        <f>Y46/X46*S46</f>
        <v>#DIV/0!</v>
      </c>
      <c r="AD46" s="334"/>
      <c r="AE46" s="335">
        <f t="shared" si="19"/>
        <v>0</v>
      </c>
      <c r="AF46" s="191" t="e">
        <f t="shared" si="20"/>
        <v>#DIV/0!</v>
      </c>
      <c r="AG46" s="193">
        <f t="shared" si="21"/>
        <v>0</v>
      </c>
      <c r="AH46" s="194">
        <f>W46-AE46</f>
        <v>0</v>
      </c>
    </row>
    <row r="47" spans="1:34">
      <c r="A47" s="325" t="s">
        <v>0</v>
      </c>
      <c r="B47" s="326">
        <v>21400</v>
      </c>
      <c r="C47" s="327">
        <v>122</v>
      </c>
      <c r="D47" s="197"/>
      <c r="E47" s="328"/>
      <c r="F47" s="329"/>
      <c r="G47" s="199"/>
      <c r="H47" s="200"/>
      <c r="I47" s="198"/>
      <c r="J47" s="328"/>
      <c r="K47" s="204"/>
      <c r="L47" s="201"/>
      <c r="M47" s="202"/>
      <c r="N47" s="203"/>
      <c r="O47" s="330"/>
      <c r="P47" s="204"/>
      <c r="Q47" s="205"/>
      <c r="R47" s="331"/>
      <c r="S47" s="332"/>
      <c r="T47" s="207"/>
      <c r="U47" s="207"/>
      <c r="V47" s="208">
        <v>6.58</v>
      </c>
      <c r="W47" s="208">
        <v>0</v>
      </c>
      <c r="X47" s="333">
        <v>0</v>
      </c>
      <c r="Y47" s="208">
        <v>0</v>
      </c>
      <c r="Z47" s="210"/>
      <c r="AA47" s="208">
        <f t="shared" si="18"/>
        <v>0</v>
      </c>
      <c r="AB47" s="211"/>
      <c r="AC47" s="323"/>
      <c r="AD47" s="334"/>
      <c r="AE47" s="335"/>
      <c r="AF47" s="191">
        <f t="shared" si="20"/>
        <v>0</v>
      </c>
      <c r="AG47" s="193">
        <f t="shared" si="21"/>
        <v>0</v>
      </c>
      <c r="AH47" s="194">
        <f>W47-AE47</f>
        <v>0</v>
      </c>
    </row>
    <row r="48" spans="1:34">
      <c r="A48" s="336" t="s">
        <v>31</v>
      </c>
      <c r="B48" s="337">
        <v>21500</v>
      </c>
      <c r="C48" s="338">
        <v>122</v>
      </c>
      <c r="D48" s="217"/>
      <c r="E48" s="339">
        <f>117521.99+5075.52</f>
        <v>122597.51000000001</v>
      </c>
      <c r="F48" s="340">
        <f>104867+13965</f>
        <v>118832</v>
      </c>
      <c r="G48" s="219"/>
      <c r="H48" s="220"/>
      <c r="I48" s="218"/>
      <c r="J48" s="339">
        <f t="shared" si="15"/>
        <v>-3765.5100000000093</v>
      </c>
      <c r="K48" s="224">
        <f>88982</f>
        <v>88982</v>
      </c>
      <c r="L48" s="221"/>
      <c r="M48" s="222"/>
      <c r="N48" s="223">
        <f t="shared" si="16"/>
        <v>-29850</v>
      </c>
      <c r="O48" s="341">
        <f>125000+15000</f>
        <v>140000</v>
      </c>
      <c r="P48" s="224">
        <v>173515</v>
      </c>
      <c r="Q48" s="225">
        <f>+O48-P48</f>
        <v>-33515</v>
      </c>
      <c r="R48" s="342">
        <f>1-Q48/O48</f>
        <v>1.2393928571428572</v>
      </c>
      <c r="S48" s="321">
        <v>95061.43</v>
      </c>
      <c r="T48" s="185"/>
      <c r="U48" s="185"/>
      <c r="V48" s="186">
        <v>101572.19</v>
      </c>
      <c r="W48" s="186">
        <v>95840</v>
      </c>
      <c r="X48" s="343">
        <v>66842.559999999998</v>
      </c>
      <c r="Y48" s="186">
        <v>30599.3</v>
      </c>
      <c r="Z48" s="210">
        <f t="shared" si="17"/>
        <v>-0.54221831120770947</v>
      </c>
      <c r="AA48" s="186">
        <f t="shared" si="18"/>
        <v>65240.7</v>
      </c>
      <c r="AB48" s="189">
        <f t="shared" ref="AB48:AB57" si="22">+Y48/W48</f>
        <v>0.3192748330550918</v>
      </c>
      <c r="AC48" s="229">
        <f>Y48/X48*V48</f>
        <v>46497.888672531393</v>
      </c>
      <c r="AD48" s="324"/>
      <c r="AE48" s="344">
        <f t="shared" si="19"/>
        <v>47325.188559322036</v>
      </c>
      <c r="AF48" s="191">
        <f t="shared" si="20"/>
        <v>49342.111327468607</v>
      </c>
      <c r="AG48" s="193">
        <f t="shared" si="21"/>
        <v>48514.811440677964</v>
      </c>
      <c r="AH48" s="194">
        <f>W48-AC48</f>
        <v>49342.111327468607</v>
      </c>
    </row>
    <row r="49" spans="1:34">
      <c r="A49" s="325"/>
      <c r="B49" s="326">
        <v>21500</v>
      </c>
      <c r="C49" s="327">
        <v>142</v>
      </c>
      <c r="D49" s="197"/>
      <c r="E49" s="328"/>
      <c r="F49" s="329"/>
      <c r="G49" s="199"/>
      <c r="H49" s="200"/>
      <c r="I49" s="198"/>
      <c r="J49" s="328"/>
      <c r="K49" s="204">
        <v>22994</v>
      </c>
      <c r="L49" s="201"/>
      <c r="M49" s="202"/>
      <c r="N49" s="203"/>
      <c r="O49" s="330"/>
      <c r="P49" s="204">
        <v>34185</v>
      </c>
      <c r="Q49" s="205"/>
      <c r="R49" s="331"/>
      <c r="S49" s="332">
        <v>16503.349999999999</v>
      </c>
      <c r="T49" s="207"/>
      <c r="U49" s="207"/>
      <c r="V49" s="208">
        <v>31941.07</v>
      </c>
      <c r="W49" s="208">
        <v>22000</v>
      </c>
      <c r="X49" s="333">
        <v>18184.78</v>
      </c>
      <c r="Y49" s="208">
        <v>22512.98</v>
      </c>
      <c r="Z49" s="210">
        <f t="shared" si="17"/>
        <v>0.23801222780809012</v>
      </c>
      <c r="AA49" s="208">
        <f t="shared" si="18"/>
        <v>-512.97999999999956</v>
      </c>
      <c r="AB49" s="211">
        <f t="shared" si="22"/>
        <v>1.0233172727272728</v>
      </c>
      <c r="AC49" s="345">
        <f>Y49/X49*V49</f>
        <v>39543.435229274153</v>
      </c>
      <c r="AD49" s="324"/>
      <c r="AE49" s="214">
        <f t="shared" si="19"/>
        <v>34818.803813559323</v>
      </c>
      <c r="AF49" s="191">
        <f t="shared" si="20"/>
        <v>-17543.435229274153</v>
      </c>
      <c r="AG49" s="193">
        <f t="shared" si="21"/>
        <v>-12818.803813559323</v>
      </c>
      <c r="AH49" s="194">
        <f>W49-AE49</f>
        <v>-12818.803813559323</v>
      </c>
    </row>
    <row r="50" spans="1:34">
      <c r="A50" s="336" t="s">
        <v>32</v>
      </c>
      <c r="B50" s="337">
        <v>21600</v>
      </c>
      <c r="C50" s="338">
        <v>122</v>
      </c>
      <c r="D50" s="217">
        <v>305630</v>
      </c>
      <c r="E50" s="339">
        <f>4107.65+9571.2+158.8</f>
        <v>13837.65</v>
      </c>
      <c r="F50" s="340">
        <f>6943+14848+261</f>
        <v>22052</v>
      </c>
      <c r="G50" s="219">
        <f>+D50-F50</f>
        <v>283578</v>
      </c>
      <c r="H50" s="220"/>
      <c r="I50" s="218">
        <v>228750</v>
      </c>
      <c r="J50" s="339">
        <f t="shared" si="15"/>
        <v>8214.35</v>
      </c>
      <c r="K50" s="224">
        <f>4180</f>
        <v>4180</v>
      </c>
      <c r="L50" s="221">
        <f>+I50-K50</f>
        <v>224570</v>
      </c>
      <c r="M50" s="222">
        <f>1-K50/I50</f>
        <v>0.9817267759562841</v>
      </c>
      <c r="N50" s="223">
        <f t="shared" si="16"/>
        <v>-17872</v>
      </c>
      <c r="O50" s="341">
        <f>10400+13000+3000</f>
        <v>26400</v>
      </c>
      <c r="P50" s="224">
        <v>2084</v>
      </c>
      <c r="Q50" s="225">
        <f>+O50-P50</f>
        <v>24316</v>
      </c>
      <c r="R50" s="342">
        <f>1-Q50/O50</f>
        <v>7.8939393939393976E-2</v>
      </c>
      <c r="S50" s="321">
        <v>870.36</v>
      </c>
      <c r="T50" s="185"/>
      <c r="U50" s="185"/>
      <c r="V50" s="186">
        <v>761.76</v>
      </c>
      <c r="W50" s="186">
        <v>6465</v>
      </c>
      <c r="X50" s="343">
        <v>761.76</v>
      </c>
      <c r="Y50" s="186">
        <v>0</v>
      </c>
      <c r="Z50" s="210">
        <f t="shared" si="17"/>
        <v>-1</v>
      </c>
      <c r="AA50" s="186">
        <f t="shared" si="18"/>
        <v>6465</v>
      </c>
      <c r="AB50" s="189">
        <f t="shared" si="22"/>
        <v>0</v>
      </c>
      <c r="AC50" s="229">
        <f>Y50/X50*V50</f>
        <v>0</v>
      </c>
      <c r="AD50" s="324"/>
      <c r="AE50" s="344">
        <f t="shared" si="19"/>
        <v>0</v>
      </c>
      <c r="AF50" s="191">
        <f t="shared" si="20"/>
        <v>6465</v>
      </c>
      <c r="AG50" s="193">
        <f t="shared" si="21"/>
        <v>6465</v>
      </c>
      <c r="AH50" s="194">
        <f>W50-AC50</f>
        <v>6465</v>
      </c>
    </row>
    <row r="51" spans="1:34">
      <c r="A51" s="325"/>
      <c r="B51" s="326">
        <v>21600</v>
      </c>
      <c r="C51" s="327">
        <v>124</v>
      </c>
      <c r="D51" s="197"/>
      <c r="E51" s="328"/>
      <c r="F51" s="329"/>
      <c r="G51" s="199"/>
      <c r="H51" s="200"/>
      <c r="I51" s="198"/>
      <c r="J51" s="328"/>
      <c r="K51" s="204">
        <v>16782</v>
      </c>
      <c r="L51" s="201"/>
      <c r="M51" s="202"/>
      <c r="N51" s="203"/>
      <c r="O51" s="330"/>
      <c r="P51" s="204">
        <v>10807</v>
      </c>
      <c r="Q51" s="205"/>
      <c r="R51" s="331"/>
      <c r="S51" s="332">
        <v>5831.49</v>
      </c>
      <c r="T51" s="207"/>
      <c r="U51" s="207"/>
      <c r="V51" s="208">
        <v>6554.98</v>
      </c>
      <c r="W51" s="208">
        <v>14230</v>
      </c>
      <c r="X51" s="333">
        <v>6051.14</v>
      </c>
      <c r="Y51" s="208">
        <v>4258.8100000000004</v>
      </c>
      <c r="Z51" s="210">
        <f t="shared" si="17"/>
        <v>-0.29619708021959495</v>
      </c>
      <c r="AA51" s="208">
        <f t="shared" si="18"/>
        <v>9971.1899999999987</v>
      </c>
      <c r="AB51" s="211">
        <f t="shared" si="22"/>
        <v>0.29928390723822912</v>
      </c>
      <c r="AC51" s="229">
        <f>Y51/X51*V51</f>
        <v>4613.4140631021592</v>
      </c>
      <c r="AD51" s="324"/>
      <c r="AE51" s="214">
        <f t="shared" si="19"/>
        <v>6586.718855932204</v>
      </c>
      <c r="AF51" s="191">
        <f t="shared" si="20"/>
        <v>9616.5859368978417</v>
      </c>
      <c r="AG51" s="193">
        <f t="shared" si="21"/>
        <v>7643.281144067796</v>
      </c>
      <c r="AH51" s="194">
        <f>W51-AC51</f>
        <v>9616.5859368978417</v>
      </c>
    </row>
    <row r="52" spans="1:34">
      <c r="A52" s="336"/>
      <c r="B52" s="337">
        <v>21600</v>
      </c>
      <c r="C52" s="338" t="s">
        <v>100</v>
      </c>
      <c r="D52" s="217"/>
      <c r="E52" s="339"/>
      <c r="F52" s="340"/>
      <c r="G52" s="219"/>
      <c r="H52" s="220"/>
      <c r="I52" s="218"/>
      <c r="J52" s="339"/>
      <c r="K52" s="224">
        <v>3231</v>
      </c>
      <c r="L52" s="221"/>
      <c r="M52" s="222"/>
      <c r="N52" s="223"/>
      <c r="O52" s="341"/>
      <c r="P52" s="224">
        <f>777+257</f>
        <v>1034</v>
      </c>
      <c r="Q52" s="225"/>
      <c r="R52" s="342"/>
      <c r="S52" s="321">
        <v>284</v>
      </c>
      <c r="T52" s="185"/>
      <c r="U52" s="185"/>
      <c r="V52" s="186">
        <v>98.71</v>
      </c>
      <c r="W52" s="186">
        <v>500</v>
      </c>
      <c r="X52" s="343">
        <v>98.71</v>
      </c>
      <c r="Y52" s="186">
        <v>0</v>
      </c>
      <c r="Z52" s="210"/>
      <c r="AA52" s="186">
        <f t="shared" si="18"/>
        <v>500</v>
      </c>
      <c r="AB52" s="189">
        <f t="shared" si="22"/>
        <v>0</v>
      </c>
      <c r="AC52" s="323"/>
      <c r="AD52" s="324"/>
      <c r="AE52" s="335">
        <f t="shared" si="19"/>
        <v>0</v>
      </c>
      <c r="AF52" s="191">
        <f t="shared" si="20"/>
        <v>500</v>
      </c>
      <c r="AG52" s="193">
        <f t="shared" si="21"/>
        <v>500</v>
      </c>
      <c r="AH52" s="194">
        <f>W52-AE52</f>
        <v>500</v>
      </c>
    </row>
    <row r="53" spans="1:34">
      <c r="A53" s="325" t="s">
        <v>74</v>
      </c>
      <c r="B53" s="326">
        <v>21602</v>
      </c>
      <c r="C53" s="327">
        <v>122</v>
      </c>
      <c r="D53" s="197"/>
      <c r="E53" s="328"/>
      <c r="F53" s="329"/>
      <c r="G53" s="199"/>
      <c r="H53" s="200"/>
      <c r="I53" s="198"/>
      <c r="J53" s="328"/>
      <c r="K53" s="204"/>
      <c r="L53" s="201"/>
      <c r="M53" s="202"/>
      <c r="N53" s="203"/>
      <c r="O53" s="330"/>
      <c r="P53" s="346"/>
      <c r="Q53" s="347"/>
      <c r="R53" s="331"/>
      <c r="S53" s="332"/>
      <c r="T53" s="207"/>
      <c r="U53" s="207"/>
      <c r="V53" s="208"/>
      <c r="W53" s="208">
        <v>2070</v>
      </c>
      <c r="X53" s="333">
        <v>0</v>
      </c>
      <c r="Y53" s="208">
        <v>0</v>
      </c>
      <c r="Z53" s="210"/>
      <c r="AA53" s="208">
        <f t="shared" si="18"/>
        <v>2070</v>
      </c>
      <c r="AB53" s="211">
        <f t="shared" si="22"/>
        <v>0</v>
      </c>
      <c r="AC53" s="213"/>
      <c r="AD53" s="334"/>
      <c r="AE53" s="344">
        <f t="shared" si="19"/>
        <v>0</v>
      </c>
      <c r="AF53" s="191">
        <f t="shared" si="20"/>
        <v>2070</v>
      </c>
      <c r="AG53" s="193">
        <f t="shared" si="21"/>
        <v>2070</v>
      </c>
      <c r="AH53" s="194">
        <f>W53-AC53</f>
        <v>2070</v>
      </c>
    </row>
    <row r="54" spans="1:34">
      <c r="A54" s="336" t="s">
        <v>75</v>
      </c>
      <c r="B54" s="337">
        <v>21603</v>
      </c>
      <c r="C54" s="338">
        <v>122</v>
      </c>
      <c r="D54" s="217"/>
      <c r="E54" s="339"/>
      <c r="F54" s="340"/>
      <c r="G54" s="219"/>
      <c r="H54" s="220"/>
      <c r="I54" s="218"/>
      <c r="J54" s="339"/>
      <c r="K54" s="224"/>
      <c r="L54" s="221"/>
      <c r="M54" s="222"/>
      <c r="N54" s="223"/>
      <c r="O54" s="341"/>
      <c r="P54" s="348"/>
      <c r="Q54" s="349"/>
      <c r="R54" s="342"/>
      <c r="S54" s="321"/>
      <c r="T54" s="185"/>
      <c r="U54" s="185"/>
      <c r="V54" s="186"/>
      <c r="W54" s="186">
        <v>500</v>
      </c>
      <c r="X54" s="343">
        <v>0</v>
      </c>
      <c r="Y54" s="186">
        <v>0</v>
      </c>
      <c r="Z54" s="210"/>
      <c r="AA54" s="186">
        <f t="shared" si="18"/>
        <v>500</v>
      </c>
      <c r="AB54" s="189">
        <f t="shared" si="22"/>
        <v>0</v>
      </c>
      <c r="AC54" s="213"/>
      <c r="AD54" s="334"/>
      <c r="AE54" s="344">
        <f t="shared" si="19"/>
        <v>0</v>
      </c>
      <c r="AF54" s="191">
        <f t="shared" si="20"/>
        <v>500</v>
      </c>
      <c r="AG54" s="193">
        <f t="shared" si="21"/>
        <v>500</v>
      </c>
      <c r="AH54" s="194">
        <f>W54-AC54</f>
        <v>500</v>
      </c>
    </row>
    <row r="55" spans="1:34">
      <c r="A55" s="336" t="s">
        <v>101</v>
      </c>
      <c r="B55" s="337">
        <v>21604</v>
      </c>
      <c r="C55" s="338">
        <v>122</v>
      </c>
      <c r="D55" s="217"/>
      <c r="E55" s="339"/>
      <c r="F55" s="340"/>
      <c r="G55" s="219"/>
      <c r="H55" s="220"/>
      <c r="I55" s="218"/>
      <c r="J55" s="339"/>
      <c r="K55" s="224"/>
      <c r="L55" s="221"/>
      <c r="M55" s="222"/>
      <c r="N55" s="223"/>
      <c r="O55" s="341"/>
      <c r="P55" s="348"/>
      <c r="Q55" s="349"/>
      <c r="R55" s="342"/>
      <c r="S55" s="321"/>
      <c r="T55" s="185"/>
      <c r="U55" s="185"/>
      <c r="V55" s="186"/>
      <c r="W55" s="186">
        <v>35</v>
      </c>
      <c r="X55" s="343"/>
      <c r="Y55" s="186">
        <v>32.049999999999997</v>
      </c>
      <c r="Z55" s="210"/>
      <c r="AA55" s="186">
        <f t="shared" si="18"/>
        <v>2.9500000000000028</v>
      </c>
      <c r="AB55" s="189">
        <f t="shared" si="22"/>
        <v>0.91571428571428559</v>
      </c>
      <c r="AC55" s="213"/>
      <c r="AD55" s="334"/>
      <c r="AE55" s="335">
        <f t="shared" si="19"/>
        <v>49.568855932203384</v>
      </c>
      <c r="AF55" s="191">
        <f t="shared" si="20"/>
        <v>35</v>
      </c>
      <c r="AG55" s="193">
        <f t="shared" si="21"/>
        <v>-14.568855932203384</v>
      </c>
      <c r="AH55" s="350">
        <f>W55-AE55</f>
        <v>-14.568855932203384</v>
      </c>
    </row>
    <row r="56" spans="1:34">
      <c r="A56" s="325" t="s">
        <v>76</v>
      </c>
      <c r="B56" s="326">
        <v>21610</v>
      </c>
      <c r="C56" s="327">
        <v>122</v>
      </c>
      <c r="D56" s="197">
        <v>10120</v>
      </c>
      <c r="E56" s="328">
        <v>52.16</v>
      </c>
      <c r="F56" s="329"/>
      <c r="G56" s="199">
        <f>+D56-F56</f>
        <v>10120</v>
      </c>
      <c r="H56" s="200"/>
      <c r="I56" s="198">
        <v>10450</v>
      </c>
      <c r="J56" s="328">
        <f>+F56-E56</f>
        <v>-52.16</v>
      </c>
      <c r="K56" s="204"/>
      <c r="L56" s="201">
        <f>+I56-K56</f>
        <v>10450</v>
      </c>
      <c r="M56" s="202">
        <f>1-K56/I56</f>
        <v>1</v>
      </c>
      <c r="N56" s="203">
        <f>+K56-F56</f>
        <v>0</v>
      </c>
      <c r="O56" s="330"/>
      <c r="P56" s="346"/>
      <c r="Q56" s="347">
        <f>+O56-P56</f>
        <v>0</v>
      </c>
      <c r="R56" s="331"/>
      <c r="S56" s="332"/>
      <c r="T56" s="207"/>
      <c r="U56" s="207"/>
      <c r="V56" s="208">
        <v>1048.6400000000001</v>
      </c>
      <c r="W56" s="208">
        <v>0</v>
      </c>
      <c r="X56" s="333">
        <v>1048.6400000000001</v>
      </c>
      <c r="Y56" s="208">
        <v>0</v>
      </c>
      <c r="Z56" s="207"/>
      <c r="AA56" s="208">
        <f t="shared" si="18"/>
        <v>0</v>
      </c>
      <c r="AB56" s="211" t="e">
        <f t="shared" si="22"/>
        <v>#DIV/0!</v>
      </c>
      <c r="AC56" s="213"/>
      <c r="AD56" s="334"/>
      <c r="AE56" s="229">
        <f t="shared" si="19"/>
        <v>0</v>
      </c>
      <c r="AF56" s="191">
        <f t="shared" si="20"/>
        <v>0</v>
      </c>
      <c r="AG56" s="193">
        <f>+W56-AE56</f>
        <v>0</v>
      </c>
      <c r="AH56" s="350">
        <f>W56-AE56</f>
        <v>0</v>
      </c>
    </row>
    <row r="57" spans="1:34">
      <c r="A57" s="325"/>
      <c r="B57" s="326">
        <v>21610</v>
      </c>
      <c r="C57" s="351">
        <v>142</v>
      </c>
      <c r="D57" s="352"/>
      <c r="E57" s="353"/>
      <c r="F57" s="203"/>
      <c r="G57" s="354"/>
      <c r="H57" s="355"/>
      <c r="I57" s="353"/>
      <c r="J57" s="353"/>
      <c r="K57" s="330"/>
      <c r="L57" s="356"/>
      <c r="M57" s="357"/>
      <c r="N57" s="353"/>
      <c r="O57" s="358"/>
      <c r="P57" s="359"/>
      <c r="Q57" s="358"/>
      <c r="R57" s="360"/>
      <c r="S57" s="332"/>
      <c r="T57" s="207"/>
      <c r="U57" s="207"/>
      <c r="V57" s="208">
        <v>446.28</v>
      </c>
      <c r="W57" s="208">
        <v>0</v>
      </c>
      <c r="X57" s="333">
        <v>446.28</v>
      </c>
      <c r="Y57" s="208">
        <v>0</v>
      </c>
      <c r="Z57" s="332"/>
      <c r="AA57" s="333">
        <f t="shared" si="18"/>
        <v>0</v>
      </c>
      <c r="AB57" s="211" t="e">
        <f t="shared" si="22"/>
        <v>#DIV/0!</v>
      </c>
      <c r="AC57" s="361"/>
      <c r="AD57" s="362"/>
      <c r="AE57" s="229">
        <f>Y57</f>
        <v>0</v>
      </c>
      <c r="AF57" s="191">
        <f t="shared" si="20"/>
        <v>0</v>
      </c>
      <c r="AG57" s="193">
        <f>+W57-AE57</f>
        <v>0</v>
      </c>
      <c r="AH57" s="350">
        <f>W57-AE57</f>
        <v>0</v>
      </c>
    </row>
    <row r="58" spans="1:34" ht="15.75" thickBot="1">
      <c r="A58" s="363" t="s">
        <v>78</v>
      </c>
      <c r="B58" s="364">
        <v>21621</v>
      </c>
      <c r="C58" s="365">
        <v>122</v>
      </c>
      <c r="D58" s="366"/>
      <c r="E58" s="367"/>
      <c r="F58" s="368"/>
      <c r="G58" s="369"/>
      <c r="H58" s="370"/>
      <c r="I58" s="367"/>
      <c r="J58" s="371"/>
      <c r="K58" s="372"/>
      <c r="L58" s="373"/>
      <c r="M58" s="374"/>
      <c r="N58" s="367"/>
      <c r="O58" s="375"/>
      <c r="P58" s="376"/>
      <c r="Q58" s="375"/>
      <c r="R58" s="377"/>
      <c r="S58" s="378"/>
      <c r="T58" s="371"/>
      <c r="U58" s="371"/>
      <c r="V58" s="379">
        <v>349.68</v>
      </c>
      <c r="W58" s="380">
        <v>0</v>
      </c>
      <c r="X58" s="380">
        <v>349.68</v>
      </c>
      <c r="Y58" s="379">
        <v>0</v>
      </c>
      <c r="Z58" s="378"/>
      <c r="AA58" s="380"/>
      <c r="AB58" s="381"/>
      <c r="AC58" s="382"/>
      <c r="AD58" s="382"/>
      <c r="AE58" s="383">
        <f>+Y58</f>
        <v>0</v>
      </c>
      <c r="AF58" s="380"/>
      <c r="AG58" s="384"/>
      <c r="AH58" s="350">
        <f>W58-AE58</f>
        <v>0</v>
      </c>
    </row>
    <row r="59" spans="1:34">
      <c r="A59" s="111" t="s">
        <v>1</v>
      </c>
      <c r="B59" s="2"/>
      <c r="C59" s="2"/>
      <c r="D59" s="250">
        <f>SUM(D44:D56)</f>
        <v>742470</v>
      </c>
      <c r="E59" s="119">
        <f>SUM(E44:E56)</f>
        <v>139728.92000000001</v>
      </c>
      <c r="F59" s="119">
        <f>SUM(F44:F58)</f>
        <v>141578</v>
      </c>
      <c r="G59" s="251">
        <f>SUM(G44:G56)</f>
        <v>719724</v>
      </c>
      <c r="H59" s="119"/>
      <c r="I59" s="119">
        <f>SUM(I44:I56)</f>
        <v>780590</v>
      </c>
      <c r="J59" s="385">
        <f>SUM(J44:J56)</f>
        <v>1849.0799999999906</v>
      </c>
      <c r="K59" s="119">
        <f t="shared" ref="K59:S59" si="23">SUM(K44:K58)</f>
        <v>148995.52000000002</v>
      </c>
      <c r="L59" s="119">
        <f t="shared" si="23"/>
        <v>763894.23</v>
      </c>
      <c r="M59" s="119">
        <f t="shared" si="23"/>
        <v>3.2304080101088215</v>
      </c>
      <c r="N59" s="119">
        <f t="shared" si="23"/>
        <v>-35589.479999999996</v>
      </c>
      <c r="O59" s="119">
        <f t="shared" si="23"/>
        <v>174790</v>
      </c>
      <c r="P59" s="119">
        <f t="shared" si="23"/>
        <v>230924</v>
      </c>
      <c r="Q59" s="119">
        <f t="shared" si="23"/>
        <v>-3863</v>
      </c>
      <c r="R59" s="119">
        <f t="shared" si="23"/>
        <v>2.0315720005127753</v>
      </c>
      <c r="S59" s="119">
        <f t="shared" si="23"/>
        <v>124187.15</v>
      </c>
      <c r="T59" s="119"/>
      <c r="U59" s="119"/>
      <c r="V59" s="119">
        <f>SUM(V44:V58)</f>
        <v>145306.20000000001</v>
      </c>
      <c r="W59" s="119">
        <f>SUM(W44:W58)</f>
        <v>144180</v>
      </c>
      <c r="X59" s="119">
        <f>SUM(X44:X58)</f>
        <v>95525.199999999983</v>
      </c>
      <c r="Y59" s="119">
        <f>SUM(Y44:Y58)</f>
        <v>58563.21</v>
      </c>
      <c r="Z59" s="119"/>
      <c r="AA59" s="119">
        <f>SUM(AA44:AA58)</f>
        <v>85616.79</v>
      </c>
      <c r="AB59" s="260">
        <f>+Y59/W59</f>
        <v>0.40618123179359134</v>
      </c>
      <c r="AC59" s="257" t="e">
        <f>SUM(AC44:AC56)</f>
        <v>#DIV/0!</v>
      </c>
      <c r="AD59" s="257"/>
      <c r="AE59" s="257">
        <f>SUM(AE44:AE56)</f>
        <v>90574.456144067794</v>
      </c>
      <c r="AF59" s="257" t="e">
        <f>SUM(AF44:AF57)</f>
        <v>#DIV/0!</v>
      </c>
      <c r="AG59" s="257">
        <f>SUM(AG44:AG56)</f>
        <v>53605.543855932206</v>
      </c>
      <c r="AH59" s="257">
        <f>SUM(AH44:AH58)</f>
        <v>56406.148535552893</v>
      </c>
    </row>
    <row r="60" spans="1:34" ht="15.75" thickBot="1">
      <c r="B60" s="2"/>
      <c r="C60" s="2"/>
      <c r="D60" s="250"/>
      <c r="E60" s="119"/>
      <c r="F60" s="119"/>
      <c r="G60" s="251"/>
      <c r="H60" s="119"/>
      <c r="I60" s="119"/>
      <c r="J60" s="385"/>
      <c r="K60" s="119"/>
      <c r="L60" s="253"/>
      <c r="M60" s="254"/>
      <c r="N60" s="386"/>
      <c r="O60" s="256"/>
      <c r="P60" s="387"/>
      <c r="Q60" s="387"/>
      <c r="R60" s="388"/>
      <c r="S60" s="388"/>
      <c r="T60" s="388"/>
      <c r="U60" s="388"/>
      <c r="V60" s="388"/>
      <c r="W60" s="387"/>
      <c r="X60" s="389"/>
      <c r="Y60" s="390">
        <f>+Y59-X59</f>
        <v>-36961.989999999983</v>
      </c>
      <c r="Z60" s="390"/>
      <c r="AA60" s="28" t="s">
        <v>102</v>
      </c>
      <c r="AB60" s="388"/>
      <c r="AC60" s="262">
        <f>+W59</f>
        <v>144180</v>
      </c>
      <c r="AD60" s="262"/>
      <c r="AE60" s="257">
        <f>+W59</f>
        <v>144180</v>
      </c>
      <c r="AF60" s="262"/>
      <c r="AG60" s="257"/>
      <c r="AH60" s="257"/>
    </row>
    <row r="61" spans="1:34" ht="16.5" thickBot="1">
      <c r="G61" s="268"/>
      <c r="I61" t="s">
        <v>83</v>
      </c>
      <c r="M61" s="391">
        <f>366/366</f>
        <v>1</v>
      </c>
      <c r="O61" s="123"/>
      <c r="R61" s="280" t="s">
        <v>86</v>
      </c>
      <c r="S61" s="280"/>
      <c r="T61" s="280"/>
      <c r="U61" s="280"/>
      <c r="V61" s="280"/>
      <c r="W61" s="392"/>
      <c r="X61" s="257"/>
      <c r="Y61" s="393">
        <f>21935+1507+15749</f>
        <v>39191</v>
      </c>
      <c r="AB61" s="280"/>
      <c r="AC61" s="394" t="e">
        <f>+AC60-AC59</f>
        <v>#DIV/0!</v>
      </c>
      <c r="AD61" s="394"/>
      <c r="AE61" s="394">
        <f>+AE60-AE59</f>
        <v>53605.543855932206</v>
      </c>
    </row>
    <row r="62" spans="1:34" ht="21" thickBot="1">
      <c r="E62" s="272">
        <f>+E59+E25</f>
        <v>2165277.3200000003</v>
      </c>
      <c r="F62" s="272">
        <f>+F59+F25</f>
        <v>2183699.3100000005</v>
      </c>
      <c r="G62" s="272"/>
      <c r="H62" s="272"/>
      <c r="I62" s="272"/>
      <c r="J62" s="272"/>
      <c r="K62" s="272">
        <f>+K59+K25</f>
        <v>2164888.9399999995</v>
      </c>
      <c r="P62" s="272">
        <f t="shared" ref="P62:S62" si="24">+P59+P25</f>
        <v>1951399.22</v>
      </c>
      <c r="Q62" s="272">
        <f t="shared" si="24"/>
        <v>39887.78</v>
      </c>
      <c r="R62" s="272">
        <f t="shared" si="24"/>
        <v>16.165465313268324</v>
      </c>
      <c r="S62" s="272">
        <f t="shared" si="24"/>
        <v>2040719.1099999996</v>
      </c>
      <c r="T62" s="272"/>
      <c r="U62" s="272"/>
      <c r="V62" s="272">
        <f>+V59+V25</f>
        <v>2185939.09</v>
      </c>
      <c r="W62" s="272">
        <f>+W59+W25</f>
        <v>2402270</v>
      </c>
      <c r="X62" s="272">
        <f>+X59+X25</f>
        <v>1434246.3499999996</v>
      </c>
      <c r="Y62" s="273">
        <f>+Y59+Y25</f>
        <v>1309448.1469999996</v>
      </c>
      <c r="Z62" s="273"/>
      <c r="AA62" s="395">
        <f>+AA59+AA25</f>
        <v>1090821.8530000001</v>
      </c>
      <c r="AB62" s="396">
        <f>+Y62/W62</f>
        <v>0.54508783234190983</v>
      </c>
      <c r="AC62" s="397"/>
      <c r="AD62" s="397"/>
      <c r="AE62" s="398"/>
    </row>
    <row r="63" spans="1:34" ht="15.75" thickBot="1">
      <c r="O63" s="123"/>
      <c r="Y63" s="399">
        <f>+Y62-X62</f>
        <v>-124798.20299999998</v>
      </c>
      <c r="Z63" s="399"/>
      <c r="AB63" s="123"/>
      <c r="AC63" s="271">
        <f>W59</f>
        <v>144180</v>
      </c>
      <c r="AD63" s="299"/>
    </row>
    <row r="64" spans="1:34" ht="15.75" thickBot="1">
      <c r="A64" s="275" t="s">
        <v>85</v>
      </c>
      <c r="B64" s="111"/>
      <c r="C64" s="111"/>
      <c r="D64" s="111"/>
      <c r="E64" s="111"/>
      <c r="F64" s="111"/>
      <c r="G64" s="111"/>
      <c r="H64" s="111"/>
      <c r="I64" s="111"/>
      <c r="J64" s="112"/>
      <c r="K64" s="112"/>
      <c r="P64" s="123"/>
      <c r="W64" s="123"/>
      <c r="X64" s="127"/>
      <c r="Y64" s="270"/>
      <c r="Z64" s="271"/>
      <c r="AA64" s="268" t="s">
        <v>96</v>
      </c>
      <c r="AC64" s="271">
        <f>AE44+AE46+AE45+AE47+AC48+AC49+AC50+AC51+AE52+AE56+AE58+AE57+AE55</f>
        <v>92498.482880161944</v>
      </c>
      <c r="AD64" s="299"/>
      <c r="AE64" s="127"/>
    </row>
    <row r="65" spans="1:31" ht="16.5" thickTop="1" thickBot="1">
      <c r="A65" s="290"/>
      <c r="B65" s="29"/>
      <c r="C65" s="29"/>
      <c r="D65" s="29"/>
      <c r="E65" s="29"/>
      <c r="F65" s="29"/>
      <c r="G65" s="29"/>
      <c r="H65" s="29"/>
      <c r="I65" s="29"/>
      <c r="J65" s="117"/>
      <c r="K65" s="117"/>
      <c r="P65" s="125"/>
      <c r="Y65" s="270"/>
      <c r="Z65" s="271"/>
      <c r="AA65" s="301">
        <f>+(Y43+1-AP1)/365</f>
        <v>0.62739726027397258</v>
      </c>
      <c r="AC65" s="400">
        <f>AC63-AC64</f>
        <v>51681.517119838056</v>
      </c>
      <c r="AE65" s="127"/>
    </row>
    <row r="66" spans="1:31" ht="17.25" thickTop="1" thickBot="1">
      <c r="A66" s="120"/>
      <c r="B66" s="121"/>
      <c r="C66" s="121"/>
      <c r="D66" s="121"/>
      <c r="E66" s="121"/>
      <c r="F66" s="121"/>
      <c r="G66" s="121"/>
      <c r="H66" s="121"/>
      <c r="I66" s="121"/>
      <c r="J66" s="122"/>
      <c r="K66" s="122"/>
      <c r="P66" s="125"/>
      <c r="AC66" s="401">
        <f>AC65+AC37</f>
        <v>51792.181666736622</v>
      </c>
      <c r="AD66" s="299"/>
    </row>
    <row r="68" spans="1:31">
      <c r="A68" s="125"/>
    </row>
    <row r="69" spans="1:31">
      <c r="A69" s="125"/>
    </row>
  </sheetData>
  <printOptions horizontalCentered="1"/>
  <pageMargins left="0" right="0" top="0" bottom="0" header="0" footer="0"/>
  <pageSetup paperSize="5" scale="50" orientation="landscape" r:id="rId1"/>
  <headerFooter alignWithMargins="0">
    <oddFooter>&amp;C&amp;D&amp;Rfait par : MPCL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H37"/>
  <sheetViews>
    <sheetView showGridLines="0" zoomScaleNormal="100" workbookViewId="0">
      <pane xSplit="15" ySplit="6" topLeftCell="P7" activePane="bottomRight" state="frozen"/>
      <selection activeCell="Y51" sqref="Y51"/>
      <selection pane="topRight" activeCell="Y51" sqref="Y51"/>
      <selection pane="bottomLeft" activeCell="Y51" sqref="Y51"/>
      <selection pane="bottomRight"/>
    </sheetView>
  </sheetViews>
  <sheetFormatPr baseColWidth="10" defaultRowHeight="15"/>
  <cols>
    <col min="1" max="1" width="26.7109375" customWidth="1"/>
    <col min="2" max="2" width="7.28515625" customWidth="1"/>
    <col min="3" max="3" width="9.28515625" customWidth="1"/>
    <col min="4" max="4" width="14.140625" hidden="1" customWidth="1"/>
    <col min="5" max="6" width="14.7109375" hidden="1" customWidth="1"/>
    <col min="7" max="7" width="13.85546875" hidden="1" customWidth="1"/>
    <col min="8" max="8" width="2" hidden="1" customWidth="1"/>
    <col min="9" max="9" width="16" hidden="1" customWidth="1"/>
    <col min="10" max="10" width="13.85546875" hidden="1" customWidth="1"/>
    <col min="11" max="11" width="14.7109375" hidden="1" customWidth="1"/>
    <col min="12" max="12" width="16" hidden="1" customWidth="1"/>
    <col min="13" max="13" width="11.5703125" hidden="1" customWidth="1"/>
    <col min="14" max="14" width="12.28515625" hidden="1" customWidth="1"/>
    <col min="15" max="15" width="14.140625" hidden="1" customWidth="1"/>
    <col min="16" max="16" width="18.5703125" bestFit="1" customWidth="1"/>
    <col min="17" max="18" width="18.42578125" hidden="1" customWidth="1"/>
    <col min="19" max="22" width="14.7109375" customWidth="1"/>
    <col min="23" max="24" width="17" bestFit="1" customWidth="1"/>
    <col min="25" max="25" width="18.5703125" customWidth="1"/>
    <col min="26" max="26" width="13.140625" customWidth="1"/>
    <col min="27" max="28" width="19" style="2" bestFit="1" customWidth="1"/>
    <col min="29" max="29" width="17" style="2" bestFit="1" customWidth="1"/>
    <col min="30" max="30" width="15.140625" style="2" bestFit="1" customWidth="1"/>
    <col min="31" max="31" width="15" style="2" bestFit="1" customWidth="1"/>
    <col min="257" max="257" width="26.7109375" customWidth="1"/>
    <col min="258" max="258" width="7.28515625" customWidth="1"/>
    <col min="259" max="259" width="9.28515625" customWidth="1"/>
    <col min="260" max="271" width="0" hidden="1" customWidth="1"/>
    <col min="272" max="272" width="18.5703125" bestFit="1" customWidth="1"/>
    <col min="273" max="274" width="0" hidden="1" customWidth="1"/>
    <col min="275" max="278" width="14.7109375" customWidth="1"/>
    <col min="279" max="280" width="17" bestFit="1" customWidth="1"/>
    <col min="281" max="281" width="18.5703125" customWidth="1"/>
    <col min="282" max="282" width="13.140625" customWidth="1"/>
    <col min="283" max="284" width="19" bestFit="1" customWidth="1"/>
    <col min="285" max="285" width="17" bestFit="1" customWidth="1"/>
    <col min="286" max="286" width="15.140625" bestFit="1" customWidth="1"/>
    <col min="287" max="287" width="15" bestFit="1" customWidth="1"/>
    <col min="513" max="513" width="26.7109375" customWidth="1"/>
    <col min="514" max="514" width="7.28515625" customWidth="1"/>
    <col min="515" max="515" width="9.28515625" customWidth="1"/>
    <col min="516" max="527" width="0" hidden="1" customWidth="1"/>
    <col min="528" max="528" width="18.5703125" bestFit="1" customWidth="1"/>
    <col min="529" max="530" width="0" hidden="1" customWidth="1"/>
    <col min="531" max="534" width="14.7109375" customWidth="1"/>
    <col min="535" max="536" width="17" bestFit="1" customWidth="1"/>
    <col min="537" max="537" width="18.5703125" customWidth="1"/>
    <col min="538" max="538" width="13.140625" customWidth="1"/>
    <col min="539" max="540" width="19" bestFit="1" customWidth="1"/>
    <col min="541" max="541" width="17" bestFit="1" customWidth="1"/>
    <col min="542" max="542" width="15.140625" bestFit="1" customWidth="1"/>
    <col min="543" max="543" width="15" bestFit="1" customWidth="1"/>
    <col min="769" max="769" width="26.7109375" customWidth="1"/>
    <col min="770" max="770" width="7.28515625" customWidth="1"/>
    <col min="771" max="771" width="9.28515625" customWidth="1"/>
    <col min="772" max="783" width="0" hidden="1" customWidth="1"/>
    <col min="784" max="784" width="18.5703125" bestFit="1" customWidth="1"/>
    <col min="785" max="786" width="0" hidden="1" customWidth="1"/>
    <col min="787" max="790" width="14.7109375" customWidth="1"/>
    <col min="791" max="792" width="17" bestFit="1" customWidth="1"/>
    <col min="793" max="793" width="18.5703125" customWidth="1"/>
    <col min="794" max="794" width="13.140625" customWidth="1"/>
    <col min="795" max="796" width="19" bestFit="1" customWidth="1"/>
    <col min="797" max="797" width="17" bestFit="1" customWidth="1"/>
    <col min="798" max="798" width="15.140625" bestFit="1" customWidth="1"/>
    <col min="799" max="799" width="15" bestFit="1" customWidth="1"/>
    <col min="1025" max="1025" width="26.7109375" customWidth="1"/>
    <col min="1026" max="1026" width="7.28515625" customWidth="1"/>
    <col min="1027" max="1027" width="9.28515625" customWidth="1"/>
    <col min="1028" max="1039" width="0" hidden="1" customWidth="1"/>
    <col min="1040" max="1040" width="18.5703125" bestFit="1" customWidth="1"/>
    <col min="1041" max="1042" width="0" hidden="1" customWidth="1"/>
    <col min="1043" max="1046" width="14.7109375" customWidth="1"/>
    <col min="1047" max="1048" width="17" bestFit="1" customWidth="1"/>
    <col min="1049" max="1049" width="18.5703125" customWidth="1"/>
    <col min="1050" max="1050" width="13.140625" customWidth="1"/>
    <col min="1051" max="1052" width="19" bestFit="1" customWidth="1"/>
    <col min="1053" max="1053" width="17" bestFit="1" customWidth="1"/>
    <col min="1054" max="1054" width="15.140625" bestFit="1" customWidth="1"/>
    <col min="1055" max="1055" width="15" bestFit="1" customWidth="1"/>
    <col min="1281" max="1281" width="26.7109375" customWidth="1"/>
    <col min="1282" max="1282" width="7.28515625" customWidth="1"/>
    <col min="1283" max="1283" width="9.28515625" customWidth="1"/>
    <col min="1284" max="1295" width="0" hidden="1" customWidth="1"/>
    <col min="1296" max="1296" width="18.5703125" bestFit="1" customWidth="1"/>
    <col min="1297" max="1298" width="0" hidden="1" customWidth="1"/>
    <col min="1299" max="1302" width="14.7109375" customWidth="1"/>
    <col min="1303" max="1304" width="17" bestFit="1" customWidth="1"/>
    <col min="1305" max="1305" width="18.5703125" customWidth="1"/>
    <col min="1306" max="1306" width="13.140625" customWidth="1"/>
    <col min="1307" max="1308" width="19" bestFit="1" customWidth="1"/>
    <col min="1309" max="1309" width="17" bestFit="1" customWidth="1"/>
    <col min="1310" max="1310" width="15.140625" bestFit="1" customWidth="1"/>
    <col min="1311" max="1311" width="15" bestFit="1" customWidth="1"/>
    <col min="1537" max="1537" width="26.7109375" customWidth="1"/>
    <col min="1538" max="1538" width="7.28515625" customWidth="1"/>
    <col min="1539" max="1539" width="9.28515625" customWidth="1"/>
    <col min="1540" max="1551" width="0" hidden="1" customWidth="1"/>
    <col min="1552" max="1552" width="18.5703125" bestFit="1" customWidth="1"/>
    <col min="1553" max="1554" width="0" hidden="1" customWidth="1"/>
    <col min="1555" max="1558" width="14.7109375" customWidth="1"/>
    <col min="1559" max="1560" width="17" bestFit="1" customWidth="1"/>
    <col min="1561" max="1561" width="18.5703125" customWidth="1"/>
    <col min="1562" max="1562" width="13.140625" customWidth="1"/>
    <col min="1563" max="1564" width="19" bestFit="1" customWidth="1"/>
    <col min="1565" max="1565" width="17" bestFit="1" customWidth="1"/>
    <col min="1566" max="1566" width="15.140625" bestFit="1" customWidth="1"/>
    <col min="1567" max="1567" width="15" bestFit="1" customWidth="1"/>
    <col min="1793" max="1793" width="26.7109375" customWidth="1"/>
    <col min="1794" max="1794" width="7.28515625" customWidth="1"/>
    <col min="1795" max="1795" width="9.28515625" customWidth="1"/>
    <col min="1796" max="1807" width="0" hidden="1" customWidth="1"/>
    <col min="1808" max="1808" width="18.5703125" bestFit="1" customWidth="1"/>
    <col min="1809" max="1810" width="0" hidden="1" customWidth="1"/>
    <col min="1811" max="1814" width="14.7109375" customWidth="1"/>
    <col min="1815" max="1816" width="17" bestFit="1" customWidth="1"/>
    <col min="1817" max="1817" width="18.5703125" customWidth="1"/>
    <col min="1818" max="1818" width="13.140625" customWidth="1"/>
    <col min="1819" max="1820" width="19" bestFit="1" customWidth="1"/>
    <col min="1821" max="1821" width="17" bestFit="1" customWidth="1"/>
    <col min="1822" max="1822" width="15.140625" bestFit="1" customWidth="1"/>
    <col min="1823" max="1823" width="15" bestFit="1" customWidth="1"/>
    <col min="2049" max="2049" width="26.7109375" customWidth="1"/>
    <col min="2050" max="2050" width="7.28515625" customWidth="1"/>
    <col min="2051" max="2051" width="9.28515625" customWidth="1"/>
    <col min="2052" max="2063" width="0" hidden="1" customWidth="1"/>
    <col min="2064" max="2064" width="18.5703125" bestFit="1" customWidth="1"/>
    <col min="2065" max="2066" width="0" hidden="1" customWidth="1"/>
    <col min="2067" max="2070" width="14.7109375" customWidth="1"/>
    <col min="2071" max="2072" width="17" bestFit="1" customWidth="1"/>
    <col min="2073" max="2073" width="18.5703125" customWidth="1"/>
    <col min="2074" max="2074" width="13.140625" customWidth="1"/>
    <col min="2075" max="2076" width="19" bestFit="1" customWidth="1"/>
    <col min="2077" max="2077" width="17" bestFit="1" customWidth="1"/>
    <col min="2078" max="2078" width="15.140625" bestFit="1" customWidth="1"/>
    <col min="2079" max="2079" width="15" bestFit="1" customWidth="1"/>
    <col min="2305" max="2305" width="26.7109375" customWidth="1"/>
    <col min="2306" max="2306" width="7.28515625" customWidth="1"/>
    <col min="2307" max="2307" width="9.28515625" customWidth="1"/>
    <col min="2308" max="2319" width="0" hidden="1" customWidth="1"/>
    <col min="2320" max="2320" width="18.5703125" bestFit="1" customWidth="1"/>
    <col min="2321" max="2322" width="0" hidden="1" customWidth="1"/>
    <col min="2323" max="2326" width="14.7109375" customWidth="1"/>
    <col min="2327" max="2328" width="17" bestFit="1" customWidth="1"/>
    <col min="2329" max="2329" width="18.5703125" customWidth="1"/>
    <col min="2330" max="2330" width="13.140625" customWidth="1"/>
    <col min="2331" max="2332" width="19" bestFit="1" customWidth="1"/>
    <col min="2333" max="2333" width="17" bestFit="1" customWidth="1"/>
    <col min="2334" max="2334" width="15.140625" bestFit="1" customWidth="1"/>
    <col min="2335" max="2335" width="15" bestFit="1" customWidth="1"/>
    <col min="2561" max="2561" width="26.7109375" customWidth="1"/>
    <col min="2562" max="2562" width="7.28515625" customWidth="1"/>
    <col min="2563" max="2563" width="9.28515625" customWidth="1"/>
    <col min="2564" max="2575" width="0" hidden="1" customWidth="1"/>
    <col min="2576" max="2576" width="18.5703125" bestFit="1" customWidth="1"/>
    <col min="2577" max="2578" width="0" hidden="1" customWidth="1"/>
    <col min="2579" max="2582" width="14.7109375" customWidth="1"/>
    <col min="2583" max="2584" width="17" bestFit="1" customWidth="1"/>
    <col min="2585" max="2585" width="18.5703125" customWidth="1"/>
    <col min="2586" max="2586" width="13.140625" customWidth="1"/>
    <col min="2587" max="2588" width="19" bestFit="1" customWidth="1"/>
    <col min="2589" max="2589" width="17" bestFit="1" customWidth="1"/>
    <col min="2590" max="2590" width="15.140625" bestFit="1" customWidth="1"/>
    <col min="2591" max="2591" width="15" bestFit="1" customWidth="1"/>
    <col min="2817" max="2817" width="26.7109375" customWidth="1"/>
    <col min="2818" max="2818" width="7.28515625" customWidth="1"/>
    <col min="2819" max="2819" width="9.28515625" customWidth="1"/>
    <col min="2820" max="2831" width="0" hidden="1" customWidth="1"/>
    <col min="2832" max="2832" width="18.5703125" bestFit="1" customWidth="1"/>
    <col min="2833" max="2834" width="0" hidden="1" customWidth="1"/>
    <col min="2835" max="2838" width="14.7109375" customWidth="1"/>
    <col min="2839" max="2840" width="17" bestFit="1" customWidth="1"/>
    <col min="2841" max="2841" width="18.5703125" customWidth="1"/>
    <col min="2842" max="2842" width="13.140625" customWidth="1"/>
    <col min="2843" max="2844" width="19" bestFit="1" customWidth="1"/>
    <col min="2845" max="2845" width="17" bestFit="1" customWidth="1"/>
    <col min="2846" max="2846" width="15.140625" bestFit="1" customWidth="1"/>
    <col min="2847" max="2847" width="15" bestFit="1" customWidth="1"/>
    <col min="3073" max="3073" width="26.7109375" customWidth="1"/>
    <col min="3074" max="3074" width="7.28515625" customWidth="1"/>
    <col min="3075" max="3075" width="9.28515625" customWidth="1"/>
    <col min="3076" max="3087" width="0" hidden="1" customWidth="1"/>
    <col min="3088" max="3088" width="18.5703125" bestFit="1" customWidth="1"/>
    <col min="3089" max="3090" width="0" hidden="1" customWidth="1"/>
    <col min="3091" max="3094" width="14.7109375" customWidth="1"/>
    <col min="3095" max="3096" width="17" bestFit="1" customWidth="1"/>
    <col min="3097" max="3097" width="18.5703125" customWidth="1"/>
    <col min="3098" max="3098" width="13.140625" customWidth="1"/>
    <col min="3099" max="3100" width="19" bestFit="1" customWidth="1"/>
    <col min="3101" max="3101" width="17" bestFit="1" customWidth="1"/>
    <col min="3102" max="3102" width="15.140625" bestFit="1" customWidth="1"/>
    <col min="3103" max="3103" width="15" bestFit="1" customWidth="1"/>
    <col min="3329" max="3329" width="26.7109375" customWidth="1"/>
    <col min="3330" max="3330" width="7.28515625" customWidth="1"/>
    <col min="3331" max="3331" width="9.28515625" customWidth="1"/>
    <col min="3332" max="3343" width="0" hidden="1" customWidth="1"/>
    <col min="3344" max="3344" width="18.5703125" bestFit="1" customWidth="1"/>
    <col min="3345" max="3346" width="0" hidden="1" customWidth="1"/>
    <col min="3347" max="3350" width="14.7109375" customWidth="1"/>
    <col min="3351" max="3352" width="17" bestFit="1" customWidth="1"/>
    <col min="3353" max="3353" width="18.5703125" customWidth="1"/>
    <col min="3354" max="3354" width="13.140625" customWidth="1"/>
    <col min="3355" max="3356" width="19" bestFit="1" customWidth="1"/>
    <col min="3357" max="3357" width="17" bestFit="1" customWidth="1"/>
    <col min="3358" max="3358" width="15.140625" bestFit="1" customWidth="1"/>
    <col min="3359" max="3359" width="15" bestFit="1" customWidth="1"/>
    <col min="3585" max="3585" width="26.7109375" customWidth="1"/>
    <col min="3586" max="3586" width="7.28515625" customWidth="1"/>
    <col min="3587" max="3587" width="9.28515625" customWidth="1"/>
    <col min="3588" max="3599" width="0" hidden="1" customWidth="1"/>
    <col min="3600" max="3600" width="18.5703125" bestFit="1" customWidth="1"/>
    <col min="3601" max="3602" width="0" hidden="1" customWidth="1"/>
    <col min="3603" max="3606" width="14.7109375" customWidth="1"/>
    <col min="3607" max="3608" width="17" bestFit="1" customWidth="1"/>
    <col min="3609" max="3609" width="18.5703125" customWidth="1"/>
    <col min="3610" max="3610" width="13.140625" customWidth="1"/>
    <col min="3611" max="3612" width="19" bestFit="1" customWidth="1"/>
    <col min="3613" max="3613" width="17" bestFit="1" customWidth="1"/>
    <col min="3614" max="3614" width="15.140625" bestFit="1" customWidth="1"/>
    <col min="3615" max="3615" width="15" bestFit="1" customWidth="1"/>
    <col min="3841" max="3841" width="26.7109375" customWidth="1"/>
    <col min="3842" max="3842" width="7.28515625" customWidth="1"/>
    <col min="3843" max="3843" width="9.28515625" customWidth="1"/>
    <col min="3844" max="3855" width="0" hidden="1" customWidth="1"/>
    <col min="3856" max="3856" width="18.5703125" bestFit="1" customWidth="1"/>
    <col min="3857" max="3858" width="0" hidden="1" customWidth="1"/>
    <col min="3859" max="3862" width="14.7109375" customWidth="1"/>
    <col min="3863" max="3864" width="17" bestFit="1" customWidth="1"/>
    <col min="3865" max="3865" width="18.5703125" customWidth="1"/>
    <col min="3866" max="3866" width="13.140625" customWidth="1"/>
    <col min="3867" max="3868" width="19" bestFit="1" customWidth="1"/>
    <col min="3869" max="3869" width="17" bestFit="1" customWidth="1"/>
    <col min="3870" max="3870" width="15.140625" bestFit="1" customWidth="1"/>
    <col min="3871" max="3871" width="15" bestFit="1" customWidth="1"/>
    <col min="4097" max="4097" width="26.7109375" customWidth="1"/>
    <col min="4098" max="4098" width="7.28515625" customWidth="1"/>
    <col min="4099" max="4099" width="9.28515625" customWidth="1"/>
    <col min="4100" max="4111" width="0" hidden="1" customWidth="1"/>
    <col min="4112" max="4112" width="18.5703125" bestFit="1" customWidth="1"/>
    <col min="4113" max="4114" width="0" hidden="1" customWidth="1"/>
    <col min="4115" max="4118" width="14.7109375" customWidth="1"/>
    <col min="4119" max="4120" width="17" bestFit="1" customWidth="1"/>
    <col min="4121" max="4121" width="18.5703125" customWidth="1"/>
    <col min="4122" max="4122" width="13.140625" customWidth="1"/>
    <col min="4123" max="4124" width="19" bestFit="1" customWidth="1"/>
    <col min="4125" max="4125" width="17" bestFit="1" customWidth="1"/>
    <col min="4126" max="4126" width="15.140625" bestFit="1" customWidth="1"/>
    <col min="4127" max="4127" width="15" bestFit="1" customWidth="1"/>
    <col min="4353" max="4353" width="26.7109375" customWidth="1"/>
    <col min="4354" max="4354" width="7.28515625" customWidth="1"/>
    <col min="4355" max="4355" width="9.28515625" customWidth="1"/>
    <col min="4356" max="4367" width="0" hidden="1" customWidth="1"/>
    <col min="4368" max="4368" width="18.5703125" bestFit="1" customWidth="1"/>
    <col min="4369" max="4370" width="0" hidden="1" customWidth="1"/>
    <col min="4371" max="4374" width="14.7109375" customWidth="1"/>
    <col min="4375" max="4376" width="17" bestFit="1" customWidth="1"/>
    <col min="4377" max="4377" width="18.5703125" customWidth="1"/>
    <col min="4378" max="4378" width="13.140625" customWidth="1"/>
    <col min="4379" max="4380" width="19" bestFit="1" customWidth="1"/>
    <col min="4381" max="4381" width="17" bestFit="1" customWidth="1"/>
    <col min="4382" max="4382" width="15.140625" bestFit="1" customWidth="1"/>
    <col min="4383" max="4383" width="15" bestFit="1" customWidth="1"/>
    <col min="4609" max="4609" width="26.7109375" customWidth="1"/>
    <col min="4610" max="4610" width="7.28515625" customWidth="1"/>
    <col min="4611" max="4611" width="9.28515625" customWidth="1"/>
    <col min="4612" max="4623" width="0" hidden="1" customWidth="1"/>
    <col min="4624" max="4624" width="18.5703125" bestFit="1" customWidth="1"/>
    <col min="4625" max="4626" width="0" hidden="1" customWidth="1"/>
    <col min="4627" max="4630" width="14.7109375" customWidth="1"/>
    <col min="4631" max="4632" width="17" bestFit="1" customWidth="1"/>
    <col min="4633" max="4633" width="18.5703125" customWidth="1"/>
    <col min="4634" max="4634" width="13.140625" customWidth="1"/>
    <col min="4635" max="4636" width="19" bestFit="1" customWidth="1"/>
    <col min="4637" max="4637" width="17" bestFit="1" customWidth="1"/>
    <col min="4638" max="4638" width="15.140625" bestFit="1" customWidth="1"/>
    <col min="4639" max="4639" width="15" bestFit="1" customWidth="1"/>
    <col min="4865" max="4865" width="26.7109375" customWidth="1"/>
    <col min="4866" max="4866" width="7.28515625" customWidth="1"/>
    <col min="4867" max="4867" width="9.28515625" customWidth="1"/>
    <col min="4868" max="4879" width="0" hidden="1" customWidth="1"/>
    <col min="4880" max="4880" width="18.5703125" bestFit="1" customWidth="1"/>
    <col min="4881" max="4882" width="0" hidden="1" customWidth="1"/>
    <col min="4883" max="4886" width="14.7109375" customWidth="1"/>
    <col min="4887" max="4888" width="17" bestFit="1" customWidth="1"/>
    <col min="4889" max="4889" width="18.5703125" customWidth="1"/>
    <col min="4890" max="4890" width="13.140625" customWidth="1"/>
    <col min="4891" max="4892" width="19" bestFit="1" customWidth="1"/>
    <col min="4893" max="4893" width="17" bestFit="1" customWidth="1"/>
    <col min="4894" max="4894" width="15.140625" bestFit="1" customWidth="1"/>
    <col min="4895" max="4895" width="15" bestFit="1" customWidth="1"/>
    <col min="5121" max="5121" width="26.7109375" customWidth="1"/>
    <col min="5122" max="5122" width="7.28515625" customWidth="1"/>
    <col min="5123" max="5123" width="9.28515625" customWidth="1"/>
    <col min="5124" max="5135" width="0" hidden="1" customWidth="1"/>
    <col min="5136" max="5136" width="18.5703125" bestFit="1" customWidth="1"/>
    <col min="5137" max="5138" width="0" hidden="1" customWidth="1"/>
    <col min="5139" max="5142" width="14.7109375" customWidth="1"/>
    <col min="5143" max="5144" width="17" bestFit="1" customWidth="1"/>
    <col min="5145" max="5145" width="18.5703125" customWidth="1"/>
    <col min="5146" max="5146" width="13.140625" customWidth="1"/>
    <col min="5147" max="5148" width="19" bestFit="1" customWidth="1"/>
    <col min="5149" max="5149" width="17" bestFit="1" customWidth="1"/>
    <col min="5150" max="5150" width="15.140625" bestFit="1" customWidth="1"/>
    <col min="5151" max="5151" width="15" bestFit="1" customWidth="1"/>
    <col min="5377" max="5377" width="26.7109375" customWidth="1"/>
    <col min="5378" max="5378" width="7.28515625" customWidth="1"/>
    <col min="5379" max="5379" width="9.28515625" customWidth="1"/>
    <col min="5380" max="5391" width="0" hidden="1" customWidth="1"/>
    <col min="5392" max="5392" width="18.5703125" bestFit="1" customWidth="1"/>
    <col min="5393" max="5394" width="0" hidden="1" customWidth="1"/>
    <col min="5395" max="5398" width="14.7109375" customWidth="1"/>
    <col min="5399" max="5400" width="17" bestFit="1" customWidth="1"/>
    <col min="5401" max="5401" width="18.5703125" customWidth="1"/>
    <col min="5402" max="5402" width="13.140625" customWidth="1"/>
    <col min="5403" max="5404" width="19" bestFit="1" customWidth="1"/>
    <col min="5405" max="5405" width="17" bestFit="1" customWidth="1"/>
    <col min="5406" max="5406" width="15.140625" bestFit="1" customWidth="1"/>
    <col min="5407" max="5407" width="15" bestFit="1" customWidth="1"/>
    <col min="5633" max="5633" width="26.7109375" customWidth="1"/>
    <col min="5634" max="5634" width="7.28515625" customWidth="1"/>
    <col min="5635" max="5635" width="9.28515625" customWidth="1"/>
    <col min="5636" max="5647" width="0" hidden="1" customWidth="1"/>
    <col min="5648" max="5648" width="18.5703125" bestFit="1" customWidth="1"/>
    <col min="5649" max="5650" width="0" hidden="1" customWidth="1"/>
    <col min="5651" max="5654" width="14.7109375" customWidth="1"/>
    <col min="5655" max="5656" width="17" bestFit="1" customWidth="1"/>
    <col min="5657" max="5657" width="18.5703125" customWidth="1"/>
    <col min="5658" max="5658" width="13.140625" customWidth="1"/>
    <col min="5659" max="5660" width="19" bestFit="1" customWidth="1"/>
    <col min="5661" max="5661" width="17" bestFit="1" customWidth="1"/>
    <col min="5662" max="5662" width="15.140625" bestFit="1" customWidth="1"/>
    <col min="5663" max="5663" width="15" bestFit="1" customWidth="1"/>
    <col min="5889" max="5889" width="26.7109375" customWidth="1"/>
    <col min="5890" max="5890" width="7.28515625" customWidth="1"/>
    <col min="5891" max="5891" width="9.28515625" customWidth="1"/>
    <col min="5892" max="5903" width="0" hidden="1" customWidth="1"/>
    <col min="5904" max="5904" width="18.5703125" bestFit="1" customWidth="1"/>
    <col min="5905" max="5906" width="0" hidden="1" customWidth="1"/>
    <col min="5907" max="5910" width="14.7109375" customWidth="1"/>
    <col min="5911" max="5912" width="17" bestFit="1" customWidth="1"/>
    <col min="5913" max="5913" width="18.5703125" customWidth="1"/>
    <col min="5914" max="5914" width="13.140625" customWidth="1"/>
    <col min="5915" max="5916" width="19" bestFit="1" customWidth="1"/>
    <col min="5917" max="5917" width="17" bestFit="1" customWidth="1"/>
    <col min="5918" max="5918" width="15.140625" bestFit="1" customWidth="1"/>
    <col min="5919" max="5919" width="15" bestFit="1" customWidth="1"/>
    <col min="6145" max="6145" width="26.7109375" customWidth="1"/>
    <col min="6146" max="6146" width="7.28515625" customWidth="1"/>
    <col min="6147" max="6147" width="9.28515625" customWidth="1"/>
    <col min="6148" max="6159" width="0" hidden="1" customWidth="1"/>
    <col min="6160" max="6160" width="18.5703125" bestFit="1" customWidth="1"/>
    <col min="6161" max="6162" width="0" hidden="1" customWidth="1"/>
    <col min="6163" max="6166" width="14.7109375" customWidth="1"/>
    <col min="6167" max="6168" width="17" bestFit="1" customWidth="1"/>
    <col min="6169" max="6169" width="18.5703125" customWidth="1"/>
    <col min="6170" max="6170" width="13.140625" customWidth="1"/>
    <col min="6171" max="6172" width="19" bestFit="1" customWidth="1"/>
    <col min="6173" max="6173" width="17" bestFit="1" customWidth="1"/>
    <col min="6174" max="6174" width="15.140625" bestFit="1" customWidth="1"/>
    <col min="6175" max="6175" width="15" bestFit="1" customWidth="1"/>
    <col min="6401" max="6401" width="26.7109375" customWidth="1"/>
    <col min="6402" max="6402" width="7.28515625" customWidth="1"/>
    <col min="6403" max="6403" width="9.28515625" customWidth="1"/>
    <col min="6404" max="6415" width="0" hidden="1" customWidth="1"/>
    <col min="6416" max="6416" width="18.5703125" bestFit="1" customWidth="1"/>
    <col min="6417" max="6418" width="0" hidden="1" customWidth="1"/>
    <col min="6419" max="6422" width="14.7109375" customWidth="1"/>
    <col min="6423" max="6424" width="17" bestFit="1" customWidth="1"/>
    <col min="6425" max="6425" width="18.5703125" customWidth="1"/>
    <col min="6426" max="6426" width="13.140625" customWidth="1"/>
    <col min="6427" max="6428" width="19" bestFit="1" customWidth="1"/>
    <col min="6429" max="6429" width="17" bestFit="1" customWidth="1"/>
    <col min="6430" max="6430" width="15.140625" bestFit="1" customWidth="1"/>
    <col min="6431" max="6431" width="15" bestFit="1" customWidth="1"/>
    <col min="6657" max="6657" width="26.7109375" customWidth="1"/>
    <col min="6658" max="6658" width="7.28515625" customWidth="1"/>
    <col min="6659" max="6659" width="9.28515625" customWidth="1"/>
    <col min="6660" max="6671" width="0" hidden="1" customWidth="1"/>
    <col min="6672" max="6672" width="18.5703125" bestFit="1" customWidth="1"/>
    <col min="6673" max="6674" width="0" hidden="1" customWidth="1"/>
    <col min="6675" max="6678" width="14.7109375" customWidth="1"/>
    <col min="6679" max="6680" width="17" bestFit="1" customWidth="1"/>
    <col min="6681" max="6681" width="18.5703125" customWidth="1"/>
    <col min="6682" max="6682" width="13.140625" customWidth="1"/>
    <col min="6683" max="6684" width="19" bestFit="1" customWidth="1"/>
    <col min="6685" max="6685" width="17" bestFit="1" customWidth="1"/>
    <col min="6686" max="6686" width="15.140625" bestFit="1" customWidth="1"/>
    <col min="6687" max="6687" width="15" bestFit="1" customWidth="1"/>
    <col min="6913" max="6913" width="26.7109375" customWidth="1"/>
    <col min="6914" max="6914" width="7.28515625" customWidth="1"/>
    <col min="6915" max="6915" width="9.28515625" customWidth="1"/>
    <col min="6916" max="6927" width="0" hidden="1" customWidth="1"/>
    <col min="6928" max="6928" width="18.5703125" bestFit="1" customWidth="1"/>
    <col min="6929" max="6930" width="0" hidden="1" customWidth="1"/>
    <col min="6931" max="6934" width="14.7109375" customWidth="1"/>
    <col min="6935" max="6936" width="17" bestFit="1" customWidth="1"/>
    <col min="6937" max="6937" width="18.5703125" customWidth="1"/>
    <col min="6938" max="6938" width="13.140625" customWidth="1"/>
    <col min="6939" max="6940" width="19" bestFit="1" customWidth="1"/>
    <col min="6941" max="6941" width="17" bestFit="1" customWidth="1"/>
    <col min="6942" max="6942" width="15.140625" bestFit="1" customWidth="1"/>
    <col min="6943" max="6943" width="15" bestFit="1" customWidth="1"/>
    <col min="7169" max="7169" width="26.7109375" customWidth="1"/>
    <col min="7170" max="7170" width="7.28515625" customWidth="1"/>
    <col min="7171" max="7171" width="9.28515625" customWidth="1"/>
    <col min="7172" max="7183" width="0" hidden="1" customWidth="1"/>
    <col min="7184" max="7184" width="18.5703125" bestFit="1" customWidth="1"/>
    <col min="7185" max="7186" width="0" hidden="1" customWidth="1"/>
    <col min="7187" max="7190" width="14.7109375" customWidth="1"/>
    <col min="7191" max="7192" width="17" bestFit="1" customWidth="1"/>
    <col min="7193" max="7193" width="18.5703125" customWidth="1"/>
    <col min="7194" max="7194" width="13.140625" customWidth="1"/>
    <col min="7195" max="7196" width="19" bestFit="1" customWidth="1"/>
    <col min="7197" max="7197" width="17" bestFit="1" customWidth="1"/>
    <col min="7198" max="7198" width="15.140625" bestFit="1" customWidth="1"/>
    <col min="7199" max="7199" width="15" bestFit="1" customWidth="1"/>
    <col min="7425" max="7425" width="26.7109375" customWidth="1"/>
    <col min="7426" max="7426" width="7.28515625" customWidth="1"/>
    <col min="7427" max="7427" width="9.28515625" customWidth="1"/>
    <col min="7428" max="7439" width="0" hidden="1" customWidth="1"/>
    <col min="7440" max="7440" width="18.5703125" bestFit="1" customWidth="1"/>
    <col min="7441" max="7442" width="0" hidden="1" customWidth="1"/>
    <col min="7443" max="7446" width="14.7109375" customWidth="1"/>
    <col min="7447" max="7448" width="17" bestFit="1" customWidth="1"/>
    <col min="7449" max="7449" width="18.5703125" customWidth="1"/>
    <col min="7450" max="7450" width="13.140625" customWidth="1"/>
    <col min="7451" max="7452" width="19" bestFit="1" customWidth="1"/>
    <col min="7453" max="7453" width="17" bestFit="1" customWidth="1"/>
    <col min="7454" max="7454" width="15.140625" bestFit="1" customWidth="1"/>
    <col min="7455" max="7455" width="15" bestFit="1" customWidth="1"/>
    <col min="7681" max="7681" width="26.7109375" customWidth="1"/>
    <col min="7682" max="7682" width="7.28515625" customWidth="1"/>
    <col min="7683" max="7683" width="9.28515625" customWidth="1"/>
    <col min="7684" max="7695" width="0" hidden="1" customWidth="1"/>
    <col min="7696" max="7696" width="18.5703125" bestFit="1" customWidth="1"/>
    <col min="7697" max="7698" width="0" hidden="1" customWidth="1"/>
    <col min="7699" max="7702" width="14.7109375" customWidth="1"/>
    <col min="7703" max="7704" width="17" bestFit="1" customWidth="1"/>
    <col min="7705" max="7705" width="18.5703125" customWidth="1"/>
    <col min="7706" max="7706" width="13.140625" customWidth="1"/>
    <col min="7707" max="7708" width="19" bestFit="1" customWidth="1"/>
    <col min="7709" max="7709" width="17" bestFit="1" customWidth="1"/>
    <col min="7710" max="7710" width="15.140625" bestFit="1" customWidth="1"/>
    <col min="7711" max="7711" width="15" bestFit="1" customWidth="1"/>
    <col min="7937" max="7937" width="26.7109375" customWidth="1"/>
    <col min="7938" max="7938" width="7.28515625" customWidth="1"/>
    <col min="7939" max="7939" width="9.28515625" customWidth="1"/>
    <col min="7940" max="7951" width="0" hidden="1" customWidth="1"/>
    <col min="7952" max="7952" width="18.5703125" bestFit="1" customWidth="1"/>
    <col min="7953" max="7954" width="0" hidden="1" customWidth="1"/>
    <col min="7955" max="7958" width="14.7109375" customWidth="1"/>
    <col min="7959" max="7960" width="17" bestFit="1" customWidth="1"/>
    <col min="7961" max="7961" width="18.5703125" customWidth="1"/>
    <col min="7962" max="7962" width="13.140625" customWidth="1"/>
    <col min="7963" max="7964" width="19" bestFit="1" customWidth="1"/>
    <col min="7965" max="7965" width="17" bestFit="1" customWidth="1"/>
    <col min="7966" max="7966" width="15.140625" bestFit="1" customWidth="1"/>
    <col min="7967" max="7967" width="15" bestFit="1" customWidth="1"/>
    <col min="8193" max="8193" width="26.7109375" customWidth="1"/>
    <col min="8194" max="8194" width="7.28515625" customWidth="1"/>
    <col min="8195" max="8195" width="9.28515625" customWidth="1"/>
    <col min="8196" max="8207" width="0" hidden="1" customWidth="1"/>
    <col min="8208" max="8208" width="18.5703125" bestFit="1" customWidth="1"/>
    <col min="8209" max="8210" width="0" hidden="1" customWidth="1"/>
    <col min="8211" max="8214" width="14.7109375" customWidth="1"/>
    <col min="8215" max="8216" width="17" bestFit="1" customWidth="1"/>
    <col min="8217" max="8217" width="18.5703125" customWidth="1"/>
    <col min="8218" max="8218" width="13.140625" customWidth="1"/>
    <col min="8219" max="8220" width="19" bestFit="1" customWidth="1"/>
    <col min="8221" max="8221" width="17" bestFit="1" customWidth="1"/>
    <col min="8222" max="8222" width="15.140625" bestFit="1" customWidth="1"/>
    <col min="8223" max="8223" width="15" bestFit="1" customWidth="1"/>
    <col min="8449" max="8449" width="26.7109375" customWidth="1"/>
    <col min="8450" max="8450" width="7.28515625" customWidth="1"/>
    <col min="8451" max="8451" width="9.28515625" customWidth="1"/>
    <col min="8452" max="8463" width="0" hidden="1" customWidth="1"/>
    <col min="8464" max="8464" width="18.5703125" bestFit="1" customWidth="1"/>
    <col min="8465" max="8466" width="0" hidden="1" customWidth="1"/>
    <col min="8467" max="8470" width="14.7109375" customWidth="1"/>
    <col min="8471" max="8472" width="17" bestFit="1" customWidth="1"/>
    <col min="8473" max="8473" width="18.5703125" customWidth="1"/>
    <col min="8474" max="8474" width="13.140625" customWidth="1"/>
    <col min="8475" max="8476" width="19" bestFit="1" customWidth="1"/>
    <col min="8477" max="8477" width="17" bestFit="1" customWidth="1"/>
    <col min="8478" max="8478" width="15.140625" bestFit="1" customWidth="1"/>
    <col min="8479" max="8479" width="15" bestFit="1" customWidth="1"/>
    <col min="8705" max="8705" width="26.7109375" customWidth="1"/>
    <col min="8706" max="8706" width="7.28515625" customWidth="1"/>
    <col min="8707" max="8707" width="9.28515625" customWidth="1"/>
    <col min="8708" max="8719" width="0" hidden="1" customWidth="1"/>
    <col min="8720" max="8720" width="18.5703125" bestFit="1" customWidth="1"/>
    <col min="8721" max="8722" width="0" hidden="1" customWidth="1"/>
    <col min="8723" max="8726" width="14.7109375" customWidth="1"/>
    <col min="8727" max="8728" width="17" bestFit="1" customWidth="1"/>
    <col min="8729" max="8729" width="18.5703125" customWidth="1"/>
    <col min="8730" max="8730" width="13.140625" customWidth="1"/>
    <col min="8731" max="8732" width="19" bestFit="1" customWidth="1"/>
    <col min="8733" max="8733" width="17" bestFit="1" customWidth="1"/>
    <col min="8734" max="8734" width="15.140625" bestFit="1" customWidth="1"/>
    <col min="8735" max="8735" width="15" bestFit="1" customWidth="1"/>
    <col min="8961" max="8961" width="26.7109375" customWidth="1"/>
    <col min="8962" max="8962" width="7.28515625" customWidth="1"/>
    <col min="8963" max="8963" width="9.28515625" customWidth="1"/>
    <col min="8964" max="8975" width="0" hidden="1" customWidth="1"/>
    <col min="8976" max="8976" width="18.5703125" bestFit="1" customWidth="1"/>
    <col min="8977" max="8978" width="0" hidden="1" customWidth="1"/>
    <col min="8979" max="8982" width="14.7109375" customWidth="1"/>
    <col min="8983" max="8984" width="17" bestFit="1" customWidth="1"/>
    <col min="8985" max="8985" width="18.5703125" customWidth="1"/>
    <col min="8986" max="8986" width="13.140625" customWidth="1"/>
    <col min="8987" max="8988" width="19" bestFit="1" customWidth="1"/>
    <col min="8989" max="8989" width="17" bestFit="1" customWidth="1"/>
    <col min="8990" max="8990" width="15.140625" bestFit="1" customWidth="1"/>
    <col min="8991" max="8991" width="15" bestFit="1" customWidth="1"/>
    <col min="9217" max="9217" width="26.7109375" customWidth="1"/>
    <col min="9218" max="9218" width="7.28515625" customWidth="1"/>
    <col min="9219" max="9219" width="9.28515625" customWidth="1"/>
    <col min="9220" max="9231" width="0" hidden="1" customWidth="1"/>
    <col min="9232" max="9232" width="18.5703125" bestFit="1" customWidth="1"/>
    <col min="9233" max="9234" width="0" hidden="1" customWidth="1"/>
    <col min="9235" max="9238" width="14.7109375" customWidth="1"/>
    <col min="9239" max="9240" width="17" bestFit="1" customWidth="1"/>
    <col min="9241" max="9241" width="18.5703125" customWidth="1"/>
    <col min="9242" max="9242" width="13.140625" customWidth="1"/>
    <col min="9243" max="9244" width="19" bestFit="1" customWidth="1"/>
    <col min="9245" max="9245" width="17" bestFit="1" customWidth="1"/>
    <col min="9246" max="9246" width="15.140625" bestFit="1" customWidth="1"/>
    <col min="9247" max="9247" width="15" bestFit="1" customWidth="1"/>
    <col min="9473" max="9473" width="26.7109375" customWidth="1"/>
    <col min="9474" max="9474" width="7.28515625" customWidth="1"/>
    <col min="9475" max="9475" width="9.28515625" customWidth="1"/>
    <col min="9476" max="9487" width="0" hidden="1" customWidth="1"/>
    <col min="9488" max="9488" width="18.5703125" bestFit="1" customWidth="1"/>
    <col min="9489" max="9490" width="0" hidden="1" customWidth="1"/>
    <col min="9491" max="9494" width="14.7109375" customWidth="1"/>
    <col min="9495" max="9496" width="17" bestFit="1" customWidth="1"/>
    <col min="9497" max="9497" width="18.5703125" customWidth="1"/>
    <col min="9498" max="9498" width="13.140625" customWidth="1"/>
    <col min="9499" max="9500" width="19" bestFit="1" customWidth="1"/>
    <col min="9501" max="9501" width="17" bestFit="1" customWidth="1"/>
    <col min="9502" max="9502" width="15.140625" bestFit="1" customWidth="1"/>
    <col min="9503" max="9503" width="15" bestFit="1" customWidth="1"/>
    <col min="9729" max="9729" width="26.7109375" customWidth="1"/>
    <col min="9730" max="9730" width="7.28515625" customWidth="1"/>
    <col min="9731" max="9731" width="9.28515625" customWidth="1"/>
    <col min="9732" max="9743" width="0" hidden="1" customWidth="1"/>
    <col min="9744" max="9744" width="18.5703125" bestFit="1" customWidth="1"/>
    <col min="9745" max="9746" width="0" hidden="1" customWidth="1"/>
    <col min="9747" max="9750" width="14.7109375" customWidth="1"/>
    <col min="9751" max="9752" width="17" bestFit="1" customWidth="1"/>
    <col min="9753" max="9753" width="18.5703125" customWidth="1"/>
    <col min="9754" max="9754" width="13.140625" customWidth="1"/>
    <col min="9755" max="9756" width="19" bestFit="1" customWidth="1"/>
    <col min="9757" max="9757" width="17" bestFit="1" customWidth="1"/>
    <col min="9758" max="9758" width="15.140625" bestFit="1" customWidth="1"/>
    <col min="9759" max="9759" width="15" bestFit="1" customWidth="1"/>
    <col min="9985" max="9985" width="26.7109375" customWidth="1"/>
    <col min="9986" max="9986" width="7.28515625" customWidth="1"/>
    <col min="9987" max="9987" width="9.28515625" customWidth="1"/>
    <col min="9988" max="9999" width="0" hidden="1" customWidth="1"/>
    <col min="10000" max="10000" width="18.5703125" bestFit="1" customWidth="1"/>
    <col min="10001" max="10002" width="0" hidden="1" customWidth="1"/>
    <col min="10003" max="10006" width="14.7109375" customWidth="1"/>
    <col min="10007" max="10008" width="17" bestFit="1" customWidth="1"/>
    <col min="10009" max="10009" width="18.5703125" customWidth="1"/>
    <col min="10010" max="10010" width="13.140625" customWidth="1"/>
    <col min="10011" max="10012" width="19" bestFit="1" customWidth="1"/>
    <col min="10013" max="10013" width="17" bestFit="1" customWidth="1"/>
    <col min="10014" max="10014" width="15.140625" bestFit="1" customWidth="1"/>
    <col min="10015" max="10015" width="15" bestFit="1" customWidth="1"/>
    <col min="10241" max="10241" width="26.7109375" customWidth="1"/>
    <col min="10242" max="10242" width="7.28515625" customWidth="1"/>
    <col min="10243" max="10243" width="9.28515625" customWidth="1"/>
    <col min="10244" max="10255" width="0" hidden="1" customWidth="1"/>
    <col min="10256" max="10256" width="18.5703125" bestFit="1" customWidth="1"/>
    <col min="10257" max="10258" width="0" hidden="1" customWidth="1"/>
    <col min="10259" max="10262" width="14.7109375" customWidth="1"/>
    <col min="10263" max="10264" width="17" bestFit="1" customWidth="1"/>
    <col min="10265" max="10265" width="18.5703125" customWidth="1"/>
    <col min="10266" max="10266" width="13.140625" customWidth="1"/>
    <col min="10267" max="10268" width="19" bestFit="1" customWidth="1"/>
    <col min="10269" max="10269" width="17" bestFit="1" customWidth="1"/>
    <col min="10270" max="10270" width="15.140625" bestFit="1" customWidth="1"/>
    <col min="10271" max="10271" width="15" bestFit="1" customWidth="1"/>
    <col min="10497" max="10497" width="26.7109375" customWidth="1"/>
    <col min="10498" max="10498" width="7.28515625" customWidth="1"/>
    <col min="10499" max="10499" width="9.28515625" customWidth="1"/>
    <col min="10500" max="10511" width="0" hidden="1" customWidth="1"/>
    <col min="10512" max="10512" width="18.5703125" bestFit="1" customWidth="1"/>
    <col min="10513" max="10514" width="0" hidden="1" customWidth="1"/>
    <col min="10515" max="10518" width="14.7109375" customWidth="1"/>
    <col min="10519" max="10520" width="17" bestFit="1" customWidth="1"/>
    <col min="10521" max="10521" width="18.5703125" customWidth="1"/>
    <col min="10522" max="10522" width="13.140625" customWidth="1"/>
    <col min="10523" max="10524" width="19" bestFit="1" customWidth="1"/>
    <col min="10525" max="10525" width="17" bestFit="1" customWidth="1"/>
    <col min="10526" max="10526" width="15.140625" bestFit="1" customWidth="1"/>
    <col min="10527" max="10527" width="15" bestFit="1" customWidth="1"/>
    <col min="10753" max="10753" width="26.7109375" customWidth="1"/>
    <col min="10754" max="10754" width="7.28515625" customWidth="1"/>
    <col min="10755" max="10755" width="9.28515625" customWidth="1"/>
    <col min="10756" max="10767" width="0" hidden="1" customWidth="1"/>
    <col min="10768" max="10768" width="18.5703125" bestFit="1" customWidth="1"/>
    <col min="10769" max="10770" width="0" hidden="1" customWidth="1"/>
    <col min="10771" max="10774" width="14.7109375" customWidth="1"/>
    <col min="10775" max="10776" width="17" bestFit="1" customWidth="1"/>
    <col min="10777" max="10777" width="18.5703125" customWidth="1"/>
    <col min="10778" max="10778" width="13.140625" customWidth="1"/>
    <col min="10779" max="10780" width="19" bestFit="1" customWidth="1"/>
    <col min="10781" max="10781" width="17" bestFit="1" customWidth="1"/>
    <col min="10782" max="10782" width="15.140625" bestFit="1" customWidth="1"/>
    <col min="10783" max="10783" width="15" bestFit="1" customWidth="1"/>
    <col min="11009" max="11009" width="26.7109375" customWidth="1"/>
    <col min="11010" max="11010" width="7.28515625" customWidth="1"/>
    <col min="11011" max="11011" width="9.28515625" customWidth="1"/>
    <col min="11012" max="11023" width="0" hidden="1" customWidth="1"/>
    <col min="11024" max="11024" width="18.5703125" bestFit="1" customWidth="1"/>
    <col min="11025" max="11026" width="0" hidden="1" customWidth="1"/>
    <col min="11027" max="11030" width="14.7109375" customWidth="1"/>
    <col min="11031" max="11032" width="17" bestFit="1" customWidth="1"/>
    <col min="11033" max="11033" width="18.5703125" customWidth="1"/>
    <col min="11034" max="11034" width="13.140625" customWidth="1"/>
    <col min="11035" max="11036" width="19" bestFit="1" customWidth="1"/>
    <col min="11037" max="11037" width="17" bestFit="1" customWidth="1"/>
    <col min="11038" max="11038" width="15.140625" bestFit="1" customWidth="1"/>
    <col min="11039" max="11039" width="15" bestFit="1" customWidth="1"/>
    <col min="11265" max="11265" width="26.7109375" customWidth="1"/>
    <col min="11266" max="11266" width="7.28515625" customWidth="1"/>
    <col min="11267" max="11267" width="9.28515625" customWidth="1"/>
    <col min="11268" max="11279" width="0" hidden="1" customWidth="1"/>
    <col min="11280" max="11280" width="18.5703125" bestFit="1" customWidth="1"/>
    <col min="11281" max="11282" width="0" hidden="1" customWidth="1"/>
    <col min="11283" max="11286" width="14.7109375" customWidth="1"/>
    <col min="11287" max="11288" width="17" bestFit="1" customWidth="1"/>
    <col min="11289" max="11289" width="18.5703125" customWidth="1"/>
    <col min="11290" max="11290" width="13.140625" customWidth="1"/>
    <col min="11291" max="11292" width="19" bestFit="1" customWidth="1"/>
    <col min="11293" max="11293" width="17" bestFit="1" customWidth="1"/>
    <col min="11294" max="11294" width="15.140625" bestFit="1" customWidth="1"/>
    <col min="11295" max="11295" width="15" bestFit="1" customWidth="1"/>
    <col min="11521" max="11521" width="26.7109375" customWidth="1"/>
    <col min="11522" max="11522" width="7.28515625" customWidth="1"/>
    <col min="11523" max="11523" width="9.28515625" customWidth="1"/>
    <col min="11524" max="11535" width="0" hidden="1" customWidth="1"/>
    <col min="11536" max="11536" width="18.5703125" bestFit="1" customWidth="1"/>
    <col min="11537" max="11538" width="0" hidden="1" customWidth="1"/>
    <col min="11539" max="11542" width="14.7109375" customWidth="1"/>
    <col min="11543" max="11544" width="17" bestFit="1" customWidth="1"/>
    <col min="11545" max="11545" width="18.5703125" customWidth="1"/>
    <col min="11546" max="11546" width="13.140625" customWidth="1"/>
    <col min="11547" max="11548" width="19" bestFit="1" customWidth="1"/>
    <col min="11549" max="11549" width="17" bestFit="1" customWidth="1"/>
    <col min="11550" max="11550" width="15.140625" bestFit="1" customWidth="1"/>
    <col min="11551" max="11551" width="15" bestFit="1" customWidth="1"/>
    <col min="11777" max="11777" width="26.7109375" customWidth="1"/>
    <col min="11778" max="11778" width="7.28515625" customWidth="1"/>
    <col min="11779" max="11779" width="9.28515625" customWidth="1"/>
    <col min="11780" max="11791" width="0" hidden="1" customWidth="1"/>
    <col min="11792" max="11792" width="18.5703125" bestFit="1" customWidth="1"/>
    <col min="11793" max="11794" width="0" hidden="1" customWidth="1"/>
    <col min="11795" max="11798" width="14.7109375" customWidth="1"/>
    <col min="11799" max="11800" width="17" bestFit="1" customWidth="1"/>
    <col min="11801" max="11801" width="18.5703125" customWidth="1"/>
    <col min="11802" max="11802" width="13.140625" customWidth="1"/>
    <col min="11803" max="11804" width="19" bestFit="1" customWidth="1"/>
    <col min="11805" max="11805" width="17" bestFit="1" customWidth="1"/>
    <col min="11806" max="11806" width="15.140625" bestFit="1" customWidth="1"/>
    <col min="11807" max="11807" width="15" bestFit="1" customWidth="1"/>
    <col min="12033" max="12033" width="26.7109375" customWidth="1"/>
    <col min="12034" max="12034" width="7.28515625" customWidth="1"/>
    <col min="12035" max="12035" width="9.28515625" customWidth="1"/>
    <col min="12036" max="12047" width="0" hidden="1" customWidth="1"/>
    <col min="12048" max="12048" width="18.5703125" bestFit="1" customWidth="1"/>
    <col min="12049" max="12050" width="0" hidden="1" customWidth="1"/>
    <col min="12051" max="12054" width="14.7109375" customWidth="1"/>
    <col min="12055" max="12056" width="17" bestFit="1" customWidth="1"/>
    <col min="12057" max="12057" width="18.5703125" customWidth="1"/>
    <col min="12058" max="12058" width="13.140625" customWidth="1"/>
    <col min="12059" max="12060" width="19" bestFit="1" customWidth="1"/>
    <col min="12061" max="12061" width="17" bestFit="1" customWidth="1"/>
    <col min="12062" max="12062" width="15.140625" bestFit="1" customWidth="1"/>
    <col min="12063" max="12063" width="15" bestFit="1" customWidth="1"/>
    <col min="12289" max="12289" width="26.7109375" customWidth="1"/>
    <col min="12290" max="12290" width="7.28515625" customWidth="1"/>
    <col min="12291" max="12291" width="9.28515625" customWidth="1"/>
    <col min="12292" max="12303" width="0" hidden="1" customWidth="1"/>
    <col min="12304" max="12304" width="18.5703125" bestFit="1" customWidth="1"/>
    <col min="12305" max="12306" width="0" hidden="1" customWidth="1"/>
    <col min="12307" max="12310" width="14.7109375" customWidth="1"/>
    <col min="12311" max="12312" width="17" bestFit="1" customWidth="1"/>
    <col min="12313" max="12313" width="18.5703125" customWidth="1"/>
    <col min="12314" max="12314" width="13.140625" customWidth="1"/>
    <col min="12315" max="12316" width="19" bestFit="1" customWidth="1"/>
    <col min="12317" max="12317" width="17" bestFit="1" customWidth="1"/>
    <col min="12318" max="12318" width="15.140625" bestFit="1" customWidth="1"/>
    <col min="12319" max="12319" width="15" bestFit="1" customWidth="1"/>
    <col min="12545" max="12545" width="26.7109375" customWidth="1"/>
    <col min="12546" max="12546" width="7.28515625" customWidth="1"/>
    <col min="12547" max="12547" width="9.28515625" customWidth="1"/>
    <col min="12548" max="12559" width="0" hidden="1" customWidth="1"/>
    <col min="12560" max="12560" width="18.5703125" bestFit="1" customWidth="1"/>
    <col min="12561" max="12562" width="0" hidden="1" customWidth="1"/>
    <col min="12563" max="12566" width="14.7109375" customWidth="1"/>
    <col min="12567" max="12568" width="17" bestFit="1" customWidth="1"/>
    <col min="12569" max="12569" width="18.5703125" customWidth="1"/>
    <col min="12570" max="12570" width="13.140625" customWidth="1"/>
    <col min="12571" max="12572" width="19" bestFit="1" customWidth="1"/>
    <col min="12573" max="12573" width="17" bestFit="1" customWidth="1"/>
    <col min="12574" max="12574" width="15.140625" bestFit="1" customWidth="1"/>
    <col min="12575" max="12575" width="15" bestFit="1" customWidth="1"/>
    <col min="12801" max="12801" width="26.7109375" customWidth="1"/>
    <col min="12802" max="12802" width="7.28515625" customWidth="1"/>
    <col min="12803" max="12803" width="9.28515625" customWidth="1"/>
    <col min="12804" max="12815" width="0" hidden="1" customWidth="1"/>
    <col min="12816" max="12816" width="18.5703125" bestFit="1" customWidth="1"/>
    <col min="12817" max="12818" width="0" hidden="1" customWidth="1"/>
    <col min="12819" max="12822" width="14.7109375" customWidth="1"/>
    <col min="12823" max="12824" width="17" bestFit="1" customWidth="1"/>
    <col min="12825" max="12825" width="18.5703125" customWidth="1"/>
    <col min="12826" max="12826" width="13.140625" customWidth="1"/>
    <col min="12827" max="12828" width="19" bestFit="1" customWidth="1"/>
    <col min="12829" max="12829" width="17" bestFit="1" customWidth="1"/>
    <col min="12830" max="12830" width="15.140625" bestFit="1" customWidth="1"/>
    <col min="12831" max="12831" width="15" bestFit="1" customWidth="1"/>
    <col min="13057" max="13057" width="26.7109375" customWidth="1"/>
    <col min="13058" max="13058" width="7.28515625" customWidth="1"/>
    <col min="13059" max="13059" width="9.28515625" customWidth="1"/>
    <col min="13060" max="13071" width="0" hidden="1" customWidth="1"/>
    <col min="13072" max="13072" width="18.5703125" bestFit="1" customWidth="1"/>
    <col min="13073" max="13074" width="0" hidden="1" customWidth="1"/>
    <col min="13075" max="13078" width="14.7109375" customWidth="1"/>
    <col min="13079" max="13080" width="17" bestFit="1" customWidth="1"/>
    <col min="13081" max="13081" width="18.5703125" customWidth="1"/>
    <col min="13082" max="13082" width="13.140625" customWidth="1"/>
    <col min="13083" max="13084" width="19" bestFit="1" customWidth="1"/>
    <col min="13085" max="13085" width="17" bestFit="1" customWidth="1"/>
    <col min="13086" max="13086" width="15.140625" bestFit="1" customWidth="1"/>
    <col min="13087" max="13087" width="15" bestFit="1" customWidth="1"/>
    <col min="13313" max="13313" width="26.7109375" customWidth="1"/>
    <col min="13314" max="13314" width="7.28515625" customWidth="1"/>
    <col min="13315" max="13315" width="9.28515625" customWidth="1"/>
    <col min="13316" max="13327" width="0" hidden="1" customWidth="1"/>
    <col min="13328" max="13328" width="18.5703125" bestFit="1" customWidth="1"/>
    <col min="13329" max="13330" width="0" hidden="1" customWidth="1"/>
    <col min="13331" max="13334" width="14.7109375" customWidth="1"/>
    <col min="13335" max="13336" width="17" bestFit="1" customWidth="1"/>
    <col min="13337" max="13337" width="18.5703125" customWidth="1"/>
    <col min="13338" max="13338" width="13.140625" customWidth="1"/>
    <col min="13339" max="13340" width="19" bestFit="1" customWidth="1"/>
    <col min="13341" max="13341" width="17" bestFit="1" customWidth="1"/>
    <col min="13342" max="13342" width="15.140625" bestFit="1" customWidth="1"/>
    <col min="13343" max="13343" width="15" bestFit="1" customWidth="1"/>
    <col min="13569" max="13569" width="26.7109375" customWidth="1"/>
    <col min="13570" max="13570" width="7.28515625" customWidth="1"/>
    <col min="13571" max="13571" width="9.28515625" customWidth="1"/>
    <col min="13572" max="13583" width="0" hidden="1" customWidth="1"/>
    <col min="13584" max="13584" width="18.5703125" bestFit="1" customWidth="1"/>
    <col min="13585" max="13586" width="0" hidden="1" customWidth="1"/>
    <col min="13587" max="13590" width="14.7109375" customWidth="1"/>
    <col min="13591" max="13592" width="17" bestFit="1" customWidth="1"/>
    <col min="13593" max="13593" width="18.5703125" customWidth="1"/>
    <col min="13594" max="13594" width="13.140625" customWidth="1"/>
    <col min="13595" max="13596" width="19" bestFit="1" customWidth="1"/>
    <col min="13597" max="13597" width="17" bestFit="1" customWidth="1"/>
    <col min="13598" max="13598" width="15.140625" bestFit="1" customWidth="1"/>
    <col min="13599" max="13599" width="15" bestFit="1" customWidth="1"/>
    <col min="13825" max="13825" width="26.7109375" customWidth="1"/>
    <col min="13826" max="13826" width="7.28515625" customWidth="1"/>
    <col min="13827" max="13827" width="9.28515625" customWidth="1"/>
    <col min="13828" max="13839" width="0" hidden="1" customWidth="1"/>
    <col min="13840" max="13840" width="18.5703125" bestFit="1" customWidth="1"/>
    <col min="13841" max="13842" width="0" hidden="1" customWidth="1"/>
    <col min="13843" max="13846" width="14.7109375" customWidth="1"/>
    <col min="13847" max="13848" width="17" bestFit="1" customWidth="1"/>
    <col min="13849" max="13849" width="18.5703125" customWidth="1"/>
    <col min="13850" max="13850" width="13.140625" customWidth="1"/>
    <col min="13851" max="13852" width="19" bestFit="1" customWidth="1"/>
    <col min="13853" max="13853" width="17" bestFit="1" customWidth="1"/>
    <col min="13854" max="13854" width="15.140625" bestFit="1" customWidth="1"/>
    <col min="13855" max="13855" width="15" bestFit="1" customWidth="1"/>
    <col min="14081" max="14081" width="26.7109375" customWidth="1"/>
    <col min="14082" max="14082" width="7.28515625" customWidth="1"/>
    <col min="14083" max="14083" width="9.28515625" customWidth="1"/>
    <col min="14084" max="14095" width="0" hidden="1" customWidth="1"/>
    <col min="14096" max="14096" width="18.5703125" bestFit="1" customWidth="1"/>
    <col min="14097" max="14098" width="0" hidden="1" customWidth="1"/>
    <col min="14099" max="14102" width="14.7109375" customWidth="1"/>
    <col min="14103" max="14104" width="17" bestFit="1" customWidth="1"/>
    <col min="14105" max="14105" width="18.5703125" customWidth="1"/>
    <col min="14106" max="14106" width="13.140625" customWidth="1"/>
    <col min="14107" max="14108" width="19" bestFit="1" customWidth="1"/>
    <col min="14109" max="14109" width="17" bestFit="1" customWidth="1"/>
    <col min="14110" max="14110" width="15.140625" bestFit="1" customWidth="1"/>
    <col min="14111" max="14111" width="15" bestFit="1" customWidth="1"/>
    <col min="14337" max="14337" width="26.7109375" customWidth="1"/>
    <col min="14338" max="14338" width="7.28515625" customWidth="1"/>
    <col min="14339" max="14339" width="9.28515625" customWidth="1"/>
    <col min="14340" max="14351" width="0" hidden="1" customWidth="1"/>
    <col min="14352" max="14352" width="18.5703125" bestFit="1" customWidth="1"/>
    <col min="14353" max="14354" width="0" hidden="1" customWidth="1"/>
    <col min="14355" max="14358" width="14.7109375" customWidth="1"/>
    <col min="14359" max="14360" width="17" bestFit="1" customWidth="1"/>
    <col min="14361" max="14361" width="18.5703125" customWidth="1"/>
    <col min="14362" max="14362" width="13.140625" customWidth="1"/>
    <col min="14363" max="14364" width="19" bestFit="1" customWidth="1"/>
    <col min="14365" max="14365" width="17" bestFit="1" customWidth="1"/>
    <col min="14366" max="14366" width="15.140625" bestFit="1" customWidth="1"/>
    <col min="14367" max="14367" width="15" bestFit="1" customWidth="1"/>
    <col min="14593" max="14593" width="26.7109375" customWidth="1"/>
    <col min="14594" max="14594" width="7.28515625" customWidth="1"/>
    <col min="14595" max="14595" width="9.28515625" customWidth="1"/>
    <col min="14596" max="14607" width="0" hidden="1" customWidth="1"/>
    <col min="14608" max="14608" width="18.5703125" bestFit="1" customWidth="1"/>
    <col min="14609" max="14610" width="0" hidden="1" customWidth="1"/>
    <col min="14611" max="14614" width="14.7109375" customWidth="1"/>
    <col min="14615" max="14616" width="17" bestFit="1" customWidth="1"/>
    <col min="14617" max="14617" width="18.5703125" customWidth="1"/>
    <col min="14618" max="14618" width="13.140625" customWidth="1"/>
    <col min="14619" max="14620" width="19" bestFit="1" customWidth="1"/>
    <col min="14621" max="14621" width="17" bestFit="1" customWidth="1"/>
    <col min="14622" max="14622" width="15.140625" bestFit="1" customWidth="1"/>
    <col min="14623" max="14623" width="15" bestFit="1" customWidth="1"/>
    <col min="14849" max="14849" width="26.7109375" customWidth="1"/>
    <col min="14850" max="14850" width="7.28515625" customWidth="1"/>
    <col min="14851" max="14851" width="9.28515625" customWidth="1"/>
    <col min="14852" max="14863" width="0" hidden="1" customWidth="1"/>
    <col min="14864" max="14864" width="18.5703125" bestFit="1" customWidth="1"/>
    <col min="14865" max="14866" width="0" hidden="1" customWidth="1"/>
    <col min="14867" max="14870" width="14.7109375" customWidth="1"/>
    <col min="14871" max="14872" width="17" bestFit="1" customWidth="1"/>
    <col min="14873" max="14873" width="18.5703125" customWidth="1"/>
    <col min="14874" max="14874" width="13.140625" customWidth="1"/>
    <col min="14875" max="14876" width="19" bestFit="1" customWidth="1"/>
    <col min="14877" max="14877" width="17" bestFit="1" customWidth="1"/>
    <col min="14878" max="14878" width="15.140625" bestFit="1" customWidth="1"/>
    <col min="14879" max="14879" width="15" bestFit="1" customWidth="1"/>
    <col min="15105" max="15105" width="26.7109375" customWidth="1"/>
    <col min="15106" max="15106" width="7.28515625" customWidth="1"/>
    <col min="15107" max="15107" width="9.28515625" customWidth="1"/>
    <col min="15108" max="15119" width="0" hidden="1" customWidth="1"/>
    <col min="15120" max="15120" width="18.5703125" bestFit="1" customWidth="1"/>
    <col min="15121" max="15122" width="0" hidden="1" customWidth="1"/>
    <col min="15123" max="15126" width="14.7109375" customWidth="1"/>
    <col min="15127" max="15128" width="17" bestFit="1" customWidth="1"/>
    <col min="15129" max="15129" width="18.5703125" customWidth="1"/>
    <col min="15130" max="15130" width="13.140625" customWidth="1"/>
    <col min="15131" max="15132" width="19" bestFit="1" customWidth="1"/>
    <col min="15133" max="15133" width="17" bestFit="1" customWidth="1"/>
    <col min="15134" max="15134" width="15.140625" bestFit="1" customWidth="1"/>
    <col min="15135" max="15135" width="15" bestFit="1" customWidth="1"/>
    <col min="15361" max="15361" width="26.7109375" customWidth="1"/>
    <col min="15362" max="15362" width="7.28515625" customWidth="1"/>
    <col min="15363" max="15363" width="9.28515625" customWidth="1"/>
    <col min="15364" max="15375" width="0" hidden="1" customWidth="1"/>
    <col min="15376" max="15376" width="18.5703125" bestFit="1" customWidth="1"/>
    <col min="15377" max="15378" width="0" hidden="1" customWidth="1"/>
    <col min="15379" max="15382" width="14.7109375" customWidth="1"/>
    <col min="15383" max="15384" width="17" bestFit="1" customWidth="1"/>
    <col min="15385" max="15385" width="18.5703125" customWidth="1"/>
    <col min="15386" max="15386" width="13.140625" customWidth="1"/>
    <col min="15387" max="15388" width="19" bestFit="1" customWidth="1"/>
    <col min="15389" max="15389" width="17" bestFit="1" customWidth="1"/>
    <col min="15390" max="15390" width="15.140625" bestFit="1" customWidth="1"/>
    <col min="15391" max="15391" width="15" bestFit="1" customWidth="1"/>
    <col min="15617" max="15617" width="26.7109375" customWidth="1"/>
    <col min="15618" max="15618" width="7.28515625" customWidth="1"/>
    <col min="15619" max="15619" width="9.28515625" customWidth="1"/>
    <col min="15620" max="15631" width="0" hidden="1" customWidth="1"/>
    <col min="15632" max="15632" width="18.5703125" bestFit="1" customWidth="1"/>
    <col min="15633" max="15634" width="0" hidden="1" customWidth="1"/>
    <col min="15635" max="15638" width="14.7109375" customWidth="1"/>
    <col min="15639" max="15640" width="17" bestFit="1" customWidth="1"/>
    <col min="15641" max="15641" width="18.5703125" customWidth="1"/>
    <col min="15642" max="15642" width="13.140625" customWidth="1"/>
    <col min="15643" max="15644" width="19" bestFit="1" customWidth="1"/>
    <col min="15645" max="15645" width="17" bestFit="1" customWidth="1"/>
    <col min="15646" max="15646" width="15.140625" bestFit="1" customWidth="1"/>
    <col min="15647" max="15647" width="15" bestFit="1" customWidth="1"/>
    <col min="15873" max="15873" width="26.7109375" customWidth="1"/>
    <col min="15874" max="15874" width="7.28515625" customWidth="1"/>
    <col min="15875" max="15875" width="9.28515625" customWidth="1"/>
    <col min="15876" max="15887" width="0" hidden="1" customWidth="1"/>
    <col min="15888" max="15888" width="18.5703125" bestFit="1" customWidth="1"/>
    <col min="15889" max="15890" width="0" hidden="1" customWidth="1"/>
    <col min="15891" max="15894" width="14.7109375" customWidth="1"/>
    <col min="15895" max="15896" width="17" bestFit="1" customWidth="1"/>
    <col min="15897" max="15897" width="18.5703125" customWidth="1"/>
    <col min="15898" max="15898" width="13.140625" customWidth="1"/>
    <col min="15899" max="15900" width="19" bestFit="1" customWidth="1"/>
    <col min="15901" max="15901" width="17" bestFit="1" customWidth="1"/>
    <col min="15902" max="15902" width="15.140625" bestFit="1" customWidth="1"/>
    <col min="15903" max="15903" width="15" bestFit="1" customWidth="1"/>
    <col min="16129" max="16129" width="26.7109375" customWidth="1"/>
    <col min="16130" max="16130" width="7.28515625" customWidth="1"/>
    <col min="16131" max="16131" width="9.28515625" customWidth="1"/>
    <col min="16132" max="16143" width="0" hidden="1" customWidth="1"/>
    <col min="16144" max="16144" width="18.5703125" bestFit="1" customWidth="1"/>
    <col min="16145" max="16146" width="0" hidden="1" customWidth="1"/>
    <col min="16147" max="16150" width="14.7109375" customWidth="1"/>
    <col min="16151" max="16152" width="17" bestFit="1" customWidth="1"/>
    <col min="16153" max="16153" width="18.5703125" customWidth="1"/>
    <col min="16154" max="16154" width="13.140625" customWidth="1"/>
    <col min="16155" max="16156" width="19" bestFit="1" customWidth="1"/>
    <col min="16157" max="16157" width="17" bestFit="1" customWidth="1"/>
    <col min="16158" max="16158" width="15.140625" bestFit="1" customWidth="1"/>
    <col min="16159" max="16159" width="15" bestFit="1" customWidth="1"/>
  </cols>
  <sheetData>
    <row r="1" spans="1:34">
      <c r="A1" s="131" t="s">
        <v>103</v>
      </c>
      <c r="B1" s="112"/>
    </row>
    <row r="2" spans="1:34">
      <c r="A2" s="151" t="s">
        <v>104</v>
      </c>
      <c r="B2" s="117"/>
    </row>
    <row r="3" spans="1:34" ht="16.5" thickBot="1">
      <c r="A3" s="402"/>
      <c r="B3" s="122"/>
      <c r="AA3" s="124">
        <v>2013</v>
      </c>
      <c r="AB3" s="126" t="s">
        <v>44</v>
      </c>
      <c r="AG3" s="114">
        <v>41275</v>
      </c>
      <c r="AH3" s="115">
        <f>+X6-AG3+1</f>
        <v>229</v>
      </c>
    </row>
    <row r="4" spans="1:34" ht="16.5" thickBot="1">
      <c r="A4" s="128" t="s">
        <v>105</v>
      </c>
      <c r="AA4" s="124" t="s">
        <v>42</v>
      </c>
      <c r="AB4" s="126" t="s">
        <v>47</v>
      </c>
    </row>
    <row r="5" spans="1:34">
      <c r="A5" s="403"/>
      <c r="B5" s="134" t="s">
        <v>48</v>
      </c>
      <c r="C5" s="134" t="s">
        <v>106</v>
      </c>
      <c r="D5" s="134" t="s">
        <v>50</v>
      </c>
      <c r="E5" s="134" t="s">
        <v>51</v>
      </c>
      <c r="F5" s="134" t="s">
        <v>51</v>
      </c>
      <c r="G5" s="404" t="s">
        <v>52</v>
      </c>
      <c r="H5" s="405"/>
      <c r="I5" s="134" t="s">
        <v>17</v>
      </c>
      <c r="J5" s="406" t="s">
        <v>53</v>
      </c>
      <c r="K5" s="134" t="s">
        <v>51</v>
      </c>
      <c r="L5" s="134" t="s">
        <v>54</v>
      </c>
      <c r="M5" s="134" t="s">
        <v>55</v>
      </c>
      <c r="N5" s="407" t="s">
        <v>56</v>
      </c>
      <c r="O5" s="408" t="s">
        <v>57</v>
      </c>
      <c r="P5" s="143" t="s">
        <v>51</v>
      </c>
      <c r="Q5" s="143" t="s">
        <v>58</v>
      </c>
      <c r="R5" s="143" t="s">
        <v>59</v>
      </c>
      <c r="S5" s="143" t="s">
        <v>51</v>
      </c>
      <c r="T5" s="143" t="s">
        <v>51</v>
      </c>
      <c r="U5" s="143"/>
      <c r="V5" s="409" t="s">
        <v>6</v>
      </c>
      <c r="W5" s="409" t="s">
        <v>62</v>
      </c>
      <c r="X5" s="409" t="s">
        <v>62</v>
      </c>
      <c r="Y5" s="143" t="s">
        <v>63</v>
      </c>
      <c r="Z5" s="143" t="s">
        <v>64</v>
      </c>
      <c r="AA5" s="410" t="s">
        <v>65</v>
      </c>
      <c r="AB5" s="411" t="s">
        <v>65</v>
      </c>
      <c r="AC5" s="410" t="s">
        <v>66</v>
      </c>
      <c r="AD5" s="412" t="s">
        <v>66</v>
      </c>
      <c r="AE5" s="413" t="s">
        <v>66</v>
      </c>
      <c r="AF5" s="2" t="s">
        <v>107</v>
      </c>
    </row>
    <row r="6" spans="1:34" ht="15.75" thickBot="1">
      <c r="A6" s="414"/>
      <c r="B6" s="155"/>
      <c r="C6" s="155"/>
      <c r="D6" s="155">
        <f>+F6</f>
        <v>2007</v>
      </c>
      <c r="E6" s="155">
        <v>2006</v>
      </c>
      <c r="F6" s="155">
        <v>2007</v>
      </c>
      <c r="G6" s="155">
        <v>2007</v>
      </c>
      <c r="H6" s="415"/>
      <c r="I6" s="155">
        <v>2008</v>
      </c>
      <c r="J6" s="416"/>
      <c r="K6" s="155">
        <v>2008</v>
      </c>
      <c r="L6" s="155">
        <f>+K6</f>
        <v>2008</v>
      </c>
      <c r="M6" s="155" t="s">
        <v>67</v>
      </c>
      <c r="N6" s="417"/>
      <c r="O6" s="418">
        <v>2009</v>
      </c>
      <c r="P6" s="419">
        <v>2009</v>
      </c>
      <c r="Q6" s="419">
        <v>2009</v>
      </c>
      <c r="R6" s="419">
        <v>2009</v>
      </c>
      <c r="S6" s="419">
        <v>2010</v>
      </c>
      <c r="T6" s="419">
        <v>2011</v>
      </c>
      <c r="U6" s="419">
        <v>2012</v>
      </c>
      <c r="V6" s="420">
        <v>2013</v>
      </c>
      <c r="W6" s="421">
        <v>41138</v>
      </c>
      <c r="X6" s="421">
        <v>41503</v>
      </c>
      <c r="Y6" s="422">
        <f>+X6</f>
        <v>41503</v>
      </c>
      <c r="Z6" s="423" t="s">
        <v>70</v>
      </c>
      <c r="AA6" s="424">
        <v>2013</v>
      </c>
      <c r="AB6" s="425">
        <v>2013</v>
      </c>
      <c r="AC6" s="424" t="s">
        <v>71</v>
      </c>
      <c r="AD6" s="426" t="str">
        <f>+AC6</f>
        <v>budget vs prév.</v>
      </c>
      <c r="AE6" s="427" t="str">
        <f>+AD6</f>
        <v>budget vs prév.</v>
      </c>
      <c r="AF6" s="2"/>
    </row>
    <row r="7" spans="1:34">
      <c r="A7" s="428" t="s">
        <v>108</v>
      </c>
      <c r="B7" s="429">
        <v>29100</v>
      </c>
      <c r="C7" s="429" t="s">
        <v>109</v>
      </c>
      <c r="D7" s="430"/>
      <c r="E7" s="430"/>
      <c r="F7" s="431">
        <v>181.79</v>
      </c>
      <c r="G7" s="432"/>
      <c r="H7" s="433"/>
      <c r="I7" s="431"/>
      <c r="J7" s="431">
        <f>+F7-E7</f>
        <v>181.79</v>
      </c>
      <c r="K7" s="431">
        <v>267</v>
      </c>
      <c r="L7" s="434"/>
      <c r="M7" s="435"/>
      <c r="N7" s="431">
        <f>+K7-F7</f>
        <v>85.210000000000008</v>
      </c>
      <c r="O7" s="436"/>
      <c r="P7" s="431">
        <v>497</v>
      </c>
      <c r="Q7" s="431">
        <f>+O7-P7</f>
        <v>-497</v>
      </c>
      <c r="R7" s="435"/>
      <c r="S7" s="431">
        <v>824.27</v>
      </c>
      <c r="T7" s="431">
        <v>1284.96</v>
      </c>
      <c r="U7" s="431">
        <v>2012</v>
      </c>
      <c r="V7" s="431">
        <v>860</v>
      </c>
      <c r="W7" s="431">
        <v>800.44</v>
      </c>
      <c r="X7" s="431">
        <v>643.39</v>
      </c>
      <c r="Y7" s="431">
        <f t="shared" ref="Y7:Y15" si="0">V7-X7</f>
        <v>216.61</v>
      </c>
      <c r="Z7" s="435">
        <f>W7/V7</f>
        <v>0.93074418604651166</v>
      </c>
      <c r="AA7" s="437">
        <f>X7/W7*U7</f>
        <v>1617.2363699965019</v>
      </c>
      <c r="AB7" s="438">
        <f t="shared" ref="AB7:AB15" si="1">+X7*365/$AH$3</f>
        <v>1025.4906113537118</v>
      </c>
      <c r="AC7" s="439">
        <f>+S7-AA7</f>
        <v>-792.96636999650195</v>
      </c>
      <c r="AD7" s="440">
        <f>+S7-AB7</f>
        <v>-201.22061135371177</v>
      </c>
      <c r="AE7" s="441">
        <f>V7-AB7</f>
        <v>-165.49061135371176</v>
      </c>
    </row>
    <row r="8" spans="1:34" s="456" customFormat="1" ht="15.75" thickBot="1">
      <c r="A8" s="442" t="s">
        <v>110</v>
      </c>
      <c r="B8" s="443">
        <v>29200</v>
      </c>
      <c r="C8" s="443">
        <v>124</v>
      </c>
      <c r="D8" s="444"/>
      <c r="E8" s="444">
        <f>6816.26+7062.83</f>
        <v>13879.09</v>
      </c>
      <c r="F8" s="445">
        <f>8567+33</f>
        <v>8600</v>
      </c>
      <c r="G8" s="446"/>
      <c r="H8" s="447"/>
      <c r="I8" s="445"/>
      <c r="J8" s="445">
        <f>+F8-E8</f>
        <v>-5279.09</v>
      </c>
      <c r="K8" s="445">
        <f>11467.75+1214.22</f>
        <v>12681.97</v>
      </c>
      <c r="L8" s="448"/>
      <c r="M8" s="449"/>
      <c r="N8" s="445">
        <f>+K8-F8</f>
        <v>4081.9699999999993</v>
      </c>
      <c r="O8" s="450">
        <v>8000</v>
      </c>
      <c r="P8" s="445">
        <f>7390</f>
        <v>7390</v>
      </c>
      <c r="Q8" s="445">
        <f>+O8-P8</f>
        <v>610</v>
      </c>
      <c r="R8" s="449">
        <f>1-Q8/O8</f>
        <v>0.92374999999999996</v>
      </c>
      <c r="S8" s="445">
        <v>12121</v>
      </c>
      <c r="T8" s="445">
        <v>10729.81</v>
      </c>
      <c r="U8" s="445">
        <v>11481.22</v>
      </c>
      <c r="V8" s="445">
        <v>11500</v>
      </c>
      <c r="W8" s="445">
        <v>7069.59</v>
      </c>
      <c r="X8" s="451">
        <v>11836.26</v>
      </c>
      <c r="Y8" s="445">
        <f t="shared" si="0"/>
        <v>-336.26000000000022</v>
      </c>
      <c r="Z8" s="449">
        <f t="shared" ref="Z8:Z15" si="2">W8/V8</f>
        <v>0.61474695652173916</v>
      </c>
      <c r="AA8" s="452">
        <f>X8/W8*U8</f>
        <v>19222.43086758921</v>
      </c>
      <c r="AB8" s="453">
        <f t="shared" si="1"/>
        <v>18865.654585152839</v>
      </c>
      <c r="AC8" s="445">
        <f>+S8-AA8</f>
        <v>-7101.4308675892098</v>
      </c>
      <c r="AD8" s="445">
        <f>+S8-AB8</f>
        <v>-6744.654585152839</v>
      </c>
      <c r="AE8" s="454">
        <f>V8-AA8</f>
        <v>-7722.4308675892098</v>
      </c>
      <c r="AF8" s="455"/>
    </row>
    <row r="9" spans="1:34" s="456" customFormat="1" ht="15.75" thickBot="1">
      <c r="A9" s="442" t="s">
        <v>110</v>
      </c>
      <c r="B9" s="443">
        <v>29200</v>
      </c>
      <c r="C9" s="443">
        <v>144</v>
      </c>
      <c r="D9" s="444"/>
      <c r="E9" s="444"/>
      <c r="F9" s="445"/>
      <c r="G9" s="446"/>
      <c r="H9" s="447"/>
      <c r="I9" s="445"/>
      <c r="J9" s="445"/>
      <c r="K9" s="445"/>
      <c r="L9" s="448"/>
      <c r="M9" s="449"/>
      <c r="N9" s="445"/>
      <c r="O9" s="450"/>
      <c r="P9" s="445">
        <v>871</v>
      </c>
      <c r="Q9" s="445"/>
      <c r="R9" s="449"/>
      <c r="S9" s="445">
        <v>959</v>
      </c>
      <c r="T9" s="445">
        <v>210.6</v>
      </c>
      <c r="U9" s="445">
        <v>13.42</v>
      </c>
      <c r="V9" s="445">
        <v>0</v>
      </c>
      <c r="W9" s="445">
        <v>98.71</v>
      </c>
      <c r="X9" s="445">
        <v>0</v>
      </c>
      <c r="Y9" s="445">
        <f t="shared" si="0"/>
        <v>0</v>
      </c>
      <c r="Z9" s="449"/>
      <c r="AA9" s="437"/>
      <c r="AB9" s="457">
        <f t="shared" si="1"/>
        <v>0</v>
      </c>
      <c r="AC9" s="445"/>
      <c r="AD9" s="445"/>
      <c r="AE9" s="454">
        <f>V9-AB9</f>
        <v>0</v>
      </c>
    </row>
    <row r="10" spans="1:34" s="469" customFormat="1">
      <c r="A10" s="458" t="s">
        <v>111</v>
      </c>
      <c r="B10" s="459">
        <v>31540</v>
      </c>
      <c r="C10" s="459">
        <v>124</v>
      </c>
      <c r="D10" s="460"/>
      <c r="E10" s="460">
        <v>355.07</v>
      </c>
      <c r="F10" s="461">
        <f>3851+34</f>
        <v>3885</v>
      </c>
      <c r="G10" s="462"/>
      <c r="H10" s="463"/>
      <c r="I10" s="461"/>
      <c r="J10" s="461">
        <f>+F10-E10</f>
        <v>3529.93</v>
      </c>
      <c r="K10" s="461">
        <v>5502.54</v>
      </c>
      <c r="L10" s="464"/>
      <c r="M10" s="465"/>
      <c r="N10" s="461">
        <f>+K10-F10</f>
        <v>1617.54</v>
      </c>
      <c r="O10" s="466">
        <v>2160</v>
      </c>
      <c r="P10" s="461">
        <v>1680</v>
      </c>
      <c r="Q10" s="461">
        <f>+O10-P12</f>
        <v>-20715</v>
      </c>
      <c r="R10" s="465">
        <f>1-Q10/O10</f>
        <v>10.590277777777779</v>
      </c>
      <c r="S10" s="461">
        <v>637</v>
      </c>
      <c r="T10" s="461">
        <v>926.36</v>
      </c>
      <c r="U10" s="461">
        <v>5218.33</v>
      </c>
      <c r="V10" s="461">
        <v>1964.19</v>
      </c>
      <c r="W10" s="461">
        <v>5371.35</v>
      </c>
      <c r="X10" s="461">
        <v>242.28</v>
      </c>
      <c r="Y10" s="461">
        <f t="shared" si="0"/>
        <v>1721.91</v>
      </c>
      <c r="Z10" s="465">
        <f t="shared" si="2"/>
        <v>2.7346387060314941</v>
      </c>
      <c r="AA10" s="437">
        <f>X10/W10*U10</f>
        <v>235.37788310201347</v>
      </c>
      <c r="AB10" s="467">
        <f t="shared" si="1"/>
        <v>386.16681222707422</v>
      </c>
      <c r="AC10" s="461">
        <f>+S10-AA10</f>
        <v>401.62211689798653</v>
      </c>
      <c r="AD10" s="461">
        <f>+S10-AB10</f>
        <v>250.83318777292578</v>
      </c>
      <c r="AE10" s="468">
        <f>V10-AB10</f>
        <v>1578.0231877729259</v>
      </c>
    </row>
    <row r="11" spans="1:34" s="469" customFormat="1">
      <c r="A11" s="458" t="s">
        <v>111</v>
      </c>
      <c r="B11" s="459">
        <v>31540</v>
      </c>
      <c r="C11" s="459">
        <v>144</v>
      </c>
      <c r="D11" s="460"/>
      <c r="E11" s="460"/>
      <c r="F11" s="461"/>
      <c r="G11" s="462"/>
      <c r="H11" s="463"/>
      <c r="I11" s="461"/>
      <c r="J11" s="461"/>
      <c r="K11" s="461"/>
      <c r="L11" s="464"/>
      <c r="M11" s="465"/>
      <c r="N11" s="461"/>
      <c r="O11" s="466"/>
      <c r="P11" s="461"/>
      <c r="Q11" s="461"/>
      <c r="R11" s="465"/>
      <c r="S11" s="461"/>
      <c r="T11" s="461"/>
      <c r="U11" s="461"/>
      <c r="V11" s="461">
        <v>35.81</v>
      </c>
      <c r="W11" s="461">
        <v>0</v>
      </c>
      <c r="X11" s="461">
        <v>35.81</v>
      </c>
      <c r="Y11" s="461"/>
      <c r="Z11" s="465"/>
      <c r="AA11" s="470">
        <f>X11</f>
        <v>35.81</v>
      </c>
      <c r="AB11" s="471"/>
      <c r="AC11" s="461"/>
      <c r="AD11" s="461"/>
      <c r="AE11" s="468">
        <f>V11-AA11</f>
        <v>0</v>
      </c>
    </row>
    <row r="12" spans="1:34" s="456" customFormat="1">
      <c r="A12" s="442" t="s">
        <v>3</v>
      </c>
      <c r="B12" s="443">
        <v>35500</v>
      </c>
      <c r="C12" s="443">
        <v>122</v>
      </c>
      <c r="D12" s="444">
        <v>10120</v>
      </c>
      <c r="E12" s="444">
        <f>1791.97+3092.79</f>
        <v>4884.76</v>
      </c>
      <c r="F12" s="445">
        <f>7494+4997</f>
        <v>12491</v>
      </c>
      <c r="G12" s="446">
        <f>+D12-F12</f>
        <v>-2371</v>
      </c>
      <c r="H12" s="447"/>
      <c r="I12" s="445">
        <v>10450</v>
      </c>
      <c r="J12" s="445">
        <f>+F12-E12</f>
        <v>7606.24</v>
      </c>
      <c r="K12" s="445">
        <f>13568+5620.87</f>
        <v>19188.87</v>
      </c>
      <c r="L12" s="448">
        <f>+I12-K12</f>
        <v>-8738.869999999999</v>
      </c>
      <c r="M12" s="449">
        <f>1-K12/I12</f>
        <v>-0.83625550239234436</v>
      </c>
      <c r="N12" s="445">
        <f>+K12-F12</f>
        <v>6697.869999999999</v>
      </c>
      <c r="O12" s="450">
        <f>19000+3000</f>
        <v>22000</v>
      </c>
      <c r="P12" s="445">
        <f>22875</f>
        <v>22875</v>
      </c>
      <c r="Q12" s="445" t="e">
        <f>+O12-#REF!</f>
        <v>#REF!</v>
      </c>
      <c r="R12" s="449" t="e">
        <f>1-Q12/O12</f>
        <v>#REF!</v>
      </c>
      <c r="S12" s="445">
        <v>5128</v>
      </c>
      <c r="T12" s="445">
        <v>6049.48</v>
      </c>
      <c r="U12" s="445">
        <v>5994.32</v>
      </c>
      <c r="V12" s="445">
        <v>10700</v>
      </c>
      <c r="W12" s="445">
        <v>1930.24</v>
      </c>
      <c r="X12" s="445">
        <v>5847.49</v>
      </c>
      <c r="Y12" s="445">
        <f t="shared" si="0"/>
        <v>4852.51</v>
      </c>
      <c r="Z12" s="449">
        <f t="shared" si="2"/>
        <v>0.18039626168224299</v>
      </c>
      <c r="AA12" s="472">
        <f>X12/W12*U12</f>
        <v>18159.258049154509</v>
      </c>
      <c r="AB12" s="473">
        <f t="shared" si="1"/>
        <v>9320.2351528384279</v>
      </c>
      <c r="AC12" s="445">
        <f>+S12-AA12</f>
        <v>-13031.258049154509</v>
      </c>
      <c r="AD12" s="445">
        <f>+S12-AB12</f>
        <v>-4192.2351528384279</v>
      </c>
      <c r="AE12" s="454">
        <f>V12-AB12</f>
        <v>1379.7648471615721</v>
      </c>
      <c r="AF12" s="455"/>
    </row>
    <row r="13" spans="1:34" s="469" customFormat="1">
      <c r="A13" s="458" t="s">
        <v>3</v>
      </c>
      <c r="B13" s="459">
        <v>35500</v>
      </c>
      <c r="C13" s="459">
        <v>142</v>
      </c>
      <c r="D13" s="460"/>
      <c r="E13" s="460"/>
      <c r="F13" s="461"/>
      <c r="G13" s="462"/>
      <c r="H13" s="463"/>
      <c r="I13" s="461"/>
      <c r="J13" s="461"/>
      <c r="K13" s="461"/>
      <c r="L13" s="464"/>
      <c r="M13" s="465"/>
      <c r="N13" s="461"/>
      <c r="O13" s="466"/>
      <c r="P13" s="461">
        <v>5690</v>
      </c>
      <c r="Q13" s="461"/>
      <c r="R13" s="465"/>
      <c r="S13" s="461"/>
      <c r="T13" s="461">
        <v>371.34</v>
      </c>
      <c r="U13" s="461">
        <v>112.51</v>
      </c>
      <c r="V13" s="461">
        <v>5000</v>
      </c>
      <c r="W13" s="461">
        <v>112.51</v>
      </c>
      <c r="X13" s="461">
        <v>0</v>
      </c>
      <c r="Y13" s="461">
        <f t="shared" si="0"/>
        <v>5000</v>
      </c>
      <c r="Z13" s="465">
        <f t="shared" si="2"/>
        <v>2.2502000000000001E-2</v>
      </c>
      <c r="AA13" s="437"/>
      <c r="AB13" s="457">
        <f t="shared" si="1"/>
        <v>0</v>
      </c>
      <c r="AC13" s="461"/>
      <c r="AD13" s="461"/>
      <c r="AE13" s="468">
        <f>V13-AB13</f>
        <v>5000</v>
      </c>
    </row>
    <row r="14" spans="1:34" s="456" customFormat="1">
      <c r="A14" s="442" t="s">
        <v>112</v>
      </c>
      <c r="B14" s="443">
        <v>35510</v>
      </c>
      <c r="C14" s="443">
        <v>142</v>
      </c>
      <c r="D14" s="444"/>
      <c r="E14" s="444"/>
      <c r="F14" s="445"/>
      <c r="G14" s="446"/>
      <c r="H14" s="447"/>
      <c r="I14" s="445"/>
      <c r="J14" s="445"/>
      <c r="K14" s="445"/>
      <c r="L14" s="448"/>
      <c r="M14" s="449"/>
      <c r="N14" s="445"/>
      <c r="O14" s="450"/>
      <c r="P14" s="445"/>
      <c r="Q14" s="445"/>
      <c r="R14" s="449"/>
      <c r="S14" s="445">
        <v>117.68</v>
      </c>
      <c r="T14" s="445">
        <v>437.04</v>
      </c>
      <c r="U14" s="445">
        <v>231.19</v>
      </c>
      <c r="V14" s="445">
        <v>0</v>
      </c>
      <c r="W14" s="445">
        <v>231.19</v>
      </c>
      <c r="X14" s="445">
        <v>0</v>
      </c>
      <c r="Y14" s="445">
        <f t="shared" si="0"/>
        <v>0</v>
      </c>
      <c r="Z14" s="449" t="e">
        <f t="shared" si="2"/>
        <v>#DIV/0!</v>
      </c>
      <c r="AA14" s="437">
        <f>X14/W14*U14</f>
        <v>0</v>
      </c>
      <c r="AB14" s="474">
        <f t="shared" si="1"/>
        <v>0</v>
      </c>
      <c r="AC14" s="445"/>
      <c r="AD14" s="445"/>
      <c r="AE14" s="454">
        <f>V14-AA14</f>
        <v>0</v>
      </c>
      <c r="AF14" s="455"/>
    </row>
    <row r="15" spans="1:34" s="469" customFormat="1" ht="15.75" thickBot="1">
      <c r="A15" s="475" t="s">
        <v>112</v>
      </c>
      <c r="B15" s="476">
        <v>35510</v>
      </c>
      <c r="C15" s="476">
        <v>122</v>
      </c>
      <c r="D15" s="477">
        <v>10120</v>
      </c>
      <c r="E15" s="477"/>
      <c r="F15" s="478"/>
      <c r="G15" s="479">
        <f>+D15-F15</f>
        <v>10120</v>
      </c>
      <c r="H15" s="480"/>
      <c r="I15" s="478">
        <v>10450</v>
      </c>
      <c r="J15" s="478">
        <f>+F15-E15</f>
        <v>0</v>
      </c>
      <c r="K15" s="478"/>
      <c r="L15" s="481">
        <f>+I15-K15</f>
        <v>10450</v>
      </c>
      <c r="M15" s="482">
        <f>1-K15/I15</f>
        <v>1</v>
      </c>
      <c r="N15" s="478">
        <f>+K15-F15</f>
        <v>0</v>
      </c>
      <c r="O15" s="483">
        <f>19000+3000</f>
        <v>22000</v>
      </c>
      <c r="P15" s="478"/>
      <c r="Q15" s="478">
        <f>+O15-P15</f>
        <v>22000</v>
      </c>
      <c r="R15" s="482">
        <f>1-Q15/O15</f>
        <v>0</v>
      </c>
      <c r="S15" s="478"/>
      <c r="T15" s="478"/>
      <c r="U15" s="478"/>
      <c r="V15" s="478">
        <v>0</v>
      </c>
      <c r="W15" s="478">
        <v>0</v>
      </c>
      <c r="X15" s="478">
        <v>0</v>
      </c>
      <c r="Y15" s="478">
        <f t="shared" si="0"/>
        <v>0</v>
      </c>
      <c r="Z15" s="482" t="e">
        <f t="shared" si="2"/>
        <v>#DIV/0!</v>
      </c>
      <c r="AA15" s="484"/>
      <c r="AB15" s="484">
        <f t="shared" si="1"/>
        <v>0</v>
      </c>
      <c r="AC15" s="478">
        <f>+S15-AA15</f>
        <v>0</v>
      </c>
      <c r="AD15" s="478">
        <f>+S15-AB15</f>
        <v>0</v>
      </c>
      <c r="AE15" s="485">
        <f>V15-AB15</f>
        <v>0</v>
      </c>
    </row>
    <row r="16" spans="1:34" ht="18">
      <c r="A16" t="s">
        <v>1</v>
      </c>
      <c r="B16" s="2"/>
      <c r="C16" s="2"/>
      <c r="D16" s="250">
        <f>SUM(D7:D15)</f>
        <v>20240</v>
      </c>
      <c r="E16" s="119">
        <f>SUM(E7:E15)</f>
        <v>19118.919999999998</v>
      </c>
      <c r="F16" s="119">
        <f>SUM(F7:F15)</f>
        <v>25157.79</v>
      </c>
      <c r="G16" s="251">
        <f>SUM(G7:G15)</f>
        <v>7749</v>
      </c>
      <c r="H16" s="119"/>
      <c r="I16" s="119">
        <f>SUM(I7:I15)</f>
        <v>20900</v>
      </c>
      <c r="J16" s="385">
        <f>SUM(J7:J15)</f>
        <v>6038.869999999999</v>
      </c>
      <c r="K16" s="119">
        <f>SUM(K7:K15)</f>
        <v>37640.379999999997</v>
      </c>
      <c r="L16" s="253">
        <f>SUM(L7:L15)</f>
        <v>1711.130000000001</v>
      </c>
      <c r="M16" s="254"/>
      <c r="N16" s="386">
        <f>SUM(N7:N15)</f>
        <v>12482.589999999998</v>
      </c>
      <c r="O16" s="256">
        <f>SUM(O7:O15)</f>
        <v>54160</v>
      </c>
      <c r="P16" s="257">
        <f>SUM(P7:P15)</f>
        <v>39003</v>
      </c>
      <c r="Q16" s="257" t="e">
        <f>SUM(Q7:Q15)</f>
        <v>#REF!</v>
      </c>
      <c r="R16" s="486" t="e">
        <f>1-Q16/O16</f>
        <v>#REF!</v>
      </c>
      <c r="S16" s="257">
        <f t="shared" ref="S16:Y16" si="3">SUM(S7:S15)</f>
        <v>19786.95</v>
      </c>
      <c r="T16" s="257">
        <f t="shared" si="3"/>
        <v>20009.59</v>
      </c>
      <c r="U16" s="257">
        <f>SUM(U7:U15)</f>
        <v>25062.989999999998</v>
      </c>
      <c r="V16" s="257">
        <f t="shared" si="3"/>
        <v>30060</v>
      </c>
      <c r="W16" s="257">
        <f t="shared" si="3"/>
        <v>15614.03</v>
      </c>
      <c r="X16" s="257">
        <f t="shared" si="3"/>
        <v>18605.23</v>
      </c>
      <c r="Y16" s="487">
        <f t="shared" si="3"/>
        <v>11454.77</v>
      </c>
      <c r="Z16" s="260">
        <f>+X16/S16</f>
        <v>0.94027780936425265</v>
      </c>
      <c r="AA16" s="257">
        <f>SUM(AA7:AA15)</f>
        <v>39270.11316984224</v>
      </c>
      <c r="AB16" s="257">
        <f>SUM(AB7:AB15)</f>
        <v>29597.547161572053</v>
      </c>
      <c r="AC16" s="257">
        <f>SUM(AC7:AC15)</f>
        <v>-20524.033169842234</v>
      </c>
      <c r="AD16" s="257">
        <f>SUM(AD7:AD15)</f>
        <v>-10887.277161572052</v>
      </c>
      <c r="AE16" s="257">
        <f>SUM(AE7:AE15)</f>
        <v>69.866555991576206</v>
      </c>
    </row>
    <row r="17" spans="1:33" ht="15.75" thickBot="1">
      <c r="B17" s="2"/>
      <c r="C17" s="2"/>
      <c r="D17" s="250"/>
      <c r="E17" s="119"/>
      <c r="F17" s="119"/>
      <c r="G17" s="251"/>
      <c r="H17" s="119"/>
      <c r="I17" s="119"/>
      <c r="J17" s="385"/>
      <c r="K17" s="119"/>
      <c r="L17" s="253"/>
      <c r="M17" s="254"/>
      <c r="N17" s="386"/>
      <c r="O17" s="256"/>
      <c r="P17" s="257"/>
      <c r="Q17" s="257"/>
      <c r="R17" s="486"/>
      <c r="S17" s="486"/>
      <c r="T17" s="486"/>
      <c r="U17" s="486"/>
      <c r="V17" s="488"/>
      <c r="W17" s="389"/>
      <c r="X17" s="489">
        <f>+X16-W16</f>
        <v>2991.1999999999989</v>
      </c>
      <c r="Y17" s="2" t="s">
        <v>102</v>
      </c>
      <c r="Z17" s="486"/>
      <c r="AA17" s="262">
        <f>V16</f>
        <v>30060</v>
      </c>
      <c r="AB17" s="257"/>
      <c r="AC17" s="262"/>
      <c r="AD17" s="257"/>
      <c r="AE17" s="257"/>
    </row>
    <row r="18" spans="1:33" ht="16.5" thickBot="1">
      <c r="G18" s="268"/>
      <c r="I18" t="s">
        <v>83</v>
      </c>
      <c r="M18" s="391">
        <f>366/366</f>
        <v>1</v>
      </c>
      <c r="O18" s="123"/>
      <c r="P18" s="2"/>
      <c r="Q18" s="2"/>
      <c r="R18" s="2" t="s">
        <v>86</v>
      </c>
      <c r="S18" s="2"/>
      <c r="T18" s="2"/>
      <c r="U18" s="2"/>
      <c r="V18" s="2"/>
      <c r="W18" s="257"/>
      <c r="X18" s="2"/>
      <c r="Y18" s="2"/>
      <c r="Z18" s="2"/>
      <c r="AA18" s="282">
        <f>+AA17-AA16</f>
        <v>-9210.1131698422396</v>
      </c>
      <c r="AB18" s="490">
        <f>+AB17-AB16</f>
        <v>-29597.547161572053</v>
      </c>
      <c r="AD18" s="491"/>
      <c r="AG18" s="123">
        <f>V18-AB18</f>
        <v>29597.547161572053</v>
      </c>
    </row>
    <row r="19" spans="1:33" ht="15.75" thickBot="1">
      <c r="O19" s="123"/>
      <c r="P19" s="2"/>
      <c r="Q19" s="2"/>
      <c r="R19" s="2"/>
      <c r="S19" s="2"/>
      <c r="T19" s="2"/>
      <c r="U19" s="2"/>
      <c r="V19" s="2"/>
      <c r="W19" s="2"/>
      <c r="X19" s="2"/>
      <c r="Y19" s="2"/>
      <c r="Z19" s="127"/>
      <c r="AA19" s="299">
        <f>AA8+AB10+AB12+AB13+AA14+AB7+AB9+AA11</f>
        <v>29990.133444008425</v>
      </c>
    </row>
    <row r="20" spans="1:33" ht="15.75" thickBot="1">
      <c r="A20" s="275" t="s">
        <v>85</v>
      </c>
      <c r="B20" s="111"/>
      <c r="C20" s="111"/>
      <c r="D20" s="111"/>
      <c r="E20" s="111"/>
      <c r="F20" s="111"/>
      <c r="G20" s="111"/>
      <c r="H20" s="111"/>
      <c r="I20" s="111"/>
      <c r="J20" s="112"/>
      <c r="K20" s="112"/>
      <c r="L20" s="111"/>
      <c r="M20" s="111"/>
      <c r="N20" s="111"/>
      <c r="O20" s="111"/>
      <c r="P20" s="492"/>
      <c r="Q20" s="493"/>
      <c r="R20" s="493"/>
      <c r="S20" s="494"/>
      <c r="T20" s="127"/>
      <c r="U20" s="127"/>
      <c r="V20" s="127"/>
      <c r="W20" s="127"/>
      <c r="X20" s="127"/>
      <c r="Y20" s="113" t="s">
        <v>113</v>
      </c>
      <c r="Z20" s="2"/>
      <c r="AA20" s="299">
        <f>AA17-AA19</f>
        <v>69.866555991575297</v>
      </c>
    </row>
    <row r="21" spans="1:33" ht="16.5" thickTop="1" thickBot="1">
      <c r="A21" s="290" t="s">
        <v>114</v>
      </c>
      <c r="B21" s="29"/>
      <c r="C21" s="29"/>
      <c r="D21" s="29"/>
      <c r="E21" s="29"/>
      <c r="F21" s="29"/>
      <c r="G21" s="29"/>
      <c r="H21" s="29"/>
      <c r="I21" s="29"/>
      <c r="J21" s="117"/>
      <c r="K21" s="117"/>
      <c r="L21" s="29"/>
      <c r="M21" s="29"/>
      <c r="N21" s="29"/>
      <c r="O21" s="29"/>
      <c r="P21" s="495"/>
      <c r="Q21" s="285"/>
      <c r="R21" s="285"/>
      <c r="S21" s="496"/>
      <c r="T21" s="2"/>
      <c r="U21" s="2"/>
      <c r="V21" s="2"/>
      <c r="W21" s="2"/>
      <c r="X21" s="2"/>
      <c r="Y21" s="301">
        <f>(X6-AG3+1)/365</f>
        <v>0.62739726027397258</v>
      </c>
      <c r="Z21" s="2"/>
    </row>
    <row r="22" spans="1:33" ht="16.5" thickTop="1" thickBot="1">
      <c r="A22" s="120"/>
      <c r="B22" s="121"/>
      <c r="C22" s="121"/>
      <c r="D22" s="121"/>
      <c r="E22" s="121"/>
      <c r="F22" s="121"/>
      <c r="G22" s="121"/>
      <c r="H22" s="121"/>
      <c r="I22" s="121"/>
      <c r="J22" s="122"/>
      <c r="K22" s="122"/>
      <c r="L22" s="121"/>
      <c r="M22" s="121"/>
      <c r="N22" s="121"/>
      <c r="O22" s="121"/>
      <c r="P22" s="497"/>
      <c r="Q22" s="121"/>
      <c r="R22" s="121"/>
      <c r="S22" s="122"/>
      <c r="AA22" s="271"/>
    </row>
    <row r="24" spans="1:33">
      <c r="A24" s="125"/>
    </row>
    <row r="25" spans="1:33">
      <c r="A25" s="125"/>
    </row>
    <row r="37" spans="28:28">
      <c r="AB37" s="127"/>
    </row>
  </sheetData>
  <pageMargins left="0" right="0" top="0" bottom="0" header="0" footer="0"/>
  <pageSetup paperSize="5" scale="64" orientation="landscape" r:id="rId1"/>
  <headerFooter>
    <oddFooter>&amp;C&amp;D&amp;RFait par: MPCL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Synthèse</vt:lpstr>
      <vt:lpstr>ts</vt:lpstr>
      <vt:lpstr>ts stationnements</vt:lpstr>
      <vt:lpstr>Synthèse!Zone_d_impression</vt:lpstr>
      <vt:lpstr>ts!Zone_d_impression</vt:lpstr>
      <vt:lpstr>'ts stationnements'!Zone_d_impression</vt:lpstr>
    </vt:vector>
  </TitlesOfParts>
  <Company>Ville de Gatineau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Séguin, Pierre</dc:creator>
  <cp:lastModifiedBy>Séguin, Pierre</cp:lastModifiedBy>
  <cp:lastPrinted>2013-09-16T19:06:18Z</cp:lastPrinted>
  <dcterms:created xsi:type="dcterms:W3CDTF">2013-06-12T18:46:41Z</dcterms:created>
  <dcterms:modified xsi:type="dcterms:W3CDTF">2013-09-17T18:44:02Z</dcterms:modified>
</cp:coreProperties>
</file>