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formatiquelepage\Desktop\"/>
    </mc:Choice>
  </mc:AlternateContent>
  <bookViews>
    <workbookView xWindow="0" yWindow="0" windowWidth="15870" windowHeight="9705"/>
  </bookViews>
  <sheets>
    <sheet name="Session (1)" sheetId="1" r:id="rId1"/>
  </sheets>
  <definedNames>
    <definedName name="_Cap1">OFFSET('Session (1)'!$J$2,,,COUNT('Session (1)'!$A:$A))</definedName>
    <definedName name="Cap">OFFSET('Session (1)'!$A$2,,,COUNT('Session (1)'!$A:$A))</definedName>
    <definedName name="Capr">OFFSET(Cap,,15)</definedName>
    <definedName name="CapV">OFFSET(Cap,,14)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M35" i="1"/>
  <c r="M34" i="1"/>
  <c r="M33" i="1"/>
  <c r="D5" i="1" l="1"/>
  <c r="D6" i="1"/>
  <c r="D7" i="1"/>
  <c r="H4" i="1"/>
  <c r="H5" i="1"/>
  <c r="B6" i="1" s="1"/>
  <c r="H6" i="1"/>
  <c r="H7" i="1"/>
  <c r="B8" i="1" s="1"/>
  <c r="B7" i="1" l="1"/>
  <c r="K7" i="1"/>
  <c r="D8" i="1"/>
  <c r="H8" i="1"/>
  <c r="B9" i="1" s="1"/>
  <c r="K8" i="1"/>
  <c r="D9" i="1"/>
  <c r="H9" i="1"/>
  <c r="B10" i="1" s="1"/>
  <c r="K9" i="1"/>
  <c r="D10" i="1"/>
  <c r="H10" i="1"/>
  <c r="K10" i="1"/>
  <c r="D11" i="1"/>
  <c r="H11" i="1"/>
  <c r="K11" i="1"/>
  <c r="D12" i="1"/>
  <c r="H12" i="1"/>
  <c r="K12" i="1"/>
  <c r="D13" i="1"/>
  <c r="H13" i="1"/>
  <c r="K13" i="1"/>
  <c r="D14" i="1"/>
  <c r="H14" i="1"/>
  <c r="K14" i="1"/>
  <c r="D15" i="1"/>
  <c r="H15" i="1"/>
  <c r="K15" i="1"/>
  <c r="D16" i="1"/>
  <c r="H16" i="1"/>
  <c r="K16" i="1"/>
  <c r="D17" i="1"/>
  <c r="H17" i="1"/>
  <c r="K17" i="1"/>
  <c r="D18" i="1"/>
  <c r="H18" i="1"/>
  <c r="K18" i="1"/>
  <c r="D19" i="1"/>
  <c r="H19" i="1"/>
  <c r="B20" i="1" s="1"/>
  <c r="K19" i="1"/>
  <c r="D20" i="1"/>
  <c r="H20" i="1"/>
  <c r="K20" i="1"/>
  <c r="D21" i="1"/>
  <c r="H21" i="1"/>
  <c r="K21" i="1"/>
  <c r="D22" i="1"/>
  <c r="H22" i="1"/>
  <c r="K22" i="1"/>
  <c r="D23" i="1"/>
  <c r="H23" i="1"/>
  <c r="K23" i="1"/>
  <c r="D24" i="1"/>
  <c r="H24" i="1"/>
  <c r="B25" i="1" s="1"/>
  <c r="K24" i="1"/>
  <c r="D25" i="1"/>
  <c r="H25" i="1"/>
  <c r="K25" i="1"/>
  <c r="D26" i="1"/>
  <c r="H26" i="1"/>
  <c r="K26" i="1"/>
  <c r="D27" i="1"/>
  <c r="H27" i="1"/>
  <c r="K27" i="1"/>
  <c r="M27" i="1"/>
  <c r="N27" i="1"/>
  <c r="B23" i="1" l="1"/>
  <c r="B18" i="1"/>
  <c r="B22" i="1"/>
  <c r="B28" i="1"/>
  <c r="B27" i="1"/>
  <c r="B26" i="1"/>
  <c r="B15" i="1"/>
  <c r="B12" i="1"/>
  <c r="B17" i="1"/>
  <c r="B19" i="1"/>
  <c r="B11" i="1"/>
  <c r="B24" i="1"/>
  <c r="B16" i="1"/>
  <c r="B14" i="1"/>
  <c r="B21" i="1"/>
  <c r="B13" i="1"/>
  <c r="H2" i="1"/>
  <c r="B3" i="1" s="1"/>
  <c r="K3" i="1" l="1"/>
  <c r="J63" i="1" l="1"/>
  <c r="J64" i="1"/>
  <c r="J65" i="1"/>
  <c r="K4" i="1" l="1"/>
  <c r="K5" i="1"/>
  <c r="K6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2" i="1" l="1"/>
  <c r="H66" i="1" l="1"/>
  <c r="D66" i="1"/>
  <c r="H65" i="1"/>
  <c r="D65" i="1"/>
  <c r="H64" i="1"/>
  <c r="D64" i="1"/>
  <c r="H63" i="1"/>
  <c r="B64" i="1" s="1"/>
  <c r="D63" i="1"/>
  <c r="H62" i="1"/>
  <c r="D62" i="1"/>
  <c r="H61" i="1"/>
  <c r="D61" i="1"/>
  <c r="H60" i="1"/>
  <c r="D60" i="1"/>
  <c r="H59" i="1"/>
  <c r="D59" i="1"/>
  <c r="H58" i="1"/>
  <c r="D58" i="1"/>
  <c r="H57" i="1"/>
  <c r="D57" i="1"/>
  <c r="H56" i="1"/>
  <c r="D56" i="1"/>
  <c r="H55" i="1"/>
  <c r="D55" i="1"/>
  <c r="H54" i="1"/>
  <c r="D54" i="1"/>
  <c r="H53" i="1"/>
  <c r="D53" i="1"/>
  <c r="H52" i="1"/>
  <c r="D52" i="1"/>
  <c r="H51" i="1"/>
  <c r="D51" i="1"/>
  <c r="H50" i="1"/>
  <c r="D50" i="1"/>
  <c r="H49" i="1"/>
  <c r="D49" i="1"/>
  <c r="H48" i="1"/>
  <c r="D48" i="1"/>
  <c r="H47" i="1"/>
  <c r="D47" i="1"/>
  <c r="H46" i="1"/>
  <c r="D46" i="1"/>
  <c r="H45" i="1"/>
  <c r="D45" i="1"/>
  <c r="H44" i="1"/>
  <c r="D44" i="1"/>
  <c r="H43" i="1"/>
  <c r="B44" i="1" s="1"/>
  <c r="D43" i="1"/>
  <c r="H42" i="1"/>
  <c r="D42" i="1"/>
  <c r="H41" i="1"/>
  <c r="D41" i="1"/>
  <c r="H40" i="1"/>
  <c r="D40" i="1"/>
  <c r="H39" i="1"/>
  <c r="B40" i="1" s="1"/>
  <c r="D39" i="1"/>
  <c r="H38" i="1"/>
  <c r="D38" i="1"/>
  <c r="H37" i="1"/>
  <c r="D37" i="1"/>
  <c r="H36" i="1"/>
  <c r="D36" i="1"/>
  <c r="H35" i="1"/>
  <c r="B36" i="1" s="1"/>
  <c r="D35" i="1"/>
  <c r="H34" i="1"/>
  <c r="D34" i="1"/>
  <c r="H33" i="1"/>
  <c r="D33" i="1"/>
  <c r="M32" i="1"/>
  <c r="H32" i="1"/>
  <c r="D32" i="1"/>
  <c r="N31" i="1"/>
  <c r="M31" i="1"/>
  <c r="H31" i="1"/>
  <c r="D31" i="1"/>
  <c r="N30" i="1"/>
  <c r="N35" i="1" s="1"/>
  <c r="M30" i="1"/>
  <c r="H30" i="1"/>
  <c r="D30" i="1"/>
  <c r="N29" i="1"/>
  <c r="N34" i="1" s="1"/>
  <c r="M29" i="1"/>
  <c r="H29" i="1"/>
  <c r="D29" i="1"/>
  <c r="N28" i="1"/>
  <c r="N33" i="1" s="1"/>
  <c r="M28" i="1"/>
  <c r="H28" i="1"/>
  <c r="B29" i="1" s="1"/>
  <c r="D28" i="1"/>
  <c r="N32" i="1"/>
  <c r="D4" i="1"/>
  <c r="H3" i="1"/>
  <c r="D3" i="1"/>
  <c r="D2" i="1"/>
  <c r="A2" i="1"/>
  <c r="B48" i="1" l="1"/>
  <c r="B61" i="1"/>
  <c r="B34" i="1"/>
  <c r="B35" i="1"/>
  <c r="B41" i="1"/>
  <c r="B52" i="1"/>
  <c r="B56" i="1"/>
  <c r="B31" i="1"/>
  <c r="B33" i="1"/>
  <c r="B37" i="1"/>
  <c r="B49" i="1"/>
  <c r="B53" i="1"/>
  <c r="B42" i="1"/>
  <c r="B46" i="1"/>
  <c r="B50" i="1"/>
  <c r="B54" i="1"/>
  <c r="B62" i="1"/>
  <c r="B4" i="1"/>
  <c r="B5" i="1"/>
  <c r="B30" i="1"/>
  <c r="B32" i="1"/>
  <c r="B45" i="1"/>
  <c r="B57" i="1"/>
  <c r="B43" i="1"/>
  <c r="B47" i="1"/>
  <c r="B51" i="1"/>
  <c r="B55" i="1"/>
  <c r="B60" i="1"/>
  <c r="B38" i="1"/>
  <c r="B58" i="1"/>
  <c r="B39" i="1"/>
  <c r="B59" i="1"/>
  <c r="B63" i="1"/>
  <c r="J2" i="1"/>
  <c r="B65" i="1"/>
  <c r="B66" i="1"/>
  <c r="A3" i="1" l="1"/>
  <c r="J3" i="1" s="1"/>
  <c r="A4" i="1" s="1"/>
  <c r="J4" i="1" s="1"/>
  <c r="P2" i="1"/>
  <c r="O2" i="1"/>
  <c r="A5" i="1" l="1"/>
  <c r="J5" i="1" s="1"/>
  <c r="P3" i="1"/>
  <c r="O3" i="1"/>
  <c r="A6" i="1" l="1"/>
  <c r="P4" i="1"/>
  <c r="O4" i="1"/>
  <c r="J6" i="1" l="1"/>
  <c r="A7" i="1" s="1"/>
  <c r="J7" i="1" s="1"/>
  <c r="P5" i="1"/>
  <c r="O5" i="1"/>
  <c r="A8" i="1" l="1"/>
  <c r="J8" i="1" s="1"/>
  <c r="A9" i="1" s="1"/>
  <c r="P6" i="1"/>
  <c r="O6" i="1"/>
  <c r="J9" i="1" l="1"/>
  <c r="A10" i="1" s="1"/>
  <c r="J10" i="1" s="1"/>
  <c r="A11" i="1" s="1"/>
  <c r="J11" i="1" s="1"/>
  <c r="P8" i="1"/>
  <c r="O8" i="1"/>
  <c r="P7" i="1"/>
  <c r="O7" i="1"/>
  <c r="A12" i="1" l="1"/>
  <c r="J12" i="1" s="1"/>
  <c r="P9" i="1"/>
  <c r="O9" i="1"/>
  <c r="P10" i="1" l="1"/>
  <c r="O10" i="1"/>
  <c r="O11" i="1" l="1"/>
  <c r="P11" i="1"/>
  <c r="A13" i="1" l="1"/>
  <c r="J13" i="1" s="1"/>
  <c r="P12" i="1"/>
  <c r="O12" i="1"/>
  <c r="A14" i="1" l="1"/>
  <c r="J14" i="1" s="1"/>
  <c r="O13" i="1"/>
  <c r="P13" i="1"/>
  <c r="A15" i="1" l="1"/>
  <c r="O14" i="1"/>
  <c r="P14" i="1"/>
  <c r="J15" i="1" l="1"/>
  <c r="A16" i="1" s="1"/>
  <c r="J16" i="1" s="1"/>
  <c r="A17" i="1" s="1"/>
  <c r="J17" i="1" s="1"/>
  <c r="O15" i="1" l="1"/>
  <c r="P15" i="1"/>
  <c r="O16" i="1"/>
  <c r="P16" i="1"/>
  <c r="A18" i="1"/>
  <c r="J18" i="1" s="1"/>
  <c r="A19" i="1" l="1"/>
  <c r="J19" i="1" s="1"/>
  <c r="P17" i="1"/>
  <c r="O17" i="1"/>
  <c r="A20" i="1" l="1"/>
  <c r="J20" i="1" s="1"/>
  <c r="P18" i="1"/>
  <c r="O18" i="1"/>
  <c r="A21" i="1" l="1"/>
  <c r="J21" i="1" s="1"/>
  <c r="P19" i="1"/>
  <c r="O19" i="1"/>
  <c r="A22" i="1" l="1"/>
  <c r="J22" i="1" s="1"/>
  <c r="P20" i="1"/>
  <c r="O20" i="1"/>
  <c r="A23" i="1" l="1"/>
  <c r="J23" i="1" s="1"/>
  <c r="P21" i="1"/>
  <c r="O21" i="1"/>
  <c r="A24" i="1" l="1"/>
  <c r="J24" i="1" s="1"/>
  <c r="P22" i="1"/>
  <c r="O22" i="1"/>
  <c r="A25" i="1" l="1"/>
  <c r="J25" i="1" s="1"/>
  <c r="P23" i="1"/>
  <c r="O23" i="1"/>
  <c r="A26" i="1" l="1"/>
  <c r="J26" i="1" s="1"/>
  <c r="A27" i="1" s="1"/>
  <c r="J27" i="1" s="1"/>
  <c r="A28" i="1" s="1"/>
  <c r="J28" i="1" s="1"/>
  <c r="P24" i="1"/>
  <c r="O24" i="1"/>
  <c r="A29" i="1" l="1"/>
  <c r="J29" i="1" s="1"/>
  <c r="P28" i="1"/>
  <c r="O28" i="1"/>
  <c r="O27" i="1"/>
  <c r="P27" i="1"/>
  <c r="A30" i="1" l="1"/>
  <c r="J30" i="1" s="1"/>
  <c r="P29" i="1"/>
  <c r="O29" i="1"/>
  <c r="P25" i="1"/>
  <c r="O25" i="1"/>
  <c r="A31" i="1" l="1"/>
  <c r="J31" i="1" s="1"/>
  <c r="A32" i="1" s="1"/>
  <c r="J32" i="1" s="1"/>
  <c r="A33" i="1" s="1"/>
  <c r="J33" i="1" s="1"/>
  <c r="A34" i="1" s="1"/>
  <c r="J34" i="1" s="1"/>
  <c r="P30" i="1"/>
  <c r="O30" i="1"/>
  <c r="O26" i="1"/>
  <c r="P26" i="1"/>
  <c r="A35" i="1" l="1"/>
  <c r="J35" i="1" s="1"/>
  <c r="O34" i="1"/>
  <c r="P34" i="1"/>
  <c r="O33" i="1"/>
  <c r="P33" i="1"/>
  <c r="P32" i="1"/>
  <c r="O32" i="1"/>
  <c r="P31" i="1"/>
  <c r="O31" i="1"/>
  <c r="A36" i="1" l="1"/>
  <c r="J36" i="1" s="1"/>
  <c r="P35" i="1"/>
  <c r="O35" i="1"/>
  <c r="A37" i="1" l="1"/>
  <c r="J37" i="1" s="1"/>
  <c r="P36" i="1"/>
  <c r="O36" i="1"/>
  <c r="A38" i="1" l="1"/>
  <c r="J38" i="1" s="1"/>
  <c r="O37" i="1"/>
  <c r="P37" i="1"/>
  <c r="A39" i="1" l="1"/>
  <c r="J39" i="1" s="1"/>
  <c r="O38" i="1"/>
  <c r="P38" i="1"/>
  <c r="A40" i="1" l="1"/>
  <c r="J40" i="1" s="1"/>
  <c r="P39" i="1"/>
  <c r="O39" i="1"/>
  <c r="A41" i="1" l="1"/>
  <c r="J41" i="1" s="1"/>
  <c r="P40" i="1"/>
  <c r="O40" i="1"/>
  <c r="A42" i="1" l="1"/>
  <c r="J42" i="1" s="1"/>
  <c r="P41" i="1"/>
  <c r="O41" i="1"/>
  <c r="A43" i="1" l="1"/>
  <c r="J43" i="1" s="1"/>
  <c r="P42" i="1"/>
  <c r="O42" i="1"/>
  <c r="A44" i="1" l="1"/>
  <c r="J44" i="1" s="1"/>
  <c r="P43" i="1"/>
  <c r="O43" i="1"/>
  <c r="A64" i="1"/>
  <c r="A45" i="1" l="1"/>
  <c r="J45" i="1" s="1"/>
  <c r="P44" i="1"/>
  <c r="O44" i="1"/>
  <c r="A65" i="1"/>
  <c r="P64" i="1"/>
  <c r="O64" i="1"/>
  <c r="A46" i="1" l="1"/>
  <c r="J46" i="1" s="1"/>
  <c r="P45" i="1"/>
  <c r="O45" i="1"/>
  <c r="A66" i="1"/>
  <c r="O65" i="1"/>
  <c r="P65" i="1"/>
  <c r="A47" i="1" l="1"/>
  <c r="J47" i="1" s="1"/>
  <c r="P46" i="1"/>
  <c r="O46" i="1"/>
  <c r="J66" i="1"/>
  <c r="O66" i="1" s="1"/>
  <c r="A48" i="1" l="1"/>
  <c r="O47" i="1"/>
  <c r="P47" i="1"/>
  <c r="P66" i="1"/>
  <c r="J48" i="1" l="1"/>
  <c r="A49" i="1" l="1"/>
  <c r="J49" i="1" s="1"/>
  <c r="O48" i="1"/>
  <c r="P48" i="1"/>
  <c r="A50" i="1" l="1"/>
  <c r="J50" i="1" s="1"/>
  <c r="P49" i="1"/>
  <c r="O49" i="1"/>
  <c r="A51" i="1" l="1"/>
  <c r="J51" i="1" s="1"/>
  <c r="P50" i="1"/>
  <c r="O50" i="1"/>
  <c r="O51" i="1" l="1"/>
  <c r="A52" i="1"/>
  <c r="J52" i="1" s="1"/>
  <c r="P51" i="1"/>
  <c r="A53" i="1" l="1"/>
  <c r="J53" i="1" s="1"/>
  <c r="O52" i="1"/>
  <c r="P52" i="1"/>
  <c r="A54" i="1" l="1"/>
  <c r="J54" i="1" s="1"/>
  <c r="P53" i="1"/>
  <c r="O53" i="1"/>
  <c r="A55" i="1" l="1"/>
  <c r="J55" i="1" s="1"/>
  <c r="P54" i="1"/>
  <c r="O54" i="1"/>
  <c r="A56" i="1" l="1"/>
  <c r="P55" i="1"/>
  <c r="O55" i="1"/>
  <c r="J56" i="1" l="1"/>
  <c r="A57" i="1" l="1"/>
  <c r="J57" i="1" s="1"/>
  <c r="O56" i="1"/>
  <c r="P56" i="1"/>
  <c r="A58" i="1" l="1"/>
  <c r="J58" i="1" s="1"/>
  <c r="P57" i="1"/>
  <c r="O57" i="1"/>
  <c r="A59" i="1" l="1"/>
  <c r="J59" i="1" s="1"/>
  <c r="P58" i="1"/>
  <c r="O58" i="1"/>
  <c r="A60" i="1" l="1"/>
  <c r="P59" i="1"/>
  <c r="O59" i="1"/>
  <c r="J60" i="1" l="1"/>
  <c r="A61" i="1" l="1"/>
  <c r="P60" i="1"/>
  <c r="O60" i="1"/>
  <c r="J61" i="1" l="1"/>
  <c r="A62" i="1" l="1"/>
  <c r="J62" i="1" s="1"/>
  <c r="A63" i="1" s="1"/>
  <c r="P61" i="1"/>
  <c r="O61" i="1"/>
  <c r="O63" i="1" l="1"/>
  <c r="P63" i="1"/>
  <c r="O62" i="1"/>
  <c r="P62" i="1"/>
  <c r="L38" i="1"/>
  <c r="L46" i="1" s="1"/>
  <c r="L8" i="1"/>
  <c r="L16" i="1" l="1"/>
</calcChain>
</file>

<file path=xl/sharedStrings.xml><?xml version="1.0" encoding="utf-8"?>
<sst xmlns="http://schemas.openxmlformats.org/spreadsheetml/2006/main" count="144" uniqueCount="22">
  <si>
    <t>Capital</t>
  </si>
  <si>
    <t>Mise $</t>
  </si>
  <si>
    <t>Contrat</t>
  </si>
  <si>
    <t>Prix marché</t>
  </si>
  <si>
    <t>Chrono</t>
  </si>
  <si>
    <t>Prix final</t>
  </si>
  <si>
    <t>Capital final</t>
  </si>
  <si>
    <t>Capital Actuel</t>
  </si>
  <si>
    <t xml:space="preserve"> </t>
  </si>
  <si>
    <t xml:space="preserve">  </t>
  </si>
  <si>
    <t>Capital Au Début</t>
  </si>
  <si>
    <t>Profit Brut</t>
  </si>
  <si>
    <t>Aide mise 1</t>
  </si>
  <si>
    <t>Gain réel - %</t>
  </si>
  <si>
    <t>Date/Heure</t>
  </si>
  <si>
    <t>Volatilité</t>
  </si>
  <si>
    <t>Outil Automatique</t>
  </si>
  <si>
    <t>Mode Du Robot</t>
  </si>
  <si>
    <t>INVERSÉ</t>
  </si>
  <si>
    <t>EN DESSOU</t>
  </si>
  <si>
    <t>Terminer</t>
  </si>
  <si>
    <t>AU DESSU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</si>
</sst>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#,##0.00\ &quot;$&quot;"/>
    <numFmt numFmtId="165" formatCode="0.00000"/>
    <numFmt numFmtId="166" formatCode="_ * #,##0.00000_)\ _$_ ;_ * \(#,##0.00000\)\ _$_ ;_ * &quot;-&quot;?????_)\ _$_ ;_ @_ "/>
    <numFmt numFmtId="170" formatCode="_ * #,##0.00_)\ &quot;$&quot;_ ;_ * \(#,##0.00\)\ &quot;$&quot;_ ;_ * &quot;-&quot;??_)\ &quot;$&quot;_ ;_ @_ "/>
  </numFmts>
  <fonts count="23">
    <font>
      <sz val="11"/>
      <color theme="1"/>
      <name val="Corbel"/>
      <family val="2"/>
      <scheme val="minor"/>
    </font>
    <font>
      <b/>
      <sz val="11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4"/>
      <color theme="1"/>
      <name val="Corbel"/>
      <family val="2"/>
      <scheme val="minor"/>
    </font>
    <font>
      <b/>
      <sz val="12"/>
      <color theme="1"/>
      <name val="Corbel"/>
      <family val="2"/>
      <scheme val="minor"/>
    </font>
    <font>
      <sz val="11"/>
      <color theme="0" tint="-0.14999847407452621"/>
      <name val="Corbel"/>
      <family val="2"/>
      <scheme val="minor"/>
    </font>
    <font>
      <b/>
      <sz val="16"/>
      <color theme="1"/>
      <name val="Corbel"/>
      <family val="2"/>
      <scheme val="minor"/>
    </font>
    <font>
      <b/>
      <sz val="28"/>
      <color theme="2" tint="-0.249977111117893"/>
      <name val="Corbel"/>
      <family val="2"/>
      <scheme val="minor"/>
    </font>
    <font>
      <b/>
      <sz val="28"/>
      <color rgb="FF92D050"/>
      <name val="Corbel"/>
      <family val="2"/>
      <scheme val="minor"/>
    </font>
    <font>
      <b/>
      <sz val="28"/>
      <color theme="1" tint="0.499984740745262"/>
      <name val="Corbel"/>
      <family val="2"/>
      <scheme val="minor"/>
    </font>
    <font>
      <b/>
      <sz val="14"/>
      <color theme="1"/>
      <name val="Corbel"/>
      <scheme val="minor"/>
    </font>
    <font>
      <sz val="11"/>
      <color theme="0" tint="-0.249977111117893"/>
      <name val="Corbel"/>
      <family val="2"/>
      <scheme val="minor"/>
    </font>
    <font>
      <b/>
      <sz val="11"/>
      <color theme="0" tint="-0.249977111117893"/>
      <name val="Corbel"/>
      <family val="2"/>
      <scheme val="minor"/>
    </font>
    <font>
      <b/>
      <sz val="14"/>
      <color theme="0"/>
      <name val="Corbel"/>
      <scheme val="minor"/>
    </font>
    <font>
      <b/>
      <sz val="14"/>
      <color theme="2" tint="-0.499984740745262"/>
      <name val="Corbel"/>
      <family val="2"/>
      <scheme val="minor"/>
    </font>
    <font>
      <b/>
      <sz val="14"/>
      <color theme="0" tint="-0.499984740745262"/>
      <name val="Corbel"/>
      <family val="2"/>
      <scheme val="minor"/>
    </font>
    <font>
      <b/>
      <sz val="14"/>
      <color rgb="FF92D050"/>
      <name val="Corbel"/>
      <family val="2"/>
      <scheme val="minor"/>
    </font>
    <font>
      <b/>
      <sz val="14"/>
      <color theme="0" tint="-0.249977111117893"/>
      <name val="Corbel"/>
      <scheme val="minor"/>
    </font>
    <font>
      <sz val="20"/>
      <color theme="0" tint="-0.249977111117893"/>
      <name val="Corbel"/>
      <family val="2"/>
      <scheme val="minor"/>
    </font>
    <font>
      <sz val="12"/>
      <color theme="0"/>
      <name val="Corbel"/>
      <scheme val="minor"/>
    </font>
    <font>
      <sz val="12"/>
      <color theme="0" tint="-4.9989318521683403E-2"/>
      <name val="Corbel"/>
      <scheme val="minor"/>
    </font>
    <font>
      <sz val="14"/>
      <color theme="1"/>
      <name val="Corbel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170" fontId="2" fillId="0" borderId="0" applyFont="0" applyFill="0" applyBorder="0" applyAlignment="0" applyProtection="0"/>
  </cellStyleXfs>
  <cellXfs count="107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/>
    <xf numFmtId="0" fontId="3" fillId="0" borderId="11" xfId="0" applyFont="1" applyBorder="1"/>
    <xf numFmtId="0" fontId="1" fillId="0" borderId="13" xfId="0" applyFon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2" borderId="15" xfId="0" applyFont="1" applyFill="1" applyBorder="1"/>
    <xf numFmtId="0" fontId="13" fillId="2" borderId="15" xfId="0" applyFont="1" applyFill="1" applyBorder="1"/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2" fontId="3" fillId="0" borderId="15" xfId="0" applyNumberFormat="1" applyFont="1" applyBorder="1"/>
    <xf numFmtId="22" fontId="3" fillId="0" borderId="17" xfId="0" applyNumberFormat="1" applyFont="1" applyBorder="1"/>
    <xf numFmtId="0" fontId="3" fillId="0" borderId="15" xfId="0" applyFont="1" applyBorder="1"/>
    <xf numFmtId="44" fontId="7" fillId="0" borderId="14" xfId="1" applyFont="1" applyBorder="1" applyAlignment="1">
      <alignment horizontal="center" vertical="center"/>
    </xf>
    <xf numFmtId="44" fontId="7" fillId="0" borderId="7" xfId="1" applyFont="1" applyBorder="1" applyAlignment="1">
      <alignment horizontal="center" vertical="center"/>
    </xf>
    <xf numFmtId="44" fontId="7" fillId="0" borderId="12" xfId="1" applyFont="1" applyBorder="1" applyAlignment="1">
      <alignment horizontal="center" vertical="center"/>
    </xf>
    <xf numFmtId="0" fontId="6" fillId="6" borderId="0" xfId="0" applyFont="1" applyFill="1" applyBorder="1"/>
    <xf numFmtId="0" fontId="6" fillId="0" borderId="0" xfId="0" applyFont="1"/>
    <xf numFmtId="0" fontId="0" fillId="0" borderId="12" xfId="0" applyFont="1" applyBorder="1" applyAlignment="1">
      <alignment horizontal="center"/>
    </xf>
    <xf numFmtId="0" fontId="1" fillId="0" borderId="13" xfId="0" applyFont="1" applyBorder="1" applyAlignment="1">
      <alignment vertical="top"/>
    </xf>
    <xf numFmtId="0" fontId="0" fillId="0" borderId="0" xfId="0" applyAlignment="1">
      <alignment vertical="top"/>
    </xf>
    <xf numFmtId="165" fontId="3" fillId="0" borderId="12" xfId="0" applyNumberFormat="1" applyFont="1" applyBorder="1" applyAlignment="1">
      <alignment vertical="top" wrapText="1"/>
    </xf>
    <xf numFmtId="165" fontId="3" fillId="0" borderId="11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2" borderId="26" xfId="0" applyFont="1" applyFill="1" applyBorder="1" applyAlignment="1"/>
    <xf numFmtId="0" fontId="12" fillId="2" borderId="18" xfId="0" applyFont="1" applyFill="1" applyBorder="1" applyAlignment="1"/>
    <xf numFmtId="0" fontId="6" fillId="2" borderId="2" xfId="0" applyFont="1" applyFill="1" applyBorder="1" applyAlignment="1"/>
    <xf numFmtId="0" fontId="12" fillId="2" borderId="0" xfId="0" applyFont="1" applyFill="1" applyBorder="1"/>
    <xf numFmtId="0" fontId="18" fillId="2" borderId="24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9" fillId="2" borderId="24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27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14" fillId="5" borderId="2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7" fontId="9" fillId="0" borderId="0" xfId="1" applyNumberFormat="1" applyFont="1" applyBorder="1" applyAlignment="1">
      <alignment horizontal="center" vertical="center"/>
    </xf>
    <xf numFmtId="7" fontId="9" fillId="0" borderId="1" xfId="1" applyNumberFormat="1" applyFont="1" applyBorder="1" applyAlignment="1">
      <alignment horizontal="center" vertical="center"/>
    </xf>
    <xf numFmtId="7" fontId="9" fillId="0" borderId="2" xfId="1" applyNumberFormat="1" applyFont="1" applyBorder="1" applyAlignment="1">
      <alignment horizontal="center" vertical="center"/>
    </xf>
    <xf numFmtId="7" fontId="9" fillId="0" borderId="3" xfId="1" applyNumberFormat="1" applyFont="1" applyBorder="1" applyAlignment="1">
      <alignment horizontal="center" vertical="center"/>
    </xf>
    <xf numFmtId="7" fontId="9" fillId="0" borderId="26" xfId="1" applyNumberFormat="1" applyFont="1" applyBorder="1" applyAlignment="1">
      <alignment horizontal="center" vertical="center"/>
    </xf>
    <xf numFmtId="7" fontId="9" fillId="0" borderId="18" xfId="1" applyNumberFormat="1" applyFont="1" applyBorder="1" applyAlignment="1">
      <alignment horizontal="center" vertical="center"/>
    </xf>
    <xf numFmtId="7" fontId="9" fillId="0" borderId="19" xfId="1" applyNumberFormat="1" applyFont="1" applyBorder="1" applyAlignment="1">
      <alignment horizontal="center" vertical="center"/>
    </xf>
    <xf numFmtId="7" fontId="9" fillId="0" borderId="24" xfId="1" applyNumberFormat="1" applyFont="1" applyBorder="1" applyAlignment="1">
      <alignment horizontal="center" vertical="center"/>
    </xf>
    <xf numFmtId="7" fontId="9" fillId="0" borderId="25" xfId="1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44" fontId="8" fillId="0" borderId="18" xfId="1" applyFont="1" applyBorder="1" applyAlignment="1">
      <alignment horizontal="center" vertical="center"/>
    </xf>
    <xf numFmtId="44" fontId="8" fillId="0" borderId="19" xfId="1" applyFont="1" applyBorder="1" applyAlignment="1">
      <alignment horizontal="center" vertical="center"/>
    </xf>
    <xf numFmtId="44" fontId="8" fillId="0" borderId="26" xfId="1" applyFont="1" applyBorder="1" applyAlignment="1">
      <alignment horizontal="center" vertical="center"/>
    </xf>
    <xf numFmtId="44" fontId="8" fillId="0" borderId="25" xfId="1" applyFont="1" applyBorder="1" applyAlignment="1">
      <alignment horizontal="center" vertical="center"/>
    </xf>
    <xf numFmtId="44" fontId="8" fillId="0" borderId="2" xfId="1" applyFont="1" applyBorder="1" applyAlignment="1">
      <alignment horizontal="center" vertical="center"/>
    </xf>
    <xf numFmtId="44" fontId="8" fillId="0" borderId="3" xfId="1" applyFont="1" applyBorder="1" applyAlignment="1">
      <alignment horizontal="center" vertical="center"/>
    </xf>
    <xf numFmtId="0" fontId="16" fillId="0" borderId="28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44" fontId="10" fillId="0" borderId="26" xfId="1" applyFont="1" applyBorder="1" applyAlignment="1">
      <alignment horizontal="center" vertical="center"/>
    </xf>
    <xf numFmtId="44" fontId="10" fillId="0" borderId="18" xfId="1" applyFont="1" applyBorder="1" applyAlignment="1">
      <alignment horizontal="center" vertical="center"/>
    </xf>
    <xf numFmtId="44" fontId="10" fillId="0" borderId="19" xfId="1" applyFont="1" applyBorder="1" applyAlignment="1">
      <alignment horizontal="center" vertical="center"/>
    </xf>
    <xf numFmtId="44" fontId="10" fillId="0" borderId="24" xfId="1" applyFont="1" applyBorder="1" applyAlignment="1">
      <alignment horizontal="center" vertical="center"/>
    </xf>
    <xf numFmtId="44" fontId="10" fillId="0" borderId="0" xfId="1" applyFont="1" applyBorder="1" applyAlignment="1">
      <alignment horizontal="center" vertical="center"/>
    </xf>
    <xf numFmtId="44" fontId="10" fillId="0" borderId="1" xfId="1" applyFont="1" applyBorder="1" applyAlignment="1">
      <alignment horizontal="center" vertical="center"/>
    </xf>
    <xf numFmtId="44" fontId="10" fillId="0" borderId="25" xfId="1" applyFont="1" applyBorder="1" applyAlignment="1">
      <alignment horizontal="center" vertical="center"/>
    </xf>
    <xf numFmtId="44" fontId="10" fillId="0" borderId="2" xfId="1" applyFont="1" applyBorder="1" applyAlignment="1">
      <alignment horizontal="center" vertical="center"/>
    </xf>
    <xf numFmtId="44" fontId="10" fillId="0" borderId="3" xfId="1" applyFont="1" applyBorder="1" applyAlignment="1">
      <alignment horizontal="center" vertical="center"/>
    </xf>
    <xf numFmtId="0" fontId="17" fillId="0" borderId="28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44" fontId="8" fillId="0" borderId="0" xfId="1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12" fillId="2" borderId="0" xfId="0" applyFont="1" applyFill="1" applyBorder="1"/>
    <xf numFmtId="166" fontId="21" fillId="5" borderId="15" xfId="0" applyNumberFormat="1" applyFont="1" applyFill="1" applyBorder="1" applyAlignment="1">
      <alignment horizontal="center" vertical="center"/>
    </xf>
    <xf numFmtId="166" fontId="21" fillId="3" borderId="15" xfId="0" applyNumberFormat="1" applyFont="1" applyFill="1" applyBorder="1" applyAlignment="1">
      <alignment horizontal="center" vertical="center"/>
    </xf>
    <xf numFmtId="166" fontId="21" fillId="3" borderId="17" xfId="0" applyNumberFormat="1" applyFont="1" applyFill="1" applyBorder="1" applyAlignment="1">
      <alignment horizontal="center" vertical="center"/>
    </xf>
    <xf numFmtId="166" fontId="21" fillId="5" borderId="17" xfId="0" applyNumberFormat="1" applyFont="1" applyFill="1" applyBorder="1" applyAlignment="1">
      <alignment horizontal="center" vertical="center"/>
    </xf>
    <xf numFmtId="166" fontId="21" fillId="3" borderId="13" xfId="0" applyNumberFormat="1" applyFont="1" applyFill="1" applyBorder="1" applyAlignment="1">
      <alignment horizontal="center" vertical="center"/>
    </xf>
    <xf numFmtId="166" fontId="21" fillId="5" borderId="13" xfId="0" applyNumberFormat="1" applyFont="1" applyFill="1" applyBorder="1" applyAlignment="1">
      <alignment horizontal="center" vertical="center"/>
    </xf>
    <xf numFmtId="166" fontId="21" fillId="5" borderId="10" xfId="0" applyNumberFormat="1" applyFont="1" applyFill="1" applyBorder="1" applyAlignment="1">
      <alignment horizontal="center" vertical="center"/>
    </xf>
    <xf numFmtId="166" fontId="21" fillId="3" borderId="10" xfId="0" applyNumberFormat="1" applyFont="1" applyFill="1" applyBorder="1" applyAlignment="1">
      <alignment horizontal="center" vertical="center"/>
    </xf>
    <xf numFmtId="0" fontId="22" fillId="0" borderId="0" xfId="0" applyFont="1"/>
  </cellXfs>
  <cellStyles count="3">
    <cellStyle name="Monétaire" xfId="1" builtinId="4"/>
    <cellStyle name="Monétaire 2" xfId="2"/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rbel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rbel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5" formatCode="0.00000"/>
      <alignment horizontal="general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orbe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5" formatCode="0.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orbel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FF0000"/>
      </font>
      <numFmt numFmtId="164" formatCode="#,##0.00\ &quot;$&quot;"/>
    </dxf>
    <dxf>
      <font>
        <color rgb="FFFF0000"/>
      </font>
      <numFmt numFmtId="164" formatCode="#,##0.00\ &quot;$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PERFORMANCE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'Session (1)'!$A$1</c:f>
              <c:strCache>
                <c:ptCount val="1"/>
                <c:pt idx="0">
                  <c:v>Capital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'Session (1)'!$A$2:$A$66</c:f>
              <c:numCache>
                <c:formatCode>#\ ##0.00\ "$"</c:formatCode>
                <c:ptCount val="65"/>
                <c:pt idx="0">
                  <c:v>2000</c:v>
                </c:pt>
                <c:pt idx="1">
                  <c:v>1970</c:v>
                </c:pt>
                <c:pt idx="2">
                  <c:v>1925</c:v>
                </c:pt>
                <c:pt idx="3">
                  <c:v>1815</c:v>
                </c:pt>
                <c:pt idx="4">
                  <c:v>2004</c:v>
                </c:pt>
                <c:pt idx="5">
                  <c:v>2025</c:v>
                </c:pt>
                <c:pt idx="6">
                  <c:v>1995</c:v>
                </c:pt>
                <c:pt idx="7">
                  <c:v>1950</c:v>
                </c:pt>
                <c:pt idx="8">
                  <c:v>2027</c:v>
                </c:pt>
                <c:pt idx="9">
                  <c:v>2048</c:v>
                </c:pt>
                <c:pt idx="10">
                  <c:v>2069</c:v>
                </c:pt>
                <c:pt idx="11">
                  <c:v>2039</c:v>
                </c:pt>
                <c:pt idx="12">
                  <c:v>1994</c:v>
                </c:pt>
                <c:pt idx="13">
                  <c:v>2071</c:v>
                </c:pt>
                <c:pt idx="14">
                  <c:v>2092</c:v>
                </c:pt>
                <c:pt idx="15">
                  <c:v>2113</c:v>
                </c:pt>
                <c:pt idx="16">
                  <c:v>2134</c:v>
                </c:pt>
                <c:pt idx="17">
                  <c:v>2155</c:v>
                </c:pt>
                <c:pt idx="18">
                  <c:v>2125</c:v>
                </c:pt>
                <c:pt idx="19">
                  <c:v>2156.5</c:v>
                </c:pt>
                <c:pt idx="20">
                  <c:v>2177.5</c:v>
                </c:pt>
                <c:pt idx="21">
                  <c:v>2198.5</c:v>
                </c:pt>
                <c:pt idx="22">
                  <c:v>2219.5</c:v>
                </c:pt>
                <c:pt idx="23">
                  <c:v>2189.5</c:v>
                </c:pt>
                <c:pt idx="24">
                  <c:v>2144.5</c:v>
                </c:pt>
                <c:pt idx="25">
                  <c:v>2221.5</c:v>
                </c:pt>
                <c:pt idx="26">
                  <c:v>2191.5</c:v>
                </c:pt>
                <c:pt idx="27">
                  <c:v>2223</c:v>
                </c:pt>
                <c:pt idx="28">
                  <c:v>2193</c:v>
                </c:pt>
                <c:pt idx="29">
                  <c:v>2148</c:v>
                </c:pt>
                <c:pt idx="30">
                  <c:v>2038</c:v>
                </c:pt>
                <c:pt idx="31">
                  <c:v>1768</c:v>
                </c:pt>
                <c:pt idx="32">
                  <c:v>2230</c:v>
                </c:pt>
                <c:pt idx="33">
                  <c:v>2251</c:v>
                </c:pt>
                <c:pt idx="34">
                  <c:v>2221</c:v>
                </c:pt>
                <c:pt idx="35">
                  <c:v>2176</c:v>
                </c:pt>
                <c:pt idx="36">
                  <c:v>2066</c:v>
                </c:pt>
                <c:pt idx="37">
                  <c:v>1796</c:v>
                </c:pt>
                <c:pt idx="38">
                  <c:v>1136</c:v>
                </c:pt>
                <c:pt idx="39">
                  <c:v>2235</c:v>
                </c:pt>
                <c:pt idx="40">
                  <c:v>2205</c:v>
                </c:pt>
                <c:pt idx="41">
                  <c:v>2160</c:v>
                </c:pt>
                <c:pt idx="42">
                  <c:v>2237</c:v>
                </c:pt>
                <c:pt idx="43">
                  <c:v>2207</c:v>
                </c:pt>
                <c:pt idx="44">
                  <c:v>2162</c:v>
                </c:pt>
                <c:pt idx="45">
                  <c:v>2052</c:v>
                </c:pt>
                <c:pt idx="46">
                  <c:v>1782</c:v>
                </c:pt>
                <c:pt idx="47">
                  <c:v>2244</c:v>
                </c:pt>
                <c:pt idx="48">
                  <c:v>2214</c:v>
                </c:pt>
                <c:pt idx="49">
                  <c:v>2169</c:v>
                </c:pt>
                <c:pt idx="50">
                  <c:v>2246</c:v>
                </c:pt>
                <c:pt idx="51">
                  <c:v>2216</c:v>
                </c:pt>
                <c:pt idx="52">
                  <c:v>2247.5</c:v>
                </c:pt>
                <c:pt idx="53">
                  <c:v>2268.5</c:v>
                </c:pt>
                <c:pt idx="54">
                  <c:v>2238.5</c:v>
                </c:pt>
                <c:pt idx="55">
                  <c:v>2193.5</c:v>
                </c:pt>
                <c:pt idx="56">
                  <c:v>2270.5</c:v>
                </c:pt>
                <c:pt idx="57">
                  <c:v>2291.5</c:v>
                </c:pt>
                <c:pt idx="58">
                  <c:v>2312.5</c:v>
                </c:pt>
                <c:pt idx="59">
                  <c:v>2282.5</c:v>
                </c:pt>
                <c:pt idx="60">
                  <c:v>2237.5</c:v>
                </c:pt>
                <c:pt idx="61">
                  <c:v>2314.5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ser>
          <c:idx val="1"/>
          <c:order val="1"/>
          <c:tx>
            <c:strRef>
              <c:f>'Session (1)'!$J$1</c:f>
              <c:strCache>
                <c:ptCount val="1"/>
                <c:pt idx="0">
                  <c:v>Capital final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solidFill>
                <a:schemeClr val="tx1">
                  <a:lumMod val="95000"/>
                  <a:lumOff val="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'Session (1)'!$J$2:$J$66</c:f>
              <c:numCache>
                <c:formatCode>_("$"* #,##0.00_);_("$"* \(#,##0.00\);_("$"* "-"??_);_(@_)</c:formatCode>
                <c:ptCount val="65"/>
                <c:pt idx="0">
                  <c:v>1970</c:v>
                </c:pt>
                <c:pt idx="1">
                  <c:v>1925</c:v>
                </c:pt>
                <c:pt idx="2">
                  <c:v>1815</c:v>
                </c:pt>
                <c:pt idx="3">
                  <c:v>2004</c:v>
                </c:pt>
                <c:pt idx="4">
                  <c:v>2025</c:v>
                </c:pt>
                <c:pt idx="5">
                  <c:v>1995</c:v>
                </c:pt>
                <c:pt idx="6">
                  <c:v>1950</c:v>
                </c:pt>
                <c:pt idx="7">
                  <c:v>2027</c:v>
                </c:pt>
                <c:pt idx="8">
                  <c:v>2048</c:v>
                </c:pt>
                <c:pt idx="9">
                  <c:v>2069</c:v>
                </c:pt>
                <c:pt idx="10">
                  <c:v>2039</c:v>
                </c:pt>
                <c:pt idx="11">
                  <c:v>1994</c:v>
                </c:pt>
                <c:pt idx="12">
                  <c:v>2071</c:v>
                </c:pt>
                <c:pt idx="13">
                  <c:v>2092</c:v>
                </c:pt>
                <c:pt idx="14">
                  <c:v>2113</c:v>
                </c:pt>
                <c:pt idx="15">
                  <c:v>2134</c:v>
                </c:pt>
                <c:pt idx="16">
                  <c:v>2155</c:v>
                </c:pt>
                <c:pt idx="17">
                  <c:v>2125</c:v>
                </c:pt>
                <c:pt idx="18">
                  <c:v>2156.5</c:v>
                </c:pt>
                <c:pt idx="19">
                  <c:v>2177.5</c:v>
                </c:pt>
                <c:pt idx="20">
                  <c:v>2198.5</c:v>
                </c:pt>
                <c:pt idx="21">
                  <c:v>2219.5</c:v>
                </c:pt>
                <c:pt idx="22">
                  <c:v>2189.5</c:v>
                </c:pt>
                <c:pt idx="23">
                  <c:v>2144.5</c:v>
                </c:pt>
                <c:pt idx="24">
                  <c:v>2221.5</c:v>
                </c:pt>
                <c:pt idx="25">
                  <c:v>2191.5</c:v>
                </c:pt>
                <c:pt idx="26">
                  <c:v>2223</c:v>
                </c:pt>
                <c:pt idx="27">
                  <c:v>2193</c:v>
                </c:pt>
                <c:pt idx="28">
                  <c:v>2148</c:v>
                </c:pt>
                <c:pt idx="29">
                  <c:v>2038</c:v>
                </c:pt>
                <c:pt idx="30">
                  <c:v>1768</c:v>
                </c:pt>
                <c:pt idx="31">
                  <c:v>2230</c:v>
                </c:pt>
                <c:pt idx="32">
                  <c:v>2251</c:v>
                </c:pt>
                <c:pt idx="33">
                  <c:v>2221</c:v>
                </c:pt>
                <c:pt idx="34">
                  <c:v>2176</c:v>
                </c:pt>
                <c:pt idx="35">
                  <c:v>2066</c:v>
                </c:pt>
                <c:pt idx="36">
                  <c:v>1796</c:v>
                </c:pt>
                <c:pt idx="37">
                  <c:v>1136</c:v>
                </c:pt>
                <c:pt idx="38">
                  <c:v>2235</c:v>
                </c:pt>
                <c:pt idx="39">
                  <c:v>2205</c:v>
                </c:pt>
                <c:pt idx="40">
                  <c:v>2160</c:v>
                </c:pt>
                <c:pt idx="41">
                  <c:v>2237</c:v>
                </c:pt>
                <c:pt idx="42">
                  <c:v>2207</c:v>
                </c:pt>
                <c:pt idx="43">
                  <c:v>2162</c:v>
                </c:pt>
                <c:pt idx="44">
                  <c:v>2052</c:v>
                </c:pt>
                <c:pt idx="45">
                  <c:v>1782</c:v>
                </c:pt>
                <c:pt idx="46">
                  <c:v>2244</c:v>
                </c:pt>
                <c:pt idx="47">
                  <c:v>2214</c:v>
                </c:pt>
                <c:pt idx="48">
                  <c:v>2169</c:v>
                </c:pt>
                <c:pt idx="49">
                  <c:v>2246</c:v>
                </c:pt>
                <c:pt idx="50">
                  <c:v>2216</c:v>
                </c:pt>
                <c:pt idx="51">
                  <c:v>2247.5</c:v>
                </c:pt>
                <c:pt idx="52">
                  <c:v>2268.5</c:v>
                </c:pt>
                <c:pt idx="53">
                  <c:v>2238.5</c:v>
                </c:pt>
                <c:pt idx="54">
                  <c:v>2193.5</c:v>
                </c:pt>
                <c:pt idx="55">
                  <c:v>2270.5</c:v>
                </c:pt>
                <c:pt idx="56">
                  <c:v>2291.5</c:v>
                </c:pt>
                <c:pt idx="57">
                  <c:v>2312.5</c:v>
                </c:pt>
                <c:pt idx="58">
                  <c:v>2282.5</c:v>
                </c:pt>
                <c:pt idx="59">
                  <c:v>2237.5</c:v>
                </c:pt>
                <c:pt idx="60">
                  <c:v>2314.5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46801552"/>
        <c:axId val="246802112"/>
      </c:barChart>
      <c:scatterChart>
        <c:scatterStyle val="lineMarker"/>
        <c:varyColors val="0"/>
        <c:ser>
          <c:idx val="2"/>
          <c:order val="2"/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yVal>
            <c:numRef>
              <c:f>[0]!CapV</c:f>
              <c:numCache>
                <c:formatCode>General</c:formatCode>
                <c:ptCount val="6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2004</c:v>
                </c:pt>
                <c:pt idx="4">
                  <c:v>2025</c:v>
                </c:pt>
                <c:pt idx="5">
                  <c:v>#N/A</c:v>
                </c:pt>
                <c:pt idx="6">
                  <c:v>#N/A</c:v>
                </c:pt>
                <c:pt idx="7">
                  <c:v>2027</c:v>
                </c:pt>
                <c:pt idx="8">
                  <c:v>2048</c:v>
                </c:pt>
                <c:pt idx="9">
                  <c:v>2069</c:v>
                </c:pt>
                <c:pt idx="10">
                  <c:v>#N/A</c:v>
                </c:pt>
                <c:pt idx="11">
                  <c:v>#N/A</c:v>
                </c:pt>
                <c:pt idx="12">
                  <c:v>2071</c:v>
                </c:pt>
                <c:pt idx="13">
                  <c:v>2092</c:v>
                </c:pt>
                <c:pt idx="14">
                  <c:v>2113</c:v>
                </c:pt>
                <c:pt idx="15">
                  <c:v>2134</c:v>
                </c:pt>
                <c:pt idx="16">
                  <c:v>2155</c:v>
                </c:pt>
                <c:pt idx="17">
                  <c:v>#N/A</c:v>
                </c:pt>
                <c:pt idx="18">
                  <c:v>2156.5</c:v>
                </c:pt>
                <c:pt idx="19">
                  <c:v>2177.5</c:v>
                </c:pt>
                <c:pt idx="20">
                  <c:v>2198.5</c:v>
                </c:pt>
                <c:pt idx="21">
                  <c:v>2219.5</c:v>
                </c:pt>
                <c:pt idx="22">
                  <c:v>#N/A</c:v>
                </c:pt>
                <c:pt idx="23">
                  <c:v>#N/A</c:v>
                </c:pt>
                <c:pt idx="24">
                  <c:v>2221.5</c:v>
                </c:pt>
                <c:pt idx="25">
                  <c:v>#N/A</c:v>
                </c:pt>
                <c:pt idx="26">
                  <c:v>2223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2230</c:v>
                </c:pt>
                <c:pt idx="32">
                  <c:v>2251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2235</c:v>
                </c:pt>
                <c:pt idx="39">
                  <c:v>#N/A</c:v>
                </c:pt>
                <c:pt idx="40">
                  <c:v>#N/A</c:v>
                </c:pt>
                <c:pt idx="41">
                  <c:v>2237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2244</c:v>
                </c:pt>
                <c:pt idx="47">
                  <c:v>#N/A</c:v>
                </c:pt>
                <c:pt idx="48">
                  <c:v>#N/A</c:v>
                </c:pt>
                <c:pt idx="49">
                  <c:v>2246</c:v>
                </c:pt>
                <c:pt idx="50">
                  <c:v>#N/A</c:v>
                </c:pt>
                <c:pt idx="51">
                  <c:v>2247.5</c:v>
                </c:pt>
                <c:pt idx="52">
                  <c:v>2268.5</c:v>
                </c:pt>
                <c:pt idx="53">
                  <c:v>#N/A</c:v>
                </c:pt>
                <c:pt idx="54">
                  <c:v>#N/A</c:v>
                </c:pt>
                <c:pt idx="55">
                  <c:v>2270.5</c:v>
                </c:pt>
                <c:pt idx="56">
                  <c:v>2291.5</c:v>
                </c:pt>
                <c:pt idx="57">
                  <c:v>2312.5</c:v>
                </c:pt>
                <c:pt idx="58">
                  <c:v>#N/A</c:v>
                </c:pt>
                <c:pt idx="59">
                  <c:v>#N/A</c:v>
                </c:pt>
                <c:pt idx="60">
                  <c:v>2314.5</c:v>
                </c:pt>
                <c:pt idx="61">
                  <c:v>0</c:v>
                </c:pt>
              </c:numCache>
            </c:numRef>
          </c:yVal>
          <c:smooth val="0"/>
        </c:ser>
        <c:ser>
          <c:idx val="3"/>
          <c:order val="3"/>
          <c:spPr>
            <a:ln w="1905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yVal>
            <c:numRef>
              <c:f>[0]!Capr</c:f>
              <c:numCache>
                <c:formatCode>General</c:formatCode>
                <c:ptCount val="62"/>
                <c:pt idx="0">
                  <c:v>1970</c:v>
                </c:pt>
                <c:pt idx="1">
                  <c:v>1925</c:v>
                </c:pt>
                <c:pt idx="2">
                  <c:v>1815</c:v>
                </c:pt>
                <c:pt idx="3">
                  <c:v>#N/A</c:v>
                </c:pt>
                <c:pt idx="4">
                  <c:v>#N/A</c:v>
                </c:pt>
                <c:pt idx="5">
                  <c:v>1995</c:v>
                </c:pt>
                <c:pt idx="6">
                  <c:v>1950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2039</c:v>
                </c:pt>
                <c:pt idx="11">
                  <c:v>1994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2125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2189.5</c:v>
                </c:pt>
                <c:pt idx="23">
                  <c:v>2144.5</c:v>
                </c:pt>
                <c:pt idx="24">
                  <c:v>#N/A</c:v>
                </c:pt>
                <c:pt idx="25">
                  <c:v>2191.5</c:v>
                </c:pt>
                <c:pt idx="26">
                  <c:v>#N/A</c:v>
                </c:pt>
                <c:pt idx="27">
                  <c:v>2193</c:v>
                </c:pt>
                <c:pt idx="28">
                  <c:v>2148</c:v>
                </c:pt>
                <c:pt idx="29">
                  <c:v>2038</c:v>
                </c:pt>
                <c:pt idx="30">
                  <c:v>1768</c:v>
                </c:pt>
                <c:pt idx="31">
                  <c:v>#N/A</c:v>
                </c:pt>
                <c:pt idx="32">
                  <c:v>#N/A</c:v>
                </c:pt>
                <c:pt idx="33">
                  <c:v>2221</c:v>
                </c:pt>
                <c:pt idx="34">
                  <c:v>2176</c:v>
                </c:pt>
                <c:pt idx="35">
                  <c:v>2066</c:v>
                </c:pt>
                <c:pt idx="36">
                  <c:v>1796</c:v>
                </c:pt>
                <c:pt idx="37">
                  <c:v>1136</c:v>
                </c:pt>
                <c:pt idx="38">
                  <c:v>#N/A</c:v>
                </c:pt>
                <c:pt idx="39">
                  <c:v>2205</c:v>
                </c:pt>
                <c:pt idx="40">
                  <c:v>2160</c:v>
                </c:pt>
                <c:pt idx="41">
                  <c:v>#N/A</c:v>
                </c:pt>
                <c:pt idx="42">
                  <c:v>2207</c:v>
                </c:pt>
                <c:pt idx="43">
                  <c:v>2162</c:v>
                </c:pt>
                <c:pt idx="44">
                  <c:v>2052</c:v>
                </c:pt>
                <c:pt idx="45">
                  <c:v>1782</c:v>
                </c:pt>
                <c:pt idx="46">
                  <c:v>#N/A</c:v>
                </c:pt>
                <c:pt idx="47">
                  <c:v>2214</c:v>
                </c:pt>
                <c:pt idx="48">
                  <c:v>2169</c:v>
                </c:pt>
                <c:pt idx="49">
                  <c:v>#N/A</c:v>
                </c:pt>
                <c:pt idx="50">
                  <c:v>2216</c:v>
                </c:pt>
                <c:pt idx="51">
                  <c:v>#N/A</c:v>
                </c:pt>
                <c:pt idx="52">
                  <c:v>#N/A</c:v>
                </c:pt>
                <c:pt idx="53">
                  <c:v>2238.5</c:v>
                </c:pt>
                <c:pt idx="54">
                  <c:v>2193.5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2282.5</c:v>
                </c:pt>
                <c:pt idx="59">
                  <c:v>2237.5</c:v>
                </c:pt>
                <c:pt idx="60">
                  <c:v>#N/A</c:v>
                </c:pt>
                <c:pt idx="61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801552"/>
        <c:axId val="246802112"/>
      </c:scatterChart>
      <c:catAx>
        <c:axId val="24680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6802112"/>
        <c:crosses val="autoZero"/>
        <c:auto val="1"/>
        <c:lblAlgn val="ctr"/>
        <c:lblOffset val="10"/>
        <c:noMultiLvlLbl val="0"/>
      </c:catAx>
      <c:valAx>
        <c:axId val="246802112"/>
        <c:scaling>
          <c:orientation val="minMax"/>
          <c:max val="3000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6801552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284049</xdr:colOff>
      <xdr:row>1</xdr:row>
      <xdr:rowOff>52727</xdr:rowOff>
    </xdr:from>
    <xdr:to>
      <xdr:col>13</xdr:col>
      <xdr:colOff>593612</xdr:colOff>
      <xdr:row>5</xdr:row>
      <xdr:rowOff>183696</xdr:rowOff>
    </xdr:to>
    <xdr:sp macro="[0]!Inversion" textlink="">
      <xdr:nvSpPr>
        <xdr:cNvPr id="3" name="Double flèche horizontale 2"/>
        <xdr:cNvSpPr/>
      </xdr:nvSpPr>
      <xdr:spPr>
        <a:xfrm>
          <a:off x="10040370" y="284048"/>
          <a:ext cx="1996849" cy="1001827"/>
        </a:xfrm>
        <a:prstGeom prst="leftRightArrow">
          <a:avLst/>
        </a:prstGeom>
        <a:solidFill>
          <a:schemeClr val="tx1">
            <a:lumMod val="85000"/>
            <a:lumOff val="1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fr-FR" sz="1400" b="1">
              <a:solidFill>
                <a:schemeClr val="bg1">
                  <a:lumMod val="95000"/>
                </a:schemeClr>
              </a:solidFill>
            </a:rPr>
            <a:t>Inversé</a:t>
          </a:r>
          <a:r>
            <a:rPr lang="fr-FR" sz="1800" b="1">
              <a:solidFill>
                <a:schemeClr val="bg1">
                  <a:lumMod val="95000"/>
                </a:schemeClr>
              </a:solidFill>
            </a:rPr>
            <a:t/>
          </a:r>
          <a:br>
            <a:rPr lang="fr-FR" sz="1800" b="1">
              <a:solidFill>
                <a:schemeClr val="bg1">
                  <a:lumMod val="95000"/>
                </a:schemeClr>
              </a:solidFill>
            </a:rPr>
          </a:br>
          <a:r>
            <a:rPr lang="fr-FR" sz="1400" b="1">
              <a:solidFill>
                <a:schemeClr val="bg1">
                  <a:lumMod val="95000"/>
                </a:schemeClr>
              </a:solidFill>
            </a:rPr>
            <a:t>Contrat</a:t>
          </a:r>
          <a:endParaRPr lang="fr-FR" sz="18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13</xdr:col>
      <xdr:colOff>821530</xdr:colOff>
      <xdr:row>0</xdr:row>
      <xdr:rowOff>0</xdr:rowOff>
    </xdr:from>
    <xdr:to>
      <xdr:col>30</xdr:col>
      <xdr:colOff>809625</xdr:colOff>
      <xdr:row>48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22" displayName="Tableau22" ref="A1:J66" totalsRowShown="0" headerRowDxfId="14" dataDxfId="12" headerRowBorderDxfId="13" tableBorderDxfId="11" totalsRowBorderDxfId="10">
  <tableColumns count="10">
    <tableColumn id="1" name="Capital" dataDxfId="9">
      <calculatedColumnFormula>IF(ISBLANK(J1),"",J1)</calculatedColumnFormula>
    </tableColumn>
    <tableColumn id="2" name="Mise $" dataDxfId="8"/>
    <tableColumn id="3" name="Contrat" dataDxfId="7"/>
    <tableColumn id="4" name=" " dataDxfId="6">
      <calculatedColumnFormula>IF(C2="Au dessu",1,IF(C2="En dessou",2,IF(ISBLANK(C2),0,"")))</calculatedColumnFormula>
    </tableColumn>
    <tableColumn id="5" name="Prix marché" dataDxfId="5"/>
    <tableColumn id="6" name="Chrono" dataDxfId="4"/>
    <tableColumn id="7" name="Prix final" dataDxfId="3"/>
    <tableColumn id="8" name="  " dataDxfId="2">
      <calculatedColumnFormula>IF(ISBLANK(G2),"",IF(C2="Au dessu",IF(G2&lt;E2,1,IF(G2=E2,3,2)),IF(G2&lt;E2,2,IF(G2=E2,3,1))))</calculatedColumnFormula>
    </tableColumn>
    <tableColumn id="10" name="Date/Heure" dataDxfId="1"/>
    <tableColumn id="9" name="Capital final" dataDxfId="0" dataCellStyle="Monétaire">
      <calculatedColumnFormula>IF(ISBLANK(G2),"",IF(H2=1,A2-B2,IF(H2=3,Tableau22[[#This Row],[Capital]],A2+(B2/100*70))))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Profondeur">
  <a:themeElements>
    <a:clrScheme name="Profondeur">
      <a:dk1>
        <a:sysClr val="windowText" lastClr="000000"/>
      </a:dk1>
      <a:lt1>
        <a:sysClr val="window" lastClr="FFFFFF"/>
      </a:lt1>
      <a:dk2>
        <a:srgbClr val="455F51"/>
      </a:dk2>
      <a:lt2>
        <a:srgbClr val="94D7E4"/>
      </a:lt2>
      <a:accent1>
        <a:srgbClr val="41AEBD"/>
      </a:accent1>
      <a:accent2>
        <a:srgbClr val="97E9D5"/>
      </a:accent2>
      <a:accent3>
        <a:srgbClr val="A2CF49"/>
      </a:accent3>
      <a:accent4>
        <a:srgbClr val="608F3D"/>
      </a:accent4>
      <a:accent5>
        <a:srgbClr val="F4DE3A"/>
      </a:accent5>
      <a:accent6>
        <a:srgbClr val="FCB11C"/>
      </a:accent6>
      <a:hlink>
        <a:srgbClr val="FBCA98"/>
      </a:hlink>
      <a:folHlink>
        <a:srgbClr val="D3B86D"/>
      </a:folHlink>
    </a:clrScheme>
    <a:fontScheme name="Profondeur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fondeu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pth" id="{7BEAFC2A-325C-49C4-AC08-2B765DA903F9}" vid="{1735E755-43E6-43AA-ABA2-C989ECC79AF5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66"/>
  <sheetViews>
    <sheetView showGridLines="0" tabSelected="1" zoomScale="55" zoomScaleNormal="55" workbookViewId="0">
      <selection activeCell="K23" sqref="K23"/>
    </sheetView>
  </sheetViews>
  <sheetFormatPr baseColWidth="10" defaultRowHeight="18"/>
  <cols>
    <col min="2" max="2" width="20.25" style="2" customWidth="1"/>
    <col min="3" max="3" width="12.125" customWidth="1"/>
    <col min="4" max="4" width="2.375" customWidth="1"/>
    <col min="5" max="5" width="11.25" customWidth="1"/>
    <col min="6" max="6" width="11.875" style="10" customWidth="1"/>
    <col min="7" max="7" width="11" style="31" customWidth="1"/>
    <col min="8" max="8" width="2.25" customWidth="1"/>
    <col min="9" max="9" width="19.5" customWidth="1"/>
    <col min="10" max="10" width="17.875" style="10" customWidth="1"/>
    <col min="11" max="11" width="16.25" style="106" customWidth="1"/>
    <col min="15" max="15" width="11" style="28"/>
    <col min="16" max="16" width="12.25" style="28" customWidth="1"/>
    <col min="17" max="17" width="11" style="1"/>
    <col min="18" max="19" width="11.25" style="1" customWidth="1"/>
    <col min="20" max="21" width="11" style="1"/>
    <col min="30" max="30" width="11" customWidth="1"/>
    <col min="33" max="33" width="14.25" customWidth="1"/>
  </cols>
  <sheetData>
    <row r="1" spans="1:33">
      <c r="A1" s="3" t="s">
        <v>0</v>
      </c>
      <c r="B1" s="4" t="s">
        <v>1</v>
      </c>
      <c r="C1" s="12" t="s">
        <v>2</v>
      </c>
      <c r="D1" s="13" t="s">
        <v>8</v>
      </c>
      <c r="E1" s="5" t="s">
        <v>3</v>
      </c>
      <c r="F1" s="9" t="s">
        <v>4</v>
      </c>
      <c r="G1" s="30" t="s">
        <v>5</v>
      </c>
      <c r="H1" s="14" t="s">
        <v>9</v>
      </c>
      <c r="I1" s="20" t="s">
        <v>14</v>
      </c>
      <c r="J1" s="19" t="s">
        <v>6</v>
      </c>
      <c r="K1" s="96" t="s">
        <v>15</v>
      </c>
      <c r="L1" s="59" t="s">
        <v>16</v>
      </c>
      <c r="M1" s="60"/>
      <c r="N1" s="61"/>
      <c r="O1" s="27"/>
      <c r="P1" s="27"/>
      <c r="V1" s="1"/>
      <c r="W1" s="1"/>
      <c r="X1" s="1"/>
      <c r="Y1" s="1"/>
    </row>
    <row r="2" spans="1:33" ht="17.25" customHeight="1">
      <c r="A2" s="6">
        <f>SUM(L12)</f>
        <v>2000</v>
      </c>
      <c r="B2" s="8">
        <f>IF(ISBLANK(G1),"",IF(H1=3,B1,IF(H1=1,IF(#REF!=1,IF(#REF!=1,IF(#REF!=1,IF(#REF!=1,IF(#REF!=1,$L$33,$L$32),$L$31),$L$30),$L$29),$L$28),$L$27)))</f>
        <v>30</v>
      </c>
      <c r="C2" s="29" t="s">
        <v>19</v>
      </c>
      <c r="D2" s="11">
        <f t="shared" ref="D2:D65" si="0">IF(C2="Au dessu",1,IF(C2="En dessou",2,IF(ISBLANK(C2),0,"")))</f>
        <v>2</v>
      </c>
      <c r="E2" s="33">
        <v>1.35155</v>
      </c>
      <c r="F2" s="15" t="s">
        <v>20</v>
      </c>
      <c r="G2" s="32">
        <v>1.3515600000000001</v>
      </c>
      <c r="H2" s="11">
        <f t="shared" ref="H2:H65" si="1">IF(ISBLANK(G2),"",IF(C2="Au dessu",IF(G2&lt;E2,1,IF(G2=E2,3,2)),IF(G2&lt;E2,2,IF(G2=E2,3,1))))</f>
        <v>1</v>
      </c>
      <c r="I2" s="21">
        <v>41583.980706018519</v>
      </c>
      <c r="J2" s="26">
        <f>IF(ISBLANK(G2),"",IF(H2=1,A2-B2,IF(H2=3,Tableau22[[#This Row],[Capital]],A2+(B2/100*70))))</f>
        <v>1970</v>
      </c>
      <c r="K2" s="98">
        <f>SUM(Tableau22[[#This Row],[Prix final]]-Tableau22[[#This Row],[Prix marché]])</f>
        <v>1.0000000000065512E-5</v>
      </c>
      <c r="L2" s="46"/>
      <c r="M2" s="47"/>
      <c r="N2" s="48"/>
      <c r="O2" s="27" t="e">
        <f>IF(J2&gt;A2,J2,NA())</f>
        <v>#N/A</v>
      </c>
      <c r="P2" s="27">
        <f>IF(J2&lt;A2,J2,NA())</f>
        <v>1970</v>
      </c>
      <c r="V2" s="1"/>
      <c r="W2" s="1"/>
      <c r="X2" s="1"/>
      <c r="Y2" s="1"/>
      <c r="AG2" s="35"/>
    </row>
    <row r="3" spans="1:33" ht="17.25" customHeight="1">
      <c r="A3" s="6">
        <f>IF(ISBLANK(J2),"",J2)</f>
        <v>1970</v>
      </c>
      <c r="B3" s="8">
        <f>IF(ISBLANK(G2),"",IF(H2=3,B2,IF(H2=1,IF(H1=1,IF(#REF!=1,IF(#REF!=1,IF(#REF!=1,IF(#REF!=1,$L$33,$L$32),$L$31),$L$30),$L$29),$L$28),$L$27)))</f>
        <v>45</v>
      </c>
      <c r="C3" s="29" t="s">
        <v>19</v>
      </c>
      <c r="D3" s="11">
        <f t="shared" si="0"/>
        <v>2</v>
      </c>
      <c r="E3" s="33">
        <v>1.3515699999999999</v>
      </c>
      <c r="F3" s="15" t="s">
        <v>20</v>
      </c>
      <c r="G3" s="32">
        <v>1.3515900000000001</v>
      </c>
      <c r="H3" s="11">
        <f t="shared" si="1"/>
        <v>1</v>
      </c>
      <c r="I3" s="21">
        <v>41583.982094907406</v>
      </c>
      <c r="J3" s="24">
        <f>IF(ISBLANK(G3),"",IF(H3=1,A3-B3,IF(H3=3,Tableau22[[#This Row],[Capital]],A3+(B3/100*70))))</f>
        <v>1925</v>
      </c>
      <c r="K3" s="99">
        <f>SUM(Tableau22[[#This Row],[Prix final]]-Tableau22[[#This Row],[Prix marché]])</f>
        <v>2.0000000000131024E-5</v>
      </c>
      <c r="L3" s="49"/>
      <c r="M3" s="50"/>
      <c r="N3" s="51"/>
      <c r="O3" s="27" t="e">
        <f t="shared" ref="O3:O66" si="2">IF(J3&gt;A3,J3,NA())</f>
        <v>#N/A</v>
      </c>
      <c r="P3" s="27">
        <f t="shared" ref="P3:P66" si="3">IF(J3&lt;A3,J3,NA())</f>
        <v>1925</v>
      </c>
      <c r="V3" s="1"/>
      <c r="W3" s="1"/>
      <c r="X3" s="1"/>
      <c r="Y3" s="1"/>
      <c r="AG3" s="35"/>
    </row>
    <row r="4" spans="1:33" ht="17.25" customHeight="1">
      <c r="A4" s="6">
        <f t="shared" ref="A4:A35" si="4">IF(ISBLANK(J3),"",J3)</f>
        <v>1925</v>
      </c>
      <c r="B4" s="8">
        <f>IF(ISBLANK(G3),"",IF(H3=3,B3,IF(H3=1,IF(H2=1,IF(H1=1,IF(#REF!=1,IF(#REF!=1,IF(#REF!=1,$L$33,$L$32),$L$31),$L$30),$L$29),$L$28),$L$27)))</f>
        <v>110</v>
      </c>
      <c r="C4" s="29" t="s">
        <v>21</v>
      </c>
      <c r="D4" s="11">
        <f t="shared" si="0"/>
        <v>1</v>
      </c>
      <c r="E4" s="33">
        <v>1.35164</v>
      </c>
      <c r="F4" s="15" t="s">
        <v>20</v>
      </c>
      <c r="G4" s="32">
        <v>1.3515900000000001</v>
      </c>
      <c r="H4" s="11">
        <f t="shared" si="1"/>
        <v>1</v>
      </c>
      <c r="I4" s="21">
        <v>41583.984120370369</v>
      </c>
      <c r="J4" s="24">
        <f>IF(ISBLANK(G4),"",IF(H4=1,A4-B4,IF(H4=3,Tableau22[[#This Row],[Capital]],A4+(B4/100*70))))</f>
        <v>1815</v>
      </c>
      <c r="K4" s="98">
        <f>SUM(Tableau22[[#This Row],[Prix final]]-Tableau22[[#This Row],[Prix marché]])</f>
        <v>-4.9999999999883471E-5</v>
      </c>
      <c r="L4" s="49"/>
      <c r="M4" s="50"/>
      <c r="N4" s="51"/>
      <c r="O4" s="27" t="e">
        <f t="shared" si="2"/>
        <v>#N/A</v>
      </c>
      <c r="P4" s="27">
        <f t="shared" si="3"/>
        <v>1815</v>
      </c>
      <c r="V4" s="1"/>
      <c r="W4" s="1"/>
      <c r="X4" s="1"/>
      <c r="Y4" s="1"/>
      <c r="AG4" s="35"/>
    </row>
    <row r="5" spans="1:33" ht="17.25" customHeight="1">
      <c r="A5" s="6">
        <f t="shared" si="4"/>
        <v>1815</v>
      </c>
      <c r="B5" s="8">
        <f>IF(ISBLANK(G4),"",IF(H4=3,B4,IF(H4=1,IF(H3=1,IF(H2=1,IF(H1=1,IF(#REF!=1,IF(#REF!=1,$L$33,$L$32),$L$31),$L$30),$L$29),$L$28),$L$27)))</f>
        <v>270</v>
      </c>
      <c r="C5" s="29" t="s">
        <v>19</v>
      </c>
      <c r="D5" s="11">
        <f t="shared" si="0"/>
        <v>2</v>
      </c>
      <c r="E5" s="33">
        <v>1.3515699999999999</v>
      </c>
      <c r="F5" s="15" t="s">
        <v>20</v>
      </c>
      <c r="G5" s="32">
        <v>1.3515600000000001</v>
      </c>
      <c r="H5" s="11">
        <f t="shared" si="1"/>
        <v>2</v>
      </c>
      <c r="I5" s="21">
        <v>41583.986226851855</v>
      </c>
      <c r="J5" s="24">
        <f>IF(ISBLANK(G5),"",IF(H5=1,A5-B5,IF(H5=3,Tableau22[[#This Row],[Capital]],A5+(B5/100*70))))</f>
        <v>2004</v>
      </c>
      <c r="K5" s="99">
        <f>SUM(Tableau22[[#This Row],[Prix final]]-Tableau22[[#This Row],[Prix marché]])</f>
        <v>-9.9999999998434674E-6</v>
      </c>
      <c r="L5" s="49"/>
      <c r="M5" s="50"/>
      <c r="N5" s="51"/>
      <c r="O5" s="27">
        <f t="shared" si="2"/>
        <v>2004</v>
      </c>
      <c r="P5" s="27" t="e">
        <f t="shared" si="3"/>
        <v>#N/A</v>
      </c>
      <c r="V5" s="1"/>
      <c r="W5" s="1"/>
      <c r="X5" s="1"/>
      <c r="Y5" s="1"/>
      <c r="AG5" s="35"/>
    </row>
    <row r="6" spans="1:33" ht="17.25" customHeight="1" thickBot="1">
      <c r="A6" s="6">
        <f t="shared" si="4"/>
        <v>2004</v>
      </c>
      <c r="B6" s="8">
        <f>IF(ISBLANK(G5),"",IF(H5=3,B5,IF(H5=1,IF(H4=1,IF(H3=1,IF(H2=1,IF(H1=1,IF(#REF!=1,$L$33,$L$32),$L$31),$L$30),$L$29),$L$28),$L$27)))</f>
        <v>30</v>
      </c>
      <c r="C6" s="29" t="s">
        <v>19</v>
      </c>
      <c r="D6" s="11">
        <f t="shared" si="0"/>
        <v>2</v>
      </c>
      <c r="E6" s="33">
        <v>1.3513999999999999</v>
      </c>
      <c r="F6" s="15" t="s">
        <v>20</v>
      </c>
      <c r="G6" s="32">
        <v>1.35134</v>
      </c>
      <c r="H6" s="11">
        <f t="shared" si="1"/>
        <v>2</v>
      </c>
      <c r="I6" s="21">
        <v>41583.989699074074</v>
      </c>
      <c r="J6" s="24">
        <f>IF(ISBLANK(G6),"",IF(H6=1,A6-B6,IF(H6=3,Tableau22[[#This Row],[Capital]],A6+(B6/100*70))))</f>
        <v>2025</v>
      </c>
      <c r="K6" s="98">
        <f>SUM(Tableau22[[#This Row],[Prix final]]-Tableau22[[#This Row],[Prix marché]])</f>
        <v>-5.9999999999948983E-5</v>
      </c>
      <c r="L6" s="52"/>
      <c r="M6" s="53"/>
      <c r="N6" s="54"/>
      <c r="O6" s="27">
        <f t="shared" si="2"/>
        <v>2025</v>
      </c>
      <c r="P6" s="27" t="e">
        <f t="shared" si="3"/>
        <v>#N/A</v>
      </c>
      <c r="V6" s="1"/>
      <c r="W6" s="1"/>
      <c r="X6" s="1"/>
      <c r="Y6" s="1"/>
      <c r="AG6" s="35"/>
    </row>
    <row r="7" spans="1:33" ht="17.25" customHeight="1" thickBot="1">
      <c r="A7" s="6">
        <f t="shared" si="4"/>
        <v>2025</v>
      </c>
      <c r="B7" s="8">
        <f t="shared" ref="B7:B29" si="5">IF(ISBLANK(G6),"",IF(H6=3,B6,IF(H6=1,IF(H5=1,IF(H4=1,IF(H3=1,IF(H2=1,IF(H1=1,$L$33,$L$32),$L$31),$L$30),$L$29),$L$28),$L$27)))</f>
        <v>30</v>
      </c>
      <c r="C7" s="29" t="s">
        <v>19</v>
      </c>
      <c r="D7" s="11">
        <f t="shared" si="0"/>
        <v>2</v>
      </c>
      <c r="E7" s="33">
        <v>1.3513299999999999</v>
      </c>
      <c r="F7" s="15" t="s">
        <v>20</v>
      </c>
      <c r="G7" s="32">
        <v>1.35145</v>
      </c>
      <c r="H7" s="11">
        <f t="shared" si="1"/>
        <v>1</v>
      </c>
      <c r="I7" s="21">
        <v>41583.991111111114</v>
      </c>
      <c r="J7" s="24">
        <f>IF(ISBLANK(G7),"",IF(H7=1,A7-B7,IF(H7=3,Tableau22[[#This Row],[Capital]],A7+(B7/100*70))))</f>
        <v>1995</v>
      </c>
      <c r="K7" s="99">
        <f>SUM(Tableau22[[#This Row],[Prix final]]-Tableau22[[#This Row],[Prix marché]])</f>
        <v>1.2000000000012001E-4</v>
      </c>
      <c r="L7" s="71" t="s">
        <v>7</v>
      </c>
      <c r="M7" s="71"/>
      <c r="N7" s="72"/>
      <c r="O7" s="27" t="e">
        <f t="shared" si="2"/>
        <v>#N/A</v>
      </c>
      <c r="P7" s="27">
        <f t="shared" si="3"/>
        <v>1995</v>
      </c>
      <c r="V7" s="1"/>
      <c r="W7" s="1"/>
      <c r="X7" s="1"/>
      <c r="Y7" s="1"/>
      <c r="AG7" s="35"/>
    </row>
    <row r="8" spans="1:33" ht="17.25" customHeight="1" thickBot="1">
      <c r="A8" s="6">
        <f t="shared" si="4"/>
        <v>1995</v>
      </c>
      <c r="B8" s="8">
        <f t="shared" si="5"/>
        <v>45</v>
      </c>
      <c r="C8" s="29" t="s">
        <v>21</v>
      </c>
      <c r="D8" s="11">
        <f t="shared" si="0"/>
        <v>1</v>
      </c>
      <c r="E8" s="33">
        <v>1.3512500000000001</v>
      </c>
      <c r="F8" s="15" t="s">
        <v>20</v>
      </c>
      <c r="G8" s="32">
        <v>1.3511899999999999</v>
      </c>
      <c r="H8" s="11">
        <f t="shared" si="1"/>
        <v>1</v>
      </c>
      <c r="I8" s="21">
        <v>41583.992476851854</v>
      </c>
      <c r="J8" s="24">
        <f>IF(ISBLANK(G8),"",IF(H8=1,A8-B8,IF(H8=3,Tableau22[[#This Row],[Capital]],A8+(B8/100*70))))</f>
        <v>1950</v>
      </c>
      <c r="K8" s="98">
        <f>SUM(Tableau22[[#This Row],[Prix final]]-Tableau22[[#This Row],[Prix marché]])</f>
        <v>-6.0000000000171028E-5</v>
      </c>
      <c r="L8" s="73">
        <f>LOOKUP(9^9,A:A)</f>
        <v>2314.5</v>
      </c>
      <c r="M8" s="73"/>
      <c r="N8" s="74"/>
      <c r="O8" s="27" t="e">
        <f t="shared" si="2"/>
        <v>#N/A</v>
      </c>
      <c r="P8" s="27">
        <f t="shared" si="3"/>
        <v>1950</v>
      </c>
      <c r="V8" s="1"/>
      <c r="W8" s="1"/>
      <c r="X8" s="1"/>
      <c r="Y8" s="1"/>
      <c r="AG8" s="35"/>
    </row>
    <row r="9" spans="1:33" ht="17.25" customHeight="1">
      <c r="A9" s="6">
        <f t="shared" si="4"/>
        <v>1950</v>
      </c>
      <c r="B9" s="8">
        <f t="shared" si="5"/>
        <v>110</v>
      </c>
      <c r="C9" s="29" t="s">
        <v>19</v>
      </c>
      <c r="D9" s="11">
        <f t="shared" si="0"/>
        <v>2</v>
      </c>
      <c r="E9" s="33">
        <v>1.3512</v>
      </c>
      <c r="F9" s="15" t="s">
        <v>20</v>
      </c>
      <c r="G9" s="32">
        <v>1.35107</v>
      </c>
      <c r="H9" s="11">
        <f t="shared" si="1"/>
        <v>2</v>
      </c>
      <c r="I9" s="21">
        <v>41583.993877314817</v>
      </c>
      <c r="J9" s="24">
        <f>IF(ISBLANK(G9),"",IF(H9=1,A9-B9,IF(H9=3,Tableau22[[#This Row],[Capital]],A9+(B9/100*70))))</f>
        <v>2027</v>
      </c>
      <c r="K9" s="99">
        <f>SUM(Tableau22[[#This Row],[Prix final]]-Tableau22[[#This Row],[Prix marché]])</f>
        <v>-1.2999999999996348E-4</v>
      </c>
      <c r="L9" s="75"/>
      <c r="M9" s="73"/>
      <c r="N9" s="74"/>
      <c r="O9" s="27">
        <f t="shared" si="2"/>
        <v>2027</v>
      </c>
      <c r="P9" s="27" t="e">
        <f t="shared" si="3"/>
        <v>#N/A</v>
      </c>
      <c r="V9" s="1"/>
      <c r="W9" s="1"/>
      <c r="X9" s="1"/>
      <c r="Y9" s="1"/>
      <c r="AG9" s="35"/>
    </row>
    <row r="10" spans="1:33" ht="17.25" customHeight="1" thickBot="1">
      <c r="A10" s="6">
        <f t="shared" si="4"/>
        <v>2027</v>
      </c>
      <c r="B10" s="8">
        <f t="shared" si="5"/>
        <v>30</v>
      </c>
      <c r="C10" s="29" t="s">
        <v>19</v>
      </c>
      <c r="D10" s="11">
        <f t="shared" si="0"/>
        <v>2</v>
      </c>
      <c r="E10" s="33">
        <v>1.35107</v>
      </c>
      <c r="F10" s="15" t="s">
        <v>20</v>
      </c>
      <c r="G10" s="32">
        <v>1.3510500000000001</v>
      </c>
      <c r="H10" s="11">
        <f t="shared" si="1"/>
        <v>2</v>
      </c>
      <c r="I10" s="21">
        <v>41583.995266203703</v>
      </c>
      <c r="J10" s="24">
        <f>IF(ISBLANK(G10),"",IF(H10=1,A10-B10,IF(H10=3,Tableau22[[#This Row],[Capital]],A10+(B10/100*70))))</f>
        <v>2048</v>
      </c>
      <c r="K10" s="98">
        <f>SUM(Tableau22[[#This Row],[Prix final]]-Tableau22[[#This Row],[Prix marché]])</f>
        <v>-1.9999999999908979E-5</v>
      </c>
      <c r="L10" s="76"/>
      <c r="M10" s="77"/>
      <c r="N10" s="78"/>
      <c r="O10" s="27">
        <f t="shared" si="2"/>
        <v>2048</v>
      </c>
      <c r="P10" s="27" t="e">
        <f t="shared" si="3"/>
        <v>#N/A</v>
      </c>
      <c r="V10" s="1"/>
      <c r="W10" s="1"/>
      <c r="X10" s="1"/>
      <c r="Y10" s="1"/>
      <c r="AG10" s="35"/>
    </row>
    <row r="11" spans="1:33" ht="17.25" customHeight="1" thickBot="1">
      <c r="A11" s="6">
        <f t="shared" si="4"/>
        <v>2048</v>
      </c>
      <c r="B11" s="8">
        <f t="shared" si="5"/>
        <v>30</v>
      </c>
      <c r="C11" s="29" t="s">
        <v>19</v>
      </c>
      <c r="D11" s="11">
        <f t="shared" si="0"/>
        <v>2</v>
      </c>
      <c r="E11" s="33">
        <v>1.35093</v>
      </c>
      <c r="F11" s="15" t="s">
        <v>20</v>
      </c>
      <c r="G11" s="32">
        <v>1.35084</v>
      </c>
      <c r="H11" s="11">
        <f t="shared" si="1"/>
        <v>2</v>
      </c>
      <c r="I11" s="21">
        <v>41583.99732638889</v>
      </c>
      <c r="J11" s="24">
        <f>IF(ISBLANK(G11),"",IF(H11=1,A11-B11,IF(H11=3,Tableau22[[#This Row],[Capital]],A11+(B11/100*70))))</f>
        <v>2069</v>
      </c>
      <c r="K11" s="99">
        <f>SUM(Tableau22[[#This Row],[Prix final]]-Tableau22[[#This Row],[Prix marché]])</f>
        <v>-8.9999999999923475E-5</v>
      </c>
      <c r="L11" s="79" t="s">
        <v>10</v>
      </c>
      <c r="M11" s="80"/>
      <c r="N11" s="81"/>
      <c r="O11" s="27">
        <f t="shared" si="2"/>
        <v>2069</v>
      </c>
      <c r="P11" s="27" t="e">
        <f t="shared" si="3"/>
        <v>#N/A</v>
      </c>
      <c r="V11" s="1"/>
      <c r="W11" s="1"/>
      <c r="X11" s="1"/>
      <c r="Y11" s="1"/>
      <c r="AG11" s="35"/>
    </row>
    <row r="12" spans="1:33" ht="17.25" customHeight="1">
      <c r="A12" s="6">
        <f t="shared" si="4"/>
        <v>2069</v>
      </c>
      <c r="B12" s="8">
        <f t="shared" si="5"/>
        <v>30</v>
      </c>
      <c r="C12" s="29" t="s">
        <v>21</v>
      </c>
      <c r="D12" s="11">
        <f t="shared" si="0"/>
        <v>1</v>
      </c>
      <c r="E12" s="33">
        <v>1.3509500000000001</v>
      </c>
      <c r="F12" s="15" t="s">
        <v>20</v>
      </c>
      <c r="G12" s="32">
        <v>1.3508</v>
      </c>
      <c r="H12" s="11">
        <f t="shared" si="1"/>
        <v>1</v>
      </c>
      <c r="I12" s="21">
        <v>41583.998912037037</v>
      </c>
      <c r="J12" s="24">
        <f>IF(ISBLANK(G12),"",IF(H12=1,A12-B12,IF(H12=3,Tableau22[[#This Row],[Capital]],A12+(B12/100*70))))</f>
        <v>2039</v>
      </c>
      <c r="K12" s="98">
        <f>SUM(Tableau22[[#This Row],[Prix final]]-Tableau22[[#This Row],[Prix marché]])</f>
        <v>-1.500000000000945E-4</v>
      </c>
      <c r="L12" s="82">
        <v>2000</v>
      </c>
      <c r="M12" s="83"/>
      <c r="N12" s="84"/>
      <c r="O12" s="27" t="e">
        <f t="shared" si="2"/>
        <v>#N/A</v>
      </c>
      <c r="P12" s="27">
        <f t="shared" si="3"/>
        <v>2039</v>
      </c>
      <c r="V12" s="1"/>
      <c r="W12" s="1"/>
      <c r="X12" s="1"/>
      <c r="Y12" s="1"/>
      <c r="AG12" s="35"/>
    </row>
    <row r="13" spans="1:33" ht="17.25" customHeight="1">
      <c r="A13" s="6">
        <f t="shared" si="4"/>
        <v>2039</v>
      </c>
      <c r="B13" s="8">
        <f t="shared" si="5"/>
        <v>45</v>
      </c>
      <c r="C13" s="29" t="s">
        <v>21</v>
      </c>
      <c r="D13" s="11">
        <f t="shared" si="0"/>
        <v>1</v>
      </c>
      <c r="E13" s="33">
        <v>1.3509100000000001</v>
      </c>
      <c r="F13" s="15" t="s">
        <v>20</v>
      </c>
      <c r="G13" s="32">
        <v>1.35066</v>
      </c>
      <c r="H13" s="11">
        <f t="shared" si="1"/>
        <v>1</v>
      </c>
      <c r="I13" s="21">
        <v>41584.000821759262</v>
      </c>
      <c r="J13" s="24">
        <f>IF(ISBLANK(G13),"",IF(H13=1,A13-B13,IF(H13=3,Tableau22[[#This Row],[Capital]],A13+(B13/100*70))))</f>
        <v>1994</v>
      </c>
      <c r="K13" s="99">
        <f>SUM(Tableau22[[#This Row],[Prix final]]-Tableau22[[#This Row],[Prix marché]])</f>
        <v>-2.5000000000008349E-4</v>
      </c>
      <c r="L13" s="85"/>
      <c r="M13" s="86"/>
      <c r="N13" s="87"/>
      <c r="O13" s="27" t="e">
        <f t="shared" si="2"/>
        <v>#N/A</v>
      </c>
      <c r="P13" s="27">
        <f t="shared" si="3"/>
        <v>1994</v>
      </c>
      <c r="V13" s="1"/>
      <c r="W13" s="1"/>
      <c r="X13" s="1"/>
      <c r="Y13" s="1"/>
    </row>
    <row r="14" spans="1:33" ht="17.25" customHeight="1" thickBot="1">
      <c r="A14" s="6">
        <f t="shared" si="4"/>
        <v>1994</v>
      </c>
      <c r="B14" s="8">
        <f t="shared" si="5"/>
        <v>110</v>
      </c>
      <c r="C14" s="29" t="s">
        <v>19</v>
      </c>
      <c r="D14" s="11">
        <f t="shared" si="0"/>
        <v>2</v>
      </c>
      <c r="E14" s="33">
        <v>1.35063</v>
      </c>
      <c r="F14" s="15" t="s">
        <v>20</v>
      </c>
      <c r="G14" s="32">
        <v>1.3505499999999999</v>
      </c>
      <c r="H14" s="11">
        <f t="shared" si="1"/>
        <v>2</v>
      </c>
      <c r="I14" s="21">
        <v>41584.003009259257</v>
      </c>
      <c r="J14" s="24">
        <f>IF(ISBLANK(G14),"",IF(H14=1,A14-B14,IF(H14=3,Tableau22[[#This Row],[Capital]],A14+(B14/100*70))))</f>
        <v>2071</v>
      </c>
      <c r="K14" s="98">
        <f>SUM(Tableau22[[#This Row],[Prix final]]-Tableau22[[#This Row],[Prix marché]])</f>
        <v>-8.0000000000080007E-5</v>
      </c>
      <c r="L14" s="88"/>
      <c r="M14" s="89"/>
      <c r="N14" s="90"/>
      <c r="O14" s="27">
        <f t="shared" si="2"/>
        <v>2071</v>
      </c>
      <c r="P14" s="27" t="e">
        <f t="shared" si="3"/>
        <v>#N/A</v>
      </c>
      <c r="V14" s="1"/>
      <c r="W14" s="1"/>
      <c r="X14" s="1"/>
      <c r="Y14" s="1"/>
    </row>
    <row r="15" spans="1:33" ht="17.25" customHeight="1" thickBot="1">
      <c r="A15" s="6">
        <f t="shared" si="4"/>
        <v>2071</v>
      </c>
      <c r="B15" s="8">
        <f t="shared" si="5"/>
        <v>30</v>
      </c>
      <c r="C15" s="29" t="s">
        <v>19</v>
      </c>
      <c r="D15" s="11">
        <f t="shared" si="0"/>
        <v>2</v>
      </c>
      <c r="E15" s="33">
        <v>1.35049</v>
      </c>
      <c r="F15" s="15" t="s">
        <v>20</v>
      </c>
      <c r="G15" s="32">
        <v>1.3504799999999999</v>
      </c>
      <c r="H15" s="11">
        <f t="shared" si="1"/>
        <v>2</v>
      </c>
      <c r="I15" s="21">
        <v>41584.005104166667</v>
      </c>
      <c r="J15" s="24">
        <f>IF(ISBLANK(G15),"",IF(H15=1,A15-B15,IF(H15=3,Tableau22[[#This Row],[Capital]],A15+(B15/100*70))))</f>
        <v>2092</v>
      </c>
      <c r="K15" s="99">
        <f>SUM(Tableau22[[#This Row],[Prix final]]-Tableau22[[#This Row],[Prix marché]])</f>
        <v>-1.0000000000065512E-5</v>
      </c>
      <c r="L15" s="91" t="s">
        <v>11</v>
      </c>
      <c r="M15" s="92"/>
      <c r="N15" s="93"/>
      <c r="O15" s="27">
        <f t="shared" si="2"/>
        <v>2092</v>
      </c>
      <c r="P15" s="27" t="e">
        <f t="shared" si="3"/>
        <v>#N/A</v>
      </c>
      <c r="V15" s="1"/>
      <c r="W15" s="1"/>
      <c r="X15" s="1"/>
      <c r="Y15" s="1"/>
    </row>
    <row r="16" spans="1:33" ht="17.25" customHeight="1">
      <c r="A16" s="6">
        <f t="shared" si="4"/>
        <v>2092</v>
      </c>
      <c r="B16" s="8">
        <f t="shared" si="5"/>
        <v>30</v>
      </c>
      <c r="C16" s="29" t="s">
        <v>19</v>
      </c>
      <c r="D16" s="11">
        <f t="shared" si="0"/>
        <v>2</v>
      </c>
      <c r="E16" s="33">
        <v>1.35056</v>
      </c>
      <c r="F16" s="15" t="s">
        <v>20</v>
      </c>
      <c r="G16" s="32">
        <v>1.3505499999999999</v>
      </c>
      <c r="H16" s="11">
        <f t="shared" si="1"/>
        <v>2</v>
      </c>
      <c r="I16" s="21">
        <v>41584.006655092591</v>
      </c>
      <c r="J16" s="24">
        <f>IF(ISBLANK(G16),"",IF(H16=1,A16-B16,IF(H16=3,Tableau22[[#This Row],[Capital]],A16+(B16/100*70))))</f>
        <v>2113</v>
      </c>
      <c r="K16" s="98">
        <f>SUM(Tableau22[[#This Row],[Prix final]]-Tableau22[[#This Row],[Prix marché]])</f>
        <v>-1.0000000000065512E-5</v>
      </c>
      <c r="L16" s="66">
        <f>SUM(L8-L12)</f>
        <v>314.5</v>
      </c>
      <c r="M16" s="67"/>
      <c r="N16" s="68"/>
      <c r="O16" s="27">
        <f t="shared" si="2"/>
        <v>2113</v>
      </c>
      <c r="P16" s="27" t="e">
        <f t="shared" si="3"/>
        <v>#N/A</v>
      </c>
      <c r="V16" s="1"/>
      <c r="W16" s="1"/>
      <c r="X16" s="1"/>
      <c r="Y16" s="1"/>
    </row>
    <row r="17" spans="1:25" ht="17.25" customHeight="1">
      <c r="A17" s="6">
        <f t="shared" si="4"/>
        <v>2113</v>
      </c>
      <c r="B17" s="8">
        <f t="shared" si="5"/>
        <v>30</v>
      </c>
      <c r="C17" s="29" t="s">
        <v>21</v>
      </c>
      <c r="D17" s="11">
        <f t="shared" si="0"/>
        <v>1</v>
      </c>
      <c r="E17" s="33">
        <v>1.35063</v>
      </c>
      <c r="F17" s="15" t="s">
        <v>20</v>
      </c>
      <c r="G17" s="32">
        <v>1.3506400000000001</v>
      </c>
      <c r="H17" s="11">
        <f t="shared" si="1"/>
        <v>2</v>
      </c>
      <c r="I17" s="21">
        <v>41584.007800925923</v>
      </c>
      <c r="J17" s="24">
        <f>IF(ISBLANK(G17),"",IF(H17=1,A17-B17,IF(H17=3,Tableau22[[#This Row],[Capital]],A17+(B17/100*70))))</f>
        <v>2134</v>
      </c>
      <c r="K17" s="99">
        <f>SUM(Tableau22[[#This Row],[Prix final]]-Tableau22[[#This Row],[Prix marché]])</f>
        <v>1.0000000000065512E-5</v>
      </c>
      <c r="L17" s="69"/>
      <c r="M17" s="62"/>
      <c r="N17" s="63"/>
      <c r="O17" s="27">
        <f t="shared" si="2"/>
        <v>2134</v>
      </c>
      <c r="P17" s="27" t="e">
        <f t="shared" si="3"/>
        <v>#N/A</v>
      </c>
      <c r="V17" s="1"/>
      <c r="W17" s="1"/>
      <c r="X17" s="1"/>
      <c r="Y17" s="1"/>
    </row>
    <row r="18" spans="1:25" ht="17.25" customHeight="1" thickBot="1">
      <c r="A18" s="6">
        <f t="shared" si="4"/>
        <v>2134</v>
      </c>
      <c r="B18" s="8">
        <f t="shared" si="5"/>
        <v>30</v>
      </c>
      <c r="C18" s="29" t="s">
        <v>19</v>
      </c>
      <c r="D18" s="11">
        <f t="shared" si="0"/>
        <v>2</v>
      </c>
      <c r="E18" s="33">
        <v>1.3506</v>
      </c>
      <c r="F18" s="15" t="s">
        <v>20</v>
      </c>
      <c r="G18" s="32">
        <v>1.35056</v>
      </c>
      <c r="H18" s="11">
        <f t="shared" si="1"/>
        <v>2</v>
      </c>
      <c r="I18" s="21">
        <v>41584.008634259262</v>
      </c>
      <c r="J18" s="24">
        <f>IF(ISBLANK(G18),"",IF(H18=1,A18-B18,IF(H18=3,Tableau22[[#This Row],[Capital]],A18+(B18/100*70))))</f>
        <v>2155</v>
      </c>
      <c r="K18" s="98">
        <f>SUM(Tableau22[[#This Row],[Prix final]]-Tableau22[[#This Row],[Prix marché]])</f>
        <v>-4.0000000000040004E-5</v>
      </c>
      <c r="L18" s="70"/>
      <c r="M18" s="64"/>
      <c r="N18" s="65"/>
      <c r="O18" s="27">
        <f t="shared" si="2"/>
        <v>2155</v>
      </c>
      <c r="P18" s="27" t="e">
        <f t="shared" si="3"/>
        <v>#N/A</v>
      </c>
      <c r="V18" s="1"/>
      <c r="W18" s="1"/>
      <c r="X18" s="1"/>
      <c r="Y18" s="1"/>
    </row>
    <row r="19" spans="1:25" ht="17.25" customHeight="1">
      <c r="A19" s="6">
        <f t="shared" si="4"/>
        <v>2155</v>
      </c>
      <c r="B19" s="8">
        <f t="shared" si="5"/>
        <v>30</v>
      </c>
      <c r="C19" s="29" t="s">
        <v>21</v>
      </c>
      <c r="D19" s="11">
        <f t="shared" si="0"/>
        <v>1</v>
      </c>
      <c r="E19" s="33">
        <v>1.3502799999999999</v>
      </c>
      <c r="F19" s="15" t="s">
        <v>20</v>
      </c>
      <c r="G19" s="32">
        <v>1.35025</v>
      </c>
      <c r="H19" s="11">
        <f t="shared" si="1"/>
        <v>1</v>
      </c>
      <c r="I19" s="21">
        <v>41584.009826388887</v>
      </c>
      <c r="J19" s="24">
        <f>IF(ISBLANK(G19),"",IF(H19=1,A19-B19,IF(H19=3,Tableau22[[#This Row],[Capital]],A19+(B19/100*70))))</f>
        <v>2125</v>
      </c>
      <c r="K19" s="99">
        <f>SUM(Tableau22[[#This Row],[Prix final]]-Tableau22[[#This Row],[Prix marché]])</f>
        <v>-2.9999999999974492E-5</v>
      </c>
      <c r="L19" s="36"/>
      <c r="M19" s="37"/>
      <c r="N19" s="37"/>
      <c r="O19" s="27" t="e">
        <f t="shared" si="2"/>
        <v>#N/A</v>
      </c>
      <c r="P19" s="27">
        <f t="shared" si="3"/>
        <v>2125</v>
      </c>
    </row>
    <row r="20" spans="1:25" ht="17.25" customHeight="1">
      <c r="A20" s="6">
        <f t="shared" si="4"/>
        <v>2125</v>
      </c>
      <c r="B20" s="8">
        <f t="shared" si="5"/>
        <v>45</v>
      </c>
      <c r="C20" s="29" t="s">
        <v>19</v>
      </c>
      <c r="D20" s="11">
        <f t="shared" si="0"/>
        <v>2</v>
      </c>
      <c r="E20" s="33">
        <v>1.3502400000000001</v>
      </c>
      <c r="F20" s="15" t="s">
        <v>20</v>
      </c>
      <c r="G20" s="32">
        <v>1.35023</v>
      </c>
      <c r="H20" s="11">
        <f t="shared" si="1"/>
        <v>2</v>
      </c>
      <c r="I20" s="21">
        <v>41584.011932870373</v>
      </c>
      <c r="J20" s="24">
        <f>IF(ISBLANK(G20),"",IF(H20=1,A20-B20,IF(H20=3,Tableau22[[#This Row],[Capital]],A20+(B20/100*70))))</f>
        <v>2156.5</v>
      </c>
      <c r="K20" s="98">
        <f>SUM(Tableau22[[#This Row],[Prix final]]-Tableau22[[#This Row],[Prix marché]])</f>
        <v>-1.0000000000065512E-5</v>
      </c>
      <c r="L20" s="40" t="s">
        <v>17</v>
      </c>
      <c r="M20" s="41"/>
      <c r="N20" s="41"/>
      <c r="O20" s="27">
        <f t="shared" si="2"/>
        <v>2156.5</v>
      </c>
      <c r="P20" s="27" t="e">
        <f t="shared" si="3"/>
        <v>#N/A</v>
      </c>
    </row>
    <row r="21" spans="1:25" ht="17.25" customHeight="1">
      <c r="A21" s="6">
        <f t="shared" si="4"/>
        <v>2156.5</v>
      </c>
      <c r="B21" s="8">
        <f t="shared" si="5"/>
        <v>30</v>
      </c>
      <c r="C21" s="29" t="s">
        <v>21</v>
      </c>
      <c r="D21" s="11">
        <f t="shared" si="0"/>
        <v>1</v>
      </c>
      <c r="E21" s="33">
        <v>1.35016</v>
      </c>
      <c r="F21" s="15" t="s">
        <v>20</v>
      </c>
      <c r="G21" s="32">
        <v>1.3503400000000001</v>
      </c>
      <c r="H21" s="11">
        <f t="shared" si="1"/>
        <v>2</v>
      </c>
      <c r="I21" s="21">
        <v>41584.014085648145</v>
      </c>
      <c r="J21" s="24">
        <f>IF(ISBLANK(G21),"",IF(H21=1,A21-B21,IF(H21=3,Tableau22[[#This Row],[Capital]],A21+(B21/100*70))))</f>
        <v>2177.5</v>
      </c>
      <c r="K21" s="99">
        <f>SUM(Tableau22[[#This Row],[Prix final]]-Tableau22[[#This Row],[Prix marché]])</f>
        <v>1.8000000000006899E-4</v>
      </c>
      <c r="L21" s="40"/>
      <c r="M21" s="41"/>
      <c r="N21" s="41"/>
      <c r="O21" s="27">
        <f t="shared" si="2"/>
        <v>2177.5</v>
      </c>
      <c r="P21" s="27" t="e">
        <f t="shared" si="3"/>
        <v>#N/A</v>
      </c>
    </row>
    <row r="22" spans="1:25" ht="17.25" customHeight="1">
      <c r="A22" s="6">
        <f t="shared" si="4"/>
        <v>2177.5</v>
      </c>
      <c r="B22" s="8">
        <f t="shared" si="5"/>
        <v>30</v>
      </c>
      <c r="C22" s="29" t="s">
        <v>21</v>
      </c>
      <c r="D22" s="11">
        <f t="shared" si="0"/>
        <v>1</v>
      </c>
      <c r="E22" s="33">
        <v>1.3501700000000001</v>
      </c>
      <c r="F22" s="15" t="s">
        <v>20</v>
      </c>
      <c r="G22" s="32">
        <v>1.3502000000000001</v>
      </c>
      <c r="H22" s="11">
        <f t="shared" si="1"/>
        <v>2</v>
      </c>
      <c r="I22" s="21">
        <v>41584.015486111108</v>
      </c>
      <c r="J22" s="24">
        <f>IF(ISBLANK(G22),"",IF(H22=1,A22-B22,IF(H22=3,Tableau22[[#This Row],[Capital]],A22+(B22/100*70))))</f>
        <v>2198.5</v>
      </c>
      <c r="K22" s="98">
        <f>SUM(Tableau22[[#This Row],[Prix final]]-Tableau22[[#This Row],[Prix marché]])</f>
        <v>2.9999999999974492E-5</v>
      </c>
      <c r="L22" s="42" t="s">
        <v>18</v>
      </c>
      <c r="M22" s="43"/>
      <c r="N22" s="43"/>
      <c r="O22" s="27">
        <f t="shared" si="2"/>
        <v>2198.5</v>
      </c>
      <c r="P22" s="27" t="e">
        <f t="shared" si="3"/>
        <v>#N/A</v>
      </c>
    </row>
    <row r="23" spans="1:25" ht="17.25" customHeight="1">
      <c r="A23" s="6">
        <f t="shared" si="4"/>
        <v>2198.5</v>
      </c>
      <c r="B23" s="8">
        <f t="shared" si="5"/>
        <v>30</v>
      </c>
      <c r="C23" s="29" t="s">
        <v>19</v>
      </c>
      <c r="D23" s="11">
        <f t="shared" si="0"/>
        <v>2</v>
      </c>
      <c r="E23" s="33">
        <v>1.3502799999999999</v>
      </c>
      <c r="F23" s="15" t="s">
        <v>20</v>
      </c>
      <c r="G23" s="32">
        <v>1.3501799999999999</v>
      </c>
      <c r="H23" s="11">
        <f t="shared" si="1"/>
        <v>2</v>
      </c>
      <c r="I23" s="21">
        <v>41584.016828703701</v>
      </c>
      <c r="J23" s="24">
        <f>IF(ISBLANK(G23),"",IF(H23=1,A23-B23,IF(H23=3,Tableau22[[#This Row],[Capital]],A23+(B23/100*70))))</f>
        <v>2219.5</v>
      </c>
      <c r="K23" s="99">
        <f>SUM(Tableau22[[#This Row],[Prix final]]-Tableau22[[#This Row],[Prix marché]])</f>
        <v>-9.9999999999988987E-5</v>
      </c>
      <c r="L23" s="42"/>
      <c r="M23" s="43"/>
      <c r="N23" s="43"/>
      <c r="O23" s="27">
        <f t="shared" si="2"/>
        <v>2219.5</v>
      </c>
      <c r="P23" s="27" t="e">
        <f t="shared" si="3"/>
        <v>#N/A</v>
      </c>
    </row>
    <row r="24" spans="1:25" ht="17.25" customHeight="1">
      <c r="A24" s="6">
        <f t="shared" si="4"/>
        <v>2219.5</v>
      </c>
      <c r="B24" s="8">
        <f t="shared" si="5"/>
        <v>30</v>
      </c>
      <c r="C24" s="29" t="s">
        <v>21</v>
      </c>
      <c r="D24" s="11">
        <f t="shared" si="0"/>
        <v>1</v>
      </c>
      <c r="E24" s="33">
        <v>1.3501799999999999</v>
      </c>
      <c r="F24" s="15" t="s">
        <v>20</v>
      </c>
      <c r="G24" s="32">
        <v>1.3501700000000001</v>
      </c>
      <c r="H24" s="11">
        <f t="shared" si="1"/>
        <v>1</v>
      </c>
      <c r="I24" s="21">
        <v>41584.01767361111</v>
      </c>
      <c r="J24" s="24">
        <f>IF(ISBLANK(G24),"",IF(H24=1,A24-B24,IF(H24=3,Tableau22[[#This Row],[Capital]],A24+(B24/100*70))))</f>
        <v>2189.5</v>
      </c>
      <c r="K24" s="98">
        <f>SUM(Tableau22[[#This Row],[Prix final]]-Tableau22[[#This Row],[Prix marché]])</f>
        <v>-9.9999999998434674E-6</v>
      </c>
      <c r="L24" s="42"/>
      <c r="M24" s="43"/>
      <c r="N24" s="43"/>
      <c r="O24" s="27" t="e">
        <f t="shared" si="2"/>
        <v>#N/A</v>
      </c>
      <c r="P24" s="27">
        <f t="shared" si="3"/>
        <v>2189.5</v>
      </c>
    </row>
    <row r="25" spans="1:25" ht="17.25" customHeight="1">
      <c r="A25" s="6">
        <f t="shared" si="4"/>
        <v>2189.5</v>
      </c>
      <c r="B25" s="8">
        <f t="shared" si="5"/>
        <v>45</v>
      </c>
      <c r="C25" s="29" t="s">
        <v>19</v>
      </c>
      <c r="D25" s="11">
        <f t="shared" si="0"/>
        <v>2</v>
      </c>
      <c r="E25" s="33">
        <v>1.3505499999999999</v>
      </c>
      <c r="F25" s="15" t="s">
        <v>20</v>
      </c>
      <c r="G25" s="32">
        <v>1.35056</v>
      </c>
      <c r="H25" s="11">
        <f t="shared" si="1"/>
        <v>1</v>
      </c>
      <c r="I25" s="21">
        <v>41584.045208333337</v>
      </c>
      <c r="J25" s="24">
        <f>IF(ISBLANK(G25),"",IF(H25=1,A25-B25,IF(H25=3,Tableau22[[#This Row],[Capital]],A25+(B25/100*70))))</f>
        <v>2144.5</v>
      </c>
      <c r="K25" s="100">
        <f>SUM(Tableau22[[#This Row],[Prix final]]-Tableau22[[#This Row],[Prix marché]])</f>
        <v>1.0000000000065512E-5</v>
      </c>
      <c r="L25" s="44"/>
      <c r="M25" s="45"/>
      <c r="N25" s="45"/>
      <c r="O25" s="27" t="e">
        <f t="shared" si="2"/>
        <v>#N/A</v>
      </c>
      <c r="P25" s="27">
        <f t="shared" si="3"/>
        <v>2144.5</v>
      </c>
    </row>
    <row r="26" spans="1:25" ht="17.25" customHeight="1">
      <c r="A26" s="6">
        <f t="shared" si="4"/>
        <v>2144.5</v>
      </c>
      <c r="B26" s="8">
        <f t="shared" si="5"/>
        <v>110</v>
      </c>
      <c r="C26" s="29" t="s">
        <v>21</v>
      </c>
      <c r="D26" s="11">
        <f t="shared" si="0"/>
        <v>1</v>
      </c>
      <c r="E26" s="33">
        <v>1.3507199999999999</v>
      </c>
      <c r="F26" s="15" t="s">
        <v>20</v>
      </c>
      <c r="G26" s="32">
        <v>1.35073</v>
      </c>
      <c r="H26" s="11">
        <f t="shared" si="1"/>
        <v>2</v>
      </c>
      <c r="I26" s="21">
        <v>41584.046585648146</v>
      </c>
      <c r="J26" s="24">
        <f>IF(ISBLANK(G26),"",IF(H26=1,A26-B26,IF(H26=3,Tableau22[[#This Row],[Capital]],A26+(B26/100*70))))</f>
        <v>2221.5</v>
      </c>
      <c r="K26" s="101">
        <f>SUM(Tableau22[[#This Row],[Prix final]]-Tableau22[[#This Row],[Prix marché]])</f>
        <v>1.0000000000065512E-5</v>
      </c>
      <c r="L26" s="17" t="s">
        <v>12</v>
      </c>
      <c r="M26" s="18" t="s">
        <v>13</v>
      </c>
      <c r="N26" s="17"/>
      <c r="O26" s="27">
        <f t="shared" si="2"/>
        <v>2221.5</v>
      </c>
      <c r="P26" s="27" t="e">
        <f t="shared" si="3"/>
        <v>#N/A</v>
      </c>
      <c r="V26" s="1"/>
      <c r="W26" s="1"/>
      <c r="X26" s="1"/>
      <c r="Y26" s="1"/>
    </row>
    <row r="27" spans="1:25" ht="17.25" customHeight="1">
      <c r="A27" s="6">
        <f t="shared" si="4"/>
        <v>2221.5</v>
      </c>
      <c r="B27" s="8">
        <f t="shared" si="5"/>
        <v>30</v>
      </c>
      <c r="C27" s="29" t="s">
        <v>21</v>
      </c>
      <c r="D27" s="11">
        <f t="shared" si="0"/>
        <v>1</v>
      </c>
      <c r="E27" s="33">
        <v>1.3508500000000001</v>
      </c>
      <c r="F27" s="15" t="s">
        <v>20</v>
      </c>
      <c r="G27" s="32">
        <v>1.35083</v>
      </c>
      <c r="H27" s="11">
        <f t="shared" si="1"/>
        <v>1</v>
      </c>
      <c r="I27" s="21">
        <v>41584.050046296295</v>
      </c>
      <c r="J27" s="24">
        <f>IF(ISBLANK(G27),"",IF(H27=1,A27-B27,IF(H27=3,Tableau22[[#This Row],[Capital]],A27+(B27/100*70))))</f>
        <v>2191.5</v>
      </c>
      <c r="K27" s="102">
        <f>SUM(Tableau22[[#This Row],[Prix final]]-Tableau22[[#This Row],[Prix marché]])</f>
        <v>-2.0000000000131024E-5</v>
      </c>
      <c r="L27" s="97">
        <v>30</v>
      </c>
      <c r="M27" s="39">
        <f>SUM(L27)*70%</f>
        <v>21</v>
      </c>
      <c r="N27" s="39">
        <f>SUM(N26-L27)</f>
        <v>-30</v>
      </c>
      <c r="O27" s="27" t="e">
        <f t="shared" si="2"/>
        <v>#N/A</v>
      </c>
      <c r="P27" s="27">
        <f t="shared" si="3"/>
        <v>2191.5</v>
      </c>
      <c r="V27" s="1"/>
      <c r="W27" s="1"/>
      <c r="X27" s="1"/>
      <c r="Y27" s="1"/>
    </row>
    <row r="28" spans="1:25" ht="17.25" customHeight="1">
      <c r="A28" s="6">
        <f t="shared" si="4"/>
        <v>2191.5</v>
      </c>
      <c r="B28" s="8">
        <f t="shared" si="5"/>
        <v>45</v>
      </c>
      <c r="C28" s="29" t="s">
        <v>21</v>
      </c>
      <c r="D28" s="11">
        <f t="shared" si="0"/>
        <v>1</v>
      </c>
      <c r="E28" s="33">
        <v>1.3509</v>
      </c>
      <c r="F28" s="15" t="s">
        <v>20</v>
      </c>
      <c r="G28" s="32">
        <v>1.3509100000000001</v>
      </c>
      <c r="H28" s="11">
        <f t="shared" si="1"/>
        <v>2</v>
      </c>
      <c r="I28" s="21">
        <v>41584.051539351851</v>
      </c>
      <c r="J28" s="24">
        <f>IF(ISBLANK(G28),"",IF(H28=1,A28-B28,IF(H28=3,Tableau22[[#This Row],[Capital]],A28+(B28/100*70))))</f>
        <v>2223</v>
      </c>
      <c r="K28" s="103">
        <f>SUM(Tableau22[[#This Row],[Prix final]]-Tableau22[[#This Row],[Prix marché]])</f>
        <v>1.0000000000065512E-5</v>
      </c>
      <c r="L28" s="97">
        <v>45</v>
      </c>
      <c r="M28" s="39">
        <f>SUM(L28)*70%-L27</f>
        <v>1.4999999999999964</v>
      </c>
      <c r="N28" s="39">
        <f>SUM(N26-L27-L28)</f>
        <v>-75</v>
      </c>
      <c r="O28" s="27">
        <f t="shared" si="2"/>
        <v>2223</v>
      </c>
      <c r="P28" s="27" t="e">
        <f t="shared" si="3"/>
        <v>#N/A</v>
      </c>
      <c r="V28" s="1"/>
      <c r="W28" s="1"/>
      <c r="X28" s="1"/>
      <c r="Y28" s="1"/>
    </row>
    <row r="29" spans="1:25" ht="17.25" customHeight="1">
      <c r="A29" s="6">
        <f t="shared" si="4"/>
        <v>2223</v>
      </c>
      <c r="B29" s="8">
        <f t="shared" si="5"/>
        <v>30</v>
      </c>
      <c r="C29" s="29" t="s">
        <v>21</v>
      </c>
      <c r="D29" s="11">
        <f t="shared" si="0"/>
        <v>1</v>
      </c>
      <c r="E29" s="33">
        <v>1.35107</v>
      </c>
      <c r="F29" s="15" t="s">
        <v>20</v>
      </c>
      <c r="G29" s="32">
        <v>1.3510599999999999</v>
      </c>
      <c r="H29" s="11">
        <f t="shared" si="1"/>
        <v>1</v>
      </c>
      <c r="I29" s="21">
        <v>41584.054907407408</v>
      </c>
      <c r="J29" s="24">
        <f>IF(ISBLANK(G29),"",IF(H29=1,A29-B29,IF(H29=3,Tableau22[[#This Row],[Capital]],A29+(B29/100*70))))</f>
        <v>2193</v>
      </c>
      <c r="K29" s="102">
        <f>SUM(Tableau22[[#This Row],[Prix final]]-Tableau22[[#This Row],[Prix marché]])</f>
        <v>-1.0000000000065512E-5</v>
      </c>
      <c r="L29" s="97">
        <v>110</v>
      </c>
      <c r="M29" s="39">
        <f>SUM(L29)*70%-L28-L27</f>
        <v>2</v>
      </c>
      <c r="N29" s="39">
        <f>SUM(N26-L27-L28-L29)</f>
        <v>-185</v>
      </c>
      <c r="O29" s="27" t="e">
        <f t="shared" si="2"/>
        <v>#N/A</v>
      </c>
      <c r="P29" s="27">
        <f t="shared" si="3"/>
        <v>2193</v>
      </c>
      <c r="V29" s="1"/>
      <c r="W29" s="1"/>
      <c r="X29" s="1"/>
      <c r="Y29" s="1"/>
    </row>
    <row r="30" spans="1:25" ht="17.25" customHeight="1">
      <c r="A30" s="6">
        <f t="shared" si="4"/>
        <v>2193</v>
      </c>
      <c r="B30" s="8">
        <f>IF(ISBLANK(G29),"",IF(H29=3,B29,IF(H29=1,IF(H28=1,IF(H27=1,IF(H26=1,IF(H25=1,IF(H24=1,$L$33,$L$32),$L$31),$L$30),$L$29),$L$28),$L$27)))</f>
        <v>45</v>
      </c>
      <c r="C30" s="29" t="s">
        <v>21</v>
      </c>
      <c r="D30" s="11">
        <f t="shared" si="0"/>
        <v>1</v>
      </c>
      <c r="E30" s="33">
        <v>1.35103</v>
      </c>
      <c r="F30" s="15" t="s">
        <v>20</v>
      </c>
      <c r="G30" s="32">
        <v>1.3508100000000001</v>
      </c>
      <c r="H30" s="11">
        <f t="shared" si="1"/>
        <v>1</v>
      </c>
      <c r="I30" s="21">
        <v>41584.059155092589</v>
      </c>
      <c r="J30" s="24">
        <f>IF(ISBLANK(G30),"",IF(H30=1,A30-B30,IF(H30=3,Tableau22[[#This Row],[Capital]],A30+(B30/100*70))))</f>
        <v>2148</v>
      </c>
      <c r="K30" s="103">
        <f>SUM(Tableau22[[#This Row],[Prix final]]-Tableau22[[#This Row],[Prix marché]])</f>
        <v>-2.1999999999988695E-4</v>
      </c>
      <c r="L30" s="97">
        <v>270</v>
      </c>
      <c r="M30" s="39">
        <f>SUM(L30)*70%-L29-L27-L28</f>
        <v>4</v>
      </c>
      <c r="N30" s="39">
        <f>SUM(N26-L27-L28-L29-L30)</f>
        <v>-455</v>
      </c>
      <c r="O30" s="27" t="e">
        <f t="shared" si="2"/>
        <v>#N/A</v>
      </c>
      <c r="P30" s="27">
        <f t="shared" si="3"/>
        <v>2148</v>
      </c>
      <c r="V30" s="1"/>
      <c r="W30" s="1"/>
      <c r="X30" s="1"/>
      <c r="Y30" s="1"/>
    </row>
    <row r="31" spans="1:25" ht="17.25" customHeight="1">
      <c r="A31" s="6">
        <f t="shared" si="4"/>
        <v>2148</v>
      </c>
      <c r="B31" s="8">
        <f t="shared" ref="B31:B63" si="6">IF(ISBLANK(G30),"",IF(H30=3,B30,IF(H30=1,IF(H29=1,IF(H28=1,IF(H27=1,IF(H26=1,IF(H25=1,$L$33,$L$32),$L$31),$L$30),$L$29),$L$28),$L$27)))</f>
        <v>110</v>
      </c>
      <c r="C31" s="29" t="s">
        <v>19</v>
      </c>
      <c r="D31" s="11">
        <f t="shared" si="0"/>
        <v>2</v>
      </c>
      <c r="E31" s="33">
        <v>1.3507400000000001</v>
      </c>
      <c r="F31" s="15" t="s">
        <v>20</v>
      </c>
      <c r="G31" s="32">
        <v>1.3507499999999999</v>
      </c>
      <c r="H31" s="11">
        <f t="shared" si="1"/>
        <v>1</v>
      </c>
      <c r="I31" s="21">
        <v>41584.061168981483</v>
      </c>
      <c r="J31" s="24">
        <f>IF(ISBLANK(G31),"",IF(H31=1,A31-B31,IF(H31=3,Tableau22[[#This Row],[Capital]],A31+(B31/100*70))))</f>
        <v>2038</v>
      </c>
      <c r="K31" s="102">
        <f>SUM(Tableau22[[#This Row],[Prix final]]-Tableau22[[#This Row],[Prix marché]])</f>
        <v>9.9999999998434674E-6</v>
      </c>
      <c r="L31" s="97">
        <v>660</v>
      </c>
      <c r="M31" s="39">
        <f>SUM(L31)*70%-L27-L28-L29-L30</f>
        <v>6.9999999999999432</v>
      </c>
      <c r="N31" s="39">
        <f>SUM(N26-L27-L28-L29-L30-L31)</f>
        <v>-1115</v>
      </c>
      <c r="O31" s="27" t="e">
        <f t="shared" si="2"/>
        <v>#N/A</v>
      </c>
      <c r="P31" s="27">
        <f t="shared" si="3"/>
        <v>2038</v>
      </c>
      <c r="V31" s="1"/>
      <c r="W31" s="1"/>
      <c r="X31" s="1"/>
      <c r="Y31" s="1"/>
    </row>
    <row r="32" spans="1:25" ht="17.25" customHeight="1">
      <c r="A32" s="6">
        <f t="shared" si="4"/>
        <v>2038</v>
      </c>
      <c r="B32" s="8">
        <f t="shared" si="6"/>
        <v>270</v>
      </c>
      <c r="C32" s="29" t="s">
        <v>21</v>
      </c>
      <c r="D32" s="11">
        <f t="shared" si="0"/>
        <v>1</v>
      </c>
      <c r="E32" s="33">
        <v>1.3507499999999999</v>
      </c>
      <c r="F32" s="15" t="s">
        <v>20</v>
      </c>
      <c r="G32" s="32">
        <v>1.3507</v>
      </c>
      <c r="H32" s="11">
        <f t="shared" si="1"/>
        <v>1</v>
      </c>
      <c r="I32" s="21">
        <v>41584.06322916667</v>
      </c>
      <c r="J32" s="24">
        <f>IF(ISBLANK(G32),"",IF(H32=1,A32-B32,IF(H32=3,Tableau22[[#This Row],[Capital]],A32+(B32/100*70))))</f>
        <v>1768</v>
      </c>
      <c r="K32" s="103">
        <f>SUM(Tableau22[[#This Row],[Prix final]]-Tableau22[[#This Row],[Prix marché]])</f>
        <v>-4.9999999999883471E-5</v>
      </c>
      <c r="L32" s="97">
        <v>1570</v>
      </c>
      <c r="M32" s="39">
        <f>SUM(L32)*70%-L28-L29-L30-L31</f>
        <v>14</v>
      </c>
      <c r="N32" s="39">
        <f>SUM(N27-L28-L29-L30-L31-L32)</f>
        <v>-2685</v>
      </c>
      <c r="O32" s="27" t="e">
        <f t="shared" si="2"/>
        <v>#N/A</v>
      </c>
      <c r="P32" s="27">
        <f t="shared" si="3"/>
        <v>1768</v>
      </c>
      <c r="V32" s="1"/>
      <c r="W32" s="1"/>
      <c r="X32" s="1"/>
      <c r="Y32" s="1"/>
    </row>
    <row r="33" spans="1:25" ht="17.25" customHeight="1">
      <c r="A33" s="6">
        <f t="shared" si="4"/>
        <v>1768</v>
      </c>
      <c r="B33" s="8">
        <f t="shared" si="6"/>
        <v>660</v>
      </c>
      <c r="C33" s="29" t="s">
        <v>19</v>
      </c>
      <c r="D33" s="11">
        <f t="shared" si="0"/>
        <v>2</v>
      </c>
      <c r="E33" s="33">
        <v>1.3506499999999999</v>
      </c>
      <c r="F33" s="15" t="s">
        <v>20</v>
      </c>
      <c r="G33" s="32">
        <v>1.3506</v>
      </c>
      <c r="H33" s="11">
        <f t="shared" si="1"/>
        <v>2</v>
      </c>
      <c r="I33" s="21">
        <v>41584.065370370372</v>
      </c>
      <c r="J33" s="24">
        <f>IF(ISBLANK(G33),"",IF(H33=1,A33-B33,IF(H33=3,Tableau22[[#This Row],[Capital]],A33+(B33/100*70))))</f>
        <v>2230</v>
      </c>
      <c r="K33" s="102">
        <f>SUM(Tableau22[[#This Row],[Prix final]]-Tableau22[[#This Row],[Prix marché]])</f>
        <v>-4.9999999999883471E-5</v>
      </c>
      <c r="L33" s="39">
        <v>25</v>
      </c>
      <c r="M33" s="39">
        <f>SUM(L33)*70%-L29-L30-L31-L32</f>
        <v>-2592.5</v>
      </c>
      <c r="N33" s="39">
        <f>SUM(N28-L29-L30-L31-L32-L33)</f>
        <v>-2710</v>
      </c>
      <c r="O33" s="27">
        <f t="shared" si="2"/>
        <v>2230</v>
      </c>
      <c r="P33" s="27" t="e">
        <f t="shared" si="3"/>
        <v>#N/A</v>
      </c>
      <c r="V33" s="1"/>
      <c r="W33" s="1"/>
      <c r="X33" s="1"/>
      <c r="Y33" s="1"/>
    </row>
    <row r="34" spans="1:25" ht="17.25" customHeight="1">
      <c r="A34" s="6">
        <f t="shared" si="4"/>
        <v>2230</v>
      </c>
      <c r="B34" s="8">
        <f t="shared" si="6"/>
        <v>30</v>
      </c>
      <c r="C34" s="29" t="s">
        <v>21</v>
      </c>
      <c r="D34" s="11">
        <f t="shared" si="0"/>
        <v>1</v>
      </c>
      <c r="E34" s="34">
        <v>1.3505799999999999</v>
      </c>
      <c r="F34" s="16" t="s">
        <v>20</v>
      </c>
      <c r="G34" s="32">
        <v>1.3507499999999999</v>
      </c>
      <c r="H34" s="11">
        <f t="shared" si="1"/>
        <v>2</v>
      </c>
      <c r="I34" s="22">
        <v>41584.066817129627</v>
      </c>
      <c r="J34" s="24">
        <f>IF(ISBLANK(G34),"",IF(H34=1,A34-B34,IF(H34=3,Tableau22[[#This Row],[Capital]],A34+(B34/100*70))))</f>
        <v>2251</v>
      </c>
      <c r="K34" s="103">
        <f>SUM(Tableau22[[#This Row],[Prix final]]-Tableau22[[#This Row],[Prix marché]])</f>
        <v>1.7000000000000348E-4</v>
      </c>
      <c r="L34" s="39">
        <v>4000</v>
      </c>
      <c r="M34" s="39">
        <f>SUM(L34)*70%-L30-L31-L32-L33</f>
        <v>275</v>
      </c>
      <c r="N34" s="39">
        <f>SUM(N29-L30-L31-L32-L33-L34)</f>
        <v>-6710</v>
      </c>
      <c r="O34" s="27">
        <f t="shared" si="2"/>
        <v>2251</v>
      </c>
      <c r="P34" s="27" t="e">
        <f t="shared" si="3"/>
        <v>#N/A</v>
      </c>
      <c r="V34" s="1"/>
      <c r="W34" s="1"/>
      <c r="X34" s="1"/>
      <c r="Y34" s="1"/>
    </row>
    <row r="35" spans="1:25" ht="20.25">
      <c r="A35" s="6">
        <f t="shared" si="4"/>
        <v>2251</v>
      </c>
      <c r="B35" s="8">
        <f t="shared" si="6"/>
        <v>30</v>
      </c>
      <c r="C35" s="29" t="s">
        <v>21</v>
      </c>
      <c r="D35" s="11">
        <f t="shared" si="0"/>
        <v>1</v>
      </c>
      <c r="E35" s="33">
        <v>1.3507400000000001</v>
      </c>
      <c r="F35" s="15" t="s">
        <v>20</v>
      </c>
      <c r="G35" s="32">
        <v>1.3506100000000001</v>
      </c>
      <c r="H35" s="11">
        <f t="shared" si="1"/>
        <v>1</v>
      </c>
      <c r="I35" s="21">
        <v>41584.068194444444</v>
      </c>
      <c r="J35" s="24">
        <f>IF(ISBLANK(G35),"",IF(H35=1,A35-B35,IF(H35=3,Tableau22[[#This Row],[Capital]],A35+(B35/100*70))))</f>
        <v>2221</v>
      </c>
      <c r="K35" s="102">
        <f>SUM(Tableau22[[#This Row],[Prix final]]-Tableau22[[#This Row],[Prix marché]])</f>
        <v>-1.2999999999996348E-4</v>
      </c>
      <c r="L35" s="39">
        <v>6000</v>
      </c>
      <c r="M35" s="39">
        <f>SUM(L35)*70%-L31-L32-L33-L34</f>
        <v>-2055</v>
      </c>
      <c r="N35" s="39">
        <f>SUM(N30-L31-L32-L33-L34-L35)</f>
        <v>-12710</v>
      </c>
      <c r="O35" s="27" t="e">
        <f t="shared" si="2"/>
        <v>#N/A</v>
      </c>
      <c r="P35" s="27">
        <f t="shared" si="3"/>
        <v>2221</v>
      </c>
      <c r="V35" s="1"/>
      <c r="W35" s="1"/>
      <c r="X35" s="1"/>
      <c r="Y35" s="1"/>
    </row>
    <row r="36" spans="1:25" ht="21" thickBot="1">
      <c r="A36" s="7">
        <f t="shared" ref="A36:A66" si="7">IF(ISBLANK(J35),"",J35)</f>
        <v>2221</v>
      </c>
      <c r="B36" s="8">
        <f t="shared" si="6"/>
        <v>45</v>
      </c>
      <c r="C36" s="29" t="s">
        <v>19</v>
      </c>
      <c r="D36" s="11">
        <f t="shared" si="0"/>
        <v>2</v>
      </c>
      <c r="E36" s="34">
        <v>1.3506100000000001</v>
      </c>
      <c r="F36" s="16" t="s">
        <v>20</v>
      </c>
      <c r="G36" s="32">
        <v>1.3506199999999999</v>
      </c>
      <c r="H36" s="11">
        <f t="shared" si="1"/>
        <v>1</v>
      </c>
      <c r="I36" s="22">
        <v>41584.070254629631</v>
      </c>
      <c r="J36" s="24">
        <f>IF(ISBLANK(G36),"",IF(H36=1,A36-B36,IF(H36=3,Tableau22[[#This Row],[Capital]],A36+(B36/100*70))))</f>
        <v>2176</v>
      </c>
      <c r="K36" s="104">
        <f>SUM(Tableau22[[#This Row],[Prix final]]-Tableau22[[#This Row],[Prix marché]])</f>
        <v>9.9999999998434674E-6</v>
      </c>
      <c r="L36" s="38"/>
      <c r="M36" s="38"/>
      <c r="N36" s="38"/>
      <c r="O36" s="27" t="e">
        <f t="shared" si="2"/>
        <v>#N/A</v>
      </c>
      <c r="P36" s="27">
        <f t="shared" si="3"/>
        <v>2176</v>
      </c>
      <c r="V36" s="1"/>
      <c r="W36" s="1"/>
      <c r="X36" s="1"/>
      <c r="Y36" s="1"/>
    </row>
    <row r="37" spans="1:25" ht="21" thickBot="1">
      <c r="A37" s="6">
        <f t="shared" si="7"/>
        <v>2176</v>
      </c>
      <c r="B37" s="8">
        <f t="shared" si="6"/>
        <v>110</v>
      </c>
      <c r="C37" s="29" t="s">
        <v>19</v>
      </c>
      <c r="D37" s="11">
        <f t="shared" si="0"/>
        <v>2</v>
      </c>
      <c r="E37" s="33">
        <v>1.3506100000000001</v>
      </c>
      <c r="F37" s="15" t="s">
        <v>20</v>
      </c>
      <c r="G37" s="32">
        <v>1.3507400000000001</v>
      </c>
      <c r="H37" s="11">
        <f t="shared" si="1"/>
        <v>1</v>
      </c>
      <c r="I37" s="21">
        <v>41584.072650462964</v>
      </c>
      <c r="J37" s="24">
        <f>IF(ISBLANK(G37),"",IF(H37=1,A37-B37,IF(H37=3,Tableau22[[#This Row],[Capital]],A37+(B37/100*70))))</f>
        <v>2066</v>
      </c>
      <c r="K37" s="105">
        <f>SUM(Tableau22[[#This Row],[Prix final]]-Tableau22[[#This Row],[Prix marché]])</f>
        <v>1.2999999999996348E-4</v>
      </c>
      <c r="L37" s="71" t="s">
        <v>7</v>
      </c>
      <c r="M37" s="71"/>
      <c r="N37" s="72"/>
      <c r="O37" s="27" t="e">
        <f t="shared" si="2"/>
        <v>#N/A</v>
      </c>
      <c r="P37" s="27">
        <f t="shared" si="3"/>
        <v>2066</v>
      </c>
      <c r="V37" s="1"/>
      <c r="W37" s="1"/>
      <c r="X37" s="1"/>
      <c r="Y37" s="1"/>
    </row>
    <row r="38" spans="1:25" ht="20.25" customHeight="1">
      <c r="A38" s="7">
        <f t="shared" si="7"/>
        <v>2066</v>
      </c>
      <c r="B38" s="8">
        <f t="shared" si="6"/>
        <v>270</v>
      </c>
      <c r="C38" s="29" t="s">
        <v>19</v>
      </c>
      <c r="D38" s="11">
        <f t="shared" si="0"/>
        <v>2</v>
      </c>
      <c r="E38" s="34">
        <v>1.3507100000000001</v>
      </c>
      <c r="F38" s="16" t="s">
        <v>20</v>
      </c>
      <c r="G38" s="32">
        <v>1.3508100000000001</v>
      </c>
      <c r="H38" s="11">
        <f t="shared" si="1"/>
        <v>1</v>
      </c>
      <c r="I38" s="22">
        <v>41584.074502314812</v>
      </c>
      <c r="J38" s="25">
        <f>IF(ISBLANK(G38),"",IF(H38=1,A38-B38,IF(H38=3,Tableau22[[#This Row],[Capital]],A38+(B38/100*70))))</f>
        <v>1796</v>
      </c>
      <c r="K38" s="98">
        <f>SUM(Tableau22[[#This Row],[Prix final]]-Tableau22[[#This Row],[Prix marché]])</f>
        <v>9.9999999999988987E-5</v>
      </c>
      <c r="L38" s="94">
        <f>LOOKUP(9^9,A:A)</f>
        <v>2314.5</v>
      </c>
      <c r="M38" s="94"/>
      <c r="N38" s="95"/>
      <c r="O38" s="27" t="e">
        <f t="shared" si="2"/>
        <v>#N/A</v>
      </c>
      <c r="P38" s="27">
        <f t="shared" si="3"/>
        <v>1796</v>
      </c>
      <c r="V38" s="1"/>
      <c r="W38" s="1"/>
      <c r="X38" s="1"/>
      <c r="Y38" s="1"/>
    </row>
    <row r="39" spans="1:25" ht="20.25" customHeight="1">
      <c r="A39" s="6">
        <f t="shared" si="7"/>
        <v>1796</v>
      </c>
      <c r="B39" s="8">
        <f t="shared" si="6"/>
        <v>660</v>
      </c>
      <c r="C39" s="29" t="s">
        <v>19</v>
      </c>
      <c r="D39" s="11">
        <f t="shared" si="0"/>
        <v>2</v>
      </c>
      <c r="E39" s="33">
        <v>1.3506100000000001</v>
      </c>
      <c r="F39" s="15" t="s">
        <v>20</v>
      </c>
      <c r="G39" s="32">
        <v>1.3506499999999999</v>
      </c>
      <c r="H39" s="11">
        <f t="shared" si="1"/>
        <v>1</v>
      </c>
      <c r="I39" s="21">
        <v>41584.075740740744</v>
      </c>
      <c r="J39" s="24">
        <f>IF(ISBLANK(G39),"",IF(H39=1,A39-B39,IF(H39=3,Tableau22[[#This Row],[Capital]],A39+(B39/100*70))))</f>
        <v>1136</v>
      </c>
      <c r="K39" s="99">
        <f>SUM(Tableau22[[#This Row],[Prix final]]-Tableau22[[#This Row],[Prix marché]])</f>
        <v>3.9999999999817959E-5</v>
      </c>
      <c r="L39" s="94"/>
      <c r="M39" s="94"/>
      <c r="N39" s="95"/>
      <c r="O39" s="27" t="e">
        <f t="shared" si="2"/>
        <v>#N/A</v>
      </c>
      <c r="P39" s="27">
        <f t="shared" si="3"/>
        <v>1136</v>
      </c>
      <c r="V39" s="1"/>
      <c r="W39" s="1"/>
      <c r="X39" s="1"/>
      <c r="Y39" s="1"/>
    </row>
    <row r="40" spans="1:25" ht="20.25" customHeight="1" thickBot="1">
      <c r="A40" s="7">
        <f t="shared" si="7"/>
        <v>1136</v>
      </c>
      <c r="B40" s="8">
        <f t="shared" si="6"/>
        <v>1570</v>
      </c>
      <c r="C40" s="29" t="s">
        <v>19</v>
      </c>
      <c r="D40" s="11">
        <f t="shared" si="0"/>
        <v>2</v>
      </c>
      <c r="E40" s="34">
        <v>1.3506400000000001</v>
      </c>
      <c r="F40" s="16" t="s">
        <v>20</v>
      </c>
      <c r="G40" s="32">
        <v>1.35063</v>
      </c>
      <c r="H40" s="11">
        <f t="shared" si="1"/>
        <v>2</v>
      </c>
      <c r="I40" s="22">
        <v>41584.076504629629</v>
      </c>
      <c r="J40" s="25">
        <f>IF(ISBLANK(G40),"",IF(H40=1,A40-B40,IF(H40=3,Tableau22[[#This Row],[Capital]],A40+(B40/100*70))))</f>
        <v>2235</v>
      </c>
      <c r="K40" s="98">
        <f>SUM(Tableau22[[#This Row],[Prix final]]-Tableau22[[#This Row],[Prix marché]])</f>
        <v>-1.0000000000065512E-5</v>
      </c>
      <c r="L40" s="77"/>
      <c r="M40" s="77"/>
      <c r="N40" s="78"/>
      <c r="O40" s="27">
        <f t="shared" si="2"/>
        <v>2235</v>
      </c>
      <c r="P40" s="27" t="e">
        <f t="shared" si="3"/>
        <v>#N/A</v>
      </c>
      <c r="V40" s="1"/>
      <c r="W40" s="1"/>
      <c r="X40" s="1"/>
      <c r="Y40" s="1"/>
    </row>
    <row r="41" spans="1:25" ht="20.25" customHeight="1" thickBot="1">
      <c r="A41" s="6">
        <f t="shared" si="7"/>
        <v>2235</v>
      </c>
      <c r="B41" s="8">
        <f t="shared" si="6"/>
        <v>30</v>
      </c>
      <c r="C41" s="29" t="s">
        <v>21</v>
      </c>
      <c r="D41" s="11">
        <f t="shared" si="0"/>
        <v>1</v>
      </c>
      <c r="E41" s="33">
        <v>1.35066</v>
      </c>
      <c r="F41" s="15" t="s">
        <v>20</v>
      </c>
      <c r="G41" s="32">
        <v>1.3506100000000001</v>
      </c>
      <c r="H41" s="11">
        <f t="shared" si="1"/>
        <v>1</v>
      </c>
      <c r="I41" s="21">
        <v>41584.078020833331</v>
      </c>
      <c r="J41" s="24">
        <f>IF(ISBLANK(G41),"",IF(H41=1,A41-B41,IF(H41=3,Tableau22[[#This Row],[Capital]],A41+(B41/100*70))))</f>
        <v>2205</v>
      </c>
      <c r="K41" s="99">
        <f>SUM(Tableau22[[#This Row],[Prix final]]-Tableau22[[#This Row],[Prix marché]])</f>
        <v>-4.9999999999883471E-5</v>
      </c>
      <c r="L41" s="80" t="s">
        <v>10</v>
      </c>
      <c r="M41" s="80"/>
      <c r="N41" s="81"/>
      <c r="O41" s="27" t="e">
        <f t="shared" si="2"/>
        <v>#N/A</v>
      </c>
      <c r="P41" s="27">
        <f t="shared" si="3"/>
        <v>2205</v>
      </c>
      <c r="V41" s="1"/>
      <c r="W41" s="1"/>
      <c r="X41" s="1"/>
      <c r="Y41" s="1"/>
    </row>
    <row r="42" spans="1:25" ht="21" customHeight="1">
      <c r="A42" s="7">
        <f t="shared" si="7"/>
        <v>2205</v>
      </c>
      <c r="B42" s="8">
        <f t="shared" si="6"/>
        <v>45</v>
      </c>
      <c r="C42" s="29" t="s">
        <v>19</v>
      </c>
      <c r="D42" s="11">
        <f t="shared" si="0"/>
        <v>2</v>
      </c>
      <c r="E42" s="34">
        <v>1.35015</v>
      </c>
      <c r="F42" s="16" t="s">
        <v>20</v>
      </c>
      <c r="G42" s="32">
        <v>1.35016</v>
      </c>
      <c r="H42" s="11">
        <f t="shared" si="1"/>
        <v>1</v>
      </c>
      <c r="I42" s="22">
        <v>41584.085451388892</v>
      </c>
      <c r="J42" s="25">
        <f>IF(ISBLANK(G42),"",IF(H42=1,A42-B42,IF(H42=3,Tableau22[[#This Row],[Capital]],A42+(B42/100*70))))</f>
        <v>2160</v>
      </c>
      <c r="K42" s="98">
        <f>SUM(Tableau22[[#This Row],[Prix final]]-Tableau22[[#This Row],[Prix marché]])</f>
        <v>1.0000000000065512E-5</v>
      </c>
      <c r="L42" s="86">
        <v>2000</v>
      </c>
      <c r="M42" s="86"/>
      <c r="N42" s="87"/>
      <c r="O42" s="27" t="e">
        <f t="shared" si="2"/>
        <v>#N/A</v>
      </c>
      <c r="P42" s="27">
        <f t="shared" si="3"/>
        <v>2160</v>
      </c>
      <c r="V42" s="1"/>
      <c r="W42" s="1"/>
      <c r="X42" s="1"/>
      <c r="Y42" s="1"/>
    </row>
    <row r="43" spans="1:25" ht="20.25" customHeight="1">
      <c r="A43" s="6">
        <f t="shared" si="7"/>
        <v>2160</v>
      </c>
      <c r="B43" s="8">
        <f t="shared" si="6"/>
        <v>110</v>
      </c>
      <c r="C43" s="29" t="s">
        <v>21</v>
      </c>
      <c r="D43" s="11">
        <f t="shared" si="0"/>
        <v>1</v>
      </c>
      <c r="E43" s="33">
        <v>1.3501799999999999</v>
      </c>
      <c r="F43" s="15" t="s">
        <v>20</v>
      </c>
      <c r="G43" s="32">
        <v>1.3502400000000001</v>
      </c>
      <c r="H43" s="11">
        <f t="shared" si="1"/>
        <v>2</v>
      </c>
      <c r="I43" s="21">
        <v>41584.088287037041</v>
      </c>
      <c r="J43" s="24">
        <f>IF(ISBLANK(G43),"",IF(H43=1,A43-B43,IF(H43=3,Tableau22[[#This Row],[Capital]],A43+(B43/100*70))))</f>
        <v>2237</v>
      </c>
      <c r="K43" s="99">
        <f>SUM(Tableau22[[#This Row],[Prix final]]-Tableau22[[#This Row],[Prix marché]])</f>
        <v>6.0000000000171028E-5</v>
      </c>
      <c r="L43" s="86"/>
      <c r="M43" s="86"/>
      <c r="N43" s="87"/>
      <c r="O43" s="27">
        <f t="shared" si="2"/>
        <v>2237</v>
      </c>
      <c r="P43" s="27" t="e">
        <f t="shared" si="3"/>
        <v>#N/A</v>
      </c>
      <c r="V43" s="1"/>
      <c r="W43" s="1"/>
      <c r="X43" s="1"/>
      <c r="Y43" s="1"/>
    </row>
    <row r="44" spans="1:25" ht="20.25" customHeight="1" thickBot="1">
      <c r="A44" s="7">
        <f t="shared" si="7"/>
        <v>2237</v>
      </c>
      <c r="B44" s="8">
        <f t="shared" si="6"/>
        <v>30</v>
      </c>
      <c r="C44" s="29" t="s">
        <v>19</v>
      </c>
      <c r="D44" s="11">
        <f t="shared" si="0"/>
        <v>2</v>
      </c>
      <c r="E44" s="34">
        <v>1.35025</v>
      </c>
      <c r="F44" s="16" t="s">
        <v>20</v>
      </c>
      <c r="G44" s="32">
        <v>1.3502700000000001</v>
      </c>
      <c r="H44" s="11">
        <f t="shared" si="1"/>
        <v>1</v>
      </c>
      <c r="I44" s="22">
        <v>41584.089247685188</v>
      </c>
      <c r="J44" s="25">
        <f>IF(ISBLANK(G44),"",IF(H44=1,A44-B44,IF(H44=3,Tableau22[[#This Row],[Capital]],A44+(B44/100*70))))</f>
        <v>2207</v>
      </c>
      <c r="K44" s="98">
        <f>SUM(Tableau22[[#This Row],[Prix final]]-Tableau22[[#This Row],[Prix marché]])</f>
        <v>2.0000000000131024E-5</v>
      </c>
      <c r="L44" s="89"/>
      <c r="M44" s="89"/>
      <c r="N44" s="90"/>
      <c r="O44" s="27" t="e">
        <f t="shared" si="2"/>
        <v>#N/A</v>
      </c>
      <c r="P44" s="27">
        <f t="shared" si="3"/>
        <v>2207</v>
      </c>
      <c r="V44" s="1"/>
      <c r="W44" s="1"/>
      <c r="X44" s="1"/>
      <c r="Y44" s="1"/>
    </row>
    <row r="45" spans="1:25" ht="20.25" customHeight="1" thickBot="1">
      <c r="A45" s="6">
        <f t="shared" si="7"/>
        <v>2207</v>
      </c>
      <c r="B45" s="8">
        <f t="shared" si="6"/>
        <v>45</v>
      </c>
      <c r="C45" s="29" t="s">
        <v>19</v>
      </c>
      <c r="D45" s="11">
        <f t="shared" si="0"/>
        <v>2</v>
      </c>
      <c r="E45" s="33">
        <v>1.3503000000000001</v>
      </c>
      <c r="F45" s="15" t="s">
        <v>20</v>
      </c>
      <c r="G45" s="32">
        <v>1.3503400000000001</v>
      </c>
      <c r="H45" s="11">
        <f t="shared" si="1"/>
        <v>1</v>
      </c>
      <c r="I45" s="21">
        <v>41584.090324074074</v>
      </c>
      <c r="J45" s="24">
        <f>IF(ISBLANK(G45),"",IF(H45=1,A45-B45,IF(H45=3,Tableau22[[#This Row],[Capital]],A45+(B45/100*70))))</f>
        <v>2162</v>
      </c>
      <c r="K45" s="99">
        <f>SUM(Tableau22[[#This Row],[Prix final]]-Tableau22[[#This Row],[Prix marché]])</f>
        <v>4.0000000000040004E-5</v>
      </c>
      <c r="L45" s="92" t="s">
        <v>11</v>
      </c>
      <c r="M45" s="92"/>
      <c r="N45" s="93"/>
      <c r="O45" s="27" t="e">
        <f t="shared" si="2"/>
        <v>#N/A</v>
      </c>
      <c r="P45" s="27">
        <f t="shared" si="3"/>
        <v>2162</v>
      </c>
      <c r="V45" s="1"/>
      <c r="W45" s="1"/>
      <c r="X45" s="1"/>
      <c r="Y45" s="1"/>
    </row>
    <row r="46" spans="1:25" ht="21" customHeight="1">
      <c r="A46" s="7">
        <f t="shared" si="7"/>
        <v>2162</v>
      </c>
      <c r="B46" s="8">
        <f t="shared" si="6"/>
        <v>110</v>
      </c>
      <c r="C46" s="29" t="s">
        <v>21</v>
      </c>
      <c r="D46" s="11">
        <f t="shared" si="0"/>
        <v>1</v>
      </c>
      <c r="E46" s="34">
        <v>1.35026</v>
      </c>
      <c r="F46" s="16" t="s">
        <v>20</v>
      </c>
      <c r="G46" s="32">
        <v>1.35022</v>
      </c>
      <c r="H46" s="11">
        <f t="shared" si="1"/>
        <v>1</v>
      </c>
      <c r="I46" s="22">
        <v>41584.094548611109</v>
      </c>
      <c r="J46" s="25">
        <f>IF(ISBLANK(G46),"",IF(H46=1,A46-B46,IF(H46=3,Tableau22[[#This Row],[Capital]],A46+(B46/100*70))))</f>
        <v>2052</v>
      </c>
      <c r="K46" s="98">
        <f>SUM(Tableau22[[#This Row],[Prix final]]-Tableau22[[#This Row],[Prix marché]])</f>
        <v>-4.0000000000040004E-5</v>
      </c>
      <c r="L46" s="62">
        <f>SUM(L38-L42)</f>
        <v>314.5</v>
      </c>
      <c r="M46" s="62"/>
      <c r="N46" s="63"/>
      <c r="O46" s="27" t="e">
        <f t="shared" si="2"/>
        <v>#N/A</v>
      </c>
      <c r="P46" s="27">
        <f t="shared" si="3"/>
        <v>2052</v>
      </c>
      <c r="V46" s="1"/>
      <c r="W46" s="1"/>
      <c r="X46" s="1"/>
      <c r="Y46" s="1"/>
    </row>
    <row r="47" spans="1:25" ht="20.25" customHeight="1">
      <c r="A47" s="6">
        <f t="shared" si="7"/>
        <v>2052</v>
      </c>
      <c r="B47" s="8">
        <f t="shared" si="6"/>
        <v>270</v>
      </c>
      <c r="C47" s="29" t="s">
        <v>21</v>
      </c>
      <c r="D47" s="11">
        <f t="shared" si="0"/>
        <v>1</v>
      </c>
      <c r="E47" s="33">
        <v>1.34982</v>
      </c>
      <c r="F47" s="15" t="s">
        <v>20</v>
      </c>
      <c r="G47" s="32">
        <v>1.3497699999999999</v>
      </c>
      <c r="H47" s="11">
        <f t="shared" si="1"/>
        <v>1</v>
      </c>
      <c r="I47" s="21">
        <v>41584.098668981482</v>
      </c>
      <c r="J47" s="24">
        <f>IF(ISBLANK(G47),"",IF(H47=1,A47-B47,IF(H47=3,Tableau22[[#This Row],[Capital]],A47+(B47/100*70))))</f>
        <v>1782</v>
      </c>
      <c r="K47" s="99">
        <f>SUM(Tableau22[[#This Row],[Prix final]]-Tableau22[[#This Row],[Prix marché]])</f>
        <v>-5.0000000000105516E-5</v>
      </c>
      <c r="L47" s="62"/>
      <c r="M47" s="62"/>
      <c r="N47" s="63"/>
      <c r="O47" s="27" t="e">
        <f t="shared" si="2"/>
        <v>#N/A</v>
      </c>
      <c r="P47" s="27">
        <f t="shared" si="3"/>
        <v>1782</v>
      </c>
      <c r="V47" s="1"/>
      <c r="W47" s="1"/>
      <c r="X47" s="1"/>
      <c r="Y47" s="1"/>
    </row>
    <row r="48" spans="1:25" ht="20.25" customHeight="1" thickBot="1">
      <c r="A48" s="7">
        <f t="shared" si="7"/>
        <v>1782</v>
      </c>
      <c r="B48" s="8">
        <f t="shared" si="6"/>
        <v>660</v>
      </c>
      <c r="C48" s="29" t="s">
        <v>21</v>
      </c>
      <c r="D48" s="11">
        <f t="shared" si="0"/>
        <v>1</v>
      </c>
      <c r="E48" s="34">
        <v>1.34954</v>
      </c>
      <c r="F48" s="16" t="s">
        <v>20</v>
      </c>
      <c r="G48" s="32">
        <v>1.34965</v>
      </c>
      <c r="H48" s="11">
        <f t="shared" si="1"/>
        <v>2</v>
      </c>
      <c r="I48" s="22">
        <v>41584.1015162037</v>
      </c>
      <c r="J48" s="25">
        <f>IF(ISBLANK(G48),"",IF(H48=1,A48-B48,IF(H48=3,Tableau22[[#This Row],[Capital]],A48+(B48/100*70))))</f>
        <v>2244</v>
      </c>
      <c r="K48" s="98">
        <f>SUM(Tableau22[[#This Row],[Prix final]]-Tableau22[[#This Row],[Prix marché]])</f>
        <v>1.100000000000545E-4</v>
      </c>
      <c r="L48" s="64"/>
      <c r="M48" s="64"/>
      <c r="N48" s="65"/>
      <c r="O48" s="27">
        <f t="shared" si="2"/>
        <v>2244</v>
      </c>
      <c r="P48" s="27" t="e">
        <f t="shared" si="3"/>
        <v>#N/A</v>
      </c>
      <c r="V48" s="1"/>
      <c r="W48" s="1"/>
      <c r="X48" s="1"/>
      <c r="Y48" s="1"/>
    </row>
    <row r="49" spans="1:25" ht="20.25" customHeight="1">
      <c r="A49" s="6">
        <f t="shared" si="7"/>
        <v>2244</v>
      </c>
      <c r="B49" s="8">
        <f t="shared" si="6"/>
        <v>30</v>
      </c>
      <c r="C49" s="29" t="s">
        <v>21</v>
      </c>
      <c r="D49" s="11">
        <f t="shared" si="0"/>
        <v>1</v>
      </c>
      <c r="E49" s="33">
        <v>1.34958</v>
      </c>
      <c r="F49" s="15" t="s">
        <v>20</v>
      </c>
      <c r="G49" s="32">
        <v>1.3495299999999999</v>
      </c>
      <c r="H49" s="11">
        <f t="shared" si="1"/>
        <v>1</v>
      </c>
      <c r="I49" s="21">
        <v>41584.103518518517</v>
      </c>
      <c r="J49" s="24">
        <f>IF(ISBLANK(G49),"",IF(H49=1,A49-B49,IF(H49=3,Tableau22[[#This Row],[Capital]],A49+(B49/100*70))))</f>
        <v>2214</v>
      </c>
      <c r="K49" s="99">
        <f>SUM(Tableau22[[#This Row],[Prix final]]-Tableau22[[#This Row],[Prix marché]])</f>
        <v>-5.0000000000105516E-5</v>
      </c>
      <c r="L49" s="55"/>
      <c r="M49" s="56"/>
      <c r="N49" s="56"/>
      <c r="O49" s="27" t="e">
        <f t="shared" si="2"/>
        <v>#N/A</v>
      </c>
      <c r="P49" s="27">
        <f t="shared" si="3"/>
        <v>2214</v>
      </c>
      <c r="V49" s="1"/>
      <c r="W49" s="1"/>
      <c r="X49" s="1"/>
      <c r="Y49" s="1"/>
    </row>
    <row r="50" spans="1:25" ht="21" customHeight="1">
      <c r="A50" s="7">
        <f t="shared" si="7"/>
        <v>2214</v>
      </c>
      <c r="B50" s="8">
        <f t="shared" si="6"/>
        <v>45</v>
      </c>
      <c r="C50" s="29" t="s">
        <v>19</v>
      </c>
      <c r="D50" s="11">
        <f t="shared" si="0"/>
        <v>2</v>
      </c>
      <c r="E50" s="34">
        <v>1.3496300000000001</v>
      </c>
      <c r="F50" s="16" t="s">
        <v>20</v>
      </c>
      <c r="G50" s="32">
        <v>1.34975</v>
      </c>
      <c r="H50" s="11">
        <f t="shared" si="1"/>
        <v>1</v>
      </c>
      <c r="I50" s="22">
        <v>41584.105636574073</v>
      </c>
      <c r="J50" s="25">
        <f>IF(ISBLANK(G50),"",IF(H50=1,A50-B50,IF(H50=3,Tableau22[[#This Row],[Capital]],A50+(B50/100*70))))</f>
        <v>2169</v>
      </c>
      <c r="K50" s="98">
        <f>SUM(Tableau22[[#This Row],[Prix final]]-Tableau22[[#This Row],[Prix marché]])</f>
        <v>1.1999999999989797E-4</v>
      </c>
      <c r="L50" s="57"/>
      <c r="M50" s="58"/>
      <c r="N50" s="58"/>
      <c r="O50" s="27" t="e">
        <f t="shared" si="2"/>
        <v>#N/A</v>
      </c>
      <c r="P50" s="27">
        <f t="shared" si="3"/>
        <v>2169</v>
      </c>
      <c r="V50" s="1"/>
      <c r="W50" s="1"/>
      <c r="X50" s="1"/>
      <c r="Y50" s="1"/>
    </row>
    <row r="51" spans="1:25" ht="20.25">
      <c r="A51" s="6">
        <f t="shared" si="7"/>
        <v>2169</v>
      </c>
      <c r="B51" s="8">
        <f t="shared" si="6"/>
        <v>110</v>
      </c>
      <c r="C51" s="29" t="s">
        <v>19</v>
      </c>
      <c r="D51" s="11">
        <f t="shared" si="0"/>
        <v>2</v>
      </c>
      <c r="E51" s="33">
        <v>1.3502400000000001</v>
      </c>
      <c r="F51" s="15" t="s">
        <v>20</v>
      </c>
      <c r="G51" s="32">
        <v>1.3501399999999999</v>
      </c>
      <c r="H51" s="11">
        <f t="shared" si="1"/>
        <v>2</v>
      </c>
      <c r="I51" s="21">
        <v>41584.108402777776</v>
      </c>
      <c r="J51" s="24">
        <f>IF(ISBLANK(G51),"",IF(H51=1,A51-B51,IF(H51=3,Tableau22[[#This Row],[Capital]],A51+(B51/100*70))))</f>
        <v>2246</v>
      </c>
      <c r="K51" s="99">
        <f>SUM(Tableau22[[#This Row],[Prix final]]-Tableau22[[#This Row],[Prix marché]])</f>
        <v>-1.0000000000021103E-4</v>
      </c>
      <c r="L51" s="57"/>
      <c r="M51" s="58"/>
      <c r="N51" s="58"/>
      <c r="O51" s="27">
        <f t="shared" si="2"/>
        <v>2246</v>
      </c>
      <c r="P51" s="27" t="e">
        <f t="shared" si="3"/>
        <v>#N/A</v>
      </c>
      <c r="V51" s="1"/>
      <c r="W51" s="1"/>
      <c r="X51" s="1"/>
      <c r="Y51" s="1"/>
    </row>
    <row r="52" spans="1:25" ht="20.25">
      <c r="A52" s="7">
        <f t="shared" si="7"/>
        <v>2246</v>
      </c>
      <c r="B52" s="8">
        <f t="shared" si="6"/>
        <v>30</v>
      </c>
      <c r="C52" s="29" t="s">
        <v>19</v>
      </c>
      <c r="D52" s="11">
        <f t="shared" si="0"/>
        <v>2</v>
      </c>
      <c r="E52" s="34">
        <v>1.3504499999999999</v>
      </c>
      <c r="F52" s="16" t="s">
        <v>20</v>
      </c>
      <c r="G52" s="32">
        <v>1.3506499999999999</v>
      </c>
      <c r="H52" s="11">
        <f t="shared" si="1"/>
        <v>1</v>
      </c>
      <c r="I52" s="22">
        <v>41584.109768518516</v>
      </c>
      <c r="J52" s="25">
        <f>IF(ISBLANK(G52),"",IF(H52=1,A52-B52,IF(H52=3,Tableau22[[#This Row],[Capital]],A52+(B52/100*70))))</f>
        <v>2216</v>
      </c>
      <c r="K52" s="98">
        <f>SUM(Tableau22[[#This Row],[Prix final]]-Tableau22[[#This Row],[Prix marché]])</f>
        <v>1.9999999999997797E-4</v>
      </c>
      <c r="L52" s="57"/>
      <c r="M52" s="58"/>
      <c r="N52" s="58"/>
      <c r="O52" s="27" t="e">
        <f t="shared" si="2"/>
        <v>#N/A</v>
      </c>
      <c r="P52" s="27">
        <f t="shared" si="3"/>
        <v>2216</v>
      </c>
      <c r="V52" s="1"/>
      <c r="W52" s="1"/>
      <c r="X52" s="1"/>
      <c r="Y52" s="1"/>
    </row>
    <row r="53" spans="1:25" ht="20.25">
      <c r="A53" s="6">
        <f t="shared" si="7"/>
        <v>2216</v>
      </c>
      <c r="B53" s="8">
        <f t="shared" si="6"/>
        <v>45</v>
      </c>
      <c r="C53" s="29" t="s">
        <v>19</v>
      </c>
      <c r="D53" s="11">
        <f t="shared" si="0"/>
        <v>2</v>
      </c>
      <c r="E53" s="33">
        <v>1.3505199999999999</v>
      </c>
      <c r="F53" s="15" t="s">
        <v>20</v>
      </c>
      <c r="G53" s="32">
        <v>1.3503499999999999</v>
      </c>
      <c r="H53" s="11">
        <f t="shared" si="1"/>
        <v>2</v>
      </c>
      <c r="I53" s="21">
        <v>41584.111168981479</v>
      </c>
      <c r="J53" s="24">
        <f>IF(ISBLANK(G53),"",IF(H53=1,A53-B53,IF(H53=3,Tableau22[[#This Row],[Capital]],A53+(B53/100*70))))</f>
        <v>2247.5</v>
      </c>
      <c r="K53" s="99">
        <f>SUM(Tableau22[[#This Row],[Prix final]]-Tableau22[[#This Row],[Prix marché]])</f>
        <v>-1.7000000000000348E-4</v>
      </c>
      <c r="L53" s="57"/>
      <c r="M53" s="58"/>
      <c r="N53" s="58"/>
      <c r="O53" s="27">
        <f t="shared" si="2"/>
        <v>2247.5</v>
      </c>
      <c r="P53" s="27" t="e">
        <f t="shared" si="3"/>
        <v>#N/A</v>
      </c>
      <c r="V53" s="1"/>
      <c r="W53" s="1"/>
      <c r="X53" s="1"/>
      <c r="Y53" s="1"/>
    </row>
    <row r="54" spans="1:25" ht="20.25">
      <c r="A54" s="7">
        <f t="shared" si="7"/>
        <v>2247.5</v>
      </c>
      <c r="B54" s="8">
        <f t="shared" si="6"/>
        <v>30</v>
      </c>
      <c r="C54" s="29" t="s">
        <v>21</v>
      </c>
      <c r="D54" s="11">
        <f t="shared" si="0"/>
        <v>1</v>
      </c>
      <c r="E54" s="34">
        <v>1.35073</v>
      </c>
      <c r="F54" s="16" t="s">
        <v>20</v>
      </c>
      <c r="G54" s="32">
        <v>1.3508500000000001</v>
      </c>
      <c r="H54" s="11">
        <f t="shared" si="1"/>
        <v>2</v>
      </c>
      <c r="I54" s="22">
        <v>41584.112546296295</v>
      </c>
      <c r="J54" s="25">
        <f>IF(ISBLANK(G54),"",IF(H54=1,A54-B54,IF(H54=3,Tableau22[[#This Row],[Capital]],A54+(B54/100*70))))</f>
        <v>2268.5</v>
      </c>
      <c r="K54" s="98">
        <f>SUM(Tableau22[[#This Row],[Prix final]]-Tableau22[[#This Row],[Prix marché]])</f>
        <v>1.2000000000012001E-4</v>
      </c>
      <c r="L54" s="57"/>
      <c r="M54" s="58"/>
      <c r="N54" s="58"/>
      <c r="O54" s="27">
        <f t="shared" si="2"/>
        <v>2268.5</v>
      </c>
      <c r="P54" s="27" t="e">
        <f t="shared" si="3"/>
        <v>#N/A</v>
      </c>
    </row>
    <row r="55" spans="1:25" ht="20.25">
      <c r="A55" s="6">
        <f t="shared" si="7"/>
        <v>2268.5</v>
      </c>
      <c r="B55" s="8">
        <f t="shared" si="6"/>
        <v>30</v>
      </c>
      <c r="C55" s="29" t="s">
        <v>21</v>
      </c>
      <c r="D55" s="11">
        <f t="shared" si="0"/>
        <v>1</v>
      </c>
      <c r="E55" s="33">
        <v>1.3508599999999999</v>
      </c>
      <c r="F55" s="15" t="s">
        <v>20</v>
      </c>
      <c r="G55" s="32">
        <v>1.3507499999999999</v>
      </c>
      <c r="H55" s="11">
        <f t="shared" si="1"/>
        <v>1</v>
      </c>
      <c r="I55" s="21">
        <v>41584.114641203705</v>
      </c>
      <c r="J55" s="24">
        <f>IF(ISBLANK(G55),"",IF(H55=1,A55-B55,IF(H55=3,Tableau22[[#This Row],[Capital]],A55+(B55/100*70))))</f>
        <v>2238.5</v>
      </c>
      <c r="K55" s="99">
        <f>SUM(Tableau22[[#This Row],[Prix final]]-Tableau22[[#This Row],[Prix marché]])</f>
        <v>-1.100000000000545E-4</v>
      </c>
      <c r="L55" s="57"/>
      <c r="M55" s="58"/>
      <c r="N55" s="58"/>
      <c r="O55" s="27" t="e">
        <f t="shared" si="2"/>
        <v>#N/A</v>
      </c>
      <c r="P55" s="27">
        <f t="shared" si="3"/>
        <v>2238.5</v>
      </c>
    </row>
    <row r="56" spans="1:25" ht="20.25">
      <c r="A56" s="7">
        <f t="shared" si="7"/>
        <v>2238.5</v>
      </c>
      <c r="B56" s="8">
        <f t="shared" si="6"/>
        <v>45</v>
      </c>
      <c r="C56" s="29" t="s">
        <v>19</v>
      </c>
      <c r="D56" s="11">
        <f t="shared" si="0"/>
        <v>2</v>
      </c>
      <c r="E56" s="34">
        <v>1.3506100000000001</v>
      </c>
      <c r="F56" s="16" t="s">
        <v>20</v>
      </c>
      <c r="G56" s="32">
        <v>1.3506499999999999</v>
      </c>
      <c r="H56" s="11">
        <f t="shared" si="1"/>
        <v>1</v>
      </c>
      <c r="I56" s="22">
        <v>41584.116736111115</v>
      </c>
      <c r="J56" s="25">
        <f>IF(ISBLANK(G56),"",IF(H56=1,A56-B56,IF(H56=3,Tableau22[[#This Row],[Capital]],A56+(B56/100*70))))</f>
        <v>2193.5</v>
      </c>
      <c r="K56" s="98">
        <f>SUM(Tableau22[[#This Row],[Prix final]]-Tableau22[[#This Row],[Prix marché]])</f>
        <v>3.9999999999817959E-5</v>
      </c>
      <c r="L56" s="57"/>
      <c r="M56" s="58"/>
      <c r="N56" s="58"/>
      <c r="O56" s="27" t="e">
        <f t="shared" si="2"/>
        <v>#N/A</v>
      </c>
      <c r="P56" s="27">
        <f t="shared" si="3"/>
        <v>2193.5</v>
      </c>
    </row>
    <row r="57" spans="1:25" ht="20.25">
      <c r="A57" s="6">
        <f t="shared" si="7"/>
        <v>2193.5</v>
      </c>
      <c r="B57" s="8">
        <f t="shared" si="6"/>
        <v>110</v>
      </c>
      <c r="C57" s="29" t="s">
        <v>21</v>
      </c>
      <c r="D57" s="11">
        <f t="shared" si="0"/>
        <v>1</v>
      </c>
      <c r="E57" s="33">
        <v>1.3506199999999999</v>
      </c>
      <c r="F57" s="15" t="s">
        <v>20</v>
      </c>
      <c r="G57" s="32">
        <v>1.3506400000000001</v>
      </c>
      <c r="H57" s="11">
        <f t="shared" si="1"/>
        <v>2</v>
      </c>
      <c r="I57" s="21">
        <v>41584.118819444448</v>
      </c>
      <c r="J57" s="24">
        <f>IF(ISBLANK(G57),"",IF(H57=1,A57-B57,IF(H57=3,Tableau22[[#This Row],[Capital]],A57+(B57/100*70))))</f>
        <v>2270.5</v>
      </c>
      <c r="K57" s="99">
        <f>SUM(Tableau22[[#This Row],[Prix final]]-Tableau22[[#This Row],[Prix marché]])</f>
        <v>2.0000000000131024E-5</v>
      </c>
      <c r="L57" s="57"/>
      <c r="M57" s="58"/>
      <c r="N57" s="58"/>
      <c r="O57" s="27">
        <f t="shared" si="2"/>
        <v>2270.5</v>
      </c>
      <c r="P57" s="27" t="e">
        <f t="shared" si="3"/>
        <v>#N/A</v>
      </c>
    </row>
    <row r="58" spans="1:25" ht="20.25">
      <c r="A58" s="7">
        <f t="shared" si="7"/>
        <v>2270.5</v>
      </c>
      <c r="B58" s="8">
        <f t="shared" si="6"/>
        <v>30</v>
      </c>
      <c r="C58" s="29" t="s">
        <v>19</v>
      </c>
      <c r="D58" s="11">
        <f t="shared" si="0"/>
        <v>2</v>
      </c>
      <c r="E58" s="34">
        <v>1.3506499999999999</v>
      </c>
      <c r="F58" s="16" t="s">
        <v>20</v>
      </c>
      <c r="G58" s="32">
        <v>1.35059</v>
      </c>
      <c r="H58" s="11">
        <f t="shared" si="1"/>
        <v>2</v>
      </c>
      <c r="I58" s="22">
        <v>41584.12027777778</v>
      </c>
      <c r="J58" s="25">
        <f>IF(ISBLANK(G58),"",IF(H58=1,A58-B58,IF(H58=3,Tableau22[[#This Row],[Capital]],A58+(B58/100*70))))</f>
        <v>2291.5</v>
      </c>
      <c r="K58" s="98">
        <f>SUM(Tableau22[[#This Row],[Prix final]]-Tableau22[[#This Row],[Prix marché]])</f>
        <v>-5.9999999999948983E-5</v>
      </c>
      <c r="L58" s="57"/>
      <c r="M58" s="58"/>
      <c r="N58" s="58"/>
      <c r="O58" s="27">
        <f t="shared" si="2"/>
        <v>2291.5</v>
      </c>
      <c r="P58" s="27" t="e">
        <f t="shared" si="3"/>
        <v>#N/A</v>
      </c>
    </row>
    <row r="59" spans="1:25" ht="20.25">
      <c r="A59" s="6">
        <f t="shared" si="7"/>
        <v>2291.5</v>
      </c>
      <c r="B59" s="8">
        <f t="shared" si="6"/>
        <v>30</v>
      </c>
      <c r="C59" s="29" t="s">
        <v>19</v>
      </c>
      <c r="D59" s="11">
        <f t="shared" si="0"/>
        <v>2</v>
      </c>
      <c r="E59" s="33">
        <v>1.3505199999999999</v>
      </c>
      <c r="F59" s="15" t="s">
        <v>20</v>
      </c>
      <c r="G59" s="32">
        <v>1.3505100000000001</v>
      </c>
      <c r="H59" s="11">
        <f t="shared" si="1"/>
        <v>2</v>
      </c>
      <c r="I59" s="21">
        <v>41584.122974537036</v>
      </c>
      <c r="J59" s="24">
        <f>IF(ISBLANK(G59),"",IF(H59=1,A59-B59,IF(H59=3,Tableau22[[#This Row],[Capital]],A59+(B59/100*70))))</f>
        <v>2312.5</v>
      </c>
      <c r="K59" s="99">
        <f>SUM(Tableau22[[#This Row],[Prix final]]-Tableau22[[#This Row],[Prix marché]])</f>
        <v>-9.9999999998434674E-6</v>
      </c>
      <c r="L59" s="57"/>
      <c r="M59" s="58"/>
      <c r="N59" s="58"/>
      <c r="O59" s="27">
        <f t="shared" si="2"/>
        <v>2312.5</v>
      </c>
      <c r="P59" s="27" t="e">
        <f t="shared" si="3"/>
        <v>#N/A</v>
      </c>
    </row>
    <row r="60" spans="1:25" ht="20.25">
      <c r="A60" s="7">
        <f t="shared" si="7"/>
        <v>2312.5</v>
      </c>
      <c r="B60" s="8">
        <f t="shared" si="6"/>
        <v>30</v>
      </c>
      <c r="C60" s="29" t="s">
        <v>21</v>
      </c>
      <c r="D60" s="11">
        <f t="shared" si="0"/>
        <v>1</v>
      </c>
      <c r="E60" s="34">
        <v>1.3505199999999999</v>
      </c>
      <c r="F60" s="16" t="s">
        <v>20</v>
      </c>
      <c r="G60" s="32">
        <v>1.3504499999999999</v>
      </c>
      <c r="H60" s="11">
        <f t="shared" si="1"/>
        <v>1</v>
      </c>
      <c r="I60" s="22">
        <v>41584.123749999999</v>
      </c>
      <c r="J60" s="25">
        <f>IF(ISBLANK(G60),"",IF(H60=1,A60-B60,IF(H60=3,Tableau22[[#This Row],[Capital]],A60+(B60/100*70))))</f>
        <v>2282.5</v>
      </c>
      <c r="K60" s="98">
        <f>SUM(Tableau22[[#This Row],[Prix final]]-Tableau22[[#This Row],[Prix marché]])</f>
        <v>-7.0000000000014495E-5</v>
      </c>
      <c r="L60" s="57"/>
      <c r="M60" s="58"/>
      <c r="N60" s="58"/>
      <c r="O60" s="27" t="e">
        <f t="shared" si="2"/>
        <v>#N/A</v>
      </c>
      <c r="P60" s="27">
        <f t="shared" si="3"/>
        <v>2282.5</v>
      </c>
    </row>
    <row r="61" spans="1:25" ht="20.25">
      <c r="A61" s="6">
        <f t="shared" si="7"/>
        <v>2282.5</v>
      </c>
      <c r="B61" s="8">
        <f t="shared" si="6"/>
        <v>45</v>
      </c>
      <c r="C61" s="29" t="s">
        <v>19</v>
      </c>
      <c r="D61" s="11">
        <f t="shared" si="0"/>
        <v>2</v>
      </c>
      <c r="E61" s="33">
        <v>1.3496699999999999</v>
      </c>
      <c r="F61" s="15" t="s">
        <v>20</v>
      </c>
      <c r="G61" s="32">
        <v>1.34968</v>
      </c>
      <c r="H61" s="11">
        <f t="shared" si="1"/>
        <v>1</v>
      </c>
      <c r="I61" s="21">
        <v>41584.132025462961</v>
      </c>
      <c r="J61" s="24">
        <f>IF(ISBLANK(G61),"",IF(H61=1,A61-B61,IF(H61=3,Tableau22[[#This Row],[Capital]],A61+(B61/100*70))))</f>
        <v>2237.5</v>
      </c>
      <c r="K61" s="99">
        <f>SUM(Tableau22[[#This Row],[Prix final]]-Tableau22[[#This Row],[Prix marché]])</f>
        <v>1.0000000000065512E-5</v>
      </c>
      <c r="L61" s="57"/>
      <c r="M61" s="58"/>
      <c r="N61" s="58"/>
      <c r="O61" s="27" t="e">
        <f t="shared" si="2"/>
        <v>#N/A</v>
      </c>
      <c r="P61" s="27">
        <f t="shared" si="3"/>
        <v>2237.5</v>
      </c>
    </row>
    <row r="62" spans="1:25" ht="20.25">
      <c r="A62" s="7">
        <f t="shared" si="7"/>
        <v>2237.5</v>
      </c>
      <c r="B62" s="8">
        <f t="shared" si="6"/>
        <v>110</v>
      </c>
      <c r="C62" s="29" t="s">
        <v>21</v>
      </c>
      <c r="D62" s="11">
        <f t="shared" si="0"/>
        <v>1</v>
      </c>
      <c r="E62" s="34">
        <v>1.34975</v>
      </c>
      <c r="F62" s="16" t="s">
        <v>20</v>
      </c>
      <c r="G62" s="32">
        <v>1.35006</v>
      </c>
      <c r="H62" s="11">
        <f t="shared" si="1"/>
        <v>2</v>
      </c>
      <c r="I62" s="22">
        <v>41584.134085648147</v>
      </c>
      <c r="J62" s="25">
        <f>IF(ISBLANK(G62),"",IF(H62=1,A62-B62,IF(H62=3,Tableau22[[#This Row],[Capital]],A62+(B62/100*70))))</f>
        <v>2314.5</v>
      </c>
      <c r="K62" s="98">
        <f>SUM(Tableau22[[#This Row],[Prix final]]-Tableau22[[#This Row],[Prix marché]])</f>
        <v>3.1000000000003247E-4</v>
      </c>
      <c r="L62" s="57"/>
      <c r="M62" s="58"/>
      <c r="N62" s="58"/>
      <c r="O62" s="27">
        <f t="shared" si="2"/>
        <v>2314.5</v>
      </c>
      <c r="P62" s="27" t="e">
        <f t="shared" si="3"/>
        <v>#N/A</v>
      </c>
    </row>
    <row r="63" spans="1:25" ht="20.25">
      <c r="A63" s="6">
        <f t="shared" si="7"/>
        <v>2314.5</v>
      </c>
      <c r="B63" s="8">
        <f t="shared" si="6"/>
        <v>30</v>
      </c>
      <c r="C63" s="29"/>
      <c r="D63" s="11">
        <f t="shared" si="0"/>
        <v>0</v>
      </c>
      <c r="E63" s="33"/>
      <c r="F63" s="15"/>
      <c r="G63" s="32"/>
      <c r="H63" s="11" t="str">
        <f t="shared" si="1"/>
        <v/>
      </c>
      <c r="I63" s="21"/>
      <c r="J63" s="24" t="str">
        <f>IF(ISBLANK(G63),"",IF(H63=1,A63-B63,IF(H63=3,Tableau22[[#This Row],[Capital]],A63+(B63/100*70))))</f>
        <v/>
      </c>
      <c r="K63" s="99">
        <f>SUM(Tableau22[[#This Row],[Prix final]]-Tableau22[[#This Row],[Prix marché]])</f>
        <v>0</v>
      </c>
      <c r="L63" s="57"/>
      <c r="M63" s="58"/>
      <c r="N63" s="58"/>
      <c r="O63" s="27" t="str">
        <f t="shared" si="2"/>
        <v/>
      </c>
      <c r="P63" s="27" t="e">
        <f t="shared" si="3"/>
        <v>#N/A</v>
      </c>
    </row>
    <row r="64" spans="1:25" ht="20.25">
      <c r="A64" s="7" t="str">
        <f t="shared" si="7"/>
        <v/>
      </c>
      <c r="B64" s="8" t="str">
        <f t="shared" ref="B64:B66" si="8">IF(ISBLANK(G63),"",IF(H63=3,B63,IF(H63=1,IF(H62=1,IF(H61=1,IF(H60=1,IF(H59=1,IF(H58=1,8000,$L$32),$L$31),$L$30),$L$29),$L$28),$L$27)))</f>
        <v/>
      </c>
      <c r="C64" s="29"/>
      <c r="D64" s="11">
        <f t="shared" si="0"/>
        <v>0</v>
      </c>
      <c r="E64" s="34"/>
      <c r="F64" s="16"/>
      <c r="G64" s="32"/>
      <c r="H64" s="11" t="str">
        <f t="shared" si="1"/>
        <v/>
      </c>
      <c r="I64" s="22"/>
      <c r="J64" s="25" t="str">
        <f>IF(ISBLANK(G64),"",IF(H64=1,A64-B64,IF(H64=3,Tableau22[[#This Row],[Capital]],A64+(B64/100*70))))</f>
        <v/>
      </c>
      <c r="K64" s="98">
        <f>SUM(Tableau22[[#This Row],[Prix final]]-Tableau22[[#This Row],[Prix marché]])</f>
        <v>0</v>
      </c>
      <c r="L64" s="57"/>
      <c r="M64" s="58"/>
      <c r="N64" s="58"/>
      <c r="O64" s="27" t="e">
        <f t="shared" si="2"/>
        <v>#N/A</v>
      </c>
      <c r="P64" s="27" t="e">
        <f t="shared" si="3"/>
        <v>#N/A</v>
      </c>
    </row>
    <row r="65" spans="1:16" ht="20.25">
      <c r="A65" s="6" t="str">
        <f t="shared" si="7"/>
        <v/>
      </c>
      <c r="B65" s="8" t="str">
        <f t="shared" si="8"/>
        <v/>
      </c>
      <c r="C65" s="29"/>
      <c r="D65" s="11">
        <f t="shared" si="0"/>
        <v>0</v>
      </c>
      <c r="E65" s="33"/>
      <c r="F65" s="15"/>
      <c r="G65" s="32"/>
      <c r="H65" s="11" t="str">
        <f t="shared" si="1"/>
        <v/>
      </c>
      <c r="I65" s="23"/>
      <c r="J65" s="24" t="str">
        <f>IF(ISBLANK(G65),"",IF(H65=1,A65-B65,IF(H65=3,Tableau22[[#This Row],[Capital]],A65+(B65/100*70))))</f>
        <v/>
      </c>
      <c r="K65" s="99">
        <f>SUM(Tableau22[[#This Row],[Prix final]]-Tableau22[[#This Row],[Prix marché]])</f>
        <v>0</v>
      </c>
      <c r="L65" s="57"/>
      <c r="M65" s="58"/>
      <c r="N65" s="58"/>
      <c r="O65" s="27" t="e">
        <f t="shared" si="2"/>
        <v>#N/A</v>
      </c>
      <c r="P65" s="27" t="e">
        <f t="shared" si="3"/>
        <v>#N/A</v>
      </c>
    </row>
    <row r="66" spans="1:16" ht="20.25">
      <c r="A66" s="7" t="str">
        <f t="shared" si="7"/>
        <v/>
      </c>
      <c r="B66" s="8" t="str">
        <f t="shared" si="8"/>
        <v/>
      </c>
      <c r="C66" s="29"/>
      <c r="D66" s="11">
        <f>IF(C66="Au dessu",1,IF(C66="En dessou",2,IF(ISBLANK(C66),0,"")))</f>
        <v>0</v>
      </c>
      <c r="E66" s="34"/>
      <c r="F66" s="16"/>
      <c r="G66" s="32"/>
      <c r="H66" s="11" t="str">
        <f>IF(ISBLANK(G66),"",IF(C66="Au dessu",IF(G66&lt;E66,1,IF(G66=E66,3,2)),IF(G66&lt;E66,2,IF(G66=E66,3,1))))</f>
        <v/>
      </c>
      <c r="I66" s="23"/>
      <c r="J66" s="25" t="str">
        <f>IF(ISBLANK(G66),"",IF(H66=1,A66-B66,IF(H66=3,Tableau22[[#This Row],[Capital]],A66+(B66/100*70))))</f>
        <v/>
      </c>
      <c r="K66" s="98">
        <f>SUM(Tableau22[[#This Row],[Prix final]]-Tableau22[[#This Row],[Prix marché]])</f>
        <v>0</v>
      </c>
      <c r="L66" s="57"/>
      <c r="M66" s="58"/>
      <c r="N66" s="58"/>
      <c r="O66" s="27" t="e">
        <f t="shared" si="2"/>
        <v>#N/A</v>
      </c>
      <c r="P66" s="27" t="e">
        <f t="shared" si="3"/>
        <v>#N/A</v>
      </c>
    </row>
  </sheetData>
  <mergeCells count="17">
    <mergeCell ref="L45:N45"/>
    <mergeCell ref="L20:N21"/>
    <mergeCell ref="L22:N25"/>
    <mergeCell ref="L2:N6"/>
    <mergeCell ref="L49:N66"/>
    <mergeCell ref="L1:N1"/>
    <mergeCell ref="L46:N48"/>
    <mergeCell ref="L16:N18"/>
    <mergeCell ref="L7:N7"/>
    <mergeCell ref="L8:N10"/>
    <mergeCell ref="L11:N11"/>
    <mergeCell ref="L12:N14"/>
    <mergeCell ref="L15:N15"/>
    <mergeCell ref="L37:N37"/>
    <mergeCell ref="L38:N40"/>
    <mergeCell ref="L41:N41"/>
    <mergeCell ref="L42:N44"/>
  </mergeCells>
  <conditionalFormatting sqref="L46:N48">
    <cfRule type="cellIs" dxfId="16" priority="3" operator="lessThan">
      <formula>0</formula>
    </cfRule>
  </conditionalFormatting>
  <conditionalFormatting sqref="B2:B66">
    <cfRule type="dataBar" priority="6">
      <dataBar>
        <cfvo type="num" val="0"/>
        <cfvo type="num" val="$L$8"/>
        <color rgb="FF638EC6"/>
      </dataBar>
      <extLst>
        <ext xmlns:x14="http://schemas.microsoft.com/office/spreadsheetml/2009/9/main" uri="{B025F937-C7B1-47D3-B67F-A62EFF666E3E}">
          <x14:id>{BBD8BC98-4A59-40C7-B398-99E116E8272F}</x14:id>
        </ext>
      </extLst>
    </cfRule>
  </conditionalFormatting>
  <conditionalFormatting sqref="L16:N18">
    <cfRule type="cellIs" dxfId="15" priority="4" operator="lessThan">
      <formula>0</formula>
    </cfRule>
  </conditionalFormatting>
  <dataValidations count="2">
    <dataValidation type="list" allowBlank="1" showInputMessage="1" sqref="C3:C66">
      <formula1>"AU DESSU,EN DESSOU"</formula1>
    </dataValidation>
    <dataValidation type="list" allowBlank="1" sqref="C2">
      <formula1>"AU DESSU,EN DESSOU"</formula1>
    </dataValidation>
  </dataValidations>
  <pageMargins left="0.7" right="0.7" top="0.75" bottom="0.75" header="0.3" footer="0.3"/>
  <pageSetup orientation="portrait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BD8BC98-4A59-40C7-B398-99E116E8272F}">
            <x14:dataBar minLength="0" maxLength="100">
              <x14:cfvo type="num">
                <xm:f>0</xm:f>
              </x14:cfvo>
              <x14:cfvo type="num">
                <xm:f>$L$8</xm:f>
              </x14:cfvo>
              <x14:negativeFillColor rgb="FFFF0000"/>
              <x14:axisColor rgb="FF000000"/>
            </x14:dataBar>
          </x14:cfRule>
          <xm:sqref>B2:B66</xm:sqref>
        </x14:conditionalFormatting>
        <x14:conditionalFormatting xmlns:xm="http://schemas.microsoft.com/office/excel/2006/main">
          <x14:cfRule type="iconSet" priority="5" id="{DA528611-D234-4688-91BE-E15C62AA55A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Arrows" iconId="2"/>
              <x14:cfIcon iconSet="3Arrows" iconId="0"/>
            </x14:iconSet>
          </x14:cfRule>
          <xm:sqref>D2:D66</xm:sqref>
        </x14:conditionalFormatting>
        <x14:conditionalFormatting xmlns:xm="http://schemas.microsoft.com/office/excel/2006/main">
          <x14:cfRule type="iconSet" priority="1" id="{23CDC423-2EB7-48B7-A112-504EE4C42707}">
            <x14:iconSet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2" iconId="2"/>
              <x14:cfIcon iconSet="3Symbols" iconId="1"/>
            </x14:iconSet>
          </x14:cfRule>
          <xm:sqref>H2:H66</xm:sqref>
        </x14:conditionalFormatting>
        <x14:conditionalFormatting xmlns:xm="http://schemas.microsoft.com/office/excel/2006/main">
          <x14:cfRule type="iconSet" priority="2" id="{0A292077-3C67-4F0C-AF52-10A0B57359EB}">
            <x14:iconSet custom="1">
              <x14:cfvo type="percent">
                <xm:f>0</xm:f>
              </x14:cfvo>
              <x14:cfvo type="num">
                <xm:f>-1</xm:f>
              </x14:cfvo>
              <x14:cfvo type="num" gte="0">
                <xm:f>-1</xm:f>
              </x14:cfvo>
              <x14:cfIcon iconSet="NoIcons" iconId="0"/>
              <x14:cfIcon iconSet="NoIcons" iconId="0"/>
              <x14:cfIcon iconSet="NoIcons" iconId="0"/>
            </x14:iconSet>
          </x14:cfRule>
          <xm:sqref>H2:H66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Session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l</dc:creator>
  <cp:lastModifiedBy>jon l</cp:lastModifiedBy>
  <dcterms:created xsi:type="dcterms:W3CDTF">2013-09-25T00:30:57Z</dcterms:created>
  <dcterms:modified xsi:type="dcterms:W3CDTF">2013-11-06T18:34:48Z</dcterms:modified>
</cp:coreProperties>
</file>