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Mac\Home\Documents\Travail\AFPA\03COURS\"/>
    </mc:Choice>
  </mc:AlternateContent>
  <xr:revisionPtr revIDLastSave="0" documentId="13_ncr:1_{B0F9F6E2-B7AE-4B85-B9DA-9A26FD1FD87F}" xr6:coauthVersionLast="46" xr6:coauthVersionMax="46" xr10:uidLastSave="{00000000-0000-0000-0000-000000000000}"/>
  <bookViews>
    <workbookView xWindow="-98" yWindow="-98" windowWidth="14716" windowHeight="14730" xr2:uid="{44D7F715-3A9F-964B-A4B6-6BB2817D7F37}"/>
  </bookViews>
  <sheets>
    <sheet name="Menu" sheetId="1" r:id="rId1"/>
    <sheet name="S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tva1">[1]variables!$B$4</definedName>
    <definedName name="A.C._trA_pat">[2]COTISATIONS!$B$28</definedName>
    <definedName name="A.C._tra_sal">[2]COTISATIONS!$C$28</definedName>
    <definedName name="A.C._trb_pat">[2]COTISATIONS!$B$30</definedName>
    <definedName name="A.C._trb_sal">[2]COTISATIONS!$C$30</definedName>
    <definedName name="A.S.F._trA_pat">[2]COTISATIONS!$B$27</definedName>
    <definedName name="A.S.F._trA_sal">[2]COTISATIONS!$C$27</definedName>
    <definedName name="A.S.F._trB_pat">[2]COTISATIONS!$B$29</definedName>
    <definedName name="A.S.F._trb_sal">[2]COTISATIONS!$C$29</definedName>
    <definedName name="AGFF_cadres_tranche_A_pat">[3]COTISATIONS!$B$46</definedName>
    <definedName name="AGFF_cadres_tranche_A_sal">[3]COTISATIONS!$C$46</definedName>
    <definedName name="AGFF_cadres_tranche_B_pat">[3]COTISATIONS!$B$47</definedName>
    <definedName name="AGFF_Employés_tranche_1_sal">[3]COTISATIONS!$C$44</definedName>
    <definedName name="AGFF_Employés_tranche_2_sal">[3]COTISATIONS!$C$45</definedName>
    <definedName name="Aide_au_logement">[2]COTISATIONS!$B$14</definedName>
    <definedName name="Aide_au_logement___20_salariés">[3]COTISATIONS!$B$20</definedName>
    <definedName name="Aide_au_logement___9_salariés">[2]COTISATIONS!$B$19</definedName>
    <definedName name="Allocations_familiales_100">[2]COTISATIONS!$B$13</definedName>
    <definedName name="an_repas_inf_plafond">[2]COTISATIONS!$B$71</definedName>
    <definedName name="annee">[1]variables!$B$1</definedName>
    <definedName name="APEC_pat">[2]COTISATIONS!$B$39</definedName>
    <definedName name="APEC_sal">[2]COTISATIONS!$C$39</definedName>
    <definedName name="Assurance_maladie_pat">[2]COTISATIONS!$B$9</definedName>
    <definedName name="Assurance_maladie_sal">[2]COTISATIONS!$C$9</definedName>
    <definedName name="Assurance_veuvage">[2]COTISATIONS!$C$12</definedName>
    <definedName name="Assurance_vieillesse_pat">[2]COTISATIONS!$B$10</definedName>
    <definedName name="Assurance_vieillesse_pat_tt">[2]COTISATIONS!$B$11</definedName>
    <definedName name="Assurance_vieillesse_sal">[2]COTISATIONS!$C$10</definedName>
    <definedName name="Assurance_vieillesse_sal_tt">[2]COTISATIONS!$C$11</definedName>
    <definedName name="Cadres_tranche_A_pat">[2]COTISATIONS!$B$36</definedName>
    <definedName name="Cadres_tranche_A_sal">[2]COTISATIONS!$C$36</definedName>
    <definedName name="Cadres_tranche_B_pat">[2]COTISATIONS!$B$37</definedName>
    <definedName name="Cadres_tranche_B_sal">[2]COTISATIONS!$C$37</definedName>
    <definedName name="Cadres_tranche_C_pat">[2]COTISATIONS!$B$38</definedName>
    <definedName name="Cadres_tranche_C_sal">[2]COTISATIONS!$C$38</definedName>
    <definedName name="CET_pat">[2]COTISATIONS!$B$42</definedName>
    <definedName name="CET_sal">[2]COTISATIONS!$C$42</definedName>
    <definedName name="coef_reduit">#REF!</definedName>
    <definedName name="Contribution_Sociale_Généralisée__déductible">[2]COTISATIONS!$C$17</definedName>
    <definedName name="Contribution_Sociale_Généralisée__non_déductible">[2]COTISATIONS!$C$16</definedName>
    <definedName name="div_tva">[4]VARIABLES!$C$1</definedName>
    <definedName name="FNGS">[2]COTISATIONS!$B$31</definedName>
    <definedName name="Forfait_APEC_pat">[2]COTISATIONS!$B$40</definedName>
    <definedName name="Forfait_APEC_sal">[2]COTISATIONS!$C$40</definedName>
    <definedName name="Minimum_garanti_actuel">[5]COTISATIONS!$B$60</definedName>
    <definedName name="Minimum_Garanti_au_1_1">[5]COTISATIONS!$B$58</definedName>
    <definedName name="MoisAnnee">#REF!</definedName>
    <definedName name="normal">#REF!</definedName>
    <definedName name="Panier_Chantier">[5]COTISATIONS!$B$64</definedName>
    <definedName name="Panier_nuit">[5]COTISATIONS!$B$66</definedName>
    <definedName name="Plafond_de_sécurité_Sociale">[2]COTISATIONS!$B$49</definedName>
    <definedName name="Prévoyance_Cadres_TA_">[2]COTISATIONS!$B$41</definedName>
    <definedName name="Raison">'[6]PREPA 2'!$O$4:$O$13</definedName>
    <definedName name="RDS__Remboursement_de_la_dette_sociale">[2]COTISATIONS!$C$18</definedName>
    <definedName name="reduit">#REF!</definedName>
    <definedName name="Retraite_Employés_tranche_1_pat">[2]COTISATIONS!$B$43</definedName>
    <definedName name="Retraite_Employés_tranche_1_sal">[2]COTISATIONS!$C$43</definedName>
    <definedName name="Retraite_Employés_tranche_2_pat">[2]COTISATIONS!$B$44</definedName>
    <definedName name="Retraite_Employés_tranche_2_sal">[2]COTISATIONS!$C$44</definedName>
    <definedName name="SMIC_horaire_actuel">[5]COTISATIONS!$B$61</definedName>
    <definedName name="taux_tva">[4]VARIABLES!$B$1</definedName>
    <definedName name="Taxe_de_prévoyance">[2]COTISATIONS!$B$20</definedName>
    <definedName name="Ticket_restaurant">[5]COTISATIONS!$B$67</definedName>
    <definedName name="tva">[7]variables!$B$1</definedName>
    <definedName name="tva_reduit">[8]variables!$B$2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/>
  <c r="B1" i="2"/>
  <c r="C1" i="2"/>
  <c r="C6" i="2" s="1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G6" i="2"/>
  <c r="C7" i="2"/>
  <c r="G7" i="2"/>
  <c r="I7" i="2"/>
  <c r="C10" i="2"/>
  <c r="C11" i="2"/>
  <c r="C13" i="2"/>
  <c r="B14" i="2"/>
  <c r="A26" i="1"/>
  <c r="C23" i="1"/>
  <c r="R83" i="2"/>
  <c r="R14" i="2"/>
  <c r="P14" i="2"/>
  <c r="L14" i="2"/>
  <c r="Q13" i="2"/>
  <c r="P13" i="2"/>
  <c r="P11" i="2"/>
  <c r="P10" i="2"/>
  <c r="S9" i="2"/>
  <c r="P9" i="2"/>
  <c r="P8" i="2"/>
  <c r="P7" i="2"/>
  <c r="P6" i="2"/>
  <c r="L6" i="2"/>
  <c r="G123" i="2"/>
  <c r="E123" i="2"/>
  <c r="C90" i="2"/>
  <c r="C86" i="2"/>
  <c r="C87" i="2" s="1"/>
  <c r="E72" i="2"/>
  <c r="C72" i="2"/>
  <c r="D34" i="2"/>
  <c r="E21" i="2"/>
  <c r="S73" i="2"/>
  <c r="R63" i="2"/>
  <c r="O64" i="2"/>
  <c r="O63" i="2"/>
  <c r="N64" i="2"/>
  <c r="P64" i="2" s="1"/>
  <c r="O40" i="2"/>
  <c r="O39" i="2"/>
  <c r="P26" i="2"/>
  <c r="O31" i="2" s="1"/>
  <c r="S25" i="2"/>
  <c r="S24" i="2"/>
  <c r="P93" i="2" s="1"/>
  <c r="P19" i="2"/>
  <c r="P18" i="2"/>
  <c r="M8" i="2"/>
  <c r="L8" i="2"/>
  <c r="L7" i="2"/>
  <c r="M12" i="2"/>
  <c r="M11" i="2"/>
  <c r="L10" i="2"/>
  <c r="L9" i="2"/>
  <c r="C101" i="2"/>
  <c r="D101" i="2" s="1"/>
  <c r="C104" i="2" s="1"/>
  <c r="L71" i="2" s="1"/>
  <c r="O12" i="1"/>
  <c r="F29" i="2"/>
  <c r="M26" i="2" s="1"/>
  <c r="S109" i="2"/>
  <c r="S104" i="2"/>
  <c r="N72" i="2"/>
  <c r="S106" i="2"/>
  <c r="N70" i="2"/>
  <c r="C19" i="2"/>
  <c r="E126" i="2"/>
  <c r="G126" i="2" s="1"/>
  <c r="S23" i="2" s="1"/>
  <c r="E125" i="2"/>
  <c r="E124" i="2"/>
  <c r="D110" i="2"/>
  <c r="D114" i="2" s="1"/>
  <c r="C81" i="2"/>
  <c r="D79" i="2"/>
  <c r="H79" i="2" s="1"/>
  <c r="D78" i="2"/>
  <c r="H78" i="2" s="1"/>
  <c r="D77" i="2"/>
  <c r="G77" i="2" s="1"/>
  <c r="D76" i="2"/>
  <c r="F76" i="2" s="1"/>
  <c r="D75" i="2"/>
  <c r="E66" i="2"/>
  <c r="D64" i="2"/>
  <c r="C64" i="2"/>
  <c r="E62" i="2"/>
  <c r="E61" i="2"/>
  <c r="E59" i="2"/>
  <c r="G19" i="2"/>
  <c r="F4" i="1"/>
  <c r="B5" i="1"/>
  <c r="B6" i="1" s="1"/>
  <c r="K18" i="1"/>
  <c r="M26" i="1"/>
  <c r="C89" i="2" l="1"/>
  <c r="E93" i="2" s="1"/>
  <c r="F93" i="2" s="1"/>
  <c r="I35" i="2"/>
  <c r="N71" i="2"/>
  <c r="E64" i="2"/>
  <c r="E67" i="2" s="1"/>
  <c r="L13" i="2"/>
  <c r="R16" i="2"/>
  <c r="O27" i="2"/>
  <c r="R64" i="2"/>
  <c r="S64" i="2" s="1"/>
  <c r="M85" i="2"/>
  <c r="E79" i="2"/>
  <c r="G93" i="2"/>
  <c r="S18" i="2" s="1"/>
  <c r="N13" i="2"/>
  <c r="S14" i="2"/>
  <c r="C23" i="2"/>
  <c r="H75" i="2"/>
  <c r="E78" i="2"/>
  <c r="G76" i="2"/>
  <c r="H76" i="2"/>
  <c r="F75" i="2"/>
  <c r="G75" i="2"/>
  <c r="H77" i="2"/>
  <c r="I32" i="2"/>
  <c r="G79" i="2"/>
  <c r="D81" i="2"/>
  <c r="I33" i="2"/>
  <c r="F79" i="2"/>
  <c r="F78" i="2"/>
  <c r="D113" i="2"/>
  <c r="D116" i="2" s="1"/>
  <c r="I34" i="2"/>
  <c r="F77" i="2"/>
  <c r="G78" i="2"/>
  <c r="G124" i="2"/>
  <c r="F124" i="2" s="1"/>
  <c r="F125" i="2" s="1"/>
  <c r="G125" i="2" s="1"/>
  <c r="S22" i="2" s="1"/>
  <c r="E77" i="2" l="1"/>
  <c r="E75" i="2"/>
  <c r="R15" i="2"/>
  <c r="E76" i="2"/>
  <c r="S21" i="2"/>
  <c r="P94" i="2" s="1"/>
  <c r="S69" i="2"/>
  <c r="S108" i="2" s="1"/>
  <c r="N44" i="2"/>
  <c r="P44" i="2" s="1"/>
  <c r="N38" i="2"/>
  <c r="P38" i="2" s="1"/>
  <c r="N40" i="2"/>
  <c r="S20" i="2"/>
  <c r="P92" i="2" s="1"/>
  <c r="S19" i="2"/>
  <c r="F81" i="2"/>
  <c r="P16" i="2" s="1"/>
  <c r="S16" i="2" s="1"/>
  <c r="G80" i="2"/>
  <c r="H80" i="2"/>
  <c r="G127" i="2"/>
  <c r="E81" i="2" l="1"/>
  <c r="P15" i="2" l="1"/>
  <c r="C21" i="2"/>
  <c r="S15" i="2" l="1"/>
  <c r="N47" i="2" s="1"/>
  <c r="S47" i="2" s="1"/>
  <c r="N46" i="2"/>
  <c r="C25" i="2"/>
  <c r="G21" i="2"/>
  <c r="S17" i="2" l="1"/>
  <c r="P91" i="2" s="1"/>
  <c r="B25" i="2"/>
  <c r="K17" i="2" s="1"/>
  <c r="S27" i="2"/>
  <c r="N63" i="2" s="1"/>
  <c r="S63" i="2" s="1"/>
  <c r="S101" i="2" s="1"/>
  <c r="M27" i="2" l="1"/>
  <c r="N39" i="2" s="1"/>
  <c r="P63" i="2"/>
  <c r="S102" i="2" s="1"/>
  <c r="P103" i="2" s="1"/>
  <c r="C34" i="2"/>
  <c r="G34" i="2" s="1"/>
  <c r="N37" i="2" s="1"/>
  <c r="N36" i="2" l="1"/>
  <c r="P36" i="2" s="1"/>
  <c r="N45" i="2"/>
  <c r="P45" i="2" s="1"/>
  <c r="N32" i="2"/>
  <c r="P32" i="2" s="1"/>
  <c r="N33" i="2"/>
  <c r="P33" i="2" s="1"/>
  <c r="N34" i="2"/>
  <c r="S34" i="2" s="1"/>
  <c r="N35" i="2"/>
  <c r="P35" i="2" s="1"/>
  <c r="N31" i="2"/>
  <c r="P31" i="2" s="1"/>
  <c r="E34" i="2"/>
  <c r="F34" i="2" s="1"/>
  <c r="N41" i="2"/>
  <c r="S41" i="2" s="1"/>
  <c r="N59" i="2"/>
  <c r="P59" i="2" s="1"/>
  <c r="N50" i="2"/>
  <c r="P50" i="2" s="1"/>
  <c r="N55" i="2"/>
  <c r="N57" i="2" s="1"/>
  <c r="N61" i="2" l="1"/>
  <c r="S61" i="2" s="1"/>
  <c r="S33" i="2"/>
  <c r="H34" i="2"/>
  <c r="P37" i="2" s="1"/>
  <c r="P34" i="2"/>
  <c r="S55" i="2"/>
  <c r="N42" i="2"/>
  <c r="N43" i="2" s="1"/>
  <c r="S43" i="2" s="1"/>
  <c r="P55" i="2"/>
  <c r="N51" i="2"/>
  <c r="P51" i="2" s="1"/>
  <c r="N52" i="2"/>
  <c r="P52" i="2" s="1"/>
  <c r="S57" i="2"/>
  <c r="P57" i="2"/>
  <c r="N56" i="2" l="1"/>
  <c r="P61" i="2"/>
  <c r="S96" i="2"/>
  <c r="P97" i="2" s="1"/>
  <c r="N60" i="2"/>
  <c r="S60" i="2" s="1"/>
  <c r="S42" i="2"/>
  <c r="S95" i="2" s="1"/>
  <c r="N58" i="2" l="1"/>
  <c r="N62" i="2"/>
  <c r="P56" i="2"/>
  <c r="S56" i="2"/>
  <c r="P60" i="2"/>
  <c r="S58" i="2" l="1"/>
  <c r="P58" i="2"/>
  <c r="S99" i="2" s="1"/>
  <c r="P100" i="2" s="1"/>
  <c r="P114" i="2" s="1"/>
  <c r="S62" i="2"/>
  <c r="P62" i="2"/>
  <c r="P66" i="2" l="1"/>
  <c r="S98" i="2"/>
  <c r="S66" i="2"/>
  <c r="R79" i="2" s="1"/>
  <c r="M76" i="2" l="1"/>
  <c r="P83" i="2"/>
  <c r="S83" i="2" s="1"/>
  <c r="S107" i="2" s="1"/>
  <c r="M77" i="2"/>
  <c r="R85" i="2"/>
  <c r="S110" i="2" s="1"/>
  <c r="S114" i="2" s="1"/>
</calcChain>
</file>

<file path=xl/sharedStrings.xml><?xml version="1.0" encoding="utf-8"?>
<sst xmlns="http://schemas.openxmlformats.org/spreadsheetml/2006/main" count="297" uniqueCount="261">
  <si>
    <t>Salarié non cadre</t>
  </si>
  <si>
    <t>Nom</t>
  </si>
  <si>
    <t>Prénom</t>
  </si>
  <si>
    <t>Adresse</t>
  </si>
  <si>
    <t>CP</t>
  </si>
  <si>
    <t>Ville</t>
  </si>
  <si>
    <t>Classification</t>
  </si>
  <si>
    <t>Niveau</t>
  </si>
  <si>
    <t>Echelon</t>
  </si>
  <si>
    <t>Salaire de base</t>
  </si>
  <si>
    <t>Durée mensuelle</t>
  </si>
  <si>
    <t>Taux Horaire</t>
  </si>
  <si>
    <t>Date d'entrée</t>
  </si>
  <si>
    <t>N° SS</t>
  </si>
  <si>
    <t>DDN</t>
  </si>
  <si>
    <t>Taux PAS</t>
  </si>
  <si>
    <t>Nombre de salarié =</t>
  </si>
  <si>
    <t>EMPLOYES</t>
  </si>
  <si>
    <t>SOCIETE</t>
  </si>
  <si>
    <t>Nom de la société :</t>
  </si>
  <si>
    <t>Adresse :</t>
  </si>
  <si>
    <t>CP           Ville :</t>
  </si>
  <si>
    <t>N° SIRET :</t>
  </si>
  <si>
    <t>Code APE :</t>
  </si>
  <si>
    <t>URSSAF :</t>
  </si>
  <si>
    <t>Convention collective :</t>
  </si>
  <si>
    <t>SMIC :</t>
  </si>
  <si>
    <t>PMSS :</t>
  </si>
  <si>
    <t>Taux Accident du travail :</t>
  </si>
  <si>
    <t>Taux transport selon la ville :</t>
  </si>
  <si>
    <t>Montant mutuelle :</t>
  </si>
  <si>
    <t>Taux Employeur :</t>
  </si>
  <si>
    <t>Taux salarié :</t>
  </si>
  <si>
    <t>Taux prévoyance employeur :</t>
  </si>
  <si>
    <t>Préparation des salaires du mois de :</t>
  </si>
  <si>
    <t>Stagiaire :</t>
  </si>
  <si>
    <t>Date :</t>
  </si>
  <si>
    <t>QUANTIN Rocco</t>
  </si>
  <si>
    <t>Nom :</t>
  </si>
  <si>
    <t>Classification :</t>
  </si>
  <si>
    <t>Prénom :</t>
  </si>
  <si>
    <t>Période :</t>
  </si>
  <si>
    <t>au</t>
  </si>
  <si>
    <t>Durée mensuelle de la société :</t>
  </si>
  <si>
    <t>Durée mensuelle du contrat :</t>
  </si>
  <si>
    <t>Ecart :</t>
  </si>
  <si>
    <t>Calcul du SMIC</t>
  </si>
  <si>
    <t>Valeur du SMIC :</t>
  </si>
  <si>
    <t>pour :</t>
  </si>
  <si>
    <t>soit :</t>
  </si>
  <si>
    <t>de l'heure</t>
  </si>
  <si>
    <t>Le contrat de base + sommes :</t>
  </si>
  <si>
    <t>Contrevaleur du SMIC / contrat :</t>
  </si>
  <si>
    <t>1 - Plafond de la SS</t>
  </si>
  <si>
    <t>PMSS</t>
  </si>
  <si>
    <t>Heure mois</t>
  </si>
  <si>
    <t>Salaire brut</t>
  </si>
  <si>
    <t>Tranche 1</t>
  </si>
  <si>
    <t>Tranche 2</t>
  </si>
  <si>
    <t>Tranche A</t>
  </si>
  <si>
    <t>Tranche B</t>
  </si>
  <si>
    <t>x8</t>
  </si>
  <si>
    <t>x4</t>
  </si>
  <si>
    <t>2- Prime et Gratification</t>
  </si>
  <si>
    <t>Soumise à cotisation</t>
  </si>
  <si>
    <t>Non Soumise à cotisation</t>
  </si>
  <si>
    <t>Prime fin d'année</t>
  </si>
  <si>
    <t>Déménagement*</t>
  </si>
  <si>
    <t>13ème mois</t>
  </si>
  <si>
    <t>Voyage et déplacement*</t>
  </si>
  <si>
    <t>Prime de vacances</t>
  </si>
  <si>
    <t>*Sous condition de factures</t>
  </si>
  <si>
    <t>Prime de bilan</t>
  </si>
  <si>
    <t>Prime de participation</t>
  </si>
  <si>
    <t>Prime d'assiduité</t>
  </si>
  <si>
    <t>Prime de ponctualité</t>
  </si>
  <si>
    <t>Prime de rendement</t>
  </si>
  <si>
    <t>Prime personnel</t>
  </si>
  <si>
    <t>Prime familial (mariage...)</t>
  </si>
  <si>
    <t>Fidelité d'entreprise</t>
  </si>
  <si>
    <t>Prime de crêches et garde</t>
  </si>
  <si>
    <t>3 - Avantage en nature</t>
  </si>
  <si>
    <t>Nombre</t>
  </si>
  <si>
    <t>Taux</t>
  </si>
  <si>
    <t>Montant</t>
  </si>
  <si>
    <t>Avantage en nature logement</t>
  </si>
  <si>
    <t>si SMIC 60€/mois</t>
  </si>
  <si>
    <t>Avantage en nature repas</t>
  </si>
  <si>
    <t>Participation employé</t>
  </si>
  <si>
    <t>HCR = 3,65€</t>
  </si>
  <si>
    <t>(2021)</t>
  </si>
  <si>
    <t>Avantage en nature materiel</t>
  </si>
  <si>
    <t>Total :</t>
  </si>
  <si>
    <t>4 - Heure supplémentaires</t>
  </si>
  <si>
    <t>Nombre d'heure du contrat :</t>
  </si>
  <si>
    <t>à</t>
  </si>
  <si>
    <t>l'heure.</t>
  </si>
  <si>
    <t>Décompte</t>
  </si>
  <si>
    <t>Heures</t>
  </si>
  <si>
    <t>Heures Supp.</t>
  </si>
  <si>
    <t>HS à 25%</t>
  </si>
  <si>
    <t>HS à 50%</t>
  </si>
  <si>
    <t>Semaine 1</t>
  </si>
  <si>
    <t>Semaine 2</t>
  </si>
  <si>
    <t>Semaine 3</t>
  </si>
  <si>
    <t>Semaine 4</t>
  </si>
  <si>
    <t>Semaine 5</t>
  </si>
  <si>
    <t>TOTAUX</t>
  </si>
  <si>
    <t>5 - Absence</t>
  </si>
  <si>
    <t>Nombre d'heure mois :</t>
  </si>
  <si>
    <t>Nombre d'heure semaine :</t>
  </si>
  <si>
    <t>Nombre de jour travaillé :</t>
  </si>
  <si>
    <t>Nombre d'heure jour :</t>
  </si>
  <si>
    <t>Taux horaire contrat :</t>
  </si>
  <si>
    <t>Nombre jour ABS</t>
  </si>
  <si>
    <t>Nombre d'heure / jour</t>
  </si>
  <si>
    <t>Total heure</t>
  </si>
  <si>
    <t>Total montant</t>
  </si>
  <si>
    <t>Nombre de jours d'absence non rémunérées :</t>
  </si>
  <si>
    <t>6 - Congés payés</t>
  </si>
  <si>
    <t>Droit à congé :</t>
  </si>
  <si>
    <t>Droit sur 30 jours travaillés :</t>
  </si>
  <si>
    <t>Nombre de jours absent :</t>
  </si>
  <si>
    <t>Droits à :</t>
  </si>
  <si>
    <t>Calcul des indemnités des congé payés</t>
  </si>
  <si>
    <t>Nb Congés acquis :</t>
  </si>
  <si>
    <t>Nb Congés pris :</t>
  </si>
  <si>
    <t>Nb CP en jour restant :</t>
  </si>
  <si>
    <t>Méthode 1/26 dernier sal. :</t>
  </si>
  <si>
    <t>Méthode 1/10 totalité période :</t>
  </si>
  <si>
    <t>1/26 :</t>
  </si>
  <si>
    <t>1/10 :</t>
  </si>
  <si>
    <t>ICCP à prendre en compte :</t>
  </si>
  <si>
    <t>7 - Maladie non professionnelle</t>
  </si>
  <si>
    <t>Début</t>
  </si>
  <si>
    <t>Fin</t>
  </si>
  <si>
    <t>Absence maladie</t>
  </si>
  <si>
    <t>Maintien employeur</t>
  </si>
  <si>
    <t>IJSS brutes</t>
  </si>
  <si>
    <t>BRUT</t>
  </si>
  <si>
    <t xml:space="preserve">          BULLETIN  DE  SALAIRE</t>
  </si>
  <si>
    <t>EMPLOYEUR</t>
  </si>
  <si>
    <t>SALARIE</t>
  </si>
  <si>
    <t>N° SIRET</t>
  </si>
  <si>
    <t>Code APE</t>
  </si>
  <si>
    <t>N° de S.S. :</t>
  </si>
  <si>
    <t>URSSAF</t>
  </si>
  <si>
    <t xml:space="preserve">Convention collective : </t>
  </si>
  <si>
    <t xml:space="preserve">  PERIODE du  :</t>
  </si>
  <si>
    <t>AU</t>
  </si>
  <si>
    <t xml:space="preserve"> Salaire de base</t>
  </si>
  <si>
    <t>nombre d'heures :</t>
  </si>
  <si>
    <t>Heures supplémentaires</t>
  </si>
  <si>
    <t>Majorées de 25%</t>
  </si>
  <si>
    <t>Majorées de 50%</t>
  </si>
  <si>
    <t>Absences maladie</t>
  </si>
  <si>
    <t>Congés payées</t>
  </si>
  <si>
    <t>ICCP</t>
  </si>
  <si>
    <t>Avantages en nature</t>
  </si>
  <si>
    <t>Prime personnelle :</t>
  </si>
  <si>
    <t>Prime entreprise :</t>
  </si>
  <si>
    <t>PLAFOND S.S.  :</t>
  </si>
  <si>
    <t>SALAIRE BRUT TOTAL</t>
  </si>
  <si>
    <t>NATURES</t>
  </si>
  <si>
    <t>BASES</t>
  </si>
  <si>
    <t>COTISATIONS PATRONALES</t>
  </si>
  <si>
    <t>RETENUES SALARIALES</t>
  </si>
  <si>
    <t>TAUX</t>
  </si>
  <si>
    <t>MONTANTS</t>
  </si>
  <si>
    <t>Assurance maladie</t>
  </si>
  <si>
    <t>Contribution de solidarité pour autonomie</t>
  </si>
  <si>
    <t>Assurance veillesse plafonnée</t>
  </si>
  <si>
    <t>Assurance veillesse salaire total</t>
  </si>
  <si>
    <t>Allocation familiales &lt;= 3,50 smic</t>
  </si>
  <si>
    <t>Allocation familiales &gt; 3,50 smic</t>
  </si>
  <si>
    <t>Aide au logement (- de 20 salarié)</t>
  </si>
  <si>
    <t>Aide au logement (+ de 20 salarié)</t>
  </si>
  <si>
    <t>Accident du travail</t>
  </si>
  <si>
    <t>Versement transport (11 salarié et +)</t>
  </si>
  <si>
    <t>Contribution sociale généralisée (non déductible)</t>
  </si>
  <si>
    <t>Contribution sociale généralisée ( déductible)</t>
  </si>
  <si>
    <t>Remboursement de la dette sociale</t>
  </si>
  <si>
    <t>Forfait social (11 salarié et +)</t>
  </si>
  <si>
    <t>Contribution au dialogue social</t>
  </si>
  <si>
    <t>Réduction TEPA (&gt;= 20 salariés)</t>
  </si>
  <si>
    <t>Exonération des heures supplémentaires</t>
  </si>
  <si>
    <t>POLE EMPLOI</t>
  </si>
  <si>
    <t>Assurance chomage TA</t>
  </si>
  <si>
    <t>Assurance chomage TB</t>
  </si>
  <si>
    <t>AGS / FNGS TA &amp; B</t>
  </si>
  <si>
    <t>CAISSE DE RETRAITES</t>
  </si>
  <si>
    <t>Retraite T1</t>
  </si>
  <si>
    <t>Retraite T2</t>
  </si>
  <si>
    <t>APEC Cadres T1</t>
  </si>
  <si>
    <t>APEC Cadres T2</t>
  </si>
  <si>
    <t>Prévoyances Cadres TA</t>
  </si>
  <si>
    <t>Contribution d'Equilibre Technique (CET)</t>
  </si>
  <si>
    <t>Contribution d'Equilibre Générale (CEG) T1</t>
  </si>
  <si>
    <t>Contribution d'Equilibre Générale (CEG) T2</t>
  </si>
  <si>
    <t>Prévoyance conventionelle</t>
  </si>
  <si>
    <t>Mutuelle Santé</t>
  </si>
  <si>
    <t>Total des cotisations et contributions</t>
  </si>
  <si>
    <t>AVANTAGE EN NATURE</t>
  </si>
  <si>
    <t>-</t>
  </si>
  <si>
    <t>RETENUE SAISIE ARRET</t>
  </si>
  <si>
    <t>AVANCE</t>
  </si>
  <si>
    <t>ACOMPTE</t>
  </si>
  <si>
    <t>REMBOURSEMENT FRAIS PRO.</t>
  </si>
  <si>
    <t>+</t>
  </si>
  <si>
    <t>RETENUE TICKETS RESTAURANT</t>
  </si>
  <si>
    <t>Net imposable</t>
  </si>
  <si>
    <t>INDEMNITE DE TRANSPORT</t>
  </si>
  <si>
    <t>Mensuel</t>
  </si>
  <si>
    <t>IJSS NET APRES SUBROGATION</t>
  </si>
  <si>
    <t>Cumul</t>
  </si>
  <si>
    <t>INDEMNITE DE LICENCIEMENT</t>
  </si>
  <si>
    <t>Net à payer avant impôt sur le revenu</t>
  </si>
  <si>
    <t>Impôt sur le revenu</t>
  </si>
  <si>
    <t>Base Imposable</t>
  </si>
  <si>
    <t>Impôt sur le revenu prélevé à la source</t>
  </si>
  <si>
    <t xml:space="preserve">Payé par virement bancaire le </t>
  </si>
  <si>
    <t>Net payé en euros</t>
  </si>
  <si>
    <t>DANS VOTRE INETERET ET POUR FAIRE VALOIR VOS DROITS, CONSSERVER CE BULLETIN DE PAIE SANS LIMITATION DE DUREE.</t>
  </si>
  <si>
    <t>ENREGISTREMENT COMPTABLE</t>
  </si>
  <si>
    <t>DEBIT</t>
  </si>
  <si>
    <t>CREDIT</t>
  </si>
  <si>
    <t>Salaires, appointement</t>
  </si>
  <si>
    <t>Congés Payés</t>
  </si>
  <si>
    <t>Primes, gratifications</t>
  </si>
  <si>
    <t xml:space="preserve">Indemnités et avantages divers Soumis </t>
  </si>
  <si>
    <t>Cotisation URSSAF Salariale</t>
  </si>
  <si>
    <t>Cotisation URSSAF Patronale</t>
  </si>
  <si>
    <t>Cotisation RETRAITE Salarial</t>
  </si>
  <si>
    <t>Cotisation RETRAITE Patronale</t>
  </si>
  <si>
    <t>Cotisation MUTUELLE Salariale</t>
  </si>
  <si>
    <t>Cotisation MUTUELLE Patronale</t>
  </si>
  <si>
    <t>Personnel avance, acomptes</t>
  </si>
  <si>
    <t>Personnel Dépôts</t>
  </si>
  <si>
    <t>Personnel Opositions</t>
  </si>
  <si>
    <t>Prélèvement à la source</t>
  </si>
  <si>
    <t>Ticket Restaurant</t>
  </si>
  <si>
    <t>Rémunération dues</t>
  </si>
  <si>
    <t>PREPARATION DU BULLETIN DE SALAIRE</t>
  </si>
  <si>
    <t>Durée journalière :</t>
  </si>
  <si>
    <t>Matien employeur :</t>
  </si>
  <si>
    <t>IJSS :</t>
  </si>
  <si>
    <t>Maintien de salaire :</t>
  </si>
  <si>
    <t>BASE DU MOIS :</t>
  </si>
  <si>
    <t>Effectif :</t>
  </si>
  <si>
    <t>CONGES PAYES</t>
  </si>
  <si>
    <t>CP N-1</t>
  </si>
  <si>
    <t>RTT</t>
  </si>
  <si>
    <t>ACQUIS</t>
  </si>
  <si>
    <t>PRIS</t>
  </si>
  <si>
    <t>SOLDE</t>
  </si>
  <si>
    <t>CP N</t>
  </si>
  <si>
    <t>Echelon :</t>
  </si>
  <si>
    <t>Statut</t>
  </si>
  <si>
    <t>Matricule</t>
  </si>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</sst>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 * #,##0.00_)\ &quot;€&quot;_ ;_ * \(#,##0.00\)\ &quot;€&quot;_ ;_ * &quot;-&quot;??_)\ &quot;€&quot;_ ;_ @_ "/>
    <numFmt numFmtId="165" formatCode="00000"/>
    <numFmt numFmtId="166" formatCode="0.00\ &quot;h&quot;"/>
    <numFmt numFmtId="167" formatCode="[&gt;=3000000000000]#&quot; &quot;##&quot; &quot;##&quot; &quot;##&quot; &quot;###&quot; &quot;###&quot; | &quot;##;#&quot; &quot;##&quot; &quot;##&quot; &quot;##&quot; &quot;###&quot; &quot;###"/>
    <numFmt numFmtId="168" formatCode="[$-F800]dddd\,\ mmmm\ dd\,\ yyyy"/>
    <numFmt numFmtId="169" formatCode="mmmm\ yyyy"/>
    <numFmt numFmtId="170" formatCode="0.00\ &quot;heures&quot;"/>
    <numFmt numFmtId="171" formatCode="[h]:mm"/>
    <numFmt numFmtId="172" formatCode="#,##0.00\ &quot;€&quot;"/>
    <numFmt numFmtId="173" formatCode="0\ 00\ 00\ 00\ 000\ 000\ 00"/>
    <numFmt numFmtId="174" formatCode="#,##0.00_ ;\-#,##0.00\ "/>
    <numFmt numFmtId="175" formatCode="_-* #,##0.00\ [$€-40C]_-;\-* #,##0.00\ [$€-40C]_-;_-* &quot;-&quot;??\ [$€-40C]_-;_-@_-"/>
    <numFmt numFmtId="176" formatCode="_-* #,##0.00\ _€_-;\-* #,##0.00\ _€_-;_-* &quot;-&quot;??\ _€_-;_-@_-"/>
    <numFmt numFmtId="177" formatCode="0\ &quot;jours&quot;"/>
    <numFmt numFmtId="178" formatCode="0\ &quot; jours&quot;"/>
    <numFmt numFmtId="179" formatCode="0.000%"/>
  </numFmts>
  <fonts count="31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sz val="12"/>
      <name val="Times New Roman"/>
      <family val="1"/>
    </font>
    <font>
      <b/>
      <sz val="18"/>
      <color theme="0"/>
      <name val="Times New Roman"/>
      <family val="1"/>
    </font>
    <font>
      <b/>
      <u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name val="MS Sans Serif"/>
      <family val="2"/>
    </font>
    <font>
      <b/>
      <sz val="14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8"/>
      <color theme="1"/>
      <name val="Times New Roman"/>
      <family val="1"/>
    </font>
    <font>
      <b/>
      <sz val="10"/>
      <name val="Times New Roman"/>
      <family val="1"/>
    </font>
    <font>
      <sz val="10"/>
      <name val="Book Antiqua"/>
      <family val="1"/>
    </font>
    <font>
      <sz val="10"/>
      <name val="Times New Roman"/>
      <family val="1"/>
    </font>
    <font>
      <b/>
      <sz val="10"/>
      <color theme="0"/>
      <name val="Times New Roman"/>
      <family val="1"/>
    </font>
    <font>
      <sz val="8"/>
      <name val="Times New Roman"/>
      <family val="1"/>
    </font>
    <font>
      <b/>
      <u/>
      <sz val="10"/>
      <name val="Times New Roman"/>
      <family val="1"/>
    </font>
    <font>
      <sz val="10"/>
      <name val="Arial"/>
      <family val="2"/>
    </font>
    <font>
      <b/>
      <u/>
      <sz val="9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"/>
      <color theme="0"/>
      <name val="Times New Roman"/>
      <family val="1"/>
    </font>
    <font>
      <b/>
      <sz val="14"/>
      <name val="Times New Roman"/>
      <family val="1"/>
    </font>
    <font>
      <i/>
      <sz val="9"/>
      <name val="Times New Roman"/>
      <family val="1"/>
    </font>
    <font>
      <sz val="12"/>
      <name val="Calibri"/>
      <family val="2"/>
      <scheme val="minor"/>
    </font>
    <font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0" fontId="3" fillId="0" borderId="0"/>
    <xf numFmtId="0" fontId="10" fillId="0" borderId="0"/>
    <xf numFmtId="176" fontId="17" fillId="0" borderId="0" applyFont="0" applyFill="0" applyBorder="0" applyAlignment="0" applyProtection="0"/>
    <xf numFmtId="0" fontId="22" fillId="0" borderId="0"/>
  </cellStyleXfs>
  <cellXfs count="355">
    <xf numFmtId="0" fontId="0" fillId="0" borderId="0" xfId="0"/>
    <xf numFmtId="0" fontId="0" fillId="0" borderId="1" xfId="0" applyBorder="1"/>
    <xf numFmtId="0" fontId="0" fillId="0" borderId="0" xfId="0" applyBorder="1"/>
    <xf numFmtId="164" fontId="0" fillId="0" borderId="1" xfId="0" applyNumberFormat="1" applyBorder="1"/>
    <xf numFmtId="0" fontId="0" fillId="0" borderId="10" xfId="0" applyBorder="1"/>
    <xf numFmtId="164" fontId="0" fillId="0" borderId="0" xfId="0" applyNumberFormat="1" applyBorder="1"/>
    <xf numFmtId="14" fontId="0" fillId="0" borderId="0" xfId="0" applyNumberFormat="1" applyBorder="1"/>
    <xf numFmtId="0" fontId="0" fillId="0" borderId="12" xfId="0" applyBorder="1"/>
    <xf numFmtId="0" fontId="0" fillId="0" borderId="13" xfId="0" applyBorder="1"/>
    <xf numFmtId="164" fontId="0" fillId="0" borderId="13" xfId="0" applyNumberFormat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6" xfId="0" applyBorder="1"/>
    <xf numFmtId="164" fontId="0" fillId="0" borderId="6" xfId="0" applyNumberFormat="1" applyBorder="1"/>
    <xf numFmtId="0" fontId="0" fillId="0" borderId="19" xfId="0" applyBorder="1"/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10" xfId="0" applyFill="1" applyBorder="1" applyAlignment="1">
      <alignment horizontal="right"/>
    </xf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2" borderId="11" xfId="0" applyFill="1" applyBorder="1"/>
    <xf numFmtId="0" fontId="0" fillId="2" borderId="0" xfId="0" applyFill="1" applyBorder="1" applyAlignment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0" borderId="6" xfId="0" applyFill="1" applyBorder="1" applyProtection="1">
      <protection locked="0"/>
    </xf>
    <xf numFmtId="10" fontId="0" fillId="0" borderId="6" xfId="0" applyNumberFormat="1" applyFill="1" applyBorder="1" applyProtection="1">
      <protection locked="0"/>
    </xf>
    <xf numFmtId="10" fontId="0" fillId="0" borderId="6" xfId="0" applyNumberFormat="1" applyFill="1" applyBorder="1" applyProtection="1"/>
    <xf numFmtId="164" fontId="0" fillId="0" borderId="6" xfId="0" applyNumberFormat="1" applyFill="1" applyBorder="1" applyProtection="1">
      <protection locked="0"/>
    </xf>
    <xf numFmtId="0" fontId="0" fillId="0" borderId="6" xfId="0" applyBorder="1" applyAlignment="1">
      <alignment horizontal="right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164" fontId="0" fillId="0" borderId="2" xfId="0" applyNumberFormat="1" applyBorder="1"/>
    <xf numFmtId="0" fontId="0" fillId="0" borderId="1" xfId="0" applyBorder="1" applyAlignment="1">
      <alignment horizontal="right"/>
    </xf>
    <xf numFmtId="0" fontId="0" fillId="0" borderId="28" xfId="0" applyBorder="1" applyAlignment="1">
      <alignment horizontal="right"/>
    </xf>
    <xf numFmtId="164" fontId="0" fillId="0" borderId="28" xfId="0" applyNumberFormat="1" applyBorder="1"/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64" fontId="0" fillId="0" borderId="31" xfId="0" applyNumberFormat="1" applyBorder="1"/>
    <xf numFmtId="0" fontId="0" fillId="0" borderId="1" xfId="0" applyBorder="1" applyAlignment="1">
      <alignment horizontal="center"/>
    </xf>
    <xf numFmtId="0" fontId="0" fillId="0" borderId="33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3" borderId="6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9" xfId="0" applyFill="1" applyBorder="1" applyAlignment="1" applyProtection="1">
      <alignment horizontal="center"/>
      <protection locked="0"/>
    </xf>
    <xf numFmtId="164" fontId="0" fillId="3" borderId="6" xfId="0" applyNumberFormat="1" applyFill="1" applyBorder="1" applyAlignment="1" applyProtection="1">
      <alignment horizontal="center"/>
      <protection locked="0"/>
    </xf>
    <xf numFmtId="164" fontId="0" fillId="0" borderId="2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3" borderId="19" xfId="0" applyFill="1" applyBorder="1" applyProtection="1">
      <protection locked="0"/>
    </xf>
    <xf numFmtId="164" fontId="0" fillId="0" borderId="11" xfId="0" applyNumberFormat="1" applyBorder="1"/>
    <xf numFmtId="164" fontId="0" fillId="0" borderId="20" xfId="0" applyNumberFormat="1" applyBorder="1"/>
    <xf numFmtId="164" fontId="0" fillId="0" borderId="34" xfId="0" applyNumberFormat="1" applyBorder="1"/>
    <xf numFmtId="0" fontId="0" fillId="3" borderId="21" xfId="0" applyFill="1" applyBorder="1" applyProtection="1">
      <protection locked="0"/>
    </xf>
    <xf numFmtId="0" fontId="0" fillId="3" borderId="22" xfId="0" applyFill="1" applyBorder="1" applyProtection="1">
      <protection locked="0"/>
    </xf>
    <xf numFmtId="164" fontId="0" fillId="0" borderId="23" xfId="0" applyNumberFormat="1" applyBorder="1"/>
    <xf numFmtId="164" fontId="0" fillId="0" borderId="35" xfId="0" applyNumberFormat="1" applyBorder="1"/>
    <xf numFmtId="0" fontId="0" fillId="0" borderId="6" xfId="0" applyBorder="1" applyAlignment="1">
      <alignment horizontal="center"/>
    </xf>
    <xf numFmtId="1" fontId="0" fillId="3" borderId="6" xfId="0" applyNumberFormat="1" applyFill="1" applyBorder="1" applyAlignment="1" applyProtection="1">
      <alignment horizontal="center"/>
      <protection locked="0"/>
    </xf>
    <xf numFmtId="1" fontId="0" fillId="0" borderId="6" xfId="0" applyNumberFormat="1" applyBorder="1"/>
    <xf numFmtId="164" fontId="0" fillId="0" borderId="6" xfId="0" applyNumberFormat="1" applyBorder="1" applyAlignment="1">
      <alignment horizontal="center"/>
    </xf>
    <xf numFmtId="0" fontId="0" fillId="3" borderId="6" xfId="0" applyFill="1" applyBorder="1" applyAlignment="1" applyProtection="1">
      <alignment horizontal="center"/>
      <protection locked="0"/>
    </xf>
    <xf numFmtId="2" fontId="0" fillId="0" borderId="6" xfId="0" applyNumberFormat="1" applyBorder="1"/>
    <xf numFmtId="0" fontId="0" fillId="0" borderId="26" xfId="0" applyBorder="1"/>
    <xf numFmtId="0" fontId="0" fillId="3" borderId="26" xfId="0" applyFill="1" applyBorder="1" applyProtection="1">
      <protection locked="0"/>
    </xf>
    <xf numFmtId="164" fontId="0" fillId="0" borderId="26" xfId="0" applyNumberFormat="1" applyBorder="1"/>
    <xf numFmtId="0" fontId="0" fillId="3" borderId="6" xfId="0" applyFill="1" applyBorder="1" applyProtection="1">
      <protection locked="0"/>
    </xf>
    <xf numFmtId="172" fontId="0" fillId="0" borderId="6" xfId="0" applyNumberFormat="1" applyBorder="1"/>
    <xf numFmtId="0" fontId="0" fillId="0" borderId="25" xfId="0" applyBorder="1"/>
    <xf numFmtId="2" fontId="0" fillId="0" borderId="26" xfId="0" applyNumberFormat="1" applyBorder="1"/>
    <xf numFmtId="0" fontId="0" fillId="0" borderId="26" xfId="0" applyBorder="1" applyProtection="1">
      <protection locked="0"/>
    </xf>
    <xf numFmtId="164" fontId="0" fillId="3" borderId="26" xfId="0" applyNumberFormat="1" applyFill="1" applyBorder="1" applyProtection="1"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172" fontId="0" fillId="0" borderId="29" xfId="0" applyNumberFormat="1" applyBorder="1"/>
    <xf numFmtId="16" fontId="0" fillId="3" borderId="30" xfId="0" applyNumberFormat="1" applyFill="1" applyBorder="1" applyProtection="1">
      <protection locked="0"/>
    </xf>
    <xf numFmtId="16" fontId="0" fillId="3" borderId="31" xfId="0" applyNumberFormat="1" applyFill="1" applyBorder="1" applyProtection="1">
      <protection locked="0"/>
    </xf>
    <xf numFmtId="1" fontId="0" fillId="0" borderId="30" xfId="0" applyNumberFormat="1" applyBorder="1" applyAlignment="1">
      <alignment horizontal="center"/>
    </xf>
    <xf numFmtId="172" fontId="0" fillId="0" borderId="31" xfId="0" applyNumberFormat="1" applyBorder="1"/>
    <xf numFmtId="16" fontId="0" fillId="3" borderId="32" xfId="0" applyNumberFormat="1" applyFill="1" applyBorder="1" applyProtection="1">
      <protection locked="0"/>
    </xf>
    <xf numFmtId="16" fontId="0" fillId="3" borderId="33" xfId="0" applyNumberFormat="1" applyFill="1" applyBorder="1" applyProtection="1">
      <protection locked="0"/>
    </xf>
    <xf numFmtId="1" fontId="0" fillId="0" borderId="32" xfId="0" applyNumberFormat="1" applyBorder="1" applyAlignment="1">
      <alignment horizontal="center"/>
    </xf>
    <xf numFmtId="172" fontId="0" fillId="3" borderId="1" xfId="0" applyNumberFormat="1" applyFill="1" applyBorder="1" applyProtection="1">
      <protection locked="0"/>
    </xf>
    <xf numFmtId="172" fontId="0" fillId="0" borderId="33" xfId="0" applyNumberFormat="1" applyBorder="1"/>
    <xf numFmtId="172" fontId="0" fillId="0" borderId="35" xfId="0" applyNumberFormat="1" applyBorder="1"/>
    <xf numFmtId="0" fontId="5" fillId="0" borderId="0" xfId="0" applyFont="1"/>
    <xf numFmtId="166" fontId="0" fillId="0" borderId="6" xfId="0" applyNumberFormat="1" applyFill="1" applyBorder="1" applyProtection="1">
      <protection locked="0"/>
    </xf>
    <xf numFmtId="0" fontId="13" fillId="0" borderId="39" xfId="2" applyFont="1" applyBorder="1"/>
    <xf numFmtId="0" fontId="13" fillId="0" borderId="28" xfId="2" applyFont="1" applyBorder="1"/>
    <xf numFmtId="0" fontId="14" fillId="0" borderId="29" xfId="2" applyFont="1" applyBorder="1"/>
    <xf numFmtId="0" fontId="13" fillId="0" borderId="27" xfId="2" applyFont="1" applyBorder="1"/>
    <xf numFmtId="0" fontId="14" fillId="0" borderId="28" xfId="2" applyFont="1" applyBorder="1"/>
    <xf numFmtId="0" fontId="14" fillId="0" borderId="40" xfId="2" applyFont="1" applyBorder="1"/>
    <xf numFmtId="0" fontId="13" fillId="0" borderId="10" xfId="2" applyFont="1" applyBorder="1"/>
    <xf numFmtId="0" fontId="14" fillId="0" borderId="31" xfId="2" applyFont="1" applyBorder="1"/>
    <xf numFmtId="0" fontId="13" fillId="0" borderId="30" xfId="2" applyFont="1" applyBorder="1"/>
    <xf numFmtId="0" fontId="14" fillId="0" borderId="11" xfId="2" applyFont="1" applyBorder="1"/>
    <xf numFmtId="0" fontId="14" fillId="0" borderId="41" xfId="2" applyFont="1" applyBorder="1"/>
    <xf numFmtId="0" fontId="13" fillId="0" borderId="1" xfId="2" applyFont="1" applyBorder="1"/>
    <xf numFmtId="0" fontId="14" fillId="0" borderId="33" xfId="2" applyFont="1" applyBorder="1"/>
    <xf numFmtId="0" fontId="13" fillId="0" borderId="32" xfId="2" applyFont="1" applyBorder="1"/>
    <xf numFmtId="0" fontId="14" fillId="0" borderId="1" xfId="2" applyFont="1" applyBorder="1"/>
    <xf numFmtId="0" fontId="14" fillId="0" borderId="42" xfId="2" applyFont="1" applyBorder="1"/>
    <xf numFmtId="0" fontId="13" fillId="0" borderId="24" xfId="2" applyFont="1" applyBorder="1"/>
    <xf numFmtId="0" fontId="14" fillId="0" borderId="34" xfId="2" applyFont="1" applyBorder="1"/>
    <xf numFmtId="0" fontId="13" fillId="0" borderId="43" xfId="2" applyFont="1" applyBorder="1"/>
    <xf numFmtId="0" fontId="14" fillId="0" borderId="25" xfId="2" applyFont="1" applyBorder="1"/>
    <xf numFmtId="0" fontId="13" fillId="0" borderId="25" xfId="2" applyFont="1" applyBorder="1"/>
    <xf numFmtId="0" fontId="14" fillId="0" borderId="26" xfId="2" applyFont="1" applyBorder="1"/>
    <xf numFmtId="0" fontId="14" fillId="0" borderId="30" xfId="2" applyFont="1" applyBorder="1"/>
    <xf numFmtId="0" fontId="13" fillId="0" borderId="12" xfId="2" applyFont="1" applyBorder="1"/>
    <xf numFmtId="14" fontId="14" fillId="0" borderId="44" xfId="2" applyNumberFormat="1" applyFont="1" applyBorder="1"/>
    <xf numFmtId="16" fontId="13" fillId="0" borderId="44" xfId="2" applyNumberFormat="1" applyFont="1" applyBorder="1" applyAlignment="1">
      <alignment horizontal="center"/>
    </xf>
    <xf numFmtId="14" fontId="14" fillId="0" borderId="45" xfId="2" applyNumberFormat="1" applyFont="1" applyBorder="1"/>
    <xf numFmtId="0" fontId="13" fillId="0" borderId="46" xfId="2" applyFont="1" applyBorder="1"/>
    <xf numFmtId="165" fontId="14" fillId="0" borderId="13" xfId="2" applyNumberFormat="1" applyFont="1" applyBorder="1" applyAlignment="1">
      <alignment horizontal="left"/>
    </xf>
    <xf numFmtId="0" fontId="14" fillId="0" borderId="13" xfId="2" applyFont="1" applyBorder="1"/>
    <xf numFmtId="0" fontId="14" fillId="0" borderId="14" xfId="2" applyFont="1" applyBorder="1"/>
    <xf numFmtId="176" fontId="16" fillId="0" borderId="0" xfId="3" applyFont="1" applyBorder="1" applyProtection="1"/>
    <xf numFmtId="177" fontId="16" fillId="0" borderId="0" xfId="3" applyNumberFormat="1" applyFont="1" applyBorder="1" applyProtection="1"/>
    <xf numFmtId="178" fontId="16" fillId="0" borderId="0" xfId="3" applyNumberFormat="1" applyFont="1" applyBorder="1" applyProtection="1"/>
    <xf numFmtId="0" fontId="18" fillId="0" borderId="1" xfId="2" applyFont="1" applyBorder="1" applyAlignment="1">
      <alignment horizontal="centerContinuous"/>
    </xf>
    <xf numFmtId="0" fontId="19" fillId="2" borderId="24" xfId="2" applyFont="1" applyFill="1" applyBorder="1"/>
    <xf numFmtId="0" fontId="19" fillId="2" borderId="25" xfId="2" applyFont="1" applyFill="1" applyBorder="1"/>
    <xf numFmtId="0" fontId="20" fillId="3" borderId="35" xfId="2" applyFont="1" applyFill="1" applyBorder="1" applyAlignment="1">
      <alignment horizontal="center"/>
    </xf>
    <xf numFmtId="4" fontId="20" fillId="3" borderId="32" xfId="2" applyNumberFormat="1" applyFont="1" applyFill="1" applyBorder="1" applyAlignment="1">
      <alignment horizontal="center"/>
    </xf>
    <xf numFmtId="0" fontId="20" fillId="3" borderId="33" xfId="2" applyFont="1" applyFill="1" applyBorder="1" applyAlignment="1">
      <alignment horizontal="center"/>
    </xf>
    <xf numFmtId="164" fontId="18" fillId="0" borderId="47" xfId="2" applyNumberFormat="1" applyFont="1" applyBorder="1"/>
    <xf numFmtId="10" fontId="18" fillId="0" borderId="47" xfId="2" applyNumberFormat="1" applyFont="1" applyBorder="1"/>
    <xf numFmtId="164" fontId="18" fillId="0" borderId="30" xfId="2" applyNumberFormat="1" applyFont="1" applyBorder="1"/>
    <xf numFmtId="164" fontId="18" fillId="0" borderId="31" xfId="2" applyNumberFormat="1" applyFont="1" applyBorder="1"/>
    <xf numFmtId="0" fontId="18" fillId="0" borderId="47" xfId="2" applyFont="1" applyBorder="1"/>
    <xf numFmtId="10" fontId="18" fillId="0" borderId="30" xfId="4" applyNumberFormat="1" applyFont="1" applyBorder="1" applyAlignment="1">
      <alignment horizontal="right"/>
    </xf>
    <xf numFmtId="164" fontId="16" fillId="0" borderId="31" xfId="2" applyNumberFormat="1" applyFont="1" applyBorder="1"/>
    <xf numFmtId="2" fontId="18" fillId="0" borderId="30" xfId="4" applyNumberFormat="1" applyFont="1" applyBorder="1" applyAlignment="1">
      <alignment horizontal="right"/>
    </xf>
    <xf numFmtId="179" fontId="18" fillId="0" borderId="47" xfId="2" applyNumberFormat="1" applyFont="1" applyBorder="1"/>
    <xf numFmtId="4" fontId="16" fillId="3" borderId="6" xfId="2" applyNumberFormat="1" applyFont="1" applyFill="1" applyBorder="1"/>
    <xf numFmtId="0" fontId="18" fillId="3" borderId="6" xfId="2" applyFont="1" applyFill="1" applyBorder="1"/>
    <xf numFmtId="164" fontId="16" fillId="3" borderId="25" xfId="2" applyNumberFormat="1" applyFont="1" applyFill="1" applyBorder="1"/>
    <xf numFmtId="164" fontId="18" fillId="3" borderId="25" xfId="2" applyNumberFormat="1" applyFont="1" applyFill="1" applyBorder="1"/>
    <xf numFmtId="10" fontId="18" fillId="3" borderId="6" xfId="2" applyNumberFormat="1" applyFont="1" applyFill="1" applyBorder="1"/>
    <xf numFmtId="0" fontId="18" fillId="3" borderId="6" xfId="2" applyFont="1" applyFill="1" applyBorder="1" applyAlignment="1">
      <alignment horizontal="center"/>
    </xf>
    <xf numFmtId="0" fontId="18" fillId="0" borderId="24" xfId="2" applyFont="1" applyBorder="1"/>
    <xf numFmtId="0" fontId="18" fillId="0" borderId="25" xfId="2" applyFont="1" applyBorder="1"/>
    <xf numFmtId="4" fontId="18" fillId="0" borderId="25" xfId="2" applyNumberFormat="1" applyFont="1" applyBorder="1"/>
    <xf numFmtId="0" fontId="18" fillId="0" borderId="6" xfId="2" applyFont="1" applyBorder="1"/>
    <xf numFmtId="4" fontId="26" fillId="2" borderId="6" xfId="2" applyNumberFormat="1" applyFont="1" applyFill="1" applyBorder="1" applyAlignment="1">
      <alignment horizontal="center"/>
    </xf>
    <xf numFmtId="9" fontId="18" fillId="0" borderId="6" xfId="2" applyNumberFormat="1" applyFont="1" applyBorder="1"/>
    <xf numFmtId="164" fontId="18" fillId="0" borderId="6" xfId="2" applyNumberFormat="1" applyFont="1" applyBorder="1"/>
    <xf numFmtId="0" fontId="10" fillId="0" borderId="0" xfId="2"/>
    <xf numFmtId="166" fontId="0" fillId="0" borderId="6" xfId="0" applyNumberFormat="1" applyFill="1" applyBorder="1" applyProtection="1"/>
    <xf numFmtId="0" fontId="0" fillId="0" borderId="26" xfId="0" applyFill="1" applyBorder="1" applyProtection="1"/>
    <xf numFmtId="9" fontId="0" fillId="3" borderId="29" xfId="0" applyNumberFormat="1" applyFill="1" applyBorder="1"/>
    <xf numFmtId="164" fontId="18" fillId="0" borderId="6" xfId="2" applyNumberFormat="1" applyFont="1" applyBorder="1" applyAlignment="1">
      <alignment horizontal="center"/>
    </xf>
    <xf numFmtId="0" fontId="18" fillId="0" borderId="10" xfId="2" applyFont="1" applyBorder="1"/>
    <xf numFmtId="0" fontId="18" fillId="0" borderId="0" xfId="2" applyFont="1" applyBorder="1"/>
    <xf numFmtId="164" fontId="18" fillId="0" borderId="0" xfId="2" applyNumberFormat="1" applyFont="1" applyBorder="1"/>
    <xf numFmtId="164" fontId="18" fillId="0" borderId="11" xfId="2" applyNumberFormat="1" applyFont="1" applyBorder="1"/>
    <xf numFmtId="2" fontId="18" fillId="0" borderId="47" xfId="2" applyNumberFormat="1" applyFont="1" applyBorder="1"/>
    <xf numFmtId="179" fontId="18" fillId="0" borderId="30" xfId="4" applyNumberFormat="1" applyFont="1" applyBorder="1" applyAlignment="1">
      <alignment horizontal="right"/>
    </xf>
    <xf numFmtId="2" fontId="18" fillId="0" borderId="6" xfId="2" applyNumberFormat="1" applyFont="1" applyBorder="1"/>
    <xf numFmtId="0" fontId="13" fillId="0" borderId="0" xfId="2" applyFont="1" applyBorder="1"/>
    <xf numFmtId="0" fontId="14" fillId="0" borderId="0" xfId="2" applyFont="1" applyBorder="1"/>
    <xf numFmtId="3" fontId="14" fillId="0" borderId="0" xfId="2" quotePrefix="1" applyNumberFormat="1" applyFont="1" applyBorder="1" applyAlignment="1">
      <alignment horizontal="centerContinuous"/>
    </xf>
    <xf numFmtId="0" fontId="14" fillId="0" borderId="0" xfId="2" applyFont="1" applyBorder="1" applyAlignment="1">
      <alignment horizontal="centerContinuous"/>
    </xf>
    <xf numFmtId="1" fontId="15" fillId="0" borderId="0" xfId="2" applyNumberFormat="1" applyFont="1" applyBorder="1"/>
    <xf numFmtId="3" fontId="14" fillId="0" borderId="0" xfId="2" applyNumberFormat="1" applyFont="1" applyBorder="1" applyAlignment="1">
      <alignment horizontal="centerContinuous"/>
    </xf>
    <xf numFmtId="0" fontId="16" fillId="0" borderId="10" xfId="2" applyFont="1" applyBorder="1"/>
    <xf numFmtId="164" fontId="16" fillId="0" borderId="0" xfId="2" applyNumberFormat="1" applyFont="1" applyBorder="1"/>
    <xf numFmtId="0" fontId="16" fillId="0" borderId="0" xfId="2" applyFont="1" applyBorder="1"/>
    <xf numFmtId="0" fontId="16" fillId="0" borderId="0" xfId="2" applyFont="1" applyBorder="1" applyAlignment="1">
      <alignment horizontal="center"/>
    </xf>
    <xf numFmtId="174" fontId="16" fillId="0" borderId="0" xfId="2" applyNumberFormat="1" applyFont="1" applyBorder="1"/>
    <xf numFmtId="175" fontId="16" fillId="0" borderId="0" xfId="2" applyNumberFormat="1" applyFont="1" applyBorder="1"/>
    <xf numFmtId="4" fontId="16" fillId="0" borderId="51" xfId="2" applyNumberFormat="1" applyFont="1" applyBorder="1"/>
    <xf numFmtId="0" fontId="18" fillId="0" borderId="0" xfId="2" applyFont="1" applyBorder="1" applyAlignment="1">
      <alignment horizontal="center"/>
    </xf>
    <xf numFmtId="4" fontId="18" fillId="0" borderId="51" xfId="2" applyNumberFormat="1" applyFont="1" applyBorder="1"/>
    <xf numFmtId="9" fontId="18" fillId="0" borderId="0" xfId="2" applyNumberFormat="1" applyFont="1" applyBorder="1"/>
    <xf numFmtId="4" fontId="18" fillId="0" borderId="0" xfId="2" applyNumberFormat="1" applyFont="1" applyBorder="1"/>
    <xf numFmtId="10" fontId="18" fillId="0" borderId="0" xfId="2" applyNumberFormat="1" applyFont="1" applyBorder="1"/>
    <xf numFmtId="9" fontId="18" fillId="3" borderId="0" xfId="2" applyNumberFormat="1" applyFont="1" applyFill="1" applyBorder="1"/>
    <xf numFmtId="0" fontId="18" fillId="3" borderId="0" xfId="2" applyFont="1" applyFill="1" applyBorder="1"/>
    <xf numFmtId="0" fontId="18" fillId="0" borderId="10" xfId="2" applyFont="1" applyBorder="1" applyAlignment="1">
      <alignment horizontal="centerContinuous"/>
    </xf>
    <xf numFmtId="0" fontId="18" fillId="0" borderId="0" xfId="2" applyFont="1" applyBorder="1" applyAlignment="1">
      <alignment horizontal="centerContinuous"/>
    </xf>
    <xf numFmtId="0" fontId="18" fillId="0" borderId="41" xfId="2" applyFont="1" applyBorder="1" applyAlignment="1">
      <alignment horizontal="centerContinuous"/>
    </xf>
    <xf numFmtId="164" fontId="12" fillId="2" borderId="20" xfId="2" applyNumberFormat="1" applyFont="1" applyFill="1" applyBorder="1"/>
    <xf numFmtId="4" fontId="20" fillId="3" borderId="42" xfId="2" applyNumberFormat="1" applyFont="1" applyFill="1" applyBorder="1" applyAlignment="1">
      <alignment horizontal="center"/>
    </xf>
    <xf numFmtId="0" fontId="21" fillId="0" borderId="10" xfId="2" applyFont="1" applyBorder="1"/>
    <xf numFmtId="0" fontId="18" fillId="0" borderId="10" xfId="2" applyFont="1" applyBorder="1" applyAlignment="1">
      <alignment horizontal="left"/>
    </xf>
    <xf numFmtId="0" fontId="18" fillId="0" borderId="0" xfId="2" applyFont="1" applyBorder="1" applyAlignment="1">
      <alignment horizontal="left"/>
    </xf>
    <xf numFmtId="0" fontId="16" fillId="0" borderId="0" xfId="2" applyFont="1" applyBorder="1" applyAlignment="1">
      <alignment horizontal="left"/>
    </xf>
    <xf numFmtId="0" fontId="23" fillId="0" borderId="10" xfId="2" applyFont="1" applyBorder="1"/>
    <xf numFmtId="164" fontId="16" fillId="3" borderId="20" xfId="2" applyNumberFormat="1" applyFont="1" applyFill="1" applyBorder="1"/>
    <xf numFmtId="2" fontId="18" fillId="0" borderId="0" xfId="2" applyNumberFormat="1" applyFont="1" applyBorder="1"/>
    <xf numFmtId="0" fontId="18" fillId="3" borderId="19" xfId="2" applyFont="1" applyFill="1" applyBorder="1" applyAlignment="1">
      <alignment horizontal="center"/>
    </xf>
    <xf numFmtId="164" fontId="18" fillId="0" borderId="34" xfId="2" applyNumberFormat="1" applyFont="1" applyBorder="1"/>
    <xf numFmtId="0" fontId="18" fillId="3" borderId="19" xfId="2" applyFont="1" applyFill="1" applyBorder="1"/>
    <xf numFmtId="2" fontId="18" fillId="0" borderId="11" xfId="2" applyNumberFormat="1" applyFont="1" applyBorder="1"/>
    <xf numFmtId="2" fontId="26" fillId="2" borderId="20" xfId="2" applyNumberFormat="1" applyFont="1" applyFill="1" applyBorder="1" applyAlignment="1">
      <alignment horizontal="center"/>
    </xf>
    <xf numFmtId="164" fontId="18" fillId="0" borderId="20" xfId="2" applyNumberFormat="1" applyFont="1" applyBorder="1"/>
    <xf numFmtId="14" fontId="18" fillId="0" borderId="0" xfId="2" applyNumberFormat="1" applyFont="1" applyBorder="1" applyAlignment="1">
      <alignment horizontal="left"/>
    </xf>
    <xf numFmtId="0" fontId="0" fillId="0" borderId="39" xfId="0" applyBorder="1"/>
    <xf numFmtId="0" fontId="0" fillId="0" borderId="40" xfId="0" applyBorder="1"/>
    <xf numFmtId="0" fontId="0" fillId="0" borderId="0" xfId="0" applyBorder="1" applyAlignment="1">
      <alignment horizontal="left"/>
    </xf>
    <xf numFmtId="1" fontId="0" fillId="0" borderId="0" xfId="0" applyNumberFormat="1" applyBorder="1"/>
    <xf numFmtId="0" fontId="0" fillId="0" borderId="11" xfId="0" applyBorder="1"/>
    <xf numFmtId="0" fontId="0" fillId="0" borderId="0" xfId="0" applyBorder="1" applyAlignment="1">
      <alignment horizontal="center"/>
    </xf>
    <xf numFmtId="14" fontId="0" fillId="0" borderId="11" xfId="0" applyNumberFormat="1" applyBorder="1"/>
    <xf numFmtId="0" fontId="0" fillId="0" borderId="41" xfId="0" applyBorder="1"/>
    <xf numFmtId="0" fontId="0" fillId="0" borderId="42" xfId="0" applyBorder="1"/>
    <xf numFmtId="170" fontId="0" fillId="0" borderId="0" xfId="0" applyNumberFormat="1" applyBorder="1"/>
    <xf numFmtId="0" fontId="5" fillId="0" borderId="10" xfId="0" applyFont="1" applyBorder="1"/>
    <xf numFmtId="0" fontId="0" fillId="0" borderId="0" xfId="0" applyBorder="1" applyAlignment="1">
      <alignment horizontal="right"/>
    </xf>
    <xf numFmtId="2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right"/>
    </xf>
    <xf numFmtId="0" fontId="0" fillId="0" borderId="39" xfId="0" applyBorder="1" applyAlignment="1">
      <alignment horizontal="center"/>
    </xf>
    <xf numFmtId="164" fontId="1" fillId="0" borderId="11" xfId="0" applyNumberFormat="1" applyFont="1" applyBorder="1"/>
    <xf numFmtId="2" fontId="0" fillId="0" borderId="10" xfId="0" applyNumberFormat="1" applyBorder="1" applyAlignment="1">
      <alignment horizontal="center"/>
    </xf>
    <xf numFmtId="171" fontId="0" fillId="0" borderId="41" xfId="0" applyNumberFormat="1" applyBorder="1"/>
    <xf numFmtId="0" fontId="6" fillId="0" borderId="0" xfId="0" applyFont="1" applyBorder="1"/>
    <xf numFmtId="0" fontId="7" fillId="0" borderId="10" xfId="0" applyFont="1" applyBorder="1" applyAlignment="1">
      <alignment horizontal="right"/>
    </xf>
    <xf numFmtId="0" fontId="8" fillId="0" borderId="0" xfId="0" quotePrefix="1" applyFont="1" applyBorder="1"/>
    <xf numFmtId="0" fontId="7" fillId="0" borderId="0" xfId="0" applyFont="1" applyBorder="1"/>
    <xf numFmtId="0" fontId="0" fillId="0" borderId="19" xfId="0" applyBorder="1" applyAlignment="1">
      <alignment horizontal="center"/>
    </xf>
    <xf numFmtId="0" fontId="1" fillId="0" borderId="0" xfId="0" applyFont="1" applyBorder="1"/>
    <xf numFmtId="0" fontId="0" fillId="0" borderId="43" xfId="0" applyBorder="1"/>
    <xf numFmtId="0" fontId="0" fillId="0" borderId="43" xfId="0" applyBorder="1" applyAlignment="1">
      <alignment horizontal="right"/>
    </xf>
    <xf numFmtId="172" fontId="0" fillId="0" borderId="0" xfId="0" applyNumberFormat="1" applyBorder="1"/>
    <xf numFmtId="0" fontId="9" fillId="0" borderId="0" xfId="0" applyFont="1" applyBorder="1" applyAlignment="1">
      <alignment horizontal="center"/>
    </xf>
    <xf numFmtId="0" fontId="0" fillId="0" borderId="14" xfId="0" applyBorder="1"/>
    <xf numFmtId="0" fontId="1" fillId="4" borderId="31" xfId="0" applyFont="1" applyFill="1" applyBorder="1" applyAlignment="1">
      <alignment horizontal="center" vertical="center" wrapText="1"/>
    </xf>
    <xf numFmtId="0" fontId="1" fillId="4" borderId="47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0" fillId="0" borderId="52" xfId="0" applyBorder="1" applyProtection="1">
      <protection locked="0"/>
    </xf>
    <xf numFmtId="0" fontId="0" fillId="0" borderId="15" xfId="0" applyBorder="1" applyProtection="1">
      <protection locked="0"/>
    </xf>
    <xf numFmtId="165" fontId="0" fillId="0" borderId="15" xfId="0" applyNumberFormat="1" applyBorder="1" applyProtection="1">
      <protection locked="0"/>
    </xf>
    <xf numFmtId="164" fontId="0" fillId="0" borderId="15" xfId="0" applyNumberFormat="1" applyBorder="1" applyProtection="1">
      <protection locked="0"/>
    </xf>
    <xf numFmtId="166" fontId="0" fillId="0" borderId="15" xfId="0" applyNumberFormat="1" applyBorder="1" applyProtection="1">
      <protection locked="0"/>
    </xf>
    <xf numFmtId="164" fontId="0" fillId="0" borderId="15" xfId="0" applyNumberFormat="1" applyBorder="1" applyProtection="1"/>
    <xf numFmtId="14" fontId="0" fillId="0" borderId="15" xfId="0" applyNumberFormat="1" applyBorder="1" applyProtection="1">
      <protection locked="0"/>
    </xf>
    <xf numFmtId="167" fontId="0" fillId="0" borderId="15" xfId="0" applyNumberFormat="1" applyBorder="1" applyProtection="1">
      <protection locked="0"/>
    </xf>
    <xf numFmtId="10" fontId="0" fillId="0" borderId="53" xfId="0" applyNumberFormat="1" applyBorder="1" applyProtection="1">
      <protection locked="0"/>
    </xf>
    <xf numFmtId="166" fontId="0" fillId="0" borderId="0" xfId="0" applyNumberFormat="1" applyBorder="1" applyAlignment="1">
      <alignment horizontal="center"/>
    </xf>
    <xf numFmtId="0" fontId="14" fillId="0" borderId="11" xfId="2" applyFont="1" applyBorder="1" applyAlignment="1">
      <alignment horizontal="left"/>
    </xf>
    <xf numFmtId="0" fontId="26" fillId="0" borderId="1" xfId="2" applyFont="1" applyBorder="1" applyAlignment="1">
      <alignment horizontal="right"/>
    </xf>
    <xf numFmtId="0" fontId="26" fillId="0" borderId="1" xfId="2" applyFont="1" applyBorder="1" applyAlignment="1">
      <alignment horizontal="left"/>
    </xf>
    <xf numFmtId="0" fontId="29" fillId="0" borderId="7" xfId="2" applyFont="1" applyBorder="1" applyAlignment="1">
      <alignment horizontal="center"/>
    </xf>
    <xf numFmtId="0" fontId="29" fillId="0" borderId="8" xfId="2" applyFont="1" applyBorder="1" applyAlignment="1">
      <alignment horizontal="center"/>
    </xf>
    <xf numFmtId="0" fontId="29" fillId="0" borderId="37" xfId="2" applyFont="1" applyBorder="1" applyAlignment="1">
      <alignment horizontal="center"/>
    </xf>
    <xf numFmtId="0" fontId="29" fillId="0" borderId="37" xfId="2" applyFont="1" applyBorder="1"/>
    <xf numFmtId="0" fontId="29" fillId="0" borderId="38" xfId="2" applyFont="1" applyBorder="1" applyAlignment="1">
      <alignment horizontal="center"/>
    </xf>
    <xf numFmtId="0" fontId="29" fillId="0" borderId="10" xfId="2" applyFont="1" applyBorder="1"/>
    <xf numFmtId="0" fontId="29" fillId="0" borderId="0" xfId="2" applyFont="1" applyBorder="1"/>
    <xf numFmtId="164" fontId="29" fillId="0" borderId="0" xfId="2" applyNumberFormat="1" applyFont="1" applyBorder="1"/>
    <xf numFmtId="164" fontId="29" fillId="0" borderId="48" xfId="2" applyNumberFormat="1" applyFont="1" applyBorder="1"/>
    <xf numFmtId="164" fontId="29" fillId="0" borderId="11" xfId="2" applyNumberFormat="1" applyFont="1" applyBorder="1"/>
    <xf numFmtId="164" fontId="29" fillId="0" borderId="47" xfId="2" applyNumberFormat="1" applyFont="1" applyBorder="1"/>
    <xf numFmtId="164" fontId="29" fillId="0" borderId="44" xfId="2" applyNumberFormat="1" applyFont="1" applyBorder="1"/>
    <xf numFmtId="164" fontId="29" fillId="0" borderId="50" xfId="2" applyNumberFormat="1" applyFont="1" applyBorder="1"/>
    <xf numFmtId="0" fontId="0" fillId="0" borderId="0" xfId="0" applyBorder="1" applyProtection="1">
      <protection locked="0"/>
    </xf>
    <xf numFmtId="165" fontId="0" fillId="0" borderId="0" xfId="0" applyNumberFormat="1" applyBorder="1" applyProtection="1">
      <protection locked="0"/>
    </xf>
    <xf numFmtId="164" fontId="0" fillId="0" borderId="0" xfId="0" applyNumberFormat="1" applyBorder="1" applyProtection="1">
      <protection locked="0"/>
    </xf>
    <xf numFmtId="166" fontId="0" fillId="0" borderId="0" xfId="0" applyNumberFormat="1" applyBorder="1" applyProtection="1">
      <protection locked="0"/>
    </xf>
    <xf numFmtId="164" fontId="0" fillId="0" borderId="0" xfId="0" applyNumberFormat="1" applyBorder="1" applyProtection="1"/>
    <xf numFmtId="14" fontId="0" fillId="0" borderId="0" xfId="0" applyNumberFormat="1" applyBorder="1" applyProtection="1">
      <protection locked="0"/>
    </xf>
    <xf numFmtId="167" fontId="0" fillId="0" borderId="0" xfId="0" applyNumberFormat="1" applyBorder="1" applyProtection="1">
      <protection locked="0"/>
    </xf>
    <xf numFmtId="10" fontId="0" fillId="0" borderId="0" xfId="0" applyNumberFormat="1" applyBorder="1" applyProtection="1">
      <protection locked="0"/>
    </xf>
    <xf numFmtId="168" fontId="0" fillId="2" borderId="10" xfId="0" applyNumberFormat="1" applyFont="1" applyFill="1" applyBorder="1" applyAlignment="1">
      <alignment horizontal="center"/>
    </xf>
    <xf numFmtId="168" fontId="0" fillId="2" borderId="11" xfId="0" applyNumberFormat="1" applyFont="1" applyFill="1" applyBorder="1" applyAlignment="1">
      <alignment horizontal="center"/>
    </xf>
    <xf numFmtId="168" fontId="0" fillId="2" borderId="12" xfId="0" applyNumberFormat="1" applyFont="1" applyFill="1" applyBorder="1" applyAlignment="1">
      <alignment horizontal="center"/>
    </xf>
    <xf numFmtId="168" fontId="0" fillId="2" borderId="14" xfId="0" applyNumberFormat="1" applyFont="1" applyFill="1" applyBorder="1" applyAlignment="1">
      <alignment horizontal="center"/>
    </xf>
    <xf numFmtId="169" fontId="0" fillId="0" borderId="7" xfId="0" applyNumberFormat="1" applyBorder="1" applyAlignment="1" applyProtection="1">
      <alignment horizontal="center"/>
      <protection locked="0"/>
    </xf>
    <xf numFmtId="169" fontId="0" fillId="0" borderId="9" xfId="0" applyNumberFormat="1" applyBorder="1" applyAlignment="1" applyProtection="1">
      <alignment horizontal="center"/>
      <protection locked="0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0" fillId="0" borderId="6" xfId="0" applyBorder="1" applyAlignment="1" applyProtection="1">
      <alignment horizontal="left"/>
      <protection locked="0"/>
    </xf>
    <xf numFmtId="14" fontId="0" fillId="0" borderId="24" xfId="0" applyNumberFormat="1" applyBorder="1" applyAlignment="1" applyProtection="1">
      <alignment horizontal="left"/>
      <protection locked="0"/>
    </xf>
    <xf numFmtId="14" fontId="0" fillId="0" borderId="25" xfId="0" applyNumberFormat="1" applyBorder="1" applyAlignment="1" applyProtection="1">
      <alignment horizontal="left"/>
      <protection locked="0"/>
    </xf>
    <xf numFmtId="14" fontId="0" fillId="0" borderId="26" xfId="0" applyNumberFormat="1" applyBorder="1" applyAlignment="1" applyProtection="1">
      <alignment horizontal="left"/>
      <protection locked="0"/>
    </xf>
    <xf numFmtId="0" fontId="0" fillId="0" borderId="6" xfId="0" applyFill="1" applyBorder="1" applyAlignment="1" applyProtection="1">
      <alignment horizontal="center"/>
      <protection locked="0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165" fontId="0" fillId="0" borderId="6" xfId="0" applyNumberFormat="1" applyFill="1" applyBorder="1" applyAlignment="1" applyProtection="1">
      <alignment horizontal="center"/>
      <protection locked="0"/>
    </xf>
    <xf numFmtId="0" fontId="28" fillId="0" borderId="12" xfId="2" applyFont="1" applyBorder="1" applyAlignment="1">
      <alignment horizontal="center"/>
    </xf>
    <xf numFmtId="0" fontId="28" fillId="0" borderId="13" xfId="2" applyFont="1" applyBorder="1" applyAlignment="1">
      <alignment horizontal="center"/>
    </xf>
    <xf numFmtId="0" fontId="28" fillId="0" borderId="14" xfId="2" applyFont="1" applyBorder="1" applyAlignment="1">
      <alignment horizontal="center"/>
    </xf>
    <xf numFmtId="0" fontId="11" fillId="4" borderId="7" xfId="2" applyFont="1" applyFill="1" applyBorder="1" applyAlignment="1">
      <alignment horizontal="center"/>
    </xf>
    <xf numFmtId="0" fontId="11" fillId="4" borderId="8" xfId="2" applyFont="1" applyFill="1" applyBorder="1" applyAlignment="1">
      <alignment horizontal="center"/>
    </xf>
    <xf numFmtId="0" fontId="11" fillId="4" borderId="9" xfId="2" applyFont="1" applyFill="1" applyBorder="1" applyAlignment="1">
      <alignment horizontal="center"/>
    </xf>
    <xf numFmtId="0" fontId="29" fillId="0" borderId="49" xfId="2" applyFont="1" applyBorder="1" applyAlignment="1">
      <alignment horizontal="right"/>
    </xf>
    <xf numFmtId="0" fontId="29" fillId="0" borderId="44" xfId="2" applyFont="1" applyBorder="1" applyAlignment="1">
      <alignment horizontal="right"/>
    </xf>
    <xf numFmtId="0" fontId="18" fillId="0" borderId="30" xfId="2" applyFont="1" applyBorder="1" applyAlignment="1">
      <alignment horizontal="center"/>
    </xf>
    <xf numFmtId="0" fontId="18" fillId="0" borderId="0" xfId="2" applyFont="1" applyBorder="1" applyAlignment="1">
      <alignment horizontal="center"/>
    </xf>
    <xf numFmtId="0" fontId="26" fillId="2" borderId="24" xfId="2" applyFont="1" applyFill="1" applyBorder="1" applyAlignment="1">
      <alignment horizontal="center"/>
    </xf>
    <xf numFmtId="0" fontId="26" fillId="2" borderId="25" xfId="2" applyFont="1" applyFill="1" applyBorder="1" applyAlignment="1">
      <alignment horizontal="center"/>
    </xf>
    <xf numFmtId="0" fontId="26" fillId="2" borderId="26" xfId="2" applyFont="1" applyFill="1" applyBorder="1" applyAlignment="1">
      <alignment horizontal="center"/>
    </xf>
    <xf numFmtId="0" fontId="18" fillId="0" borderId="24" xfId="2" applyFont="1" applyBorder="1" applyAlignment="1">
      <alignment horizontal="center"/>
    </xf>
    <xf numFmtId="0" fontId="18" fillId="0" borderId="25" xfId="2" applyFont="1" applyBorder="1" applyAlignment="1">
      <alignment horizontal="center"/>
    </xf>
    <xf numFmtId="0" fontId="18" fillId="0" borderId="26" xfId="2" applyFont="1" applyBorder="1" applyAlignment="1">
      <alignment horizontal="center"/>
    </xf>
    <xf numFmtId="164" fontId="18" fillId="0" borderId="6" xfId="2" applyNumberFormat="1" applyFont="1" applyBorder="1" applyAlignment="1">
      <alignment horizontal="center"/>
    </xf>
    <xf numFmtId="0" fontId="11" fillId="4" borderId="6" xfId="2" applyFont="1" applyFill="1" applyBorder="1" applyAlignment="1">
      <alignment horizontal="center"/>
    </xf>
    <xf numFmtId="164" fontId="27" fillId="0" borderId="6" xfId="2" applyNumberFormat="1" applyFont="1" applyBorder="1" applyAlignment="1">
      <alignment horizontal="right"/>
    </xf>
    <xf numFmtId="164" fontId="27" fillId="0" borderId="20" xfId="2" applyNumberFormat="1" applyFont="1" applyBorder="1" applyAlignment="1">
      <alignment horizontal="right"/>
    </xf>
    <xf numFmtId="0" fontId="18" fillId="3" borderId="19" xfId="2" applyFont="1" applyFill="1" applyBorder="1" applyAlignment="1">
      <alignment horizontal="left"/>
    </xf>
    <xf numFmtId="0" fontId="18" fillId="3" borderId="6" xfId="2" applyFont="1" applyFill="1" applyBorder="1" applyAlignment="1">
      <alignment horizontal="left"/>
    </xf>
    <xf numFmtId="164" fontId="18" fillId="0" borderId="24" xfId="2" applyNumberFormat="1" applyFont="1" applyBorder="1" applyAlignment="1">
      <alignment horizontal="center"/>
    </xf>
    <xf numFmtId="0" fontId="12" fillId="4" borderId="6" xfId="2" applyFont="1" applyFill="1" applyBorder="1" applyAlignment="1">
      <alignment horizontal="center"/>
    </xf>
    <xf numFmtId="164" fontId="25" fillId="0" borderId="6" xfId="2" applyNumberFormat="1" applyFont="1" applyBorder="1" applyAlignment="1">
      <alignment horizontal="right"/>
    </xf>
    <xf numFmtId="164" fontId="25" fillId="0" borderId="20" xfId="2" applyNumberFormat="1" applyFont="1" applyBorder="1" applyAlignment="1">
      <alignment horizontal="right"/>
    </xf>
    <xf numFmtId="0" fontId="18" fillId="3" borderId="19" xfId="2" applyFont="1" applyFill="1" applyBorder="1" applyAlignment="1">
      <alignment horizontal="center"/>
    </xf>
    <xf numFmtId="0" fontId="18" fillId="3" borderId="6" xfId="2" applyFont="1" applyFill="1" applyBorder="1" applyAlignment="1">
      <alignment horizontal="center"/>
    </xf>
    <xf numFmtId="1" fontId="4" fillId="6" borderId="7" xfId="1" applyNumberFormat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" xfId="0" applyBorder="1" applyAlignment="1">
      <alignment horizontal="center"/>
    </xf>
    <xf numFmtId="0" fontId="11" fillId="4" borderId="36" xfId="2" applyFont="1" applyFill="1" applyBorder="1" applyAlignment="1">
      <alignment horizontal="center"/>
    </xf>
    <xf numFmtId="0" fontId="11" fillId="4" borderId="37" xfId="2" applyFont="1" applyFill="1" applyBorder="1" applyAlignment="1">
      <alignment horizontal="center"/>
    </xf>
    <xf numFmtId="0" fontId="11" fillId="4" borderId="38" xfId="2" applyFont="1" applyFill="1" applyBorder="1" applyAlignment="1">
      <alignment horizontal="center"/>
    </xf>
    <xf numFmtId="0" fontId="12" fillId="2" borderId="39" xfId="2" applyFont="1" applyFill="1" applyBorder="1" applyAlignment="1">
      <alignment horizontal="center"/>
    </xf>
    <xf numFmtId="0" fontId="12" fillId="2" borderId="28" xfId="2" applyFont="1" applyFill="1" applyBorder="1" applyAlignment="1">
      <alignment horizontal="center"/>
    </xf>
    <xf numFmtId="0" fontId="12" fillId="2" borderId="29" xfId="2" applyFont="1" applyFill="1" applyBorder="1" applyAlignment="1">
      <alignment horizontal="center"/>
    </xf>
    <xf numFmtId="0" fontId="12" fillId="2" borderId="24" xfId="2" applyFont="1" applyFill="1" applyBorder="1" applyAlignment="1">
      <alignment horizontal="center"/>
    </xf>
    <xf numFmtId="0" fontId="12" fillId="2" borderId="25" xfId="2" applyFont="1" applyFill="1" applyBorder="1" applyAlignment="1">
      <alignment horizontal="center"/>
    </xf>
    <xf numFmtId="0" fontId="12" fillId="2" borderId="34" xfId="2" applyFont="1" applyFill="1" applyBorder="1" applyAlignment="1">
      <alignment horizontal="center"/>
    </xf>
    <xf numFmtId="173" fontId="14" fillId="0" borderId="25" xfId="2" applyNumberFormat="1" applyFont="1" applyBorder="1" applyAlignment="1">
      <alignment horizontal="left"/>
    </xf>
    <xf numFmtId="0" fontId="16" fillId="3" borderId="39" xfId="2" applyFont="1" applyFill="1" applyBorder="1" applyAlignment="1">
      <alignment horizontal="center" vertical="center"/>
    </xf>
    <xf numFmtId="0" fontId="16" fillId="3" borderId="28" xfId="2" applyFont="1" applyFill="1" applyBorder="1" applyAlignment="1">
      <alignment horizontal="center" vertical="center"/>
    </xf>
    <xf numFmtId="0" fontId="16" fillId="3" borderId="29" xfId="2" applyFont="1" applyFill="1" applyBorder="1" applyAlignment="1">
      <alignment horizontal="center" vertical="center"/>
    </xf>
    <xf numFmtId="0" fontId="16" fillId="3" borderId="41" xfId="2" applyFont="1" applyFill="1" applyBorder="1" applyAlignment="1">
      <alignment horizontal="center" vertical="center"/>
    </xf>
    <xf numFmtId="0" fontId="16" fillId="3" borderId="1" xfId="2" applyFont="1" applyFill="1" applyBorder="1" applyAlignment="1">
      <alignment horizontal="center" vertical="center"/>
    </xf>
    <xf numFmtId="0" fontId="16" fillId="3" borderId="33" xfId="2" applyFont="1" applyFill="1" applyBorder="1" applyAlignment="1">
      <alignment horizontal="center" vertical="center"/>
    </xf>
    <xf numFmtId="0" fontId="20" fillId="3" borderId="48" xfId="2" applyFont="1" applyFill="1" applyBorder="1" applyAlignment="1">
      <alignment horizontal="center" vertical="center"/>
    </xf>
    <xf numFmtId="0" fontId="20" fillId="3" borderId="35" xfId="2" applyFont="1" applyFill="1" applyBorder="1" applyAlignment="1">
      <alignment horizontal="center" vertical="center"/>
    </xf>
    <xf numFmtId="0" fontId="20" fillId="3" borderId="24" xfId="2" applyFont="1" applyFill="1" applyBorder="1" applyAlignment="1">
      <alignment horizontal="center"/>
    </xf>
    <xf numFmtId="0" fontId="20" fillId="3" borderId="25" xfId="2" applyFont="1" applyFill="1" applyBorder="1" applyAlignment="1">
      <alignment horizontal="center"/>
    </xf>
    <xf numFmtId="0" fontId="20" fillId="3" borderId="26" xfId="2" applyFont="1" applyFill="1" applyBorder="1" applyAlignment="1">
      <alignment horizontal="center"/>
    </xf>
    <xf numFmtId="0" fontId="20" fillId="3" borderId="34" xfId="2" applyFont="1" applyFill="1" applyBorder="1" applyAlignment="1">
      <alignment horizontal="center"/>
    </xf>
    <xf numFmtId="0" fontId="18" fillId="0" borderId="10" xfId="2" applyFont="1" applyBorder="1" applyAlignment="1">
      <alignment horizontal="left"/>
    </xf>
    <xf numFmtId="0" fontId="18" fillId="0" borderId="0" xfId="2" applyFont="1" applyBorder="1" applyAlignment="1">
      <alignment horizontal="left"/>
    </xf>
    <xf numFmtId="0" fontId="18" fillId="0" borderId="31" xfId="2" applyFont="1" applyBorder="1" applyAlignment="1">
      <alignment horizontal="left"/>
    </xf>
    <xf numFmtId="0" fontId="24" fillId="3" borderId="43" xfId="2" applyFont="1" applyFill="1" applyBorder="1" applyAlignment="1">
      <alignment horizontal="left"/>
    </xf>
    <xf numFmtId="0" fontId="24" fillId="3" borderId="25" xfId="2" applyFont="1" applyFill="1" applyBorder="1" applyAlignment="1">
      <alignment horizontal="left"/>
    </xf>
    <xf numFmtId="0" fontId="24" fillId="3" borderId="26" xfId="2" applyFont="1" applyFill="1" applyBorder="1" applyAlignment="1">
      <alignment horizontal="left"/>
    </xf>
    <xf numFmtId="0" fontId="0" fillId="0" borderId="0" xfId="0" applyProtection="1">
      <protection locked="0"/>
    </xf>
    <xf numFmtId="0" fontId="1" fillId="0" borderId="0" xfId="0" applyFont="1"/>
  </cellXfs>
  <cellStyles count="5">
    <cellStyle name="Milliers 7" xfId="3" xr:uid="{9183036A-C997-EE4D-885B-93B5D054E640}"/>
    <cellStyle name="Normal" xfId="0" builtinId="0"/>
    <cellStyle name="Normal 2 2 2" xfId="1" xr:uid="{C297FB12-7B43-BA46-9C0E-31D62AAD0389}"/>
    <cellStyle name="Normal_DITEE" xfId="4" xr:uid="{EED54E8E-0FA3-344C-94F0-75E2C0B42FB0}"/>
    <cellStyle name="Normal_LAMA" xfId="2" xr:uid="{90882D3F-8D1E-EE4D-81CC-F2520D977C35}"/>
  </cellStyles>
  <dxfs count="20">
    <dxf>
      <protection locked="0" hidden="0"/>
    </dxf>
    <dxf>
      <numFmt numFmtId="14" formatCode="0.00%"/>
      <border diagonalUp="0" diagonalDown="0">
        <left style="thin">
          <color indexed="64"/>
        </left>
        <right/>
        <top style="medium">
          <color indexed="64"/>
        </top>
        <bottom/>
        <vertical/>
        <horizontal/>
      </border>
      <protection locked="0" hidden="0"/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numFmt numFmtId="167" formatCode="[&gt;=3000000000000]#&quot; &quot;##&quot; &quot;##&quot; &quot;##&quot; &quot;###&quot; &quot;###&quot; | &quot;##;#&quot; &quot;##&quot; &quot;##&quot; &quot;##&quot; &quot;###&quot; &quot;###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numFmt numFmtId="164" formatCode="_ * #,##0.00_)\ &quot;€&quot;_ ;_ * \(#,##0.00\)\ &quot;€&quot;_ ;_ * &quot;-&quot;??_)\ &quot;€&quot;_ ;_ @_ 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1" hidden="0"/>
    </dxf>
    <dxf>
      <numFmt numFmtId="166" formatCode="0.00\ &quot;h&quot;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numFmt numFmtId="164" formatCode="_ * #,##0.00_)\ &quot;€&quot;_ ;_ * \(#,##0.00\)\ &quot;€&quot;_ ;_ * &quot;-&quot;??_)\ &quot;€&quot;_ ;_ @_ 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numFmt numFmtId="165" formatCode="0000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medium">
          <color indexed="64"/>
        </top>
        <bottom/>
        <vertical/>
        <horizontal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microsoft.com/office/2006/relationships/vbaProject" Target="vbaProject.bin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21</xdr:row>
          <xdr:rowOff>47625</xdr:rowOff>
        </xdr:from>
        <xdr:to>
          <xdr:col>16</xdr:col>
          <xdr:colOff>804863</xdr:colOff>
          <xdr:row>22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salarié</a:t>
              </a:r>
            </a:p>
          </xdr:txBody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Users\pierre\AppData\Local\Temp\Rar$DIa0.137\Locatelli-corrig&#2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luccini\EUROFOAD\Activit&#233;%20PAIE\Basetaux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ctivit&#233;-Paie-2008%20mise%20&#224;%20jour%20partielle\Basetaux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ROGRESSION%20COMPTABLES%20ASSISTANTS\Exercices%20Complets\DME%202010\DOSSIER-DEPART\DEPART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uccini\EUROFOAD\Activit&#233;%20PAIE\Basetaux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B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FPA\PROGRESSION%20COMPTABLES%20ASSISTANTS\Exercices%20Complets\DME%202010\CORRIGE\corrig&#233;%20travaux%20courants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uD%20MARINE%202015_10_07\SudMarine-Enonc&#233;-Maj-PBR-10_2015-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balance"/>
      <sheetName val="2058B N-1"/>
      <sheetName val="Gd Livre"/>
      <sheetName val="monnaies"/>
      <sheetName val="immos"/>
      <sheetName val="2058B"/>
      <sheetName val="2058A"/>
      <sheetName val="Détails"/>
      <sheetName val="immos corrigé"/>
      <sheetName val="Journal corrigé"/>
      <sheetName val="balance corrigé"/>
      <sheetName val="Résultat comptable"/>
      <sheetName val="Résultat fiscal"/>
      <sheetName val="2058A corrigé"/>
      <sheetName val="2058B corrigé"/>
      <sheetName val="sheet5"/>
      <sheetName val="Sheet6"/>
      <sheetName val="Sheet7"/>
      <sheetName val="Sheet11"/>
      <sheetName val="Sheet12"/>
      <sheetName val="Sheet13"/>
    </sheetNames>
    <sheetDataSet>
      <sheetData sheetId="0">
        <row r="1">
          <cell r="B1">
            <v>2010</v>
          </cell>
        </row>
        <row r="4">
          <cell r="B4">
            <v>1.196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SATIONS"/>
      <sheetName val="formules"/>
      <sheetName val="CADRE "/>
      <sheetName val="n_cadre"/>
      <sheetName val="cadre"/>
      <sheetName val="Feuil1"/>
      <sheetName val="maquette"/>
      <sheetName val="maquette (2)"/>
      <sheetName val="maquette (3)"/>
      <sheetName val="Basetaux"/>
      <sheetName val="Non cadre TEPA plus 20 sal "/>
      <sheetName val="Cadre TEPA plus 20 sal"/>
      <sheetName val="Gérant plus 20 sal"/>
      <sheetName val="NC vierge"/>
      <sheetName val="Cadre vierge"/>
      <sheetName val="Gérant vierge"/>
      <sheetName val="Logement"/>
      <sheetName val="saisie arrêt"/>
    </sheetNames>
    <sheetDataSet>
      <sheetData sheetId="0" refreshError="1">
        <row r="9">
          <cell r="B9">
            <v>0.13100000000000001</v>
          </cell>
          <cell r="C9">
            <v>7.4999999999999997E-3</v>
          </cell>
        </row>
        <row r="10">
          <cell r="B10">
            <v>8.3000000000000004E-2</v>
          </cell>
          <cell r="C10">
            <v>6.6500000000000004E-2</v>
          </cell>
        </row>
        <row r="11">
          <cell r="B11">
            <v>1.6E-2</v>
          </cell>
          <cell r="C11">
            <v>1E-3</v>
          </cell>
        </row>
        <row r="12">
          <cell r="C12">
            <v>1E-3</v>
          </cell>
        </row>
        <row r="13">
          <cell r="B13">
            <v>5.3999999999999999E-2</v>
          </cell>
        </row>
        <row r="14">
          <cell r="B14">
            <v>1E-3</v>
          </cell>
        </row>
        <row r="16">
          <cell r="C16">
            <v>2.4E-2</v>
          </cell>
        </row>
        <row r="17">
          <cell r="C17">
            <v>5.0999999999999997E-2</v>
          </cell>
        </row>
        <row r="18">
          <cell r="C18">
            <v>5.0000000000000001E-3</v>
          </cell>
        </row>
        <row r="19">
          <cell r="B19">
            <v>4.0000000000000001E-3</v>
          </cell>
        </row>
        <row r="20">
          <cell r="B20">
            <v>0.08</v>
          </cell>
        </row>
        <row r="27">
          <cell r="B27">
            <v>0.04</v>
          </cell>
          <cell r="C27">
            <v>2.4E-2</v>
          </cell>
        </row>
        <row r="28">
          <cell r="B28">
            <v>0.04</v>
          </cell>
          <cell r="C28">
            <v>2.4E-2</v>
          </cell>
        </row>
        <row r="29">
          <cell r="B29">
            <v>1.5E-3</v>
          </cell>
          <cell r="C29">
            <v>2.4E-2</v>
          </cell>
        </row>
        <row r="30">
          <cell r="B30">
            <v>1.5E-3</v>
          </cell>
        </row>
        <row r="36">
          <cell r="B36">
            <v>0.126</v>
          </cell>
          <cell r="C36">
            <v>7.6999999999999999E-2</v>
          </cell>
        </row>
        <row r="37">
          <cell r="B37">
            <v>3.6000000000000002E-4</v>
          </cell>
          <cell r="C37">
            <v>2.4000000000000001E-4</v>
          </cell>
        </row>
        <row r="38">
          <cell r="B38">
            <v>11.98</v>
          </cell>
          <cell r="C38">
            <v>7.99</v>
          </cell>
        </row>
        <row r="39">
          <cell r="B39">
            <v>1.4999999999999999E-2</v>
          </cell>
          <cell r="C39">
            <v>7.99</v>
          </cell>
        </row>
        <row r="40">
          <cell r="B40">
            <v>2.2000000000000001E-3</v>
          </cell>
          <cell r="C40">
            <v>1.2999999999999999E-3</v>
          </cell>
        </row>
        <row r="41">
          <cell r="B41">
            <v>4.4999999999999998E-2</v>
          </cell>
        </row>
        <row r="42">
          <cell r="B42">
            <v>0.12</v>
          </cell>
          <cell r="C42">
            <v>0.08</v>
          </cell>
        </row>
        <row r="43">
          <cell r="B43">
            <v>1.2E-2</v>
          </cell>
          <cell r="C43">
            <v>8.0000000000000002E-3</v>
          </cell>
        </row>
        <row r="44">
          <cell r="B44">
            <v>1.2999999999999999E-2</v>
          </cell>
          <cell r="C44">
            <v>8.9999999999999993E-3</v>
          </cell>
        </row>
        <row r="49">
          <cell r="B49">
            <v>0</v>
          </cell>
        </row>
        <row r="71">
          <cell r="B71">
            <v>57.8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SATIONS"/>
      <sheetName val="formules"/>
      <sheetName val="Non cadre TEPA plus 20 sal "/>
      <sheetName val="Cadre TEPA plus 20 sal"/>
      <sheetName val="Gérant plus 20 sal"/>
      <sheetName val="NC vierge"/>
      <sheetName val="Cadre vierge"/>
      <sheetName val="Gérant vierge"/>
    </sheetNames>
    <sheetDataSet>
      <sheetData sheetId="0" refreshError="1">
        <row r="20">
          <cell r="B20">
            <v>4.0000000000000001E-3</v>
          </cell>
        </row>
        <row r="44">
          <cell r="C44">
            <v>8.0000000000000002E-3</v>
          </cell>
        </row>
        <row r="45">
          <cell r="C45">
            <v>8.9999999999999993E-3</v>
          </cell>
        </row>
        <row r="46">
          <cell r="B46">
            <v>1.2E-2</v>
          </cell>
          <cell r="C46">
            <v>8.0000000000000002E-3</v>
          </cell>
        </row>
        <row r="47">
          <cell r="B47">
            <v>1.2999999999999999E-2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stocks achats"/>
      <sheetName val="cpte résult fonct."/>
      <sheetName val="stocks 30.11"/>
      <sheetName val="Emprunt"/>
      <sheetName val="fournisseurs"/>
      <sheetName val="Clients"/>
      <sheetName val="Eff à recevoir"/>
      <sheetName val="Immob amort"/>
      <sheetName val="Charges à payer"/>
      <sheetName val="DME1543"/>
      <sheetName val="DOSD1P16"/>
      <sheetName val="DME456"/>
      <sheetName val="calendrier"/>
      <sheetName val="2058 A"/>
      <sheetName val="2058 B"/>
      <sheetName val="Feuil3"/>
    </sheetNames>
    <sheetDataSet>
      <sheetData sheetId="0">
        <row r="1">
          <cell r="B1">
            <v>0.19600000000000001</v>
          </cell>
          <cell r="C1">
            <v>1.196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SATIONS"/>
      <sheetName val="formules"/>
      <sheetName val="Non cadre TEPA plus 20 sal "/>
      <sheetName val="Cadre TEPA plus 20 sal"/>
      <sheetName val="Gérant plus 20 sal"/>
      <sheetName val="NC vierge"/>
      <sheetName val="Cadre vierge"/>
      <sheetName val="Gérant vierge"/>
      <sheetName val="CADRE "/>
      <sheetName val="n_cadre"/>
      <sheetName val="cadre"/>
      <sheetName val="Feuil1"/>
      <sheetName val="maquette"/>
      <sheetName val="maquette (2)"/>
      <sheetName val="maquette (3)"/>
      <sheetName val="Basetaux"/>
      <sheetName val="Logement"/>
      <sheetName val="saisie arrêt"/>
    </sheetNames>
    <sheetDataSet>
      <sheetData sheetId="0">
        <row r="9">
          <cell r="B9">
            <v>0.128</v>
          </cell>
        </row>
        <row r="60">
          <cell r="B60">
            <v>3.21</v>
          </cell>
        </row>
        <row r="61">
          <cell r="B61">
            <v>3.31</v>
          </cell>
        </row>
        <row r="66">
          <cell r="B66">
            <v>8</v>
          </cell>
        </row>
        <row r="67">
          <cell r="B67">
            <v>5.5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EPA 1"/>
      <sheetName val="PREPA 2"/>
      <sheetName val="BS"/>
      <sheetName val="CDCP"/>
      <sheetName val="Feuil1"/>
    </sheetNames>
    <sheetDataSet>
      <sheetData sheetId="0"/>
      <sheetData sheetId="1"/>
      <sheetData sheetId="2">
        <row r="4">
          <cell r="O4" t="str">
            <v>Travail</v>
          </cell>
        </row>
        <row r="5">
          <cell r="O5" t="str">
            <v>Congé payé</v>
          </cell>
        </row>
        <row r="6">
          <cell r="O6" t="str">
            <v>Maladie</v>
          </cell>
        </row>
        <row r="7">
          <cell r="O7" t="str">
            <v>Maladie Pro</v>
          </cell>
        </row>
        <row r="8">
          <cell r="O8" t="str">
            <v>Acc. du travail</v>
          </cell>
        </row>
        <row r="9">
          <cell r="O9" t="str">
            <v>Entrée/Sortie</v>
          </cell>
        </row>
        <row r="10">
          <cell r="O10" t="str">
            <v>Absence perso.</v>
          </cell>
        </row>
        <row r="11">
          <cell r="O11" t="str">
            <v>Absence prof.</v>
          </cell>
        </row>
        <row r="12">
          <cell r="O12" t="str">
            <v>Repos</v>
          </cell>
        </row>
        <row r="13">
          <cell r="O13" t="str">
            <v>RTT</v>
          </cell>
        </row>
      </sheetData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Ventes"/>
      <sheetName val="Achats"/>
      <sheetName val="Banque"/>
      <sheetName val="Caisse"/>
      <sheetName val="Effets à payer"/>
      <sheetName val="Effets à recevoir"/>
      <sheetName val="Opérations diverses"/>
      <sheetName val="balance avant inventaire"/>
      <sheetName val="Rapp bancaire"/>
      <sheetName val="RelevéBNP"/>
      <sheetName val="état préparatoire"/>
      <sheetName val="imprimé tva ca3"/>
      <sheetName val="centralisation"/>
      <sheetName val="Feuil1"/>
      <sheetName val="corrigé travaux courants"/>
    </sheetNames>
    <sheetDataSet>
      <sheetData sheetId="0">
        <row r="1">
          <cell r="B1">
            <v>0.19600000000000001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immos"/>
      <sheetName val="Clients douteux"/>
      <sheetName val="Titres"/>
      <sheetName val="GL général"/>
      <sheetName val="EDF"/>
      <sheetName val="Guidicelli"/>
      <sheetName val="France Telecom"/>
      <sheetName val="ticket resto"/>
      <sheetName val="esso"/>
      <sheetName val="cession 1"/>
      <sheetName val="cession 2"/>
      <sheetName val="balance avant inventaire"/>
      <sheetName val="2058-B n-1"/>
      <sheetName val="2052 vierge"/>
      <sheetName val="2053 vierge"/>
      <sheetName val="2058-A vierge"/>
      <sheetName val="2058-B vierge"/>
      <sheetName val="URSSAF vierge"/>
      <sheetName val="ARRCO vierge"/>
      <sheetName val="AGIRC vierge"/>
      <sheetName val="fiche Salletaz"/>
      <sheetName val="fiche Visac"/>
      <sheetName val="fiche Teissonniere"/>
      <sheetName val="fiche Pouchon"/>
      <sheetName val="fiche Nombre"/>
      <sheetName val="RECAP + OPPOSITION"/>
    </sheetNames>
    <sheetDataSet>
      <sheetData sheetId="0">
        <row r="1">
          <cell r="B1">
            <v>0.2</v>
          </cell>
        </row>
        <row r="2">
          <cell r="B2">
            <v>5.5E-2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4F2DC1-E7E6-4605-8A5C-7B33EB954939}" name="ListeSalaries" displayName="ListeSalaries" ref="A25:Q26" totalsRowShown="0" headerRowDxfId="19" dataDxfId="18" tableBorderDxfId="17">
  <autoFilter ref="A25:Q26" xr:uid="{E9F32C27-3B41-4D5C-9D44-4AD68CE7129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7" xr3:uid="{7098D527-0EC3-48A4-9B77-8D1B2537B443}" name="Matricule" dataDxfId="0">
      <calculatedColumnFormula>A24</calculatedColumnFormula>
    </tableColumn>
    <tableColumn id="1" xr3:uid="{C746BFFF-5C45-4613-A132-0286B2A843DE}" name="Statut" dataDxfId="16"/>
    <tableColumn id="2" xr3:uid="{66CF6C39-24E5-4C02-8683-47CAB963B8B3}" name="Nom" dataDxfId="15"/>
    <tableColumn id="3" xr3:uid="{09064FE0-10D4-4AD2-B6F3-E50C0B57B36A}" name="Prénom" dataDxfId="14"/>
    <tableColumn id="4" xr3:uid="{EA4E1268-2209-4334-A77F-D88F149664B7}" name="Adresse" dataDxfId="13"/>
    <tableColumn id="5" xr3:uid="{F3C3DF1A-644A-4A4F-9D16-F67AF0005EC7}" name="CP" dataDxfId="12"/>
    <tableColumn id="6" xr3:uid="{C8E4AC9D-D726-481C-A0FF-7F1611AA560A}" name="Ville" dataDxfId="11"/>
    <tableColumn id="7" xr3:uid="{D3A7C27C-61CF-4046-BF74-30FCF4AED667}" name="Classification" dataDxfId="10"/>
    <tableColumn id="8" xr3:uid="{17EE66B5-605B-4994-964F-D82074D4B082}" name="Niveau" dataDxfId="9"/>
    <tableColumn id="9" xr3:uid="{A5CCEAD4-A8B1-4361-A486-859DF2AE3045}" name="Echelon" dataDxfId="8"/>
    <tableColumn id="10" xr3:uid="{0F5A7557-CF15-4DBD-83FE-836935117690}" name="Salaire de base" dataDxfId="7"/>
    <tableColumn id="11" xr3:uid="{ABD46BA1-BFDF-42AB-BBA2-58BF307837B4}" name="Durée mensuelle" dataDxfId="6"/>
    <tableColumn id="12" xr3:uid="{4011E9C5-FF2F-4A60-A3BB-6F1827E43C3B}" name="Taux Horaire" dataDxfId="5">
      <calculatedColumnFormula>IFERROR(K26/L26,"")</calculatedColumnFormula>
    </tableColumn>
    <tableColumn id="13" xr3:uid="{25994AB6-B039-4736-A085-8A48825226FC}" name="Date d'entrée" dataDxfId="4"/>
    <tableColumn id="14" xr3:uid="{4D1D61D4-53C1-4C6B-B889-E1AA8E7FFAA5}" name="N° SS" dataDxfId="3"/>
    <tableColumn id="15" xr3:uid="{D2E7755F-06E9-4C3C-870C-0FF7E146AE3E}" name="DDN" dataDxfId="2"/>
    <tableColumn id="16" xr3:uid="{AA06B7E4-09C7-4BCF-94F2-3EC19634A1F8}" name="Taux PA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C4856-0676-D54B-9176-BA207248B147}">
  <sheetPr codeName="Feuil1"/>
  <dimension ref="A2:Q31"/>
  <sheetViews>
    <sheetView showGridLines="0" tabSelected="1" topLeftCell="A7" workbookViewId="0">
      <selection activeCell="E26" sqref="E26"/>
    </sheetView>
  </sheetViews>
  <sheetFormatPr baseColWidth="10" defaultRowHeight="15.75" x14ac:dyDescent="0.5"/>
  <cols>
    <col min="1" max="1" width="6.5" customWidth="1"/>
    <col min="2" max="2" width="21.8125" customWidth="1"/>
    <col min="3" max="3" width="13.8125" customWidth="1"/>
    <col min="4" max="4" width="15.6875" customWidth="1"/>
    <col min="5" max="5" width="18.1875" customWidth="1"/>
    <col min="6" max="6" width="9" customWidth="1"/>
    <col min="7" max="7" width="19.8125" customWidth="1"/>
    <col min="8" max="8" width="13.375" customWidth="1"/>
    <col min="9" max="9" width="8.25" customWidth="1"/>
    <col min="10" max="10" width="8.9375" customWidth="1"/>
    <col min="11" max="11" width="14.875" customWidth="1"/>
    <col min="12" max="12" width="16.4375" customWidth="1"/>
    <col min="13" max="13" width="13.0625" customWidth="1"/>
    <col min="14" max="14" width="13.75" customWidth="1"/>
    <col min="15" max="15" width="19.8125" customWidth="1"/>
    <col min="16" max="16" width="12.8125" customWidth="1"/>
  </cols>
  <sheetData>
    <row r="2" spans="2:17" ht="16.149999999999999" thickBot="1" x14ac:dyDescent="0.55000000000000004"/>
    <row r="3" spans="2:17" ht="16.149999999999999" thickBot="1" x14ac:dyDescent="0.55000000000000004">
      <c r="B3" s="279" t="s">
        <v>34</v>
      </c>
      <c r="C3" s="280"/>
      <c r="E3" s="30" t="s">
        <v>35</v>
      </c>
      <c r="F3" s="281" t="s">
        <v>37</v>
      </c>
      <c r="G3" s="281"/>
      <c r="H3" s="281"/>
      <c r="I3" s="281"/>
      <c r="J3" s="281"/>
    </row>
    <row r="4" spans="2:17" x14ac:dyDescent="0.5">
      <c r="B4" s="277">
        <v>44197</v>
      </c>
      <c r="C4" s="278"/>
      <c r="E4" s="30" t="s">
        <v>36</v>
      </c>
      <c r="F4" s="282">
        <f ca="1">TODAY()</f>
        <v>44300</v>
      </c>
      <c r="G4" s="283"/>
      <c r="H4" s="283"/>
      <c r="I4" s="283"/>
      <c r="J4" s="284"/>
    </row>
    <row r="5" spans="2:17" x14ac:dyDescent="0.5">
      <c r="B5" s="273">
        <f>B4</f>
        <v>44197</v>
      </c>
      <c r="C5" s="274"/>
    </row>
    <row r="6" spans="2:17" ht="16.149999999999999" thickBot="1" x14ac:dyDescent="0.55000000000000004">
      <c r="B6" s="275">
        <f>EOMONTH(B5,0)</f>
        <v>44227</v>
      </c>
      <c r="C6" s="276"/>
    </row>
    <row r="8" spans="2:17" ht="16.149999999999999" thickBot="1" x14ac:dyDescent="0.55000000000000004"/>
    <row r="9" spans="2:17" ht="23.65" thickBot="1" x14ac:dyDescent="0.75">
      <c r="B9" s="286" t="s">
        <v>18</v>
      </c>
      <c r="C9" s="287"/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7"/>
      <c r="P9" s="287"/>
      <c r="Q9" s="288"/>
    </row>
    <row r="10" spans="2:17" ht="16.05" customHeight="1" x14ac:dyDescent="0.7"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</row>
    <row r="11" spans="2:17" x14ac:dyDescent="0.5">
      <c r="B11" s="18" t="s">
        <v>19</v>
      </c>
      <c r="C11" s="285"/>
      <c r="D11" s="285"/>
      <c r="E11" s="285"/>
      <c r="F11" s="19"/>
      <c r="G11" s="19"/>
      <c r="H11" s="19"/>
      <c r="I11" s="19"/>
      <c r="J11" s="20" t="s">
        <v>26</v>
      </c>
      <c r="K11" s="29">
        <v>1554.58</v>
      </c>
      <c r="L11" s="19"/>
      <c r="M11" s="19"/>
      <c r="N11" s="20" t="s">
        <v>43</v>
      </c>
      <c r="O11" s="92">
        <v>151.66999999999999</v>
      </c>
      <c r="P11" s="19"/>
      <c r="Q11" s="21"/>
    </row>
    <row r="12" spans="2:17" x14ac:dyDescent="0.5">
      <c r="B12" s="18" t="s">
        <v>20</v>
      </c>
      <c r="C12" s="285"/>
      <c r="D12" s="285"/>
      <c r="E12" s="285"/>
      <c r="F12" s="19"/>
      <c r="G12" s="19"/>
      <c r="H12" s="19"/>
      <c r="I12" s="19"/>
      <c r="J12" s="20" t="s">
        <v>27</v>
      </c>
      <c r="K12" s="29">
        <v>3428</v>
      </c>
      <c r="L12" s="19"/>
      <c r="M12" s="19"/>
      <c r="N12" s="20" t="s">
        <v>243</v>
      </c>
      <c r="O12" s="156">
        <f>ROUND((O11/4.33),0)</f>
        <v>35</v>
      </c>
      <c r="P12" s="19"/>
      <c r="Q12" s="21"/>
    </row>
    <row r="13" spans="2:17" x14ac:dyDescent="0.5">
      <c r="B13" s="18"/>
      <c r="C13" s="285"/>
      <c r="D13" s="285"/>
      <c r="E13" s="285"/>
      <c r="F13" s="19"/>
      <c r="G13" s="19"/>
      <c r="H13" s="19"/>
      <c r="I13" s="19"/>
      <c r="J13" s="20" t="s">
        <v>28</v>
      </c>
      <c r="K13" s="27"/>
      <c r="L13" s="19"/>
      <c r="M13" s="19"/>
      <c r="N13" s="19"/>
      <c r="O13" s="19"/>
      <c r="P13" s="19"/>
      <c r="Q13" s="21"/>
    </row>
    <row r="14" spans="2:17" x14ac:dyDescent="0.5">
      <c r="B14" s="18" t="s">
        <v>21</v>
      </c>
      <c r="C14" s="26"/>
      <c r="D14" s="285"/>
      <c r="E14" s="285"/>
      <c r="F14" s="19"/>
      <c r="G14" s="19"/>
      <c r="H14" s="19"/>
      <c r="I14" s="19"/>
      <c r="J14" s="20" t="s">
        <v>29</v>
      </c>
      <c r="K14" s="27"/>
      <c r="L14" s="19"/>
      <c r="M14" s="19"/>
      <c r="N14" s="19"/>
      <c r="O14" s="19"/>
      <c r="P14" s="19"/>
      <c r="Q14" s="21"/>
    </row>
    <row r="15" spans="2:17" x14ac:dyDescent="0.5">
      <c r="B15" s="18"/>
      <c r="C15" s="19"/>
      <c r="D15" s="19"/>
      <c r="E15" s="19"/>
      <c r="F15" s="19"/>
      <c r="G15" s="19"/>
      <c r="H15" s="19"/>
      <c r="I15" s="19"/>
      <c r="J15" s="20"/>
      <c r="K15" s="19"/>
      <c r="L15" s="19"/>
      <c r="M15" s="19"/>
      <c r="N15" s="19"/>
      <c r="O15" s="19"/>
      <c r="P15" s="19"/>
      <c r="Q15" s="21"/>
    </row>
    <row r="16" spans="2:17" x14ac:dyDescent="0.5">
      <c r="B16" s="18" t="s">
        <v>22</v>
      </c>
      <c r="C16" s="289"/>
      <c r="D16" s="289"/>
      <c r="E16" s="22"/>
      <c r="F16" s="19"/>
      <c r="G16" s="19"/>
      <c r="H16" s="19"/>
      <c r="I16" s="19"/>
      <c r="J16" s="20" t="s">
        <v>30</v>
      </c>
      <c r="K16" s="29"/>
      <c r="L16" s="19"/>
      <c r="M16" s="19"/>
      <c r="N16" s="19"/>
      <c r="O16" s="19"/>
      <c r="P16" s="19"/>
      <c r="Q16" s="21"/>
    </row>
    <row r="17" spans="1:17" x14ac:dyDescent="0.5">
      <c r="B17" s="18" t="s">
        <v>23</v>
      </c>
      <c r="C17" s="285"/>
      <c r="D17" s="285"/>
      <c r="E17" s="19"/>
      <c r="F17" s="19"/>
      <c r="G17" s="19"/>
      <c r="H17" s="19"/>
      <c r="I17" s="19"/>
      <c r="J17" s="20" t="s">
        <v>31</v>
      </c>
      <c r="K17" s="27"/>
      <c r="L17" s="19"/>
      <c r="M17" s="19"/>
      <c r="N17" s="19"/>
      <c r="O17" s="19"/>
      <c r="P17" s="19"/>
      <c r="Q17" s="21"/>
    </row>
    <row r="18" spans="1:17" x14ac:dyDescent="0.5">
      <c r="B18" s="18" t="s">
        <v>24</v>
      </c>
      <c r="C18" s="285"/>
      <c r="D18" s="285"/>
      <c r="E18" s="22"/>
      <c r="F18" s="19"/>
      <c r="G18" s="19"/>
      <c r="H18" s="19"/>
      <c r="I18" s="19"/>
      <c r="J18" s="20" t="s">
        <v>32</v>
      </c>
      <c r="K18" s="28">
        <f>1-K17</f>
        <v>1</v>
      </c>
      <c r="L18" s="19"/>
      <c r="M18" s="19"/>
      <c r="N18" s="19"/>
      <c r="O18" s="19"/>
      <c r="P18" s="19"/>
      <c r="Q18" s="21"/>
    </row>
    <row r="19" spans="1:17" x14ac:dyDescent="0.5">
      <c r="B19" s="18" t="s">
        <v>25</v>
      </c>
      <c r="C19" s="285"/>
      <c r="D19" s="285"/>
      <c r="E19" s="22"/>
      <c r="F19" s="19"/>
      <c r="G19" s="19"/>
      <c r="H19" s="19"/>
      <c r="I19" s="19"/>
      <c r="J19" s="20" t="s">
        <v>33</v>
      </c>
      <c r="K19" s="27"/>
      <c r="L19" s="19"/>
      <c r="M19" s="19"/>
      <c r="N19" s="19"/>
      <c r="O19" s="19"/>
      <c r="P19" s="19"/>
      <c r="Q19" s="21"/>
    </row>
    <row r="20" spans="1:17" ht="16.149999999999999" thickBot="1" x14ac:dyDescent="0.55000000000000004"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5"/>
    </row>
    <row r="23" spans="1:17" ht="16.149999999999999" thickBot="1" x14ac:dyDescent="0.55000000000000004">
      <c r="B23" s="10" t="s">
        <v>16</v>
      </c>
      <c r="C23" s="11">
        <f>COUNTA(C26:C26)</f>
        <v>1</v>
      </c>
    </row>
    <row r="24" spans="1:17" ht="23.65" thickBot="1" x14ac:dyDescent="0.75">
      <c r="A24" s="354">
        <v>1</v>
      </c>
      <c r="B24" s="286" t="s">
        <v>17</v>
      </c>
      <c r="C24" s="287"/>
      <c r="D24" s="287"/>
      <c r="E24" s="287"/>
      <c r="F24" s="287"/>
      <c r="G24" s="287"/>
      <c r="H24" s="287"/>
      <c r="I24" s="287"/>
      <c r="J24" s="287"/>
      <c r="K24" s="287"/>
      <c r="L24" s="287"/>
      <c r="M24" s="287"/>
      <c r="N24" s="287"/>
      <c r="O24" s="287"/>
      <c r="P24" s="287"/>
      <c r="Q24" s="288"/>
    </row>
    <row r="25" spans="1:17" ht="52.05" customHeight="1" thickBot="1" x14ac:dyDescent="0.55000000000000004">
      <c r="A25" s="237" t="s">
        <v>258</v>
      </c>
      <c r="B25" s="236" t="s">
        <v>257</v>
      </c>
      <c r="C25" s="237" t="s">
        <v>1</v>
      </c>
      <c r="D25" s="237" t="s">
        <v>2</v>
      </c>
      <c r="E25" s="237" t="s">
        <v>3</v>
      </c>
      <c r="F25" s="237" t="s">
        <v>4</v>
      </c>
      <c r="G25" s="237" t="s">
        <v>5</v>
      </c>
      <c r="H25" s="237" t="s">
        <v>6</v>
      </c>
      <c r="I25" s="237" t="s">
        <v>7</v>
      </c>
      <c r="J25" s="237" t="s">
        <v>8</v>
      </c>
      <c r="K25" s="237" t="s">
        <v>9</v>
      </c>
      <c r="L25" s="237" t="s">
        <v>10</v>
      </c>
      <c r="M25" s="237" t="s">
        <v>11</v>
      </c>
      <c r="N25" s="237" t="s">
        <v>12</v>
      </c>
      <c r="O25" s="237" t="s">
        <v>13</v>
      </c>
      <c r="P25" s="237" t="s">
        <v>14</v>
      </c>
      <c r="Q25" s="238" t="s">
        <v>15</v>
      </c>
    </row>
    <row r="26" spans="1:17" x14ac:dyDescent="0.5">
      <c r="A26" s="353">
        <f>A24</f>
        <v>1</v>
      </c>
      <c r="B26" s="239" t="s">
        <v>0</v>
      </c>
      <c r="C26" s="240" t="s">
        <v>259</v>
      </c>
      <c r="D26" s="240" t="s">
        <v>260</v>
      </c>
      <c r="E26" s="240"/>
      <c r="F26" s="241"/>
      <c r="G26" s="240"/>
      <c r="H26" s="240"/>
      <c r="I26" s="240"/>
      <c r="J26" s="240"/>
      <c r="K26" s="242">
        <v>1800</v>
      </c>
      <c r="L26" s="243">
        <v>151.66999999999999</v>
      </c>
      <c r="M26" s="244">
        <f>IFERROR(K26/L26,"")</f>
        <v>11.867871035801413</v>
      </c>
      <c r="N26" s="245">
        <v>44197</v>
      </c>
      <c r="O26" s="246">
        <v>123364144</v>
      </c>
      <c r="P26" s="245"/>
      <c r="Q26" s="247"/>
    </row>
    <row r="27" spans="1:17" x14ac:dyDescent="0.5">
      <c r="B27" s="265"/>
      <c r="C27" s="265"/>
      <c r="D27" s="265"/>
      <c r="E27" s="265"/>
      <c r="F27" s="266"/>
      <c r="G27" s="265"/>
      <c r="H27" s="265"/>
      <c r="I27" s="265"/>
      <c r="J27" s="265"/>
      <c r="K27" s="267"/>
      <c r="L27" s="268"/>
      <c r="M27" s="269"/>
      <c r="N27" s="270"/>
      <c r="O27" s="271"/>
      <c r="P27" s="270"/>
      <c r="Q27" s="272"/>
    </row>
    <row r="28" spans="1:17" x14ac:dyDescent="0.5">
      <c r="B28" s="265"/>
      <c r="C28" s="265"/>
      <c r="D28" s="265"/>
      <c r="E28" s="265"/>
      <c r="F28" s="266"/>
      <c r="G28" s="265"/>
      <c r="H28" s="265"/>
      <c r="I28" s="265"/>
      <c r="J28" s="265"/>
      <c r="K28" s="267"/>
      <c r="L28" s="268"/>
      <c r="M28" s="269"/>
      <c r="N28" s="270"/>
      <c r="O28" s="271"/>
      <c r="P28" s="270"/>
      <c r="Q28" s="272"/>
    </row>
    <row r="29" spans="1:17" x14ac:dyDescent="0.5">
      <c r="B29" s="265"/>
      <c r="C29" s="265"/>
      <c r="D29" s="265"/>
      <c r="E29" s="265"/>
      <c r="F29" s="266"/>
      <c r="G29" s="265"/>
      <c r="H29" s="265"/>
      <c r="I29" s="265"/>
      <c r="J29" s="265"/>
      <c r="K29" s="267"/>
      <c r="L29" s="268"/>
      <c r="M29" s="269"/>
      <c r="N29" s="270"/>
      <c r="O29" s="271"/>
      <c r="P29" s="270"/>
      <c r="Q29" s="272"/>
    </row>
    <row r="30" spans="1:17" x14ac:dyDescent="0.5">
      <c r="B30" s="265"/>
      <c r="C30" s="265"/>
      <c r="D30" s="265"/>
      <c r="E30" s="265"/>
      <c r="F30" s="266"/>
      <c r="G30" s="265"/>
      <c r="H30" s="265"/>
      <c r="I30" s="265"/>
      <c r="J30" s="265"/>
      <c r="K30" s="267"/>
      <c r="L30" s="268"/>
      <c r="M30" s="269"/>
      <c r="N30" s="270"/>
      <c r="O30" s="271"/>
      <c r="P30" s="270"/>
      <c r="Q30" s="272"/>
    </row>
    <row r="31" spans="1:17" x14ac:dyDescent="0.5">
      <c r="B31" s="265"/>
      <c r="C31" s="265"/>
      <c r="D31" s="265"/>
      <c r="E31" s="265"/>
      <c r="F31" s="266"/>
      <c r="G31" s="265"/>
      <c r="H31" s="265"/>
      <c r="I31" s="265"/>
      <c r="J31" s="265"/>
      <c r="K31" s="267"/>
      <c r="L31" s="268"/>
      <c r="M31" s="269"/>
      <c r="N31" s="270"/>
      <c r="O31" s="271"/>
      <c r="P31" s="270"/>
      <c r="Q31" s="272"/>
    </row>
  </sheetData>
  <sheetProtection sheet="1" objects="1" scenarios="1" formatCells="0" formatColumns="0" formatRows="0" selectLockedCells="1" sort="0" autoFilter="0"/>
  <mergeCells count="16">
    <mergeCell ref="C17:D17"/>
    <mergeCell ref="C18:D18"/>
    <mergeCell ref="C19:D19"/>
    <mergeCell ref="B9:Q9"/>
    <mergeCell ref="B24:Q24"/>
    <mergeCell ref="C11:E11"/>
    <mergeCell ref="C12:E12"/>
    <mergeCell ref="C13:E13"/>
    <mergeCell ref="D14:E14"/>
    <mergeCell ref="C16:D16"/>
    <mergeCell ref="B5:C5"/>
    <mergeCell ref="B6:C6"/>
    <mergeCell ref="B4:C4"/>
    <mergeCell ref="B3:C3"/>
    <mergeCell ref="F3:J3"/>
    <mergeCell ref="F4:J4"/>
  </mergeCells>
  <dataValidations count="1">
    <dataValidation type="list" allowBlank="1" showInputMessage="1" showErrorMessage="1" sqref="B26:B31" xr:uid="{2E7AD28D-2025-4542-8F15-934567825577}">
      <formula1>"Salarié non cadre,Salarié cadre"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locked="0" defaultSize="0" print="0" autoFill="0" autoPict="0" macro="[0]!InsertLigneFeuilleProtégée">
                <anchor moveWithCells="1" sizeWithCells="1">
                  <from>
                    <xdr:col>15</xdr:col>
                    <xdr:colOff>38100</xdr:colOff>
                    <xdr:row>21</xdr:row>
                    <xdr:rowOff>47625</xdr:rowOff>
                  </from>
                  <to>
                    <xdr:col>16</xdr:col>
                    <xdr:colOff>804863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DD93F-7F4F-D949-81B2-D6B564A0F1AA}">
  <sheetPr codeName="Feuil2">
    <tabColor rgb="FFFFC000"/>
  </sheetPr>
  <dimension ref="A1:S131"/>
  <sheetViews>
    <sheetView showGridLines="0" workbookViewId="0">
      <selection activeCell="B1" sqref="B1"/>
    </sheetView>
  </sheetViews>
  <sheetFormatPr baseColWidth="10" defaultRowHeight="15.75" x14ac:dyDescent="0.5"/>
  <cols>
    <col min="2" max="2" width="27.3125" customWidth="1"/>
    <col min="3" max="8" width="14.8125" customWidth="1"/>
    <col min="9" max="9" width="12.6875" customWidth="1"/>
    <col min="10" max="10" width="12.1875" bestFit="1" customWidth="1"/>
    <col min="11" max="11" width="13.8125" customWidth="1"/>
    <col min="12" max="12" width="9.8125" customWidth="1"/>
    <col min="13" max="13" width="20.8125" customWidth="1"/>
    <col min="14" max="14" width="11.8125" customWidth="1"/>
    <col min="15" max="15" width="11.6875" customWidth="1"/>
    <col min="16" max="16" width="20.8125" customWidth="1"/>
    <col min="17" max="17" width="2.3125" customWidth="1"/>
    <col min="18" max="18" width="7.8125" customWidth="1"/>
    <col min="19" max="19" width="14.8125" customWidth="1"/>
  </cols>
  <sheetData>
    <row r="1" spans="1:19" x14ac:dyDescent="0.5">
      <c r="A1">
        <f>Menu!A26</f>
        <v>1</v>
      </c>
      <c r="B1" t="str">
        <f>Menu!B26</f>
        <v>Salarié non cadre</v>
      </c>
      <c r="C1" t="str">
        <f>Menu!C26</f>
        <v>TEST1</v>
      </c>
      <c r="D1" t="str">
        <f>Menu!D26</f>
        <v>TEST2</v>
      </c>
      <c r="E1">
        <f>Menu!E26</f>
        <v>0</v>
      </c>
      <c r="F1">
        <f>Menu!F26</f>
        <v>0</v>
      </c>
      <c r="G1">
        <f>Menu!G26</f>
        <v>0</v>
      </c>
      <c r="H1">
        <f>Menu!H26</f>
        <v>0</v>
      </c>
      <c r="I1">
        <f>Menu!I26</f>
        <v>0</v>
      </c>
      <c r="J1">
        <f>Menu!J26</f>
        <v>0</v>
      </c>
      <c r="K1">
        <f>Menu!K26</f>
        <v>1800</v>
      </c>
      <c r="L1">
        <f>Menu!L26</f>
        <v>151.66999999999999</v>
      </c>
      <c r="M1">
        <f>Menu!M26</f>
        <v>11.867871035801413</v>
      </c>
      <c r="N1">
        <f>Menu!N26</f>
        <v>44197</v>
      </c>
      <c r="O1">
        <f>Menu!O26</f>
        <v>123364144</v>
      </c>
      <c r="P1">
        <f>Menu!P26</f>
        <v>0</v>
      </c>
      <c r="Q1">
        <f>Menu!Q26</f>
        <v>0</v>
      </c>
    </row>
    <row r="3" spans="1:19" ht="16.149999999999999" thickBot="1" x14ac:dyDescent="0.55000000000000004"/>
    <row r="4" spans="1:19" ht="22.5" x14ac:dyDescent="0.5">
      <c r="B4" s="318" t="s">
        <v>242</v>
      </c>
      <c r="C4" s="319"/>
      <c r="D4" s="319"/>
      <c r="E4" s="319"/>
      <c r="F4" s="319"/>
      <c r="G4" s="319"/>
      <c r="H4" s="319"/>
      <c r="I4" s="320"/>
      <c r="K4" s="325" t="s">
        <v>140</v>
      </c>
      <c r="L4" s="326"/>
      <c r="M4" s="326"/>
      <c r="N4" s="326"/>
      <c r="O4" s="326"/>
      <c r="P4" s="326"/>
      <c r="Q4" s="326"/>
      <c r="R4" s="326"/>
      <c r="S4" s="327"/>
    </row>
    <row r="5" spans="1:19" x14ac:dyDescent="0.5">
      <c r="B5" s="206"/>
      <c r="C5" s="32"/>
      <c r="D5" s="32"/>
      <c r="E5" s="32"/>
      <c r="F5" s="32"/>
      <c r="G5" s="32"/>
      <c r="H5" s="32"/>
      <c r="I5" s="207"/>
      <c r="K5" s="328" t="s">
        <v>141</v>
      </c>
      <c r="L5" s="329"/>
      <c r="M5" s="329"/>
      <c r="N5" s="330"/>
      <c r="O5" s="331" t="s">
        <v>142</v>
      </c>
      <c r="P5" s="332"/>
      <c r="Q5" s="332"/>
      <c r="R5" s="332"/>
      <c r="S5" s="333"/>
    </row>
    <row r="6" spans="1:19" x14ac:dyDescent="0.5">
      <c r="B6" s="4" t="s">
        <v>38</v>
      </c>
      <c r="C6" s="208" t="str">
        <f>C1</f>
        <v>TEST1</v>
      </c>
      <c r="D6" s="2"/>
      <c r="E6" s="2"/>
      <c r="F6" s="2" t="s">
        <v>39</v>
      </c>
      <c r="G6" s="209">
        <f>H1</f>
        <v>0</v>
      </c>
      <c r="H6" s="2"/>
      <c r="I6" s="210"/>
      <c r="K6" s="93" t="s">
        <v>38</v>
      </c>
      <c r="L6" s="94">
        <f>Menu!C11</f>
        <v>0</v>
      </c>
      <c r="M6" s="94"/>
      <c r="N6" s="95"/>
      <c r="O6" s="96" t="s">
        <v>38</v>
      </c>
      <c r="P6" s="94" t="str">
        <f>C1</f>
        <v>TEST1</v>
      </c>
      <c r="Q6" s="97"/>
      <c r="R6" s="97"/>
      <c r="S6" s="98"/>
    </row>
    <row r="7" spans="1:19" x14ac:dyDescent="0.5">
      <c r="B7" s="4" t="s">
        <v>40</v>
      </c>
      <c r="C7" s="208" t="str">
        <f>D1</f>
        <v>TEST2</v>
      </c>
      <c r="D7" s="2"/>
      <c r="E7" s="2"/>
      <c r="F7" s="2" t="s">
        <v>41</v>
      </c>
      <c r="G7" s="6">
        <f>Menu!B5</f>
        <v>44197</v>
      </c>
      <c r="H7" s="211" t="s">
        <v>42</v>
      </c>
      <c r="I7" s="212">
        <f>Menu!B6</f>
        <v>44227</v>
      </c>
      <c r="K7" s="99" t="s">
        <v>20</v>
      </c>
      <c r="L7" s="167">
        <f>Menu!C12</f>
        <v>0</v>
      </c>
      <c r="M7" s="167"/>
      <c r="N7" s="100"/>
      <c r="O7" s="101" t="s">
        <v>40</v>
      </c>
      <c r="P7" s="167" t="str">
        <f>D1</f>
        <v>TEST2</v>
      </c>
      <c r="Q7" s="168"/>
      <c r="R7" s="168"/>
      <c r="S7" s="102"/>
    </row>
    <row r="8" spans="1:19" x14ac:dyDescent="0.5">
      <c r="B8" s="213"/>
      <c r="C8" s="1"/>
      <c r="D8" s="1"/>
      <c r="E8" s="1"/>
      <c r="F8" s="1"/>
      <c r="G8" s="1"/>
      <c r="H8" s="1"/>
      <c r="I8" s="214"/>
      <c r="K8" s="103"/>
      <c r="L8" s="104">
        <f>Menu!C14</f>
        <v>0</v>
      </c>
      <c r="M8" s="104">
        <f>Menu!D14</f>
        <v>0</v>
      </c>
      <c r="N8" s="105"/>
      <c r="O8" s="106"/>
      <c r="P8" s="104" t="str">
        <f>B1</f>
        <v>Salarié non cadre</v>
      </c>
      <c r="Q8" s="107"/>
      <c r="R8" s="107"/>
      <c r="S8" s="108"/>
    </row>
    <row r="9" spans="1:19" x14ac:dyDescent="0.5">
      <c r="B9" s="206"/>
      <c r="C9" s="32"/>
      <c r="D9" s="32"/>
      <c r="E9" s="32"/>
      <c r="F9" s="32"/>
      <c r="G9" s="32"/>
      <c r="H9" s="32"/>
      <c r="I9" s="207"/>
      <c r="K9" s="99" t="s">
        <v>143</v>
      </c>
      <c r="L9" s="169">
        <f>Menu!C16</f>
        <v>0</v>
      </c>
      <c r="M9" s="170"/>
      <c r="N9" s="100"/>
      <c r="O9" s="167" t="s">
        <v>39</v>
      </c>
      <c r="P9" s="171">
        <f>H1</f>
        <v>0</v>
      </c>
      <c r="Q9" s="168"/>
      <c r="R9" s="168" t="s">
        <v>256</v>
      </c>
      <c r="S9" s="249">
        <f>I1</f>
        <v>0</v>
      </c>
    </row>
    <row r="10" spans="1:19" x14ac:dyDescent="0.5">
      <c r="B10" s="4" t="s">
        <v>43</v>
      </c>
      <c r="C10" s="215">
        <f>Menu!O11</f>
        <v>151.66999999999999</v>
      </c>
      <c r="D10" s="2"/>
      <c r="E10" s="2"/>
      <c r="F10" s="2"/>
      <c r="G10" s="2"/>
      <c r="H10" s="2"/>
      <c r="I10" s="210"/>
      <c r="K10" s="99" t="s">
        <v>144</v>
      </c>
      <c r="L10" s="167">
        <f>Menu!C17</f>
        <v>0</v>
      </c>
      <c r="M10" s="168"/>
      <c r="N10" s="100"/>
      <c r="O10" s="109" t="s">
        <v>145</v>
      </c>
      <c r="P10" s="334">
        <f>O1</f>
        <v>123364144</v>
      </c>
      <c r="Q10" s="334"/>
      <c r="R10" s="334"/>
      <c r="S10" s="110"/>
    </row>
    <row r="11" spans="1:19" x14ac:dyDescent="0.5">
      <c r="B11" s="4" t="s">
        <v>44</v>
      </c>
      <c r="C11" s="215">
        <f>L1</f>
        <v>151.66999999999999</v>
      </c>
      <c r="D11" s="2"/>
      <c r="E11" s="2"/>
      <c r="F11" s="2"/>
      <c r="G11" s="2"/>
      <c r="H11" s="2"/>
      <c r="I11" s="210"/>
      <c r="K11" s="99" t="s">
        <v>146</v>
      </c>
      <c r="L11" s="172">
        <v>0</v>
      </c>
      <c r="M11" s="170">
        <f>Menu!C18</f>
        <v>0</v>
      </c>
      <c r="N11" s="100"/>
      <c r="O11" s="101" t="s">
        <v>20</v>
      </c>
      <c r="P11" s="168">
        <f>E1</f>
        <v>0</v>
      </c>
      <c r="Q11" s="168"/>
      <c r="R11" s="168"/>
      <c r="S11" s="102"/>
    </row>
    <row r="12" spans="1:19" x14ac:dyDescent="0.5">
      <c r="B12" s="4"/>
      <c r="C12" s="2"/>
      <c r="D12" s="2"/>
      <c r="E12" s="2"/>
      <c r="F12" s="2"/>
      <c r="G12" s="2"/>
      <c r="H12" s="2"/>
      <c r="I12" s="210"/>
      <c r="K12" s="111" t="s">
        <v>147</v>
      </c>
      <c r="L12" s="112"/>
      <c r="M12" s="113">
        <f>Menu!C19</f>
        <v>0</v>
      </c>
      <c r="N12" s="114"/>
      <c r="O12" s="115"/>
      <c r="P12" s="168"/>
      <c r="Q12" s="168"/>
      <c r="R12" s="168"/>
      <c r="S12" s="102"/>
    </row>
    <row r="13" spans="1:19" ht="16.149999999999999" thickBot="1" x14ac:dyDescent="0.55000000000000004">
      <c r="B13" s="4" t="s">
        <v>45</v>
      </c>
      <c r="C13" s="215">
        <f>C10-C11</f>
        <v>0</v>
      </c>
      <c r="D13" s="2"/>
      <c r="E13" s="2"/>
      <c r="F13" s="2"/>
      <c r="G13" s="2"/>
      <c r="H13" s="2"/>
      <c r="I13" s="210"/>
      <c r="K13" s="116" t="s">
        <v>148</v>
      </c>
      <c r="L13" s="117">
        <f>Menu!B5</f>
        <v>44197</v>
      </c>
      <c r="M13" s="118" t="s">
        <v>149</v>
      </c>
      <c r="N13" s="119">
        <f>Menu!B6</f>
        <v>44227</v>
      </c>
      <c r="O13" s="120"/>
      <c r="P13" s="121">
        <f>F1</f>
        <v>0</v>
      </c>
      <c r="Q13" s="122">
        <f>G1</f>
        <v>0</v>
      </c>
      <c r="R13" s="122"/>
      <c r="S13" s="123"/>
    </row>
    <row r="14" spans="1:19" x14ac:dyDescent="0.5">
      <c r="B14" s="4" t="str">
        <f>IF(C13=0,"Le contrat est à temps complet.","Le contrat est à temps partiel.")</f>
        <v>Le contrat est à temps complet.</v>
      </c>
      <c r="C14" s="2"/>
      <c r="D14" s="2"/>
      <c r="E14" s="2"/>
      <c r="F14" s="2"/>
      <c r="G14" s="2"/>
      <c r="H14" s="2"/>
      <c r="I14" s="210"/>
      <c r="K14" s="173" t="s">
        <v>150</v>
      </c>
      <c r="L14" s="174">
        <f>K1</f>
        <v>1800</v>
      </c>
      <c r="M14" s="175" t="s">
        <v>151</v>
      </c>
      <c r="N14" s="175"/>
      <c r="O14" s="176"/>
      <c r="P14" s="177">
        <f>L1</f>
        <v>151.66999999999999</v>
      </c>
      <c r="Q14" s="176" t="s">
        <v>95</v>
      </c>
      <c r="R14" s="178">
        <f>M1</f>
        <v>11.867871035801413</v>
      </c>
      <c r="S14" s="179">
        <f>P14*R14</f>
        <v>1800</v>
      </c>
    </row>
    <row r="15" spans="1:19" x14ac:dyDescent="0.5">
      <c r="B15" s="213"/>
      <c r="C15" s="1"/>
      <c r="D15" s="1"/>
      <c r="E15" s="1"/>
      <c r="F15" s="1"/>
      <c r="G15" s="1"/>
      <c r="H15" s="1"/>
      <c r="I15" s="214"/>
      <c r="K15" s="173" t="s">
        <v>152</v>
      </c>
      <c r="L15" s="175"/>
      <c r="M15" s="175" t="s">
        <v>153</v>
      </c>
      <c r="N15" s="175"/>
      <c r="O15" s="176"/>
      <c r="P15" s="124">
        <f>E81</f>
        <v>0</v>
      </c>
      <c r="Q15" s="176" t="s">
        <v>95</v>
      </c>
      <c r="R15" s="178">
        <f>R14+25%</f>
        <v>12.117871035801413</v>
      </c>
      <c r="S15" s="179">
        <f>IFERROR(P15*R15,"")</f>
        <v>0</v>
      </c>
    </row>
    <row r="16" spans="1:19" x14ac:dyDescent="0.5">
      <c r="B16" s="206"/>
      <c r="C16" s="32"/>
      <c r="D16" s="32"/>
      <c r="E16" s="32"/>
      <c r="F16" s="32"/>
      <c r="G16" s="32"/>
      <c r="H16" s="32"/>
      <c r="I16" s="207"/>
      <c r="K16" s="173"/>
      <c r="L16" s="161"/>
      <c r="M16" s="175" t="s">
        <v>154</v>
      </c>
      <c r="N16" s="161"/>
      <c r="O16" s="180"/>
      <c r="P16" s="124">
        <f>F81</f>
        <v>0</v>
      </c>
      <c r="Q16" s="176" t="s">
        <v>95</v>
      </c>
      <c r="R16" s="178">
        <f>R14+50%</f>
        <v>12.367871035801413</v>
      </c>
      <c r="S16" s="179">
        <f>IFERROR(P16*R16,"")</f>
        <v>0</v>
      </c>
    </row>
    <row r="17" spans="2:19" x14ac:dyDescent="0.5">
      <c r="B17" s="216" t="s">
        <v>46</v>
      </c>
      <c r="C17" s="2"/>
      <c r="D17" s="2"/>
      <c r="E17" s="217"/>
      <c r="F17" s="5"/>
      <c r="G17" s="2"/>
      <c r="H17" s="2"/>
      <c r="I17" s="210"/>
      <c r="K17" s="173" t="str">
        <f>B25</f>
        <v/>
      </c>
      <c r="L17" s="161"/>
      <c r="M17" s="175"/>
      <c r="N17" s="161"/>
      <c r="O17" s="180"/>
      <c r="P17" s="124"/>
      <c r="Q17" s="176"/>
      <c r="R17" s="178"/>
      <c r="S17" s="179">
        <f>C25</f>
        <v>0</v>
      </c>
    </row>
    <row r="18" spans="2:19" x14ac:dyDescent="0.5">
      <c r="B18" s="4"/>
      <c r="C18" s="2"/>
      <c r="D18" s="2"/>
      <c r="E18" s="217"/>
      <c r="F18" s="5"/>
      <c r="G18" s="2"/>
      <c r="H18" s="2"/>
      <c r="I18" s="210"/>
      <c r="K18" s="160" t="s">
        <v>155</v>
      </c>
      <c r="L18" s="161"/>
      <c r="M18" s="161"/>
      <c r="N18" s="161"/>
      <c r="O18" s="180"/>
      <c r="P18" s="125">
        <f>D93</f>
        <v>0</v>
      </c>
      <c r="Q18" s="176"/>
      <c r="R18" s="178"/>
      <c r="S18" s="181">
        <f>G93</f>
        <v>0</v>
      </c>
    </row>
    <row r="19" spans="2:19" x14ac:dyDescent="0.5">
      <c r="B19" s="4" t="s">
        <v>47</v>
      </c>
      <c r="C19" s="5">
        <f>Menu!K11</f>
        <v>1554.58</v>
      </c>
      <c r="D19" s="2" t="s">
        <v>48</v>
      </c>
      <c r="E19" s="218">
        <v>151.66999999999999</v>
      </c>
      <c r="F19" s="5" t="s">
        <v>49</v>
      </c>
      <c r="G19" s="219">
        <f>C19/E19</f>
        <v>10.249752752686755</v>
      </c>
      <c r="H19" s="2" t="s">
        <v>50</v>
      </c>
      <c r="I19" s="210"/>
      <c r="K19" s="160" t="s">
        <v>156</v>
      </c>
      <c r="L19" s="161"/>
      <c r="M19" s="161"/>
      <c r="N19" s="161"/>
      <c r="O19" s="180"/>
      <c r="P19" s="126">
        <f>D109</f>
        <v>0</v>
      </c>
      <c r="Q19" s="176"/>
      <c r="R19" s="178"/>
      <c r="S19" s="181">
        <f>D116</f>
        <v>0</v>
      </c>
    </row>
    <row r="20" spans="2:19" x14ac:dyDescent="0.5">
      <c r="B20" s="4"/>
      <c r="C20" s="2"/>
      <c r="D20" s="2"/>
      <c r="E20" s="218"/>
      <c r="F20" s="5"/>
      <c r="G20" s="211"/>
      <c r="H20" s="2"/>
      <c r="I20" s="210"/>
      <c r="K20" s="160" t="s">
        <v>157</v>
      </c>
      <c r="L20" s="161"/>
      <c r="M20" s="161"/>
      <c r="N20" s="161"/>
      <c r="O20" s="180"/>
      <c r="P20" s="124"/>
      <c r="Q20" s="176"/>
      <c r="R20" s="178"/>
      <c r="S20" s="181">
        <f>-D116</f>
        <v>0</v>
      </c>
    </row>
    <row r="21" spans="2:19" x14ac:dyDescent="0.5">
      <c r="B21" s="4" t="s">
        <v>51</v>
      </c>
      <c r="C21" s="5">
        <f>K1+C45+C42+C43+C44+C50+E67+E81+F81</f>
        <v>1800</v>
      </c>
      <c r="D21" s="2" t="s">
        <v>48</v>
      </c>
      <c r="E21" s="218">
        <f>L1</f>
        <v>151.66999999999999</v>
      </c>
      <c r="F21" s="5" t="s">
        <v>49</v>
      </c>
      <c r="G21" s="219">
        <f>C21/E21</f>
        <v>11.867871035801413</v>
      </c>
      <c r="H21" s="2" t="s">
        <v>50</v>
      </c>
      <c r="I21" s="210"/>
      <c r="K21" s="160" t="s">
        <v>158</v>
      </c>
      <c r="L21" s="161"/>
      <c r="M21" s="182"/>
      <c r="N21" s="161"/>
      <c r="O21" s="180"/>
      <c r="P21" s="183"/>
      <c r="Q21" s="180"/>
      <c r="R21" s="184"/>
      <c r="S21" s="181">
        <f>E67</f>
        <v>0</v>
      </c>
    </row>
    <row r="22" spans="2:19" x14ac:dyDescent="0.5">
      <c r="B22" s="4"/>
      <c r="C22" s="2"/>
      <c r="D22" s="2"/>
      <c r="E22" s="217"/>
      <c r="F22" s="5"/>
      <c r="G22" s="211"/>
      <c r="H22" s="2"/>
      <c r="I22" s="210"/>
      <c r="K22" s="160" t="s">
        <v>246</v>
      </c>
      <c r="L22" s="161"/>
      <c r="M22" s="182"/>
      <c r="N22" s="161"/>
      <c r="O22" s="180"/>
      <c r="P22" s="183"/>
      <c r="Q22" s="180"/>
      <c r="R22" s="184"/>
      <c r="S22" s="181">
        <f>G125</f>
        <v>0</v>
      </c>
    </row>
    <row r="23" spans="2:19" x14ac:dyDescent="0.5">
      <c r="B23" s="4" t="s">
        <v>52</v>
      </c>
      <c r="C23" s="5">
        <f>C19/E19*E21</f>
        <v>1554.58</v>
      </c>
      <c r="D23" s="2"/>
      <c r="E23" s="220"/>
      <c r="F23" s="5"/>
      <c r="G23" s="2"/>
      <c r="H23" s="2"/>
      <c r="I23" s="210"/>
      <c r="K23" s="160" t="s">
        <v>245</v>
      </c>
      <c r="L23" s="161"/>
      <c r="M23" s="182"/>
      <c r="N23" s="161"/>
      <c r="O23" s="180"/>
      <c r="P23" s="183"/>
      <c r="Q23" s="180"/>
      <c r="R23" s="184"/>
      <c r="S23" s="181">
        <f>G126</f>
        <v>0</v>
      </c>
    </row>
    <row r="24" spans="2:19" ht="16.149999999999999" thickBot="1" x14ac:dyDescent="0.55000000000000004">
      <c r="B24" s="4"/>
      <c r="C24" s="2"/>
      <c r="D24" s="2"/>
      <c r="E24" s="217"/>
      <c r="F24" s="5"/>
      <c r="G24" s="2"/>
      <c r="H24" s="2"/>
      <c r="I24" s="210"/>
      <c r="K24" s="160" t="s">
        <v>159</v>
      </c>
      <c r="L24" s="161"/>
      <c r="M24" s="185"/>
      <c r="N24" s="161"/>
      <c r="O24" s="180"/>
      <c r="P24" s="183"/>
      <c r="Q24" s="180"/>
      <c r="R24" s="184"/>
      <c r="S24" s="181">
        <f>C50</f>
        <v>0</v>
      </c>
    </row>
    <row r="25" spans="2:19" ht="16.149999999999999" thickBot="1" x14ac:dyDescent="0.55000000000000004">
      <c r="B25" s="4" t="str">
        <f>IF(C25&gt;0,"Complément du SMIC :","")</f>
        <v/>
      </c>
      <c r="C25" s="34">
        <f>IF(C21&gt;C23,0,C23-C21)</f>
        <v>0</v>
      </c>
      <c r="D25" s="2"/>
      <c r="E25" s="217"/>
      <c r="F25" s="5"/>
      <c r="G25" s="2"/>
      <c r="H25" s="2"/>
      <c r="I25" s="210"/>
      <c r="K25" s="160" t="s">
        <v>160</v>
      </c>
      <c r="L25" s="161"/>
      <c r="M25" s="186"/>
      <c r="N25" s="161"/>
      <c r="O25" s="161"/>
      <c r="P25" s="161"/>
      <c r="Q25" s="161"/>
      <c r="R25" s="161"/>
      <c r="S25" s="181">
        <f>C42+C43+C44+C45+C46+C47+C48+C49+C51+C52+C53</f>
        <v>0</v>
      </c>
    </row>
    <row r="26" spans="2:19" x14ac:dyDescent="0.5">
      <c r="B26" s="4"/>
      <c r="C26" s="2"/>
      <c r="D26" s="2"/>
      <c r="E26" s="217"/>
      <c r="F26" s="5"/>
      <c r="G26" s="2"/>
      <c r="H26" s="2"/>
      <c r="I26" s="210"/>
      <c r="K26" s="187" t="s">
        <v>161</v>
      </c>
      <c r="L26" s="188"/>
      <c r="M26" s="159">
        <f>F29</f>
        <v>3428</v>
      </c>
      <c r="N26" s="298" t="s">
        <v>26</v>
      </c>
      <c r="O26" s="299"/>
      <c r="P26" s="154">
        <f>Menu!K11</f>
        <v>1554.58</v>
      </c>
      <c r="Q26" s="161"/>
      <c r="R26" s="161"/>
      <c r="S26" s="181"/>
    </row>
    <row r="27" spans="2:19" x14ac:dyDescent="0.5">
      <c r="B27" s="213"/>
      <c r="C27" s="1"/>
      <c r="D27" s="1"/>
      <c r="E27" s="35"/>
      <c r="F27" s="3"/>
      <c r="G27" s="1"/>
      <c r="H27" s="1"/>
      <c r="I27" s="214"/>
      <c r="K27" s="189" t="s">
        <v>247</v>
      </c>
      <c r="L27" s="127"/>
      <c r="M27" s="159">
        <f>S27</f>
        <v>1800</v>
      </c>
      <c r="N27" s="250" t="s">
        <v>248</v>
      </c>
      <c r="O27" s="251">
        <f>Menu!C23</f>
        <v>1</v>
      </c>
      <c r="P27" s="128" t="s">
        <v>162</v>
      </c>
      <c r="Q27" s="129"/>
      <c r="R27" s="129"/>
      <c r="S27" s="190">
        <f>+SUM(S14:S26)</f>
        <v>1800</v>
      </c>
    </row>
    <row r="28" spans="2:19" x14ac:dyDescent="0.5">
      <c r="B28" s="206"/>
      <c r="C28" s="32"/>
      <c r="D28" s="32"/>
      <c r="E28" s="36"/>
      <c r="F28" s="37"/>
      <c r="G28" s="32"/>
      <c r="H28" s="32"/>
      <c r="I28" s="207"/>
      <c r="K28" s="335" t="s">
        <v>163</v>
      </c>
      <c r="L28" s="336"/>
      <c r="M28" s="337"/>
      <c r="N28" s="341" t="s">
        <v>164</v>
      </c>
      <c r="O28" s="343" t="s">
        <v>165</v>
      </c>
      <c r="P28" s="344"/>
      <c r="Q28" s="345"/>
      <c r="R28" s="343" t="s">
        <v>166</v>
      </c>
      <c r="S28" s="346"/>
    </row>
    <row r="29" spans="2:19" x14ac:dyDescent="0.5">
      <c r="B29" s="216" t="s">
        <v>53</v>
      </c>
      <c r="C29" s="2"/>
      <c r="D29" s="2"/>
      <c r="E29" s="217" t="s">
        <v>54</v>
      </c>
      <c r="F29" s="13">
        <f>Menu!K12</f>
        <v>3428</v>
      </c>
      <c r="G29" s="2"/>
      <c r="H29" s="2"/>
      <c r="I29" s="210"/>
      <c r="K29" s="338"/>
      <c r="L29" s="339"/>
      <c r="M29" s="340"/>
      <c r="N29" s="342"/>
      <c r="O29" s="130" t="s">
        <v>167</v>
      </c>
      <c r="P29" s="131" t="s">
        <v>168</v>
      </c>
      <c r="Q29" s="132"/>
      <c r="R29" s="130" t="s">
        <v>167</v>
      </c>
      <c r="S29" s="191" t="s">
        <v>168</v>
      </c>
    </row>
    <row r="30" spans="2:19" x14ac:dyDescent="0.5">
      <c r="B30" s="216"/>
      <c r="C30" s="2"/>
      <c r="D30" s="2"/>
      <c r="E30" s="217"/>
      <c r="F30" s="5"/>
      <c r="G30" s="2"/>
      <c r="H30" s="2"/>
      <c r="I30" s="210"/>
      <c r="K30" s="192" t="s">
        <v>146</v>
      </c>
      <c r="L30" s="161"/>
      <c r="M30" s="161"/>
      <c r="N30" s="133"/>
      <c r="O30" s="134"/>
      <c r="P30" s="135"/>
      <c r="Q30" s="136"/>
      <c r="R30" s="137"/>
      <c r="S30" s="163"/>
    </row>
    <row r="31" spans="2:19" x14ac:dyDescent="0.5">
      <c r="B31" s="4"/>
      <c r="C31" s="2"/>
      <c r="D31" s="2"/>
      <c r="E31" s="2"/>
      <c r="F31" s="2"/>
      <c r="G31" s="2"/>
      <c r="H31" s="2"/>
      <c r="I31" s="210"/>
      <c r="K31" s="193" t="s">
        <v>169</v>
      </c>
      <c r="L31" s="194"/>
      <c r="M31" s="194"/>
      <c r="N31" s="133">
        <f>M27</f>
        <v>1800</v>
      </c>
      <c r="O31" s="138">
        <f>IF(G28&gt;(P26*2.5),13%,7%)</f>
        <v>7.0000000000000007E-2</v>
      </c>
      <c r="P31" s="135">
        <f>N31*O31</f>
        <v>126.00000000000001</v>
      </c>
      <c r="Q31" s="136"/>
      <c r="R31" s="134"/>
      <c r="S31" s="163"/>
    </row>
    <row r="32" spans="2:19" x14ac:dyDescent="0.5">
      <c r="B32" s="221"/>
      <c r="C32" s="38" t="s">
        <v>56</v>
      </c>
      <c r="D32" s="38" t="s">
        <v>55</v>
      </c>
      <c r="E32" s="38" t="s">
        <v>57</v>
      </c>
      <c r="F32" s="38" t="s">
        <v>58</v>
      </c>
      <c r="G32" s="38" t="s">
        <v>59</v>
      </c>
      <c r="H32" s="39" t="s">
        <v>60</v>
      </c>
      <c r="I32" s="222">
        <f>F29</f>
        <v>3428</v>
      </c>
      <c r="K32" s="193" t="s">
        <v>170</v>
      </c>
      <c r="L32" s="194"/>
      <c r="M32" s="194"/>
      <c r="N32" s="133">
        <f>M27</f>
        <v>1800</v>
      </c>
      <c r="O32" s="138">
        <v>3.0000000000000001E-3</v>
      </c>
      <c r="P32" s="135">
        <f t="shared" ref="P32:P45" si="0">N32*O32</f>
        <v>5.4</v>
      </c>
      <c r="Q32" s="136"/>
      <c r="R32" s="134"/>
      <c r="S32" s="163"/>
    </row>
    <row r="33" spans="2:19" x14ac:dyDescent="0.5">
      <c r="B33" s="206"/>
      <c r="C33" s="32"/>
      <c r="D33" s="32"/>
      <c r="E33" s="32"/>
      <c r="F33" s="32"/>
      <c r="G33" s="32"/>
      <c r="H33" s="33"/>
      <c r="I33" s="222">
        <f>F29*8</f>
        <v>27424</v>
      </c>
      <c r="K33" s="193" t="s">
        <v>171</v>
      </c>
      <c r="L33" s="194"/>
      <c r="M33" s="194"/>
      <c r="N33" s="133">
        <f>IF($G$34&gt;0,$G$34,IF($S$27&gt;$M$26,$M$26,$S$27))</f>
        <v>1800</v>
      </c>
      <c r="O33" s="138">
        <v>8.5500000000000007E-2</v>
      </c>
      <c r="P33" s="135">
        <f t="shared" si="0"/>
        <v>153.9</v>
      </c>
      <c r="Q33" s="136"/>
      <c r="R33" s="134">
        <v>6.9000000000000006E-2</v>
      </c>
      <c r="S33" s="163">
        <f t="shared" ref="S33:S43" si="1">N33*R33</f>
        <v>124.20000000000002</v>
      </c>
    </row>
    <row r="34" spans="2:19" x14ac:dyDescent="0.5">
      <c r="B34" s="223"/>
      <c r="C34" s="219">
        <f>S27</f>
        <v>1800</v>
      </c>
      <c r="D34" s="218">
        <f>L1</f>
        <v>151.66999999999999</v>
      </c>
      <c r="E34" s="219">
        <f>IF(C34&gt;F29,F29,C34)</f>
        <v>1800</v>
      </c>
      <c r="F34" s="219">
        <f>IF(AND(E34=F29,C34&gt;I33),I33,C34-E34)</f>
        <v>0</v>
      </c>
      <c r="G34" s="5">
        <f>IF(C34&lt;F29,C34,F29)</f>
        <v>1800</v>
      </c>
      <c r="H34" s="40">
        <f>IF(AND(E34=F29,C34&gt;I35),I35,C34-E34)</f>
        <v>0</v>
      </c>
      <c r="I34" s="222">
        <f>F29</f>
        <v>3428</v>
      </c>
      <c r="K34" s="193" t="s">
        <v>172</v>
      </c>
      <c r="L34" s="194"/>
      <c r="M34" s="194"/>
      <c r="N34" s="133">
        <f>M27</f>
        <v>1800</v>
      </c>
      <c r="O34" s="138">
        <v>1.9E-2</v>
      </c>
      <c r="P34" s="135">
        <f t="shared" si="0"/>
        <v>34.199999999999996</v>
      </c>
      <c r="Q34" s="136"/>
      <c r="R34" s="134">
        <v>4.0000000000000001E-3</v>
      </c>
      <c r="S34" s="163">
        <f t="shared" si="1"/>
        <v>7.2</v>
      </c>
    </row>
    <row r="35" spans="2:19" x14ac:dyDescent="0.5">
      <c r="B35" s="224"/>
      <c r="C35" s="1"/>
      <c r="D35" s="1"/>
      <c r="E35" s="1"/>
      <c r="F35" s="41" t="s">
        <v>61</v>
      </c>
      <c r="G35" s="41"/>
      <c r="H35" s="42" t="s">
        <v>62</v>
      </c>
      <c r="I35" s="222">
        <f>F29*4</f>
        <v>13712</v>
      </c>
      <c r="K35" s="347" t="s">
        <v>173</v>
      </c>
      <c r="L35" s="348"/>
      <c r="M35" s="349"/>
      <c r="N35" s="133">
        <f>M27</f>
        <v>1800</v>
      </c>
      <c r="O35" s="138">
        <v>3.4500000000000003E-2</v>
      </c>
      <c r="P35" s="135">
        <f t="shared" si="0"/>
        <v>62.100000000000009</v>
      </c>
      <c r="Q35" s="136"/>
      <c r="R35" s="134"/>
      <c r="S35" s="163"/>
    </row>
    <row r="36" spans="2:19" x14ac:dyDescent="0.5">
      <c r="B36" s="213"/>
      <c r="C36" s="1"/>
      <c r="D36" s="1"/>
      <c r="E36" s="1"/>
      <c r="F36" s="43"/>
      <c r="G36" s="1"/>
      <c r="H36" s="1"/>
      <c r="I36" s="214"/>
      <c r="K36" s="193" t="s">
        <v>174</v>
      </c>
      <c r="L36" s="195"/>
      <c r="M36" s="195"/>
      <c r="N36" s="133">
        <f>M27</f>
        <v>1800</v>
      </c>
      <c r="O36" s="138">
        <v>1.7999999999999999E-2</v>
      </c>
      <c r="P36" s="135">
        <f t="shared" si="0"/>
        <v>32.4</v>
      </c>
      <c r="Q36" s="139"/>
      <c r="R36" s="134"/>
      <c r="S36" s="163"/>
    </row>
    <row r="37" spans="2:19" x14ac:dyDescent="0.5">
      <c r="B37" s="206"/>
      <c r="C37" s="32"/>
      <c r="D37" s="32"/>
      <c r="E37" s="32"/>
      <c r="F37" s="32"/>
      <c r="G37" s="32"/>
      <c r="H37" s="32"/>
      <c r="I37" s="207"/>
      <c r="K37" s="193" t="s">
        <v>175</v>
      </c>
      <c r="L37" s="194"/>
      <c r="M37" s="194"/>
      <c r="N37" s="133">
        <f>IF(O27&gt;20,0,IF(G34&lt;&gt;0,G34,IF(S27&lt;M26,P26,M26)))</f>
        <v>1800</v>
      </c>
      <c r="O37" s="138">
        <v>1E-3</v>
      </c>
      <c r="P37" s="135">
        <f t="shared" si="0"/>
        <v>1.8</v>
      </c>
      <c r="Q37" s="136"/>
      <c r="R37" s="134"/>
      <c r="S37" s="163"/>
    </row>
    <row r="38" spans="2:19" x14ac:dyDescent="0.5">
      <c r="B38" s="216" t="s">
        <v>63</v>
      </c>
      <c r="C38" s="2"/>
      <c r="D38" s="2"/>
      <c r="E38" s="2"/>
      <c r="F38" s="2"/>
      <c r="G38" s="2"/>
      <c r="H38" s="2"/>
      <c r="I38" s="210"/>
      <c r="K38" s="193" t="s">
        <v>176</v>
      </c>
      <c r="L38" s="194"/>
      <c r="M38" s="194"/>
      <c r="N38" s="133">
        <f>IF(O27&gt;19,S27,0)</f>
        <v>0</v>
      </c>
      <c r="O38" s="138">
        <v>5.0000000000000001E-3</v>
      </c>
      <c r="P38" s="135">
        <f t="shared" si="0"/>
        <v>0</v>
      </c>
      <c r="Q38" s="136"/>
      <c r="R38" s="134"/>
      <c r="S38" s="163"/>
    </row>
    <row r="39" spans="2:19" x14ac:dyDescent="0.5">
      <c r="B39" s="4"/>
      <c r="C39" s="2"/>
      <c r="D39" s="2"/>
      <c r="E39" s="2"/>
      <c r="F39" s="2"/>
      <c r="G39" s="2"/>
      <c r="H39" s="2"/>
      <c r="I39" s="210"/>
      <c r="K39" s="193" t="s">
        <v>177</v>
      </c>
      <c r="L39" s="194"/>
      <c r="M39" s="194"/>
      <c r="N39" s="133">
        <f>M27</f>
        <v>1800</v>
      </c>
      <c r="O39" s="138">
        <f>Menu!K13</f>
        <v>0</v>
      </c>
      <c r="P39" s="135"/>
      <c r="Q39" s="136"/>
      <c r="R39" s="134"/>
      <c r="S39" s="163"/>
    </row>
    <row r="40" spans="2:19" x14ac:dyDescent="0.5">
      <c r="B40" s="321" t="s">
        <v>64</v>
      </c>
      <c r="C40" s="322"/>
      <c r="D40" s="2"/>
      <c r="E40" s="322" t="s">
        <v>65</v>
      </c>
      <c r="F40" s="322"/>
      <c r="G40" s="322"/>
      <c r="H40" s="2"/>
      <c r="I40" s="210"/>
      <c r="K40" s="193" t="s">
        <v>178</v>
      </c>
      <c r="L40" s="194"/>
      <c r="M40" s="194"/>
      <c r="N40" s="133">
        <f>IF(O27&gt;10,S27,0)</f>
        <v>0</v>
      </c>
      <c r="O40" s="138">
        <f>Menu!K14</f>
        <v>0</v>
      </c>
      <c r="P40" s="135"/>
      <c r="Q40" s="136"/>
      <c r="R40" s="134"/>
      <c r="S40" s="163"/>
    </row>
    <row r="41" spans="2:19" x14ac:dyDescent="0.5">
      <c r="B41" s="4"/>
      <c r="C41" s="2"/>
      <c r="D41" s="2"/>
      <c r="E41" s="2"/>
      <c r="F41" s="2"/>
      <c r="G41" s="2"/>
      <c r="H41" s="2"/>
      <c r="I41" s="210"/>
      <c r="K41" s="193" t="s">
        <v>179</v>
      </c>
      <c r="L41" s="194"/>
      <c r="M41" s="194"/>
      <c r="N41" s="133">
        <f>(+$S$27*0.9825)+P63+P64</f>
        <v>1768.5</v>
      </c>
      <c r="O41" s="138"/>
      <c r="P41" s="135"/>
      <c r="Q41" s="136"/>
      <c r="R41" s="134">
        <v>6.8000000000000005E-2</v>
      </c>
      <c r="S41" s="163">
        <f t="shared" si="1"/>
        <v>120.25800000000001</v>
      </c>
    </row>
    <row r="42" spans="2:19" x14ac:dyDescent="0.5">
      <c r="B42" s="4" t="s">
        <v>66</v>
      </c>
      <c r="C42" s="44">
        <v>0</v>
      </c>
      <c r="D42" s="2"/>
      <c r="E42" s="2" t="s">
        <v>67</v>
      </c>
      <c r="F42" s="2"/>
      <c r="G42" s="44">
        <v>0</v>
      </c>
      <c r="H42" s="2"/>
      <c r="I42" s="210"/>
      <c r="K42" s="347" t="s">
        <v>180</v>
      </c>
      <c r="L42" s="348"/>
      <c r="M42" s="349"/>
      <c r="N42" s="133">
        <f>N41</f>
        <v>1768.5</v>
      </c>
      <c r="O42" s="138"/>
      <c r="P42" s="135"/>
      <c r="Q42" s="136"/>
      <c r="R42" s="134">
        <v>2.4E-2</v>
      </c>
      <c r="S42" s="163">
        <f t="shared" si="1"/>
        <v>42.444000000000003</v>
      </c>
    </row>
    <row r="43" spans="2:19" x14ac:dyDescent="0.5">
      <c r="B43" s="4" t="s">
        <v>68</v>
      </c>
      <c r="C43" s="44">
        <v>0</v>
      </c>
      <c r="D43" s="2"/>
      <c r="E43" s="2" t="s">
        <v>69</v>
      </c>
      <c r="F43" s="2"/>
      <c r="G43" s="44">
        <v>0</v>
      </c>
      <c r="H43" s="2"/>
      <c r="I43" s="210"/>
      <c r="K43" s="193" t="s">
        <v>181</v>
      </c>
      <c r="L43" s="194"/>
      <c r="M43" s="194"/>
      <c r="N43" s="133">
        <f>N42</f>
        <v>1768.5</v>
      </c>
      <c r="O43" s="138"/>
      <c r="P43" s="135"/>
      <c r="Q43" s="136"/>
      <c r="R43" s="134">
        <v>5.0000000000000001E-3</v>
      </c>
      <c r="S43" s="163">
        <f t="shared" si="1"/>
        <v>8.8424999999999994</v>
      </c>
    </row>
    <row r="44" spans="2:19" x14ac:dyDescent="0.5">
      <c r="B44" s="4" t="s">
        <v>70</v>
      </c>
      <c r="C44" s="44">
        <v>0</v>
      </c>
      <c r="D44" s="2"/>
      <c r="E44" s="225" t="s">
        <v>71</v>
      </c>
      <c r="F44" s="2"/>
      <c r="G44" s="2"/>
      <c r="H44" s="2"/>
      <c r="I44" s="210"/>
      <c r="K44" s="160" t="s">
        <v>182</v>
      </c>
      <c r="L44" s="161"/>
      <c r="M44" s="161"/>
      <c r="N44" s="133">
        <f>IF(O27&gt;10,P63+P64,0)</f>
        <v>0</v>
      </c>
      <c r="O44" s="138">
        <v>0.08</v>
      </c>
      <c r="P44" s="135">
        <f t="shared" si="0"/>
        <v>0</v>
      </c>
      <c r="Q44" s="136"/>
      <c r="R44" s="134"/>
      <c r="S44" s="163"/>
    </row>
    <row r="45" spans="2:19" x14ac:dyDescent="0.5">
      <c r="B45" s="4" t="s">
        <v>72</v>
      </c>
      <c r="C45" s="44">
        <v>0</v>
      </c>
      <c r="D45" s="2"/>
      <c r="E45" s="2"/>
      <c r="F45" s="2"/>
      <c r="G45" s="2"/>
      <c r="H45" s="2"/>
      <c r="I45" s="210"/>
      <c r="K45" s="160" t="s">
        <v>183</v>
      </c>
      <c r="L45" s="161"/>
      <c r="M45" s="161"/>
      <c r="N45" s="133">
        <f>M27</f>
        <v>1800</v>
      </c>
      <c r="O45" s="165">
        <v>1.6000000000000001E-4</v>
      </c>
      <c r="P45" s="135">
        <f t="shared" si="0"/>
        <v>0.28800000000000003</v>
      </c>
      <c r="Q45" s="136"/>
      <c r="R45" s="134"/>
      <c r="S45" s="163"/>
    </row>
    <row r="46" spans="2:19" x14ac:dyDescent="0.5">
      <c r="B46" s="4" t="s">
        <v>73</v>
      </c>
      <c r="C46" s="44">
        <v>0</v>
      </c>
      <c r="D46" s="2"/>
      <c r="E46" s="2"/>
      <c r="F46" s="2"/>
      <c r="G46" s="2"/>
      <c r="H46" s="2"/>
      <c r="I46" s="210"/>
      <c r="K46" s="160" t="s">
        <v>184</v>
      </c>
      <c r="L46" s="161"/>
      <c r="M46" s="161"/>
      <c r="N46" s="164">
        <f>IF(O27&lt;20,(P15+P16),0)</f>
        <v>0</v>
      </c>
      <c r="O46" s="140">
        <v>1.5</v>
      </c>
      <c r="P46" s="135">
        <v>0</v>
      </c>
      <c r="Q46" s="136"/>
      <c r="R46" s="134"/>
      <c r="S46" s="163"/>
    </row>
    <row r="47" spans="2:19" x14ac:dyDescent="0.5">
      <c r="B47" s="4" t="s">
        <v>74</v>
      </c>
      <c r="C47" s="44">
        <v>0</v>
      </c>
      <c r="D47" s="2"/>
      <c r="E47" s="2"/>
      <c r="F47" s="2"/>
      <c r="G47" s="2"/>
      <c r="H47" s="2"/>
      <c r="I47" s="210"/>
      <c r="K47" s="160" t="s">
        <v>185</v>
      </c>
      <c r="L47" s="161"/>
      <c r="M47" s="161"/>
      <c r="N47" s="133">
        <f>S15+S16</f>
        <v>0</v>
      </c>
      <c r="O47" s="138"/>
      <c r="P47" s="135"/>
      <c r="Q47" s="136"/>
      <c r="R47" s="134">
        <v>0.11310000000000001</v>
      </c>
      <c r="S47" s="163">
        <f>N47*R47</f>
        <v>0</v>
      </c>
    </row>
    <row r="48" spans="2:19" x14ac:dyDescent="0.5">
      <c r="B48" s="4" t="s">
        <v>75</v>
      </c>
      <c r="C48" s="44">
        <v>0</v>
      </c>
      <c r="D48" s="2"/>
      <c r="E48" s="2"/>
      <c r="F48" s="2"/>
      <c r="G48" s="2"/>
      <c r="H48" s="2"/>
      <c r="I48" s="210"/>
      <c r="K48" s="160"/>
      <c r="L48" s="161"/>
      <c r="M48" s="161"/>
      <c r="N48" s="133"/>
      <c r="O48" s="138"/>
      <c r="P48" s="135"/>
      <c r="Q48" s="136"/>
      <c r="R48" s="134"/>
      <c r="S48" s="163"/>
    </row>
    <row r="49" spans="2:19" x14ac:dyDescent="0.5">
      <c r="B49" s="4" t="s">
        <v>76</v>
      </c>
      <c r="C49" s="44">
        <v>0</v>
      </c>
      <c r="D49" s="2"/>
      <c r="E49" s="2"/>
      <c r="F49" s="2"/>
      <c r="G49" s="2"/>
      <c r="H49" s="2"/>
      <c r="I49" s="210"/>
      <c r="K49" s="196" t="s">
        <v>186</v>
      </c>
      <c r="L49" s="161"/>
      <c r="M49" s="161"/>
      <c r="N49" s="133"/>
      <c r="O49" s="134"/>
      <c r="P49" s="135"/>
      <c r="Q49" s="136"/>
      <c r="R49" s="134"/>
      <c r="S49" s="163"/>
    </row>
    <row r="50" spans="2:19" x14ac:dyDescent="0.5">
      <c r="B50" s="4" t="s">
        <v>77</v>
      </c>
      <c r="C50" s="44">
        <v>0</v>
      </c>
      <c r="D50" s="2"/>
      <c r="E50" s="2"/>
      <c r="F50" s="2"/>
      <c r="G50" s="2"/>
      <c r="H50" s="2"/>
      <c r="I50" s="210"/>
      <c r="K50" s="193" t="s">
        <v>187</v>
      </c>
      <c r="L50" s="161"/>
      <c r="M50" s="161"/>
      <c r="N50" s="133">
        <f>IF($G$34&gt;0,$G$34,IF($S$27&gt;$P$26,$P$26,$S$27))</f>
        <v>1800</v>
      </c>
      <c r="O50" s="134">
        <v>4.0500000000000001E-2</v>
      </c>
      <c r="P50" s="135">
        <f>N50*O50</f>
        <v>72.900000000000006</v>
      </c>
      <c r="Q50" s="136"/>
      <c r="R50" s="134"/>
      <c r="S50" s="163"/>
    </row>
    <row r="51" spans="2:19" x14ac:dyDescent="0.5">
      <c r="B51" s="4" t="s">
        <v>78</v>
      </c>
      <c r="C51" s="44">
        <v>0</v>
      </c>
      <c r="D51" s="2"/>
      <c r="E51" s="2"/>
      <c r="F51" s="2"/>
      <c r="G51" s="2"/>
      <c r="H51" s="2"/>
      <c r="I51" s="210"/>
      <c r="K51" s="193" t="s">
        <v>188</v>
      </c>
      <c r="L51" s="161"/>
      <c r="M51" s="161"/>
      <c r="N51" s="133">
        <f>IF($G$34&lt;&gt;0,$H$34,IF($S$27&lt;$M$26,0,IF($G$28&lt;4*$M$26,$G$28-$M$26,3*$M$26)))</f>
        <v>0</v>
      </c>
      <c r="O51" s="134">
        <v>4.0500000000000001E-2</v>
      </c>
      <c r="P51" s="135">
        <f t="shared" ref="P51:P52" si="2">N51*O51</f>
        <v>0</v>
      </c>
      <c r="Q51" s="136"/>
      <c r="R51" s="134"/>
      <c r="S51" s="163"/>
    </row>
    <row r="52" spans="2:19" x14ac:dyDescent="0.5">
      <c r="B52" s="4" t="s">
        <v>79</v>
      </c>
      <c r="C52" s="44">
        <v>0</v>
      </c>
      <c r="D52" s="2"/>
      <c r="E52" s="2"/>
      <c r="F52" s="2"/>
      <c r="G52" s="2"/>
      <c r="H52" s="2"/>
      <c r="I52" s="210"/>
      <c r="K52" s="160" t="s">
        <v>189</v>
      </c>
      <c r="L52" s="161"/>
      <c r="M52" s="161"/>
      <c r="N52" s="133">
        <f>N50+N51</f>
        <v>1800</v>
      </c>
      <c r="O52" s="134">
        <v>1.5E-3</v>
      </c>
      <c r="P52" s="135">
        <f t="shared" si="2"/>
        <v>2.7</v>
      </c>
      <c r="Q52" s="136"/>
      <c r="R52" s="134"/>
      <c r="S52" s="163"/>
    </row>
    <row r="53" spans="2:19" x14ac:dyDescent="0.5">
      <c r="B53" s="4" t="s">
        <v>80</v>
      </c>
      <c r="C53" s="44">
        <v>0</v>
      </c>
      <c r="D53" s="2"/>
      <c r="E53" s="2"/>
      <c r="F53" s="2"/>
      <c r="G53" s="2"/>
      <c r="H53" s="2"/>
      <c r="I53" s="210"/>
      <c r="K53" s="192"/>
      <c r="L53" s="161"/>
      <c r="M53" s="161"/>
      <c r="N53" s="133"/>
      <c r="O53" s="141"/>
      <c r="P53" s="162"/>
      <c r="Q53" s="136"/>
      <c r="R53" s="134"/>
      <c r="S53" s="163"/>
    </row>
    <row r="54" spans="2:19" x14ac:dyDescent="0.5">
      <c r="B54" s="213"/>
      <c r="C54" s="1"/>
      <c r="D54" s="1"/>
      <c r="E54" s="1"/>
      <c r="F54" s="1"/>
      <c r="G54" s="1"/>
      <c r="H54" s="1"/>
      <c r="I54" s="214"/>
      <c r="K54" s="196" t="s">
        <v>190</v>
      </c>
      <c r="L54" s="161"/>
      <c r="M54" s="161"/>
      <c r="N54" s="133"/>
      <c r="O54" s="134"/>
      <c r="P54" s="135"/>
      <c r="Q54" s="136"/>
      <c r="R54" s="134"/>
      <c r="S54" s="163"/>
    </row>
    <row r="55" spans="2:19" x14ac:dyDescent="0.5">
      <c r="B55" s="206"/>
      <c r="C55" s="32"/>
      <c r="D55" s="32"/>
      <c r="E55" s="32"/>
      <c r="F55" s="32"/>
      <c r="G55" s="32"/>
      <c r="H55" s="32"/>
      <c r="I55" s="207"/>
      <c r="K55" s="160" t="s">
        <v>191</v>
      </c>
      <c r="L55" s="161"/>
      <c r="M55" s="161"/>
      <c r="N55" s="133">
        <f>IF($G$34&gt;0,$G$34,IF($S$27&gt;$M$26,$M$26,$S$27))</f>
        <v>1800</v>
      </c>
      <c r="O55" s="134">
        <v>4.7199999999999999E-2</v>
      </c>
      <c r="P55" s="135">
        <f>N55*O55</f>
        <v>84.96</v>
      </c>
      <c r="Q55" s="136"/>
      <c r="R55" s="134">
        <v>3.15E-2</v>
      </c>
      <c r="S55" s="163">
        <f>N55*R55</f>
        <v>56.7</v>
      </c>
    </row>
    <row r="56" spans="2:19" ht="16.149999999999999" thickBot="1" x14ac:dyDescent="0.55000000000000004">
      <c r="B56" s="216" t="s">
        <v>81</v>
      </c>
      <c r="C56" s="2"/>
      <c r="D56" s="2"/>
      <c r="E56" s="2"/>
      <c r="F56" s="2"/>
      <c r="G56" s="2"/>
      <c r="H56" s="2"/>
      <c r="I56" s="210"/>
      <c r="K56" s="160" t="s">
        <v>192</v>
      </c>
      <c r="L56" s="161"/>
      <c r="M56" s="161"/>
      <c r="N56" s="133">
        <f>IF($G$34&lt;&gt;0,$H$34,IF($S$27&lt;$M$26,0,IF($S$27&lt;4*$M$26,$S$27-$M$26,3*$M$26)))</f>
        <v>0</v>
      </c>
      <c r="O56" s="134">
        <v>0.1295</v>
      </c>
      <c r="P56" s="135">
        <f t="shared" ref="P56:P64" si="3">N56*O56</f>
        <v>0</v>
      </c>
      <c r="Q56" s="136"/>
      <c r="R56" s="134">
        <v>8.6400000000000005E-2</v>
      </c>
      <c r="S56" s="163">
        <f t="shared" ref="S56:S64" si="4">N56*R56</f>
        <v>0</v>
      </c>
    </row>
    <row r="57" spans="2:19" x14ac:dyDescent="0.5">
      <c r="B57" s="4"/>
      <c r="C57" s="45" t="s">
        <v>82</v>
      </c>
      <c r="D57" s="46" t="s">
        <v>83</v>
      </c>
      <c r="E57" s="47" t="s">
        <v>84</v>
      </c>
      <c r="F57" s="2"/>
      <c r="G57" s="2"/>
      <c r="H57" s="2"/>
      <c r="I57" s="210"/>
      <c r="K57" s="160" t="s">
        <v>193</v>
      </c>
      <c r="L57" s="161"/>
      <c r="M57" s="161"/>
      <c r="N57" s="133">
        <f>N55</f>
        <v>1800</v>
      </c>
      <c r="O57" s="141">
        <v>3.6000000000000002E-4</v>
      </c>
      <c r="P57" s="135">
        <f t="shared" si="3"/>
        <v>0.64800000000000002</v>
      </c>
      <c r="Q57" s="136"/>
      <c r="R57" s="141">
        <v>2.4000000000000001E-4</v>
      </c>
      <c r="S57" s="163">
        <f t="shared" si="4"/>
        <v>0.432</v>
      </c>
    </row>
    <row r="58" spans="2:19" x14ac:dyDescent="0.5">
      <c r="B58" s="4"/>
      <c r="C58" s="48"/>
      <c r="D58" s="211"/>
      <c r="E58" s="49"/>
      <c r="F58" s="2"/>
      <c r="G58" s="2"/>
      <c r="H58" s="2"/>
      <c r="I58" s="210"/>
      <c r="K58" s="160" t="s">
        <v>194</v>
      </c>
      <c r="L58" s="161"/>
      <c r="M58" s="161"/>
      <c r="N58" s="133">
        <f>N56</f>
        <v>0</v>
      </c>
      <c r="O58" s="141">
        <v>3.6000000000000002E-4</v>
      </c>
      <c r="P58" s="135">
        <f t="shared" si="3"/>
        <v>0</v>
      </c>
      <c r="Q58" s="136"/>
      <c r="R58" s="141">
        <v>2.4000000000000001E-4</v>
      </c>
      <c r="S58" s="163">
        <f t="shared" si="4"/>
        <v>0</v>
      </c>
    </row>
    <row r="59" spans="2:19" x14ac:dyDescent="0.5">
      <c r="B59" s="4" t="s">
        <v>85</v>
      </c>
      <c r="C59" s="50"/>
      <c r="D59" s="51"/>
      <c r="E59" s="52">
        <f>C59*D59</f>
        <v>0</v>
      </c>
      <c r="F59" s="2"/>
      <c r="G59" s="2" t="s">
        <v>86</v>
      </c>
      <c r="H59" s="2"/>
      <c r="I59" s="210"/>
      <c r="K59" s="160" t="s">
        <v>195</v>
      </c>
      <c r="L59" s="175"/>
      <c r="M59" s="175"/>
      <c r="N59" s="133">
        <f>IF($G$34&gt;0,$G$34,IF($S$27&gt;$M$26,$M$26,$S$27))</f>
        <v>1800</v>
      </c>
      <c r="O59" s="134">
        <v>1.4999999999999999E-2</v>
      </c>
      <c r="P59" s="135">
        <f t="shared" si="3"/>
        <v>27</v>
      </c>
      <c r="Q59" s="139"/>
      <c r="R59" s="134"/>
      <c r="S59" s="163"/>
    </row>
    <row r="60" spans="2:19" x14ac:dyDescent="0.5">
      <c r="B60" s="4"/>
      <c r="C60" s="4"/>
      <c r="D60" s="2"/>
      <c r="E60" s="53"/>
      <c r="F60" s="2"/>
      <c r="G60" s="2"/>
      <c r="H60" s="2"/>
      <c r="I60" s="210"/>
      <c r="K60" s="160" t="s">
        <v>196</v>
      </c>
      <c r="L60" s="161"/>
      <c r="M60" s="161"/>
      <c r="N60" s="133">
        <f>+N55+N56</f>
        <v>1800</v>
      </c>
      <c r="O60" s="134">
        <v>2.0999999999999999E-3</v>
      </c>
      <c r="P60" s="135">
        <f t="shared" si="3"/>
        <v>3.78</v>
      </c>
      <c r="Q60" s="136"/>
      <c r="R60" s="134">
        <v>1.4E-3</v>
      </c>
      <c r="S60" s="163">
        <f t="shared" si="4"/>
        <v>2.52</v>
      </c>
    </row>
    <row r="61" spans="2:19" x14ac:dyDescent="0.5">
      <c r="B61" s="4" t="s">
        <v>87</v>
      </c>
      <c r="C61" s="54">
        <v>0</v>
      </c>
      <c r="D61" s="44">
        <v>4.95</v>
      </c>
      <c r="E61" s="52">
        <f t="shared" ref="E61:E62" si="5">C61*D61</f>
        <v>0</v>
      </c>
      <c r="F61" s="2"/>
      <c r="G61" s="2"/>
      <c r="H61" s="2"/>
      <c r="I61" s="210"/>
      <c r="K61" s="160" t="s">
        <v>197</v>
      </c>
      <c r="L61" s="161"/>
      <c r="M61" s="161"/>
      <c r="N61" s="133">
        <f>N55</f>
        <v>1800</v>
      </c>
      <c r="O61" s="134">
        <v>1.29E-2</v>
      </c>
      <c r="P61" s="135">
        <f t="shared" si="3"/>
        <v>23.22</v>
      </c>
      <c r="Q61" s="136"/>
      <c r="R61" s="134">
        <v>8.6E-3</v>
      </c>
      <c r="S61" s="163">
        <f t="shared" si="4"/>
        <v>15.48</v>
      </c>
    </row>
    <row r="62" spans="2:19" x14ac:dyDescent="0.5">
      <c r="B62" s="226" t="s">
        <v>88</v>
      </c>
      <c r="C62" s="54"/>
      <c r="D62" s="44"/>
      <c r="E62" s="52">
        <f t="shared" si="5"/>
        <v>0</v>
      </c>
      <c r="F62" s="2"/>
      <c r="G62" s="2"/>
      <c r="H62" s="2"/>
      <c r="I62" s="210"/>
      <c r="K62" s="160" t="s">
        <v>198</v>
      </c>
      <c r="L62" s="161"/>
      <c r="M62" s="161"/>
      <c r="N62" s="133">
        <f>N56</f>
        <v>0</v>
      </c>
      <c r="O62" s="134">
        <v>1.6199999999999999E-2</v>
      </c>
      <c r="P62" s="135">
        <f t="shared" si="3"/>
        <v>0</v>
      </c>
      <c r="Q62" s="136"/>
      <c r="R62" s="134">
        <v>1.0800000000000001E-2</v>
      </c>
      <c r="S62" s="163">
        <f t="shared" si="4"/>
        <v>0</v>
      </c>
    </row>
    <row r="63" spans="2:19" x14ac:dyDescent="0.5">
      <c r="B63" s="4"/>
      <c r="C63" s="4"/>
      <c r="D63" s="5"/>
      <c r="E63" s="55"/>
      <c r="F63" s="2"/>
      <c r="G63" s="2"/>
      <c r="H63" s="2"/>
      <c r="I63" s="210"/>
      <c r="K63" s="160" t="s">
        <v>199</v>
      </c>
      <c r="L63" s="161"/>
      <c r="M63" s="161"/>
      <c r="N63" s="133">
        <f>IF($S$27&gt;$M$26,$M$26,$S$27)</f>
        <v>1800</v>
      </c>
      <c r="O63" s="134">
        <f>Menu!K19</f>
        <v>0</v>
      </c>
      <c r="P63" s="135">
        <f t="shared" si="3"/>
        <v>0</v>
      </c>
      <c r="Q63" s="136"/>
      <c r="R63" s="134">
        <f>Menu!K20</f>
        <v>0</v>
      </c>
      <c r="S63" s="163">
        <f t="shared" si="4"/>
        <v>0</v>
      </c>
    </row>
    <row r="64" spans="2:19" x14ac:dyDescent="0.5">
      <c r="B64" s="4" t="s">
        <v>87</v>
      </c>
      <c r="C64" s="14">
        <f>C61</f>
        <v>0</v>
      </c>
      <c r="D64" s="13">
        <f>IF(D62&gt;=(D61*50/100),0,D61)</f>
        <v>4.95</v>
      </c>
      <c r="E64" s="56">
        <f>C64*D64</f>
        <v>0</v>
      </c>
      <c r="F64" s="2"/>
      <c r="G64" s="2" t="s">
        <v>89</v>
      </c>
      <c r="H64" s="227" t="s">
        <v>90</v>
      </c>
      <c r="I64" s="210"/>
      <c r="K64" s="160" t="s">
        <v>200</v>
      </c>
      <c r="L64" s="161"/>
      <c r="M64" s="161"/>
      <c r="N64" s="133">
        <f>Menu!K16</f>
        <v>0</v>
      </c>
      <c r="O64" s="134">
        <f>Menu!K17</f>
        <v>0</v>
      </c>
      <c r="P64" s="135">
        <f t="shared" si="3"/>
        <v>0</v>
      </c>
      <c r="Q64" s="139"/>
      <c r="R64" s="134">
        <f>Menu!K18</f>
        <v>1</v>
      </c>
      <c r="S64" s="163">
        <f t="shared" si="4"/>
        <v>0</v>
      </c>
    </row>
    <row r="65" spans="2:19" x14ac:dyDescent="0.5">
      <c r="B65" s="4"/>
      <c r="C65" s="4"/>
      <c r="D65" s="2"/>
      <c r="E65" s="57"/>
      <c r="F65" s="2"/>
      <c r="G65" s="2"/>
      <c r="H65" s="2"/>
      <c r="I65" s="210"/>
      <c r="K65" s="173"/>
      <c r="L65" s="161"/>
      <c r="M65" s="161"/>
      <c r="N65" s="133"/>
      <c r="O65" s="134"/>
      <c r="P65" s="162"/>
      <c r="Q65" s="174"/>
      <c r="R65" s="134"/>
      <c r="S65" s="163"/>
    </row>
    <row r="66" spans="2:19" ht="16.149999999999999" thickBot="1" x14ac:dyDescent="0.55000000000000004">
      <c r="B66" s="4" t="s">
        <v>91</v>
      </c>
      <c r="C66" s="58"/>
      <c r="D66" s="59"/>
      <c r="E66" s="60">
        <f t="shared" ref="E66" si="6">C66*D66</f>
        <v>0</v>
      </c>
      <c r="F66" s="2"/>
      <c r="G66" s="2"/>
      <c r="H66" s="2"/>
      <c r="I66" s="210"/>
      <c r="K66" s="350" t="s">
        <v>201</v>
      </c>
      <c r="L66" s="351"/>
      <c r="M66" s="352"/>
      <c r="N66" s="142"/>
      <c r="O66" s="143"/>
      <c r="P66" s="144">
        <f>SUM(P30:Q64)</f>
        <v>631.29600000000005</v>
      </c>
      <c r="Q66" s="145"/>
      <c r="R66" s="146"/>
      <c r="S66" s="197">
        <f>SUM(S30:S64)</f>
        <v>378.07650000000001</v>
      </c>
    </row>
    <row r="67" spans="2:19" x14ac:dyDescent="0.5">
      <c r="B67" s="4"/>
      <c r="C67" s="2"/>
      <c r="D67" s="228" t="s">
        <v>92</v>
      </c>
      <c r="E67" s="61">
        <f>E59+E64+E66</f>
        <v>0</v>
      </c>
      <c r="F67" s="2"/>
      <c r="G67" s="2"/>
      <c r="H67" s="2"/>
      <c r="I67" s="210"/>
      <c r="K67" s="160"/>
      <c r="L67" s="161"/>
      <c r="M67" s="161"/>
      <c r="N67" s="183"/>
      <c r="O67" s="161"/>
      <c r="P67" s="198"/>
      <c r="Q67" s="161"/>
      <c r="R67" s="184"/>
      <c r="S67" s="163"/>
    </row>
    <row r="68" spans="2:19" x14ac:dyDescent="0.5">
      <c r="B68" s="213"/>
      <c r="C68" s="1"/>
      <c r="D68" s="1"/>
      <c r="E68" s="1"/>
      <c r="F68" s="1"/>
      <c r="G68" s="1"/>
      <c r="H68" s="1"/>
      <c r="I68" s="214"/>
      <c r="K68" s="160"/>
      <c r="L68" s="161"/>
      <c r="M68" s="161"/>
      <c r="N68" s="161"/>
      <c r="O68" s="161"/>
      <c r="P68" s="161"/>
      <c r="Q68" s="161"/>
      <c r="R68" s="184"/>
      <c r="S68" s="163"/>
    </row>
    <row r="69" spans="2:19" x14ac:dyDescent="0.5">
      <c r="B69" s="206"/>
      <c r="C69" s="32"/>
      <c r="D69" s="32"/>
      <c r="E69" s="32"/>
      <c r="F69" s="32"/>
      <c r="G69" s="32"/>
      <c r="H69" s="32"/>
      <c r="I69" s="207"/>
      <c r="K69" s="199" t="s">
        <v>249</v>
      </c>
      <c r="L69" s="147" t="s">
        <v>252</v>
      </c>
      <c r="M69" s="147" t="s">
        <v>253</v>
      </c>
      <c r="N69" s="147" t="s">
        <v>254</v>
      </c>
      <c r="O69" s="148" t="s">
        <v>202</v>
      </c>
      <c r="P69" s="149"/>
      <c r="Q69" s="150"/>
      <c r="R69" s="149" t="s">
        <v>203</v>
      </c>
      <c r="S69" s="200">
        <f>-E67</f>
        <v>0</v>
      </c>
    </row>
    <row r="70" spans="2:19" x14ac:dyDescent="0.5">
      <c r="B70" s="216" t="s">
        <v>93</v>
      </c>
      <c r="C70" s="2"/>
      <c r="D70" s="2"/>
      <c r="E70" s="2"/>
      <c r="F70" s="2"/>
      <c r="G70" s="2"/>
      <c r="H70" s="2"/>
      <c r="I70" s="210"/>
      <c r="K70" s="201" t="s">
        <v>250</v>
      </c>
      <c r="L70" s="151">
        <v>0</v>
      </c>
      <c r="M70" s="151">
        <v>0</v>
      </c>
      <c r="N70" s="151">
        <f>L70-M70</f>
        <v>0</v>
      </c>
      <c r="O70" s="148" t="s">
        <v>204</v>
      </c>
      <c r="P70" s="149"/>
      <c r="Q70" s="150"/>
      <c r="R70" s="149" t="s">
        <v>203</v>
      </c>
      <c r="S70" s="200">
        <v>0</v>
      </c>
    </row>
    <row r="71" spans="2:19" x14ac:dyDescent="0.5">
      <c r="B71" s="4"/>
      <c r="C71" s="2"/>
      <c r="D71" s="2"/>
      <c r="E71" s="2"/>
      <c r="F71" s="2"/>
      <c r="G71" s="2"/>
      <c r="H71" s="2"/>
      <c r="I71" s="210"/>
      <c r="K71" s="201" t="s">
        <v>255</v>
      </c>
      <c r="L71" s="166">
        <f>C104</f>
        <v>2.5</v>
      </c>
      <c r="M71" s="151">
        <v>0</v>
      </c>
      <c r="N71" s="151">
        <f t="shared" ref="N71:N72" si="7">L71-M71</f>
        <v>2.5</v>
      </c>
      <c r="O71" s="148" t="s">
        <v>205</v>
      </c>
      <c r="P71" s="149"/>
      <c r="Q71" s="150"/>
      <c r="R71" s="149" t="s">
        <v>203</v>
      </c>
      <c r="S71" s="200">
        <v>0</v>
      </c>
    </row>
    <row r="72" spans="2:19" x14ac:dyDescent="0.5">
      <c r="B72" s="4" t="s">
        <v>94</v>
      </c>
      <c r="C72" s="248">
        <f>ROUND((L1/4.33),0)</f>
        <v>35</v>
      </c>
      <c r="D72" s="211" t="s">
        <v>95</v>
      </c>
      <c r="E72" s="5">
        <f>M1</f>
        <v>11.867871035801413</v>
      </c>
      <c r="F72" s="2" t="s">
        <v>96</v>
      </c>
      <c r="G72" s="2"/>
      <c r="H72" s="2"/>
      <c r="I72" s="210"/>
      <c r="K72" s="201" t="s">
        <v>251</v>
      </c>
      <c r="L72" s="151">
        <v>0</v>
      </c>
      <c r="M72" s="151">
        <v>0</v>
      </c>
      <c r="N72" s="151">
        <f t="shared" si="7"/>
        <v>0</v>
      </c>
      <c r="O72" s="148" t="s">
        <v>206</v>
      </c>
      <c r="P72" s="149"/>
      <c r="Q72" s="150"/>
      <c r="R72" s="149" t="s">
        <v>203</v>
      </c>
      <c r="S72" s="200">
        <v>0</v>
      </c>
    </row>
    <row r="73" spans="2:19" x14ac:dyDescent="0.5">
      <c r="B73" s="4"/>
      <c r="C73" s="2"/>
      <c r="D73" s="2"/>
      <c r="E73" s="5"/>
      <c r="F73" s="2"/>
      <c r="G73" s="2"/>
      <c r="H73" s="2"/>
      <c r="I73" s="210"/>
      <c r="K73" s="160"/>
      <c r="L73" s="161"/>
      <c r="M73" s="161"/>
      <c r="N73" s="161"/>
      <c r="O73" s="148" t="s">
        <v>207</v>
      </c>
      <c r="P73" s="149"/>
      <c r="Q73" s="150"/>
      <c r="R73" s="149" t="s">
        <v>208</v>
      </c>
      <c r="S73" s="200">
        <f>G42+G43</f>
        <v>0</v>
      </c>
    </row>
    <row r="74" spans="2:19" x14ac:dyDescent="0.5">
      <c r="B74" s="229" t="s">
        <v>97</v>
      </c>
      <c r="C74" s="62" t="s">
        <v>98</v>
      </c>
      <c r="D74" s="62" t="s">
        <v>99</v>
      </c>
      <c r="E74" s="62" t="s">
        <v>100</v>
      </c>
      <c r="F74" s="62" t="s">
        <v>101</v>
      </c>
      <c r="G74" s="2"/>
      <c r="H74" s="2"/>
      <c r="I74" s="210"/>
      <c r="K74" s="160"/>
      <c r="L74" s="161"/>
      <c r="M74" s="161"/>
      <c r="N74" s="161"/>
      <c r="O74" s="148" t="s">
        <v>209</v>
      </c>
      <c r="P74" s="149"/>
      <c r="Q74" s="150"/>
      <c r="R74" s="149" t="s">
        <v>203</v>
      </c>
      <c r="S74" s="200">
        <v>0</v>
      </c>
    </row>
    <row r="75" spans="2:19" x14ac:dyDescent="0.5">
      <c r="B75" s="14" t="s">
        <v>102</v>
      </c>
      <c r="C75" s="63">
        <v>0</v>
      </c>
      <c r="D75" s="64">
        <f>IF(C75=0,0,C75-$C$72)</f>
        <v>0</v>
      </c>
      <c r="E75" s="65">
        <f>IFERROR(IF(D75&lt;8,D75*$E$72*1.25,8*$E$72*1.25),"")</f>
        <v>0</v>
      </c>
      <c r="F75" s="13">
        <f>IF(D75&gt;8,(D75-8)*$E$72*1.5,0)</f>
        <v>0</v>
      </c>
      <c r="G75" s="230">
        <f>IF(D75&lt;8,D75,8)</f>
        <v>0</v>
      </c>
      <c r="H75" s="230">
        <f>IF(D75&gt;8,D75-G75,0)</f>
        <v>0</v>
      </c>
      <c r="I75" s="210"/>
      <c r="K75" s="316" t="s">
        <v>210</v>
      </c>
      <c r="L75" s="317"/>
      <c r="M75" s="317"/>
      <c r="N75" s="317"/>
      <c r="O75" s="148" t="s">
        <v>211</v>
      </c>
      <c r="P75" s="149"/>
      <c r="Q75" s="150"/>
      <c r="R75" s="149" t="s">
        <v>208</v>
      </c>
      <c r="S75" s="200">
        <v>0</v>
      </c>
    </row>
    <row r="76" spans="2:19" x14ac:dyDescent="0.5">
      <c r="B76" s="14" t="s">
        <v>103</v>
      </c>
      <c r="C76" s="66">
        <v>0</v>
      </c>
      <c r="D76" s="64">
        <f t="shared" ref="D76:D79" si="8">IF(C76=0,0,C76-$C$72)</f>
        <v>0</v>
      </c>
      <c r="E76" s="65">
        <f t="shared" ref="E76:E79" si="9">IFERROR(IF(D76&lt;8,D76*$E$72*1.25,8*$E$72*1.25),"")</f>
        <v>0</v>
      </c>
      <c r="F76" s="13">
        <f>IF(D76&gt;8,(D76-8)*$E$72*1.5,0)</f>
        <v>0</v>
      </c>
      <c r="G76" s="230">
        <f t="shared" ref="G76:G79" si="10">IF(D76&lt;8,D76,8)</f>
        <v>0</v>
      </c>
      <c r="H76" s="230">
        <f t="shared" ref="H76:H79" si="11">IF(D76&gt;8,D76-G76,0)</f>
        <v>0</v>
      </c>
      <c r="I76" s="210"/>
      <c r="K76" s="310" t="s">
        <v>212</v>
      </c>
      <c r="L76" s="311"/>
      <c r="M76" s="312">
        <f>R79+S41+S43</f>
        <v>1551.0239999999999</v>
      </c>
      <c r="N76" s="305"/>
      <c r="O76" s="148" t="s">
        <v>213</v>
      </c>
      <c r="P76" s="149"/>
      <c r="Q76" s="150"/>
      <c r="R76" s="149" t="s">
        <v>208</v>
      </c>
      <c r="S76" s="200">
        <v>0</v>
      </c>
    </row>
    <row r="77" spans="2:19" x14ac:dyDescent="0.5">
      <c r="B77" s="14" t="s">
        <v>104</v>
      </c>
      <c r="C77" s="66">
        <v>0</v>
      </c>
      <c r="D77" s="64">
        <f t="shared" si="8"/>
        <v>0</v>
      </c>
      <c r="E77" s="65">
        <f t="shared" si="9"/>
        <v>0</v>
      </c>
      <c r="F77" s="13">
        <f>IF(D77&gt;8,(D77-8)*$E$72*1.5,0)</f>
        <v>0</v>
      </c>
      <c r="G77" s="230">
        <f t="shared" si="10"/>
        <v>0</v>
      </c>
      <c r="H77" s="230">
        <f t="shared" si="11"/>
        <v>0</v>
      </c>
      <c r="I77" s="210"/>
      <c r="K77" s="310" t="s">
        <v>214</v>
      </c>
      <c r="L77" s="311"/>
      <c r="M77" s="312">
        <f>R79+S41+S43</f>
        <v>1551.0239999999999</v>
      </c>
      <c r="N77" s="305"/>
      <c r="O77" s="148" t="s">
        <v>215</v>
      </c>
      <c r="P77" s="149"/>
      <c r="Q77" s="150"/>
      <c r="R77" s="149" t="s">
        <v>208</v>
      </c>
      <c r="S77" s="200">
        <v>0</v>
      </c>
    </row>
    <row r="78" spans="2:19" x14ac:dyDescent="0.5">
      <c r="B78" s="14" t="s">
        <v>105</v>
      </c>
      <c r="C78" s="66">
        <v>0</v>
      </c>
      <c r="D78" s="64">
        <f t="shared" si="8"/>
        <v>0</v>
      </c>
      <c r="E78" s="65">
        <f t="shared" si="9"/>
        <v>0</v>
      </c>
      <c r="F78" s="13">
        <f>IF(D78&gt;8,(D78-8)*$E$72*1.5,0)</f>
        <v>0</v>
      </c>
      <c r="G78" s="230">
        <f t="shared" si="10"/>
        <v>0</v>
      </c>
      <c r="H78" s="230">
        <f t="shared" si="11"/>
        <v>0</v>
      </c>
      <c r="I78" s="210"/>
      <c r="K78" s="160"/>
      <c r="L78" s="161"/>
      <c r="M78" s="161"/>
      <c r="N78" s="161"/>
      <c r="O78" s="161"/>
      <c r="P78" s="161"/>
      <c r="Q78" s="183"/>
      <c r="R78" s="161"/>
      <c r="S78" s="202"/>
    </row>
    <row r="79" spans="2:19" x14ac:dyDescent="0.5">
      <c r="B79" s="14" t="s">
        <v>106</v>
      </c>
      <c r="C79" s="66"/>
      <c r="D79" s="64">
        <f t="shared" si="8"/>
        <v>0</v>
      </c>
      <c r="E79" s="65">
        <f t="shared" si="9"/>
        <v>0</v>
      </c>
      <c r="F79" s="13">
        <f>IF(D79&gt;8,(D79-8)*$E$72*1.5,0)</f>
        <v>0</v>
      </c>
      <c r="G79" s="230">
        <f t="shared" si="10"/>
        <v>0</v>
      </c>
      <c r="H79" s="230">
        <f t="shared" si="11"/>
        <v>0</v>
      </c>
      <c r="I79" s="210"/>
      <c r="K79" s="160"/>
      <c r="L79" s="161"/>
      <c r="M79" s="161"/>
      <c r="N79" s="313" t="s">
        <v>216</v>
      </c>
      <c r="O79" s="313"/>
      <c r="P79" s="313"/>
      <c r="Q79" s="313"/>
      <c r="R79" s="314">
        <f>S27-S66+S69-S70-S71-S72+S73-S74+S75+S76+S77</f>
        <v>1421.9234999999999</v>
      </c>
      <c r="S79" s="315"/>
    </row>
    <row r="80" spans="2:19" x14ac:dyDescent="0.5">
      <c r="B80" s="4"/>
      <c r="C80" s="2"/>
      <c r="D80" s="2"/>
      <c r="E80" s="2"/>
      <c r="F80" s="2"/>
      <c r="G80" s="230">
        <f>SUM(G75:G79)</f>
        <v>0</v>
      </c>
      <c r="H80" s="230">
        <f>SUM(H75:H79)</f>
        <v>0</v>
      </c>
      <c r="I80" s="210"/>
      <c r="K80" s="160"/>
      <c r="L80" s="161"/>
      <c r="M80" s="161"/>
      <c r="N80" s="161"/>
      <c r="O80" s="161"/>
      <c r="P80" s="161"/>
      <c r="Q80" s="183"/>
      <c r="R80" s="161"/>
      <c r="S80" s="202"/>
    </row>
    <row r="81" spans="2:19" x14ac:dyDescent="0.5">
      <c r="B81" s="14" t="s">
        <v>107</v>
      </c>
      <c r="C81" s="67">
        <f>SUM(C75:C79)</f>
        <v>0</v>
      </c>
      <c r="D81" s="67">
        <f t="shared" ref="D81:F81" si="12">SUM(D75:D79)</f>
        <v>0</v>
      </c>
      <c r="E81" s="13">
        <f t="shared" si="12"/>
        <v>0</v>
      </c>
      <c r="F81" s="13">
        <f t="shared" si="12"/>
        <v>0</v>
      </c>
      <c r="G81" s="2"/>
      <c r="H81" s="2"/>
      <c r="I81" s="210"/>
      <c r="K81" s="160"/>
      <c r="L81" s="161"/>
      <c r="M81" s="161"/>
      <c r="N81" s="161"/>
      <c r="O81" s="161"/>
      <c r="P81" s="161"/>
      <c r="Q81" s="183"/>
      <c r="R81" s="161"/>
      <c r="S81" s="202"/>
    </row>
    <row r="82" spans="2:19" x14ac:dyDescent="0.5">
      <c r="B82" s="213"/>
      <c r="C82" s="1"/>
      <c r="D82" s="1"/>
      <c r="E82" s="1"/>
      <c r="F82" s="1"/>
      <c r="G82" s="1"/>
      <c r="H82" s="1"/>
      <c r="I82" s="214"/>
      <c r="K82" s="160"/>
      <c r="L82" s="161"/>
      <c r="M82" s="300" t="s">
        <v>217</v>
      </c>
      <c r="N82" s="301"/>
      <c r="O82" s="302"/>
      <c r="P82" s="300" t="s">
        <v>218</v>
      </c>
      <c r="Q82" s="302"/>
      <c r="R82" s="152" t="s">
        <v>15</v>
      </c>
      <c r="S82" s="203" t="s">
        <v>84</v>
      </c>
    </row>
    <row r="83" spans="2:19" x14ac:dyDescent="0.5">
      <c r="B83" s="206"/>
      <c r="C83" s="32"/>
      <c r="D83" s="32"/>
      <c r="E83" s="32"/>
      <c r="F83" s="32"/>
      <c r="G83" s="32"/>
      <c r="H83" s="32"/>
      <c r="I83" s="207"/>
      <c r="K83" s="160"/>
      <c r="L83" s="161"/>
      <c r="M83" s="303" t="s">
        <v>219</v>
      </c>
      <c r="N83" s="304"/>
      <c r="O83" s="305"/>
      <c r="P83" s="306">
        <f>R79+S41+S43</f>
        <v>1551.0239999999999</v>
      </c>
      <c r="Q83" s="306"/>
      <c r="R83" s="153">
        <f>Q1</f>
        <v>0</v>
      </c>
      <c r="S83" s="204">
        <f>P83*R83</f>
        <v>0</v>
      </c>
    </row>
    <row r="84" spans="2:19" x14ac:dyDescent="0.5">
      <c r="B84" s="216" t="s">
        <v>108</v>
      </c>
      <c r="C84" s="2"/>
      <c r="D84" s="2"/>
      <c r="E84" s="2"/>
      <c r="F84" s="2"/>
      <c r="G84" s="2"/>
      <c r="H84" s="2"/>
      <c r="I84" s="210"/>
      <c r="K84" s="160"/>
      <c r="L84" s="161"/>
      <c r="M84" s="161"/>
      <c r="N84" s="161"/>
      <c r="O84" s="161"/>
      <c r="P84" s="161"/>
      <c r="Q84" s="183"/>
      <c r="R84" s="161"/>
      <c r="S84" s="202"/>
    </row>
    <row r="85" spans="2:19" ht="17.649999999999999" x14ac:dyDescent="0.5">
      <c r="B85" s="4"/>
      <c r="C85" s="2"/>
      <c r="D85" s="2"/>
      <c r="E85" s="2"/>
      <c r="F85" s="2"/>
      <c r="G85" s="2"/>
      <c r="H85" s="2"/>
      <c r="I85" s="210"/>
      <c r="K85" s="160" t="s">
        <v>220</v>
      </c>
      <c r="L85" s="161"/>
      <c r="M85" s="205">
        <f>I7</f>
        <v>44227</v>
      </c>
      <c r="N85" s="307" t="s">
        <v>221</v>
      </c>
      <c r="O85" s="307"/>
      <c r="P85" s="307"/>
      <c r="Q85" s="307"/>
      <c r="R85" s="308">
        <f>R79-S83</f>
        <v>1421.9234999999999</v>
      </c>
      <c r="S85" s="309"/>
    </row>
    <row r="86" spans="2:19" ht="16.149999999999999" thickBot="1" x14ac:dyDescent="0.55000000000000004">
      <c r="B86" s="231" t="s">
        <v>109</v>
      </c>
      <c r="C86" s="68">
        <f>L1</f>
        <v>151.66999999999999</v>
      </c>
      <c r="D86" s="2"/>
      <c r="E86" s="2"/>
      <c r="F86" s="2"/>
      <c r="G86" s="2"/>
      <c r="H86" s="2"/>
      <c r="I86" s="210"/>
      <c r="K86" s="290" t="s">
        <v>222</v>
      </c>
      <c r="L86" s="291"/>
      <c r="M86" s="291"/>
      <c r="N86" s="291"/>
      <c r="O86" s="291"/>
      <c r="P86" s="291"/>
      <c r="Q86" s="291"/>
      <c r="R86" s="291"/>
      <c r="S86" s="292"/>
    </row>
    <row r="87" spans="2:19" x14ac:dyDescent="0.5">
      <c r="B87" s="231" t="s">
        <v>110</v>
      </c>
      <c r="C87" s="68">
        <f>ROUND((C86/4.33),0)</f>
        <v>35</v>
      </c>
      <c r="D87" s="2"/>
      <c r="E87" s="2"/>
      <c r="F87" s="2"/>
      <c r="G87" s="2"/>
      <c r="H87" s="2"/>
      <c r="I87" s="210"/>
      <c r="K87" s="155"/>
      <c r="L87" s="155"/>
      <c r="M87" s="155"/>
      <c r="N87" s="155"/>
      <c r="O87" s="155"/>
      <c r="P87" s="155"/>
      <c r="Q87" s="155"/>
      <c r="R87" s="155"/>
      <c r="S87" s="155"/>
    </row>
    <row r="88" spans="2:19" ht="16.149999999999999" thickBot="1" x14ac:dyDescent="0.55000000000000004">
      <c r="B88" s="231" t="s">
        <v>111</v>
      </c>
      <c r="C88" s="69">
        <v>5</v>
      </c>
      <c r="D88" s="2"/>
      <c r="E88" s="2"/>
      <c r="F88" s="2"/>
      <c r="G88" s="2"/>
      <c r="H88" s="2"/>
      <c r="I88" s="210"/>
      <c r="K88" s="155"/>
      <c r="L88" s="155"/>
      <c r="M88" s="155"/>
      <c r="N88" s="155"/>
      <c r="O88" s="155"/>
      <c r="P88" s="155"/>
      <c r="Q88" s="155"/>
      <c r="R88" s="155"/>
      <c r="S88" s="155"/>
    </row>
    <row r="89" spans="2:19" ht="18" thickBot="1" x14ac:dyDescent="0.55000000000000004">
      <c r="B89" s="231" t="s">
        <v>112</v>
      </c>
      <c r="C89" s="157">
        <f>C87/C88</f>
        <v>7</v>
      </c>
      <c r="D89" s="2"/>
      <c r="E89" s="2"/>
      <c r="F89" s="2"/>
      <c r="G89" s="2"/>
      <c r="H89" s="2"/>
      <c r="I89" s="210"/>
      <c r="K89" s="293" t="s">
        <v>223</v>
      </c>
      <c r="L89" s="294"/>
      <c r="M89" s="294"/>
      <c r="N89" s="294"/>
      <c r="O89" s="294"/>
      <c r="P89" s="294"/>
      <c r="Q89" s="294"/>
      <c r="R89" s="294"/>
      <c r="S89" s="295"/>
    </row>
    <row r="90" spans="2:19" x14ac:dyDescent="0.5">
      <c r="B90" s="231" t="s">
        <v>113</v>
      </c>
      <c r="C90" s="70">
        <f>M1</f>
        <v>11.867871035801413</v>
      </c>
      <c r="D90" s="2"/>
      <c r="E90" s="2"/>
      <c r="F90" s="2"/>
      <c r="G90" s="2"/>
      <c r="H90" s="2"/>
      <c r="I90" s="210"/>
      <c r="K90" s="252"/>
      <c r="L90" s="253"/>
      <c r="M90" s="253"/>
      <c r="N90" s="253"/>
      <c r="O90" s="253"/>
      <c r="P90" s="254" t="s">
        <v>224</v>
      </c>
      <c r="Q90" s="254"/>
      <c r="R90" s="255"/>
      <c r="S90" s="256" t="s">
        <v>225</v>
      </c>
    </row>
    <row r="91" spans="2:19" x14ac:dyDescent="0.5">
      <c r="B91" s="4"/>
      <c r="C91" s="2"/>
      <c r="D91" s="2"/>
      <c r="E91" s="2"/>
      <c r="F91" s="2"/>
      <c r="G91" s="2"/>
      <c r="H91" s="2"/>
      <c r="I91" s="210"/>
      <c r="K91" s="257">
        <v>641100</v>
      </c>
      <c r="L91" s="258" t="s">
        <v>226</v>
      </c>
      <c r="M91" s="258"/>
      <c r="N91" s="258"/>
      <c r="O91" s="258"/>
      <c r="P91" s="259">
        <f>+S14+S15+S16+S17+S18+S22+S23+S19</f>
        <v>1800</v>
      </c>
      <c r="Q91" s="259"/>
      <c r="R91" s="260"/>
      <c r="S91" s="261"/>
    </row>
    <row r="92" spans="2:19" x14ac:dyDescent="0.5">
      <c r="B92" s="4"/>
      <c r="C92" s="2"/>
      <c r="D92" s="62" t="s">
        <v>114</v>
      </c>
      <c r="E92" s="62" t="s">
        <v>115</v>
      </c>
      <c r="F92" s="62" t="s">
        <v>116</v>
      </c>
      <c r="G92" s="62" t="s">
        <v>117</v>
      </c>
      <c r="H92" s="2"/>
      <c r="I92" s="210"/>
      <c r="K92" s="257">
        <v>641200</v>
      </c>
      <c r="L92" s="258" t="s">
        <v>227</v>
      </c>
      <c r="M92" s="258"/>
      <c r="N92" s="258"/>
      <c r="O92" s="258"/>
      <c r="P92" s="259">
        <f>S20</f>
        <v>0</v>
      </c>
      <c r="Q92" s="259"/>
      <c r="R92" s="262"/>
      <c r="S92" s="261"/>
    </row>
    <row r="93" spans="2:19" x14ac:dyDescent="0.5">
      <c r="B93" s="4" t="s">
        <v>118</v>
      </c>
      <c r="C93" s="2"/>
      <c r="D93" s="71">
        <v>0</v>
      </c>
      <c r="E93" s="12">
        <f>C89</f>
        <v>7</v>
      </c>
      <c r="F93" s="12">
        <f>D93*E93</f>
        <v>0</v>
      </c>
      <c r="G93" s="72">
        <f>F93*-C90</f>
        <v>0</v>
      </c>
      <c r="H93" s="2"/>
      <c r="I93" s="210"/>
      <c r="K93" s="257">
        <v>641300</v>
      </c>
      <c r="L93" s="258" t="s">
        <v>228</v>
      </c>
      <c r="M93" s="258"/>
      <c r="N93" s="258"/>
      <c r="O93" s="258"/>
      <c r="P93" s="259">
        <f>+S24+S25</f>
        <v>0</v>
      </c>
      <c r="Q93" s="259"/>
      <c r="R93" s="262"/>
      <c r="S93" s="261"/>
    </row>
    <row r="94" spans="2:19" x14ac:dyDescent="0.5">
      <c r="B94" s="4"/>
      <c r="C94" s="2"/>
      <c r="D94" s="2"/>
      <c r="E94" s="2"/>
      <c r="F94" s="2"/>
      <c r="G94" s="2"/>
      <c r="H94" s="2"/>
      <c r="I94" s="210"/>
      <c r="K94" s="257">
        <v>641700</v>
      </c>
      <c r="L94" s="258" t="s">
        <v>229</v>
      </c>
      <c r="M94" s="258"/>
      <c r="N94" s="258"/>
      <c r="O94" s="258"/>
      <c r="P94" s="259">
        <f>S21</f>
        <v>0</v>
      </c>
      <c r="Q94" s="259"/>
      <c r="R94" s="262"/>
      <c r="S94" s="261"/>
    </row>
    <row r="95" spans="2:19" x14ac:dyDescent="0.5">
      <c r="B95" s="213"/>
      <c r="C95" s="1"/>
      <c r="D95" s="1"/>
      <c r="E95" s="1"/>
      <c r="F95" s="1"/>
      <c r="G95" s="1"/>
      <c r="H95" s="1"/>
      <c r="I95" s="214"/>
      <c r="K95" s="257">
        <v>431000</v>
      </c>
      <c r="L95" s="258" t="s">
        <v>230</v>
      </c>
      <c r="M95" s="258"/>
      <c r="N95" s="258"/>
      <c r="O95" s="258"/>
      <c r="P95" s="259"/>
      <c r="Q95" s="259"/>
      <c r="R95" s="262"/>
      <c r="S95" s="261">
        <f>SUM(S31:S52)</f>
        <v>302.94450000000001</v>
      </c>
    </row>
    <row r="96" spans="2:19" x14ac:dyDescent="0.5">
      <c r="B96" s="206"/>
      <c r="C96" s="32"/>
      <c r="D96" s="32"/>
      <c r="E96" s="32"/>
      <c r="F96" s="32"/>
      <c r="G96" s="32"/>
      <c r="H96" s="32"/>
      <c r="I96" s="207"/>
      <c r="K96" s="257">
        <v>431000</v>
      </c>
      <c r="L96" s="258" t="s">
        <v>231</v>
      </c>
      <c r="M96" s="258"/>
      <c r="N96" s="258"/>
      <c r="O96" s="258"/>
      <c r="P96" s="259"/>
      <c r="Q96" s="259"/>
      <c r="R96" s="262"/>
      <c r="S96" s="261">
        <f>SUM(P31:P52)</f>
        <v>491.68800000000005</v>
      </c>
    </row>
    <row r="97" spans="2:19" x14ac:dyDescent="0.5">
      <c r="B97" s="216" t="s">
        <v>119</v>
      </c>
      <c r="C97" s="2"/>
      <c r="D97" s="2"/>
      <c r="E97" s="2"/>
      <c r="F97" s="2"/>
      <c r="G97" s="2"/>
      <c r="H97" s="2"/>
      <c r="I97" s="210"/>
      <c r="K97" s="257">
        <v>645100</v>
      </c>
      <c r="L97" s="258" t="s">
        <v>231</v>
      </c>
      <c r="M97" s="258"/>
      <c r="N97" s="258"/>
      <c r="O97" s="258"/>
      <c r="P97" s="259">
        <f>S96</f>
        <v>491.68800000000005</v>
      </c>
      <c r="Q97" s="259"/>
      <c r="R97" s="262"/>
      <c r="S97" s="261"/>
    </row>
    <row r="98" spans="2:19" x14ac:dyDescent="0.5">
      <c r="B98" s="4"/>
      <c r="C98" s="2"/>
      <c r="D98" s="2"/>
      <c r="E98" s="2"/>
      <c r="F98" s="2"/>
      <c r="G98" s="2"/>
      <c r="H98" s="2"/>
      <c r="I98" s="210"/>
      <c r="K98" s="257">
        <v>437200</v>
      </c>
      <c r="L98" s="258" t="s">
        <v>232</v>
      </c>
      <c r="M98" s="258"/>
      <c r="N98" s="258"/>
      <c r="O98" s="258"/>
      <c r="P98" s="259"/>
      <c r="Q98" s="259"/>
      <c r="R98" s="262"/>
      <c r="S98" s="261">
        <f>SUM(S55:S62)</f>
        <v>75.132000000000005</v>
      </c>
    </row>
    <row r="99" spans="2:19" x14ac:dyDescent="0.5">
      <c r="B99" s="231" t="s">
        <v>120</v>
      </c>
      <c r="C99" s="73"/>
      <c r="D99" s="68">
        <v>2.5</v>
      </c>
      <c r="E99" s="2"/>
      <c r="F99" s="2"/>
      <c r="G99" s="2"/>
      <c r="H99" s="2"/>
      <c r="I99" s="210"/>
      <c r="K99" s="257">
        <v>437200</v>
      </c>
      <c r="L99" s="258" t="s">
        <v>233</v>
      </c>
      <c r="M99" s="258"/>
      <c r="N99" s="258"/>
      <c r="O99" s="258"/>
      <c r="P99" s="259"/>
      <c r="Q99" s="259"/>
      <c r="R99" s="262"/>
      <c r="S99" s="261">
        <f>SUM(P55:P62)</f>
        <v>139.608</v>
      </c>
    </row>
    <row r="100" spans="2:19" x14ac:dyDescent="0.5">
      <c r="B100" s="231" t="s">
        <v>121</v>
      </c>
      <c r="C100" s="73"/>
      <c r="D100" s="68">
        <v>1</v>
      </c>
      <c r="E100" s="2"/>
      <c r="F100" s="2"/>
      <c r="G100" s="2"/>
      <c r="H100" s="2"/>
      <c r="I100" s="210"/>
      <c r="K100" s="257">
        <v>645300</v>
      </c>
      <c r="L100" s="258" t="s">
        <v>233</v>
      </c>
      <c r="M100" s="258"/>
      <c r="N100" s="258"/>
      <c r="O100" s="258"/>
      <c r="P100" s="259">
        <f>S99</f>
        <v>139.608</v>
      </c>
      <c r="Q100" s="259"/>
      <c r="R100" s="262"/>
      <c r="S100" s="261"/>
    </row>
    <row r="101" spans="2:19" x14ac:dyDescent="0.5">
      <c r="B101" s="231" t="s">
        <v>122</v>
      </c>
      <c r="C101" s="73">
        <f>D93</f>
        <v>0</v>
      </c>
      <c r="D101" s="74">
        <f>C101/30</f>
        <v>0</v>
      </c>
      <c r="E101" s="2"/>
      <c r="F101" s="2"/>
      <c r="G101" s="2"/>
      <c r="H101" s="2"/>
      <c r="I101" s="210"/>
      <c r="K101" s="257">
        <v>437500</v>
      </c>
      <c r="L101" s="258" t="s">
        <v>234</v>
      </c>
      <c r="M101" s="258"/>
      <c r="N101" s="258"/>
      <c r="O101" s="258"/>
      <c r="P101" s="259"/>
      <c r="Q101" s="259"/>
      <c r="R101" s="262"/>
      <c r="S101" s="261">
        <f>S63+S64</f>
        <v>0</v>
      </c>
    </row>
    <row r="102" spans="2:19" x14ac:dyDescent="0.5">
      <c r="B102" s="4"/>
      <c r="C102" s="2"/>
      <c r="D102" s="2"/>
      <c r="E102" s="2"/>
      <c r="F102" s="2"/>
      <c r="G102" s="2"/>
      <c r="H102" s="2"/>
      <c r="I102" s="210"/>
      <c r="K102" s="257">
        <v>437500</v>
      </c>
      <c r="L102" s="258" t="s">
        <v>235</v>
      </c>
      <c r="M102" s="258"/>
      <c r="N102" s="258"/>
      <c r="O102" s="258"/>
      <c r="P102" s="259"/>
      <c r="Q102" s="259"/>
      <c r="R102" s="262"/>
      <c r="S102" s="261">
        <f>+P63+P64</f>
        <v>0</v>
      </c>
    </row>
    <row r="103" spans="2:19" x14ac:dyDescent="0.5">
      <c r="B103" s="4"/>
      <c r="C103" s="2"/>
      <c r="D103" s="2"/>
      <c r="E103" s="2"/>
      <c r="F103" s="2"/>
      <c r="G103" s="2"/>
      <c r="H103" s="2"/>
      <c r="I103" s="210"/>
      <c r="K103" s="257">
        <v>645320</v>
      </c>
      <c r="L103" s="258" t="s">
        <v>235</v>
      </c>
      <c r="M103" s="258"/>
      <c r="N103" s="258"/>
      <c r="O103" s="258"/>
      <c r="P103" s="259">
        <f>S102</f>
        <v>0</v>
      </c>
      <c r="Q103" s="259"/>
      <c r="R103" s="262"/>
      <c r="S103" s="261"/>
    </row>
    <row r="104" spans="2:19" x14ac:dyDescent="0.5">
      <c r="B104" s="231" t="s">
        <v>123</v>
      </c>
      <c r="C104" s="74">
        <f>ROUND((D99*(D100-D101)),2)</f>
        <v>2.5</v>
      </c>
      <c r="D104" s="2"/>
      <c r="E104" s="2"/>
      <c r="F104" s="2"/>
      <c r="G104" s="2"/>
      <c r="H104" s="2"/>
      <c r="I104" s="210"/>
      <c r="K104" s="257">
        <v>425000</v>
      </c>
      <c r="L104" s="258" t="s">
        <v>236</v>
      </c>
      <c r="M104" s="258"/>
      <c r="N104" s="258"/>
      <c r="O104" s="258"/>
      <c r="P104" s="259"/>
      <c r="Q104" s="259"/>
      <c r="R104" s="262"/>
      <c r="S104" s="261">
        <f>S71+S72</f>
        <v>0</v>
      </c>
    </row>
    <row r="105" spans="2:19" x14ac:dyDescent="0.5">
      <c r="B105" s="213"/>
      <c r="C105" s="1"/>
      <c r="D105" s="1"/>
      <c r="E105" s="1"/>
      <c r="F105" s="1"/>
      <c r="G105" s="1"/>
      <c r="H105" s="1"/>
      <c r="I105" s="214"/>
      <c r="K105" s="257">
        <v>426000</v>
      </c>
      <c r="L105" s="258" t="s">
        <v>237</v>
      </c>
      <c r="M105" s="258"/>
      <c r="N105" s="258"/>
      <c r="O105" s="258"/>
      <c r="P105" s="259"/>
      <c r="Q105" s="259"/>
      <c r="R105" s="262"/>
      <c r="S105" s="261">
        <v>0</v>
      </c>
    </row>
    <row r="106" spans="2:19" x14ac:dyDescent="0.5">
      <c r="B106" s="206"/>
      <c r="C106" s="32"/>
      <c r="D106" s="32"/>
      <c r="E106" s="32"/>
      <c r="F106" s="32"/>
      <c r="G106" s="32"/>
      <c r="H106" s="32"/>
      <c r="I106" s="207"/>
      <c r="K106" s="257">
        <v>427000</v>
      </c>
      <c r="L106" s="258" t="s">
        <v>238</v>
      </c>
      <c r="M106" s="258"/>
      <c r="N106" s="258"/>
      <c r="O106" s="258"/>
      <c r="P106" s="259"/>
      <c r="Q106" s="259"/>
      <c r="R106" s="262"/>
      <c r="S106" s="261">
        <f>+S70</f>
        <v>0</v>
      </c>
    </row>
    <row r="107" spans="2:19" x14ac:dyDescent="0.5">
      <c r="B107" s="323" t="s">
        <v>124</v>
      </c>
      <c r="C107" s="324"/>
      <c r="D107" s="324"/>
      <c r="E107" s="2"/>
      <c r="F107" s="2"/>
      <c r="G107" s="2"/>
      <c r="H107" s="2"/>
      <c r="I107" s="210"/>
      <c r="K107" s="257">
        <v>442100</v>
      </c>
      <c r="L107" s="258" t="s">
        <v>239</v>
      </c>
      <c r="M107" s="258"/>
      <c r="N107" s="258"/>
      <c r="O107" s="258"/>
      <c r="P107" s="259"/>
      <c r="Q107" s="259"/>
      <c r="R107" s="262"/>
      <c r="S107" s="261">
        <f>+S83</f>
        <v>0</v>
      </c>
    </row>
    <row r="108" spans="2:19" x14ac:dyDescent="0.5">
      <c r="B108" s="232" t="s">
        <v>125</v>
      </c>
      <c r="C108" s="73"/>
      <c r="D108" s="69">
        <v>0</v>
      </c>
      <c r="E108" s="2"/>
      <c r="F108" s="2"/>
      <c r="G108" s="2"/>
      <c r="H108" s="2"/>
      <c r="I108" s="210"/>
      <c r="K108" s="257">
        <v>791000</v>
      </c>
      <c r="L108" s="258" t="s">
        <v>158</v>
      </c>
      <c r="M108" s="258"/>
      <c r="N108" s="259"/>
      <c r="O108" s="258"/>
      <c r="P108" s="259"/>
      <c r="Q108" s="259"/>
      <c r="R108" s="262"/>
      <c r="S108" s="261">
        <f>-S69</f>
        <v>0</v>
      </c>
    </row>
    <row r="109" spans="2:19" x14ac:dyDescent="0.5">
      <c r="B109" s="232" t="s">
        <v>126</v>
      </c>
      <c r="C109" s="73"/>
      <c r="D109" s="69">
        <v>0</v>
      </c>
      <c r="E109" s="2"/>
      <c r="F109" s="2"/>
      <c r="G109" s="2"/>
      <c r="H109" s="2"/>
      <c r="I109" s="210"/>
      <c r="K109" s="257">
        <v>437400</v>
      </c>
      <c r="L109" s="258" t="s">
        <v>240</v>
      </c>
      <c r="M109" s="258"/>
      <c r="N109" s="259"/>
      <c r="O109" s="258"/>
      <c r="P109" s="259"/>
      <c r="Q109" s="259"/>
      <c r="R109" s="262"/>
      <c r="S109" s="261">
        <f>S74</f>
        <v>0</v>
      </c>
    </row>
    <row r="110" spans="2:19" x14ac:dyDescent="0.5">
      <c r="B110" s="232" t="s">
        <v>127</v>
      </c>
      <c r="C110" s="73"/>
      <c r="D110" s="75">
        <f>D108-D109</f>
        <v>0</v>
      </c>
      <c r="E110" s="2"/>
      <c r="F110" s="2"/>
      <c r="G110" s="2"/>
      <c r="H110" s="2"/>
      <c r="I110" s="210"/>
      <c r="K110" s="257">
        <v>421000</v>
      </c>
      <c r="L110" s="258" t="s">
        <v>241</v>
      </c>
      <c r="M110" s="258"/>
      <c r="N110" s="258"/>
      <c r="O110" s="258"/>
      <c r="P110" s="259"/>
      <c r="Q110" s="259"/>
      <c r="R110" s="262"/>
      <c r="S110" s="261">
        <f>R85</f>
        <v>1421.9234999999999</v>
      </c>
    </row>
    <row r="111" spans="2:19" x14ac:dyDescent="0.5">
      <c r="B111" s="232" t="s">
        <v>128</v>
      </c>
      <c r="C111" s="73"/>
      <c r="D111" s="76">
        <v>0</v>
      </c>
      <c r="E111" s="2"/>
      <c r="F111" s="2"/>
      <c r="G111" s="2"/>
      <c r="H111" s="2"/>
      <c r="I111" s="210"/>
      <c r="K111" s="257"/>
      <c r="L111" s="258"/>
      <c r="M111" s="258"/>
      <c r="N111" s="258"/>
      <c r="O111" s="258"/>
      <c r="P111" s="259"/>
      <c r="Q111" s="259"/>
      <c r="R111" s="262"/>
      <c r="S111" s="261"/>
    </row>
    <row r="112" spans="2:19" x14ac:dyDescent="0.5">
      <c r="B112" s="232" t="s">
        <v>129</v>
      </c>
      <c r="C112" s="73"/>
      <c r="D112" s="76">
        <v>0</v>
      </c>
      <c r="E112" s="2"/>
      <c r="F112" s="2"/>
      <c r="G112" s="2"/>
      <c r="H112" s="2"/>
      <c r="I112" s="210"/>
      <c r="K112" s="257"/>
      <c r="L112" s="258"/>
      <c r="M112" s="258"/>
      <c r="N112" s="258"/>
      <c r="O112" s="258"/>
      <c r="P112" s="259"/>
      <c r="Q112" s="259"/>
      <c r="R112" s="259"/>
      <c r="S112" s="261"/>
    </row>
    <row r="113" spans="2:19" x14ac:dyDescent="0.5">
      <c r="B113" s="232" t="s">
        <v>130</v>
      </c>
      <c r="C113" s="73"/>
      <c r="D113" s="70">
        <f>D111*D110/26</f>
        <v>0</v>
      </c>
      <c r="E113" s="2"/>
      <c r="F113" s="2"/>
      <c r="G113" s="2"/>
      <c r="H113" s="2"/>
      <c r="I113" s="210"/>
      <c r="K113" s="257"/>
      <c r="L113" s="258"/>
      <c r="M113" s="258"/>
      <c r="N113" s="258"/>
      <c r="O113" s="258"/>
      <c r="P113" s="259"/>
      <c r="Q113" s="259"/>
      <c r="R113" s="259"/>
      <c r="S113" s="261"/>
    </row>
    <row r="114" spans="2:19" ht="16.149999999999999" thickBot="1" x14ac:dyDescent="0.55000000000000004">
      <c r="B114" s="232" t="s">
        <v>131</v>
      </c>
      <c r="C114" s="73"/>
      <c r="D114" s="70">
        <f>IF(D108=D110,(D112/10),D112/10*D110/D108)</f>
        <v>0</v>
      </c>
      <c r="E114" s="2"/>
      <c r="F114" s="2"/>
      <c r="G114" s="2"/>
      <c r="H114" s="2"/>
      <c r="I114" s="210"/>
      <c r="K114" s="296" t="s">
        <v>107</v>
      </c>
      <c r="L114" s="297"/>
      <c r="M114" s="297"/>
      <c r="N114" s="297"/>
      <c r="O114" s="297"/>
      <c r="P114" s="263">
        <f>SUM(P91:P113)</f>
        <v>2431.2960000000003</v>
      </c>
      <c r="Q114" s="263"/>
      <c r="R114" s="263"/>
      <c r="S114" s="264">
        <f>SUM(S91:S113)</f>
        <v>2431.2959999999998</v>
      </c>
    </row>
    <row r="115" spans="2:19" x14ac:dyDescent="0.5">
      <c r="B115" s="4"/>
      <c r="C115" s="2"/>
      <c r="D115" s="2"/>
      <c r="E115" s="2"/>
      <c r="F115" s="2"/>
      <c r="G115" s="2"/>
      <c r="H115" s="2"/>
      <c r="I115" s="210"/>
    </row>
    <row r="116" spans="2:19" x14ac:dyDescent="0.5">
      <c r="B116" s="232" t="s">
        <v>132</v>
      </c>
      <c r="C116" s="73"/>
      <c r="D116" s="70">
        <f>IF(D113&lt;D114,D114,D113)</f>
        <v>0</v>
      </c>
      <c r="E116" s="2"/>
      <c r="F116" s="2"/>
      <c r="G116" s="2"/>
      <c r="H116" s="2"/>
      <c r="I116" s="210"/>
    </row>
    <row r="117" spans="2:19" x14ac:dyDescent="0.5">
      <c r="B117" s="213"/>
      <c r="C117" s="1"/>
      <c r="D117" s="1"/>
      <c r="E117" s="1"/>
      <c r="F117" s="1"/>
      <c r="G117" s="1"/>
      <c r="H117" s="1"/>
      <c r="I117" s="214"/>
    </row>
    <row r="118" spans="2:19" x14ac:dyDescent="0.5">
      <c r="B118" s="206"/>
      <c r="C118" s="32"/>
      <c r="D118" s="32"/>
      <c r="E118" s="32"/>
      <c r="F118" s="32"/>
      <c r="G118" s="32"/>
      <c r="H118" s="32"/>
      <c r="I118" s="207"/>
    </row>
    <row r="119" spans="2:19" x14ac:dyDescent="0.5">
      <c r="B119" s="216" t="s">
        <v>133</v>
      </c>
      <c r="C119" s="2"/>
      <c r="D119" s="2"/>
      <c r="E119" s="2"/>
      <c r="F119" s="2"/>
      <c r="G119" s="2"/>
      <c r="H119" s="2"/>
      <c r="I119" s="210"/>
    </row>
    <row r="120" spans="2:19" x14ac:dyDescent="0.5">
      <c r="B120" s="4"/>
      <c r="C120" s="2"/>
      <c r="D120" s="2"/>
      <c r="E120" s="2"/>
      <c r="F120" s="2"/>
      <c r="G120" s="2"/>
      <c r="H120" s="2"/>
      <c r="I120" s="210"/>
    </row>
    <row r="121" spans="2:19" x14ac:dyDescent="0.5">
      <c r="B121" s="231" t="s">
        <v>244</v>
      </c>
      <c r="C121" s="158">
        <v>0.9</v>
      </c>
      <c r="D121" s="2"/>
      <c r="E121" s="2"/>
      <c r="F121" s="2"/>
      <c r="G121" s="2"/>
      <c r="H121" s="2"/>
      <c r="I121" s="210"/>
    </row>
    <row r="122" spans="2:19" x14ac:dyDescent="0.5">
      <c r="B122" s="4"/>
      <c r="C122" s="77" t="s">
        <v>134</v>
      </c>
      <c r="D122" s="78" t="s">
        <v>135</v>
      </c>
      <c r="E122" s="77" t="s">
        <v>82</v>
      </c>
      <c r="F122" s="79" t="s">
        <v>83</v>
      </c>
      <c r="G122" s="78" t="s">
        <v>84</v>
      </c>
      <c r="H122" s="2"/>
      <c r="I122" s="210"/>
    </row>
    <row r="123" spans="2:19" x14ac:dyDescent="0.5">
      <c r="B123" s="206" t="s">
        <v>9</v>
      </c>
      <c r="C123" s="31"/>
      <c r="D123" s="33"/>
      <c r="E123" s="31">
        <f>L1</f>
        <v>151.66999999999999</v>
      </c>
      <c r="F123" s="32"/>
      <c r="G123" s="80">
        <f>K1</f>
        <v>1800</v>
      </c>
      <c r="H123" s="2"/>
      <c r="I123" s="210"/>
    </row>
    <row r="124" spans="2:19" x14ac:dyDescent="0.5">
      <c r="B124" s="4" t="s">
        <v>136</v>
      </c>
      <c r="C124" s="81"/>
      <c r="D124" s="82"/>
      <c r="E124" s="83">
        <f>IF(C124="",0,DATEDIF(C124,D124,"d")+1)</f>
        <v>0</v>
      </c>
      <c r="F124" s="233">
        <f>IFERROR(-G124/E124,0)</f>
        <v>0</v>
      </c>
      <c r="G124" s="84">
        <f>G123/30*-E124</f>
        <v>0</v>
      </c>
      <c r="H124" s="2"/>
      <c r="I124" s="210"/>
    </row>
    <row r="125" spans="2:19" x14ac:dyDescent="0.5">
      <c r="B125" s="4" t="s">
        <v>137</v>
      </c>
      <c r="C125" s="81"/>
      <c r="D125" s="82"/>
      <c r="E125" s="83">
        <f t="shared" ref="E125:E126" si="13">IF(C125="",0,DATEDIF(C125,D125,"d")+1)</f>
        <v>0</v>
      </c>
      <c r="F125" s="233">
        <f>F124*C121</f>
        <v>0</v>
      </c>
      <c r="G125" s="84">
        <f>E125*F125</f>
        <v>0</v>
      </c>
      <c r="H125" s="2"/>
      <c r="I125" s="210"/>
    </row>
    <row r="126" spans="2:19" x14ac:dyDescent="0.5">
      <c r="B126" s="213" t="s">
        <v>138</v>
      </c>
      <c r="C126" s="85"/>
      <c r="D126" s="86"/>
      <c r="E126" s="87">
        <f t="shared" si="13"/>
        <v>0</v>
      </c>
      <c r="F126" s="88"/>
      <c r="G126" s="89">
        <f>E126*-F126</f>
        <v>0</v>
      </c>
      <c r="H126" s="2"/>
      <c r="I126" s="210"/>
    </row>
    <row r="127" spans="2:19" x14ac:dyDescent="0.5">
      <c r="B127" s="4"/>
      <c r="C127" s="2"/>
      <c r="D127" s="2"/>
      <c r="E127" s="2"/>
      <c r="F127" s="234" t="s">
        <v>139</v>
      </c>
      <c r="G127" s="90">
        <f>SUM(G123:G126)</f>
        <v>1800</v>
      </c>
      <c r="H127" s="2"/>
      <c r="I127" s="210"/>
    </row>
    <row r="128" spans="2:19" ht="16.149999999999999" thickBot="1" x14ac:dyDescent="0.55000000000000004">
      <c r="B128" s="7"/>
      <c r="C128" s="8"/>
      <c r="D128" s="8"/>
      <c r="E128" s="8"/>
      <c r="F128" s="9"/>
      <c r="G128" s="8"/>
      <c r="H128" s="8"/>
      <c r="I128" s="235"/>
    </row>
    <row r="131" spans="2:2" x14ac:dyDescent="0.5">
      <c r="B131" s="91"/>
    </row>
  </sheetData>
  <sheetProtection selectLockedCells="1"/>
  <mergeCells count="32">
    <mergeCell ref="K75:N75"/>
    <mergeCell ref="B4:I4"/>
    <mergeCell ref="B40:C40"/>
    <mergeCell ref="E40:G40"/>
    <mergeCell ref="B107:D107"/>
    <mergeCell ref="K4:S4"/>
    <mergeCell ref="K5:N5"/>
    <mergeCell ref="O5:S5"/>
    <mergeCell ref="P10:R10"/>
    <mergeCell ref="K28:M29"/>
    <mergeCell ref="N28:N29"/>
    <mergeCell ref="O28:Q28"/>
    <mergeCell ref="R28:S28"/>
    <mergeCell ref="K35:M35"/>
    <mergeCell ref="K42:M42"/>
    <mergeCell ref="K66:M66"/>
    <mergeCell ref="K86:S86"/>
    <mergeCell ref="K89:S89"/>
    <mergeCell ref="K114:O114"/>
    <mergeCell ref="N26:O26"/>
    <mergeCell ref="M82:O82"/>
    <mergeCell ref="P82:Q82"/>
    <mergeCell ref="M83:O83"/>
    <mergeCell ref="P83:Q83"/>
    <mergeCell ref="N85:Q85"/>
    <mergeCell ref="R85:S85"/>
    <mergeCell ref="K76:L76"/>
    <mergeCell ref="M76:N76"/>
    <mergeCell ref="K77:L77"/>
    <mergeCell ref="M77:N77"/>
    <mergeCell ref="N79:Q79"/>
    <mergeCell ref="R79:S7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roccoquantin</cp:lastModifiedBy>
  <dcterms:created xsi:type="dcterms:W3CDTF">2021-04-13T13:52:53Z</dcterms:created>
  <dcterms:modified xsi:type="dcterms:W3CDTF">2021-04-14T08:32:47Z</dcterms:modified>
</cp:coreProperties>
</file>