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vy AMON\Desktop\Bdd\"/>
    </mc:Choice>
  </mc:AlternateContent>
  <xr:revisionPtr revIDLastSave="0" documentId="13_ncr:1_{BF8D5844-77A0-4DE4-A6BA-AB69C2B940C9}" xr6:coauthVersionLast="47" xr6:coauthVersionMax="47" xr10:uidLastSave="{00000000-0000-0000-0000-000000000000}"/>
  <bookViews>
    <workbookView xWindow="-120" yWindow="-120" windowWidth="29040" windowHeight="15720" tabRatio="861" xr2:uid="{00000000-000D-0000-FFFF-FFFF00000000}"/>
  </bookViews>
  <sheets>
    <sheet name="Synthèse" sheetId="7" r:id="rId1"/>
    <sheet name="Budget" sheetId="1" r:id="rId2"/>
    <sheet name="Décompte Travaux" sheetId="12" r:id="rId3"/>
    <sheet name="Saisie" sheetId="2" r:id="rId4"/>
    <sheet name="Listes" sheetId="3" r:id="rId5"/>
    <sheet name="Unités ouvrages" sheetId="11" r:id="rId6"/>
  </sheets>
  <definedNames>
    <definedName name="_xlnm._FilterDatabase" localSheetId="3" hidden="1">Saisie!$A$2:$N$1610</definedName>
    <definedName name="Carrelage">Listes!$R$2:$R$29</definedName>
    <definedName name="Chantier">Saisie!$C$1</definedName>
    <definedName name="Climatisation">Listes!$U$2:$U$29</definedName>
    <definedName name="Cloisons_placo">Listes!$J$2:$J$29</definedName>
    <definedName name="Clôture">Listes!$D$2:$D$29</definedName>
    <definedName name="Courants_faibles">Listes!$Q$2:$Q$29</definedName>
    <definedName name="Courants_forts">Listes!$P$2:$P$29</definedName>
    <definedName name="Couverture_charpente_bois">Listes!$G$2:$G$29</definedName>
    <definedName name="Couverture_charpente_métallique">Listes!$H$2:$H$29</definedName>
    <definedName name="Etanchéité">Listes!$F$2:$F$29</definedName>
    <definedName name="Etudes_permis_de_construire">Listes!$A$2:$A$29</definedName>
    <definedName name="Faux_plafond">Listes!$I$2:$I$29</definedName>
    <definedName name="Fournisseurs">Listes!$W$2:$W$29</definedName>
    <definedName name="Frais_chantier">#REF!</definedName>
    <definedName name="Gros_Oeuvre">Listes!$E$2:$E$29</definedName>
    <definedName name="INDIRECT">Listes!$B$2:$B$29</definedName>
    <definedName name="Installation_du_chantier">Listes!$B$2:$B$29</definedName>
    <definedName name="LOTS">NA()</definedName>
    <definedName name="Menuiserie_Alu">Listes!$M$2:$M$29</definedName>
    <definedName name="Menuiserie_Bois">Listes!$N$2:$N$29</definedName>
    <definedName name="Menuiserie_Fer">Listes!$K$2:$K$29</definedName>
    <definedName name="Menuiserie_inox">Listes!$L$2:$L$29</definedName>
    <definedName name="Peinture_enduit">Listes!$O$2:$O$29</definedName>
    <definedName name="Plomberie_sanitaire">Listes!$T$2:$T$29</definedName>
    <definedName name="Revêtement_souple">Listes!$S$2:$S$29</definedName>
    <definedName name="SEMAINE_REF">#REF!</definedName>
    <definedName name="Unité">Listes!$X$2:$X$10</definedName>
    <definedName name="VRD">Listes!$C$2:$C$29</definedName>
    <definedName name="_xlnm.Print_Area" localSheetId="1">Budget!$A$1:$W$46</definedName>
    <definedName name="_xlnm.Print_Area" localSheetId="0">Synthèse!$A$1:$I$27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G4" i="2" l="1"/>
  <c r="H3" i="12"/>
  <c r="H1" i="2"/>
  <c r="F18" i="2"/>
  <c r="G19" i="2"/>
  <c r="F17" i="2"/>
  <c r="F33" i="2"/>
  <c r="F32" i="2"/>
  <c r="G9" i="2"/>
  <c r="G8" i="2"/>
  <c r="G7" i="2"/>
  <c r="G5" i="2"/>
  <c r="G6" i="2"/>
  <c r="G3" i="2"/>
  <c r="G12" i="2"/>
  <c r="G13" i="2"/>
  <c r="G11" i="2"/>
  <c r="F15" i="2"/>
  <c r="G15" i="2"/>
  <c r="G18" i="2"/>
  <c r="G17" i="2"/>
  <c r="G32" i="2"/>
  <c r="Y50" i="1"/>
  <c r="H28" i="2"/>
  <c r="H26" i="2"/>
  <c r="H27" i="2"/>
  <c r="F25" i="2"/>
  <c r="F27" i="2"/>
  <c r="G29" i="2"/>
  <c r="G30" i="2"/>
  <c r="G36" i="2"/>
  <c r="G37" i="2"/>
  <c r="G38" i="2"/>
  <c r="G24" i="2"/>
  <c r="G25" i="2"/>
  <c r="F26" i="2"/>
  <c r="G26" i="2"/>
  <c r="F28" i="2"/>
  <c r="G28" i="2"/>
  <c r="G27" i="2"/>
  <c r="G23" i="2"/>
  <c r="K22" i="2"/>
  <c r="K29" i="2"/>
  <c r="G22" i="2"/>
  <c r="J26" i="2"/>
  <c r="J27" i="2"/>
  <c r="J28" i="2"/>
  <c r="D25" i="2"/>
  <c r="J21" i="2"/>
  <c r="G39" i="2"/>
  <c r="G21" i="2"/>
  <c r="H36" i="2"/>
  <c r="H37" i="2"/>
  <c r="H38" i="2"/>
  <c r="G20" i="2"/>
  <c r="H39" i="2"/>
  <c r="N24" i="1"/>
  <c r="H40" i="1"/>
  <c r="H39" i="1"/>
  <c r="H38" i="1"/>
  <c r="H37" i="1"/>
  <c r="H35" i="1"/>
  <c r="H34" i="1"/>
  <c r="H33" i="1"/>
  <c r="H32" i="1"/>
  <c r="H31" i="1"/>
  <c r="H28" i="1"/>
  <c r="H26" i="1"/>
  <c r="H23" i="1"/>
  <c r="H13" i="1"/>
  <c r="H11" i="1"/>
  <c r="H8" i="1"/>
  <c r="G13" i="1"/>
  <c r="G38" i="1"/>
  <c r="J44" i="1"/>
  <c r="N38" i="1"/>
  <c r="L38" i="1"/>
  <c r="R26" i="12"/>
  <c r="R27" i="12"/>
  <c r="R28" i="12"/>
  <c r="J26" i="12"/>
  <c r="J27" i="12"/>
  <c r="J28" i="12"/>
  <c r="Q29" i="12"/>
  <c r="P29" i="12"/>
  <c r="O29" i="12"/>
  <c r="I29" i="12"/>
  <c r="H29" i="12"/>
  <c r="G29" i="12"/>
  <c r="N18" i="12"/>
  <c r="N19" i="12"/>
  <c r="N4" i="12"/>
  <c r="N5" i="12"/>
  <c r="N6" i="12"/>
  <c r="N7" i="12"/>
  <c r="N8" i="12"/>
  <c r="N9" i="12"/>
  <c r="N10" i="12"/>
  <c r="N11" i="12"/>
  <c r="N12" i="12"/>
  <c r="N13" i="12"/>
  <c r="N14" i="12"/>
  <c r="N15" i="12"/>
  <c r="N16" i="12"/>
  <c r="N17" i="12"/>
  <c r="N3" i="12"/>
  <c r="R25" i="12"/>
  <c r="R24" i="12"/>
  <c r="N33" i="1"/>
  <c r="R23" i="12"/>
  <c r="R29" i="12"/>
  <c r="Q20" i="12"/>
  <c r="Q31" i="12"/>
  <c r="O20" i="12"/>
  <c r="P17" i="12"/>
  <c r="R17" i="12"/>
  <c r="N40" i="1"/>
  <c r="P16" i="12"/>
  <c r="R16" i="12"/>
  <c r="N34" i="1"/>
  <c r="P15" i="12"/>
  <c r="R15" i="12"/>
  <c r="N28" i="1"/>
  <c r="P14" i="12"/>
  <c r="R14" i="12"/>
  <c r="P13" i="12"/>
  <c r="R13" i="12"/>
  <c r="P12" i="12"/>
  <c r="R12" i="12"/>
  <c r="N39" i="1"/>
  <c r="P11" i="12"/>
  <c r="R11" i="12"/>
  <c r="N32" i="1"/>
  <c r="P10" i="12"/>
  <c r="R10" i="12"/>
  <c r="N37" i="1"/>
  <c r="P9" i="12"/>
  <c r="R9" i="12"/>
  <c r="N26" i="1"/>
  <c r="P8" i="12"/>
  <c r="R8" i="12"/>
  <c r="N35" i="1"/>
  <c r="P7" i="12"/>
  <c r="P6" i="12"/>
  <c r="R6" i="12"/>
  <c r="N23" i="1"/>
  <c r="P5" i="12"/>
  <c r="R5" i="12"/>
  <c r="N13" i="1"/>
  <c r="P4" i="12"/>
  <c r="R4" i="12"/>
  <c r="N11" i="1"/>
  <c r="P3" i="12"/>
  <c r="R3" i="12"/>
  <c r="N8" i="1"/>
  <c r="P20" i="12"/>
  <c r="P31" i="12"/>
  <c r="O31" i="12"/>
  <c r="R7" i="12"/>
  <c r="N31" i="1"/>
  <c r="R20" i="12"/>
  <c r="R31" i="12"/>
  <c r="N44" i="1"/>
  <c r="AF11" i="1"/>
  <c r="AF23" i="1"/>
  <c r="AF13" i="1"/>
  <c r="AF8" i="1"/>
  <c r="T6" i="1"/>
  <c r="P6" i="1"/>
  <c r="Y24" i="1"/>
  <c r="Y13" i="1"/>
  <c r="Y8" i="1"/>
  <c r="Y28" i="1"/>
  <c r="Y39" i="1"/>
  <c r="Y40" i="1"/>
  <c r="Y33" i="1"/>
  <c r="Y26" i="1"/>
  <c r="Y34" i="1"/>
  <c r="Y38" i="1"/>
  <c r="Y23" i="1"/>
  <c r="Y37" i="1"/>
  <c r="Y11" i="1"/>
  <c r="Y31" i="1"/>
  <c r="Y35" i="1"/>
  <c r="Y32" i="1"/>
  <c r="Y46" i="1"/>
  <c r="P40" i="1"/>
  <c r="J25" i="12"/>
  <c r="J24" i="12"/>
  <c r="J23" i="12"/>
  <c r="H4" i="12"/>
  <c r="J4" i="12"/>
  <c r="L11" i="1"/>
  <c r="H5" i="12"/>
  <c r="J5" i="12"/>
  <c r="L13" i="1"/>
  <c r="H6" i="12"/>
  <c r="J6" i="12"/>
  <c r="H7" i="12"/>
  <c r="J7" i="12"/>
  <c r="H8" i="12"/>
  <c r="J8" i="12"/>
  <c r="H9" i="12"/>
  <c r="J9" i="12"/>
  <c r="H10" i="12"/>
  <c r="J10" i="12"/>
  <c r="H11" i="12"/>
  <c r="J11" i="12"/>
  <c r="H12" i="12"/>
  <c r="J12" i="12"/>
  <c r="H13" i="12"/>
  <c r="J13" i="12"/>
  <c r="H14" i="12"/>
  <c r="J14" i="12"/>
  <c r="H15" i="12"/>
  <c r="J15" i="12"/>
  <c r="H16" i="12"/>
  <c r="J16" i="12"/>
  <c r="H17" i="12"/>
  <c r="J17" i="12"/>
  <c r="J3" i="12"/>
  <c r="G20" i="12"/>
  <c r="F4" i="12"/>
  <c r="F5" i="12"/>
  <c r="F6" i="12"/>
  <c r="F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3" i="12"/>
  <c r="G44" i="1"/>
  <c r="G48" i="1"/>
  <c r="AX37" i="1"/>
  <c r="AS38" i="1"/>
  <c r="AP38" i="1"/>
  <c r="AZ38" i="1"/>
  <c r="BI41" i="1"/>
  <c r="BI42" i="1"/>
  <c r="AZ43" i="1"/>
  <c r="AZ42" i="1"/>
  <c r="AZ41" i="1"/>
  <c r="AZ40" i="1"/>
  <c r="AZ39" i="1"/>
  <c r="AZ37" i="1"/>
  <c r="AZ36" i="1"/>
  <c r="AZ35" i="1"/>
  <c r="AZ34" i="1"/>
  <c r="AZ33" i="1"/>
  <c r="AZ32" i="1"/>
  <c r="AZ31" i="1"/>
  <c r="AZ30" i="1"/>
  <c r="AZ29" i="1"/>
  <c r="AZ28" i="1"/>
  <c r="AZ27" i="1"/>
  <c r="AZ26" i="1"/>
  <c r="AY43" i="1"/>
  <c r="AY42" i="1"/>
  <c r="AY41" i="1"/>
  <c r="AY40" i="1"/>
  <c r="AY39" i="1"/>
  <c r="AY38" i="1"/>
  <c r="AY37" i="1"/>
  <c r="AY36" i="1"/>
  <c r="AY35" i="1"/>
  <c r="AY33" i="1"/>
  <c r="AY32" i="1"/>
  <c r="AY31" i="1"/>
  <c r="AY30" i="1"/>
  <c r="AY29" i="1"/>
  <c r="AY28" i="1"/>
  <c r="AY27" i="1"/>
  <c r="AY26" i="1"/>
  <c r="AY23" i="1"/>
  <c r="AX41" i="1"/>
  <c r="AX40" i="1"/>
  <c r="AX39" i="1"/>
  <c r="AX38" i="1"/>
  <c r="AX43" i="1"/>
  <c r="AX42" i="1"/>
  <c r="AX36" i="1"/>
  <c r="AX34" i="1"/>
  <c r="AX32" i="1"/>
  <c r="AX31" i="1"/>
  <c r="AX30" i="1"/>
  <c r="AX29" i="1"/>
  <c r="AX28" i="1"/>
  <c r="AX27" i="1"/>
  <c r="AX26" i="1"/>
  <c r="AX23" i="1"/>
  <c r="AO31" i="1"/>
  <c r="L8" i="1"/>
  <c r="M8" i="1"/>
  <c r="L23" i="1"/>
  <c r="M23" i="1"/>
  <c r="L40" i="1"/>
  <c r="M40" i="1"/>
  <c r="L34" i="1"/>
  <c r="M34" i="1"/>
  <c r="L39" i="1"/>
  <c r="M39" i="1"/>
  <c r="J29" i="12"/>
  <c r="L37" i="1"/>
  <c r="M37" i="1"/>
  <c r="L26" i="1"/>
  <c r="M26" i="1"/>
  <c r="L35" i="1"/>
  <c r="M35" i="1"/>
  <c r="L31" i="1"/>
  <c r="M31" i="1"/>
  <c r="L33" i="1"/>
  <c r="M33" i="1"/>
  <c r="L32" i="1"/>
  <c r="M32" i="1"/>
  <c r="L28" i="1"/>
  <c r="M28" i="1"/>
  <c r="G31" i="12"/>
  <c r="M13" i="1"/>
  <c r="M11" i="1"/>
  <c r="J20" i="12"/>
  <c r="BA37" i="1"/>
  <c r="BA36" i="1"/>
  <c r="Y36" i="1"/>
  <c r="I20" i="12"/>
  <c r="I31" i="12"/>
  <c r="H20" i="12"/>
  <c r="H31" i="12"/>
  <c r="BA42" i="1"/>
  <c r="BA26" i="1"/>
  <c r="BA27" i="1"/>
  <c r="Y27" i="1"/>
  <c r="BA28" i="1"/>
  <c r="BA41" i="1"/>
  <c r="BA29" i="1"/>
  <c r="Y29" i="1"/>
  <c r="BA40" i="1"/>
  <c r="BA30" i="1"/>
  <c r="Y30" i="1"/>
  <c r="BA31" i="1"/>
  <c r="BA43" i="1"/>
  <c r="BA38" i="1"/>
  <c r="BA39" i="1"/>
  <c r="BA32" i="1"/>
  <c r="AI43" i="1"/>
  <c r="AI42" i="1"/>
  <c r="AI41" i="1"/>
  <c r="AI40" i="1"/>
  <c r="AI39" i="1"/>
  <c r="AI38" i="1"/>
  <c r="AI37" i="1"/>
  <c r="AI36" i="1"/>
  <c r="AI35" i="1"/>
  <c r="AI34" i="1"/>
  <c r="AI33" i="1"/>
  <c r="AI32" i="1"/>
  <c r="AI31" i="1"/>
  <c r="AI30" i="1"/>
  <c r="AI29" i="1"/>
  <c r="AI28" i="1"/>
  <c r="AI27" i="1"/>
  <c r="AI26" i="1"/>
  <c r="AI23" i="1"/>
  <c r="N31" i="12"/>
  <c r="I51" i="1"/>
  <c r="J31" i="12"/>
  <c r="F31" i="12"/>
  <c r="M44" i="1"/>
  <c r="AC53" i="1"/>
  <c r="AP23" i="1"/>
  <c r="AZ23" i="1"/>
  <c r="AQ44" i="1"/>
  <c r="AZ44" i="1"/>
  <c r="BA23" i="1"/>
  <c r="AR35" i="1"/>
  <c r="AX35" i="1"/>
  <c r="BA35" i="1"/>
  <c r="AT35" i="1"/>
  <c r="AR44" i="1"/>
  <c r="AT32" i="1"/>
  <c r="AT23" i="1"/>
  <c r="AO33" i="1"/>
  <c r="AO23" i="1"/>
  <c r="AG33" i="1"/>
  <c r="AP44" i="1"/>
  <c r="AG30" i="1"/>
  <c r="AG34" i="1"/>
  <c r="R23" i="1"/>
  <c r="S23" i="1"/>
  <c r="S44" i="1"/>
  <c r="AT43" i="1"/>
  <c r="AT42" i="1"/>
  <c r="AT41" i="1"/>
  <c r="AT40" i="1"/>
  <c r="AT39" i="1"/>
  <c r="AT38" i="1"/>
  <c r="AT37" i="1"/>
  <c r="AT36" i="1"/>
  <c r="AT34" i="1"/>
  <c r="AT33" i="1"/>
  <c r="AT31" i="1"/>
  <c r="AT30" i="1"/>
  <c r="AT29" i="1"/>
  <c r="AT28" i="1"/>
  <c r="AT27" i="1"/>
  <c r="AT26" i="1"/>
  <c r="AO43" i="1"/>
  <c r="AO42" i="1"/>
  <c r="AO41" i="1"/>
  <c r="AO40" i="1"/>
  <c r="AO39" i="1"/>
  <c r="AO38" i="1"/>
  <c r="AO37" i="1"/>
  <c r="AU37" i="1"/>
  <c r="AO36" i="1"/>
  <c r="AO35" i="1"/>
  <c r="AU35" i="1"/>
  <c r="AO32" i="1"/>
  <c r="AU32" i="1"/>
  <c r="AO30" i="1"/>
  <c r="AO29" i="1"/>
  <c r="AO28" i="1"/>
  <c r="AO27" i="1"/>
  <c r="AO26" i="1"/>
  <c r="AU23" i="1"/>
  <c r="AE40" i="1"/>
  <c r="AE39" i="1"/>
  <c r="AE38" i="1"/>
  <c r="AE37" i="1"/>
  <c r="AE36" i="1"/>
  <c r="AE35" i="1"/>
  <c r="AE34" i="1"/>
  <c r="AE33" i="1"/>
  <c r="AE32" i="1"/>
  <c r="AE31" i="1"/>
  <c r="AE30" i="1"/>
  <c r="AE29" i="1"/>
  <c r="AE28" i="1"/>
  <c r="AE27" i="1"/>
  <c r="AE26" i="1"/>
  <c r="AE25" i="1"/>
  <c r="AE24" i="1"/>
  <c r="AE23" i="1"/>
  <c r="AE20" i="1"/>
  <c r="AE19" i="1"/>
  <c r="AE18" i="1"/>
  <c r="AE17" i="1"/>
  <c r="AE16" i="1"/>
  <c r="AE15" i="1"/>
  <c r="AE14" i="1"/>
  <c r="AE13" i="1"/>
  <c r="AE11" i="1"/>
  <c r="AE8" i="1"/>
  <c r="AE7" i="1"/>
  <c r="AM44" i="1"/>
  <c r="AS44" i="1"/>
  <c r="AK44" i="1"/>
  <c r="P23" i="1"/>
  <c r="AU42" i="1"/>
  <c r="AU28" i="1"/>
  <c r="AU27" i="1"/>
  <c r="AU43" i="1"/>
  <c r="AU29" i="1"/>
  <c r="AU33" i="1"/>
  <c r="AU30" i="1"/>
  <c r="AU36" i="1"/>
  <c r="AU26" i="1"/>
  <c r="AU41" i="1"/>
  <c r="AU40" i="1"/>
  <c r="AU38" i="1"/>
  <c r="AU31" i="1"/>
  <c r="AU39" i="1"/>
  <c r="AT44" i="1"/>
  <c r="Y25" i="1"/>
  <c r="Y12" i="1"/>
  <c r="Y7" i="1"/>
  <c r="T43" i="1"/>
  <c r="AW43" i="1"/>
  <c r="BC43" i="1"/>
  <c r="T42" i="1"/>
  <c r="AW42" i="1"/>
  <c r="BC42" i="1"/>
  <c r="T41" i="1"/>
  <c r="AW41" i="1"/>
  <c r="BC41" i="1"/>
  <c r="T40" i="1"/>
  <c r="Z40" i="1"/>
  <c r="T39" i="1"/>
  <c r="AW39" i="1"/>
  <c r="BC39" i="1"/>
  <c r="T22" i="1"/>
  <c r="T10" i="1"/>
  <c r="Q13" i="1"/>
  <c r="V43" i="1"/>
  <c r="V42" i="1"/>
  <c r="V41" i="1"/>
  <c r="V36" i="1"/>
  <c r="V30" i="1"/>
  <c r="V29" i="1"/>
  <c r="V27" i="1"/>
  <c r="V25" i="1"/>
  <c r="V22" i="1"/>
  <c r="V18" i="1"/>
  <c r="V20" i="1"/>
  <c r="V19" i="1"/>
  <c r="V17" i="1"/>
  <c r="V16" i="1"/>
  <c r="V15" i="1"/>
  <c r="V14" i="1"/>
  <c r="V12" i="1"/>
  <c r="V10" i="1"/>
  <c r="V9" i="1"/>
  <c r="V7" i="1"/>
  <c r="U43" i="1"/>
  <c r="U42" i="1"/>
  <c r="U41" i="1"/>
  <c r="U22" i="1"/>
  <c r="U10" i="1"/>
  <c r="U9" i="1"/>
  <c r="D18" i="7"/>
  <c r="U6" i="1"/>
  <c r="H5" i="7"/>
  <c r="F24" i="7"/>
  <c r="L44" i="1"/>
  <c r="Y44" i="1"/>
  <c r="AB54" i="1"/>
  <c r="L49" i="1"/>
  <c r="D13" i="7"/>
  <c r="U40" i="1"/>
  <c r="V40" i="1"/>
  <c r="AW40" i="1"/>
  <c r="BC40" i="1"/>
  <c r="U39" i="1"/>
  <c r="V39" i="1"/>
  <c r="Z39" i="1"/>
  <c r="F12" i="7"/>
  <c r="F17" i="7"/>
  <c r="I43" i="1"/>
  <c r="I42" i="1"/>
  <c r="I41" i="1"/>
  <c r="I38" i="1"/>
  <c r="BE38" i="1"/>
  <c r="I36" i="1"/>
  <c r="BE36" i="1"/>
  <c r="I30" i="1"/>
  <c r="BE30" i="1"/>
  <c r="I29" i="1"/>
  <c r="BE29" i="1"/>
  <c r="I27" i="1"/>
  <c r="BE27" i="1"/>
  <c r="I25" i="1"/>
  <c r="I24" i="1"/>
  <c r="I22" i="1"/>
  <c r="K22" i="1"/>
  <c r="I18" i="1"/>
  <c r="K18" i="1"/>
  <c r="I20" i="1"/>
  <c r="K20" i="1"/>
  <c r="K19" i="1"/>
  <c r="I17" i="1"/>
  <c r="K17" i="1"/>
  <c r="I16" i="1"/>
  <c r="K16" i="1"/>
  <c r="I15" i="1"/>
  <c r="K15" i="1"/>
  <c r="I14" i="1"/>
  <c r="K14" i="1"/>
  <c r="I12" i="1"/>
  <c r="I10" i="1"/>
  <c r="K10" i="1"/>
  <c r="I9" i="1"/>
  <c r="K9" i="1"/>
  <c r="I7" i="1"/>
  <c r="AB7" i="1"/>
  <c r="M1610" i="2"/>
  <c r="M1609" i="2"/>
  <c r="M1608" i="2"/>
  <c r="M1607" i="2"/>
  <c r="M1606" i="2"/>
  <c r="M1605" i="2"/>
  <c r="M1604" i="2"/>
  <c r="M1603" i="2"/>
  <c r="M1602" i="2"/>
  <c r="M1601" i="2"/>
  <c r="M1600" i="2"/>
  <c r="M1599" i="2"/>
  <c r="M1598" i="2"/>
  <c r="M1597" i="2"/>
  <c r="M1596" i="2"/>
  <c r="M1595" i="2"/>
  <c r="M1594" i="2"/>
  <c r="M1593" i="2"/>
  <c r="M1592" i="2"/>
  <c r="M1591" i="2"/>
  <c r="M1590" i="2"/>
  <c r="M1589" i="2"/>
  <c r="M1588" i="2"/>
  <c r="M1587" i="2"/>
  <c r="M1586" i="2"/>
  <c r="M1585" i="2"/>
  <c r="M1584" i="2"/>
  <c r="M1583" i="2"/>
  <c r="M1582" i="2"/>
  <c r="M1581" i="2"/>
  <c r="M1580" i="2"/>
  <c r="M1579" i="2"/>
  <c r="M1578" i="2"/>
  <c r="M1577" i="2"/>
  <c r="M1576" i="2"/>
  <c r="M1575" i="2"/>
  <c r="M1574" i="2"/>
  <c r="M1573" i="2"/>
  <c r="M1572" i="2"/>
  <c r="M1571" i="2"/>
  <c r="M1570" i="2"/>
  <c r="M1569" i="2"/>
  <c r="M1568" i="2"/>
  <c r="M1567" i="2"/>
  <c r="M1566" i="2"/>
  <c r="M1565" i="2"/>
  <c r="M1564" i="2"/>
  <c r="M1563" i="2"/>
  <c r="M1562" i="2"/>
  <c r="M1561" i="2"/>
  <c r="M1560" i="2"/>
  <c r="M1559" i="2"/>
  <c r="M1558" i="2"/>
  <c r="M1557" i="2"/>
  <c r="M1556" i="2"/>
  <c r="M1555" i="2"/>
  <c r="M1554" i="2"/>
  <c r="M1553" i="2"/>
  <c r="M1552" i="2"/>
  <c r="M1551" i="2"/>
  <c r="M1550" i="2"/>
  <c r="M1549" i="2"/>
  <c r="M1548" i="2"/>
  <c r="M1547" i="2"/>
  <c r="M1546" i="2"/>
  <c r="M1545" i="2"/>
  <c r="M1544" i="2"/>
  <c r="M1543" i="2"/>
  <c r="M1542" i="2"/>
  <c r="M1541" i="2"/>
  <c r="M1540" i="2"/>
  <c r="M1539" i="2"/>
  <c r="M1538" i="2"/>
  <c r="M1537" i="2"/>
  <c r="M1536" i="2"/>
  <c r="M1535" i="2"/>
  <c r="M1534" i="2"/>
  <c r="M1533" i="2"/>
  <c r="M1532" i="2"/>
  <c r="M1531" i="2"/>
  <c r="M1530" i="2"/>
  <c r="M1529" i="2"/>
  <c r="M1528" i="2"/>
  <c r="M1527" i="2"/>
  <c r="M1526" i="2"/>
  <c r="M1525" i="2"/>
  <c r="M1524" i="2"/>
  <c r="M1523" i="2"/>
  <c r="M1522" i="2"/>
  <c r="M1521" i="2"/>
  <c r="M1520" i="2"/>
  <c r="M1519" i="2"/>
  <c r="M1518" i="2"/>
  <c r="M1517" i="2"/>
  <c r="M1516" i="2"/>
  <c r="M1515" i="2"/>
  <c r="M1514" i="2"/>
  <c r="M1513" i="2"/>
  <c r="M1512" i="2"/>
  <c r="M1511" i="2"/>
  <c r="M1510" i="2"/>
  <c r="M1509" i="2"/>
  <c r="M1508" i="2"/>
  <c r="M1507" i="2"/>
  <c r="M1506" i="2"/>
  <c r="M1505" i="2"/>
  <c r="M1504" i="2"/>
  <c r="M1503" i="2"/>
  <c r="M1502" i="2"/>
  <c r="M1501" i="2"/>
  <c r="M1500" i="2"/>
  <c r="M1499" i="2"/>
  <c r="M1498" i="2"/>
  <c r="M1497" i="2"/>
  <c r="M1496" i="2"/>
  <c r="M1495" i="2"/>
  <c r="M1494" i="2"/>
  <c r="M1493" i="2"/>
  <c r="M1492" i="2"/>
  <c r="M1491" i="2"/>
  <c r="M1490" i="2"/>
  <c r="M1489" i="2"/>
  <c r="M1488" i="2"/>
  <c r="M1487" i="2"/>
  <c r="M1486" i="2"/>
  <c r="M1485" i="2"/>
  <c r="M1484" i="2"/>
  <c r="M1483" i="2"/>
  <c r="M1482" i="2"/>
  <c r="M1481" i="2"/>
  <c r="M1480" i="2"/>
  <c r="M1479" i="2"/>
  <c r="M1478" i="2"/>
  <c r="M1477" i="2"/>
  <c r="M1476" i="2"/>
  <c r="M1475" i="2"/>
  <c r="M1474" i="2"/>
  <c r="M1473" i="2"/>
  <c r="K41" i="1"/>
  <c r="BE41" i="1"/>
  <c r="BG41" i="1"/>
  <c r="K42" i="1"/>
  <c r="BE42" i="1"/>
  <c r="BG42" i="1"/>
  <c r="K43" i="1"/>
  <c r="BE43" i="1"/>
  <c r="BG43" i="1"/>
  <c r="AB27" i="1"/>
  <c r="AB29" i="1"/>
  <c r="AB36" i="1"/>
  <c r="K12" i="1"/>
  <c r="AB12" i="1"/>
  <c r="AB30" i="1"/>
  <c r="AB25" i="1"/>
  <c r="K7" i="1"/>
  <c r="K38" i="1"/>
  <c r="O38" i="1"/>
  <c r="K27" i="1"/>
  <c r="O27" i="1"/>
  <c r="K29" i="1"/>
  <c r="O29" i="1"/>
  <c r="K30" i="1"/>
  <c r="O30" i="1"/>
  <c r="K25" i="1"/>
  <c r="O25" i="1"/>
  <c r="K36" i="1"/>
  <c r="O36" i="1"/>
  <c r="K24" i="1"/>
  <c r="O24" i="1"/>
  <c r="P17" i="1"/>
  <c r="T17" i="1"/>
  <c r="E58" i="1"/>
  <c r="F58" i="1"/>
  <c r="E52" i="1"/>
  <c r="F52" i="1"/>
  <c r="P36" i="1"/>
  <c r="E17" i="1"/>
  <c r="E16" i="1"/>
  <c r="H44" i="1"/>
  <c r="H48" i="1"/>
  <c r="E11" i="1"/>
  <c r="E6" i="1"/>
  <c r="W36" i="1"/>
  <c r="W17" i="1"/>
  <c r="W40" i="1"/>
  <c r="W39" i="1"/>
  <c r="P14" i="1"/>
  <c r="W14" i="1"/>
  <c r="P20" i="1"/>
  <c r="T20" i="1"/>
  <c r="P15" i="1"/>
  <c r="T15" i="1"/>
  <c r="T36" i="1"/>
  <c r="AW36" i="1"/>
  <c r="BC36" i="1"/>
  <c r="BF36" i="1"/>
  <c r="BG36" i="1"/>
  <c r="E44" i="1"/>
  <c r="E46" i="1"/>
  <c r="P35" i="1"/>
  <c r="T35" i="1"/>
  <c r="P29" i="1"/>
  <c r="W29" i="1"/>
  <c r="P11" i="1"/>
  <c r="T11" i="1"/>
  <c r="P33" i="1"/>
  <c r="P30" i="1"/>
  <c r="W30" i="1"/>
  <c r="P32" i="1"/>
  <c r="W32" i="1"/>
  <c r="T23" i="1"/>
  <c r="U23" i="1"/>
  <c r="P12" i="1"/>
  <c r="T12" i="1"/>
  <c r="P25" i="1"/>
  <c r="W25" i="1"/>
  <c r="P7" i="1"/>
  <c r="P26" i="1"/>
  <c r="T26" i="1"/>
  <c r="P31" i="1"/>
  <c r="T31" i="1"/>
  <c r="P28" i="1"/>
  <c r="T28" i="1"/>
  <c r="P34" i="1"/>
  <c r="T34" i="1"/>
  <c r="P38" i="1"/>
  <c r="W38" i="1"/>
  <c r="P27" i="1"/>
  <c r="W27" i="1"/>
  <c r="P24" i="1"/>
  <c r="W24" i="1"/>
  <c r="W42" i="1"/>
  <c r="W43" i="1"/>
  <c r="W41" i="1"/>
  <c r="Z11" i="1"/>
  <c r="U11" i="1"/>
  <c r="T7" i="1"/>
  <c r="Z7" i="1"/>
  <c r="AA7" i="1"/>
  <c r="AW34" i="1"/>
  <c r="Z28" i="1"/>
  <c r="AW28" i="1"/>
  <c r="BC28" i="1"/>
  <c r="Z31" i="1"/>
  <c r="AW31" i="1"/>
  <c r="BC31" i="1"/>
  <c r="Z26" i="1"/>
  <c r="AW26" i="1"/>
  <c r="BC26" i="1"/>
  <c r="Z23" i="1"/>
  <c r="AW23" i="1"/>
  <c r="BC23" i="1"/>
  <c r="Z35" i="1"/>
  <c r="AW35" i="1"/>
  <c r="BC35" i="1"/>
  <c r="W33" i="1"/>
  <c r="W11" i="1"/>
  <c r="W28" i="1"/>
  <c r="W15" i="1"/>
  <c r="W23" i="1"/>
  <c r="W31" i="1"/>
  <c r="W35" i="1"/>
  <c r="W26" i="1"/>
  <c r="W7" i="1"/>
  <c r="W20" i="1"/>
  <c r="W34" i="1"/>
  <c r="U12" i="1"/>
  <c r="Z12" i="1"/>
  <c r="AA12" i="1"/>
  <c r="U36" i="1"/>
  <c r="Z36" i="1"/>
  <c r="AA36" i="1"/>
  <c r="BI36" i="1"/>
  <c r="T14" i="1"/>
  <c r="T29" i="1"/>
  <c r="AW29" i="1"/>
  <c r="BC29" i="1"/>
  <c r="BF29" i="1"/>
  <c r="BG29" i="1"/>
  <c r="T38" i="1"/>
  <c r="AW38" i="1"/>
  <c r="BC38" i="1"/>
  <c r="BF38" i="1"/>
  <c r="BG38" i="1"/>
  <c r="T32" i="1"/>
  <c r="AW32" i="1"/>
  <c r="BC32" i="1"/>
  <c r="T24" i="1"/>
  <c r="T25" i="1"/>
  <c r="T27" i="1"/>
  <c r="AW27" i="1"/>
  <c r="BC27" i="1"/>
  <c r="BF27" i="1"/>
  <c r="BG27" i="1"/>
  <c r="T30" i="1"/>
  <c r="AW30" i="1"/>
  <c r="BC30" i="1"/>
  <c r="BF30" i="1"/>
  <c r="BG30" i="1"/>
  <c r="E45" i="1"/>
  <c r="U31" i="1"/>
  <c r="V31" i="1"/>
  <c r="P37" i="1"/>
  <c r="P19" i="1"/>
  <c r="P18" i="1"/>
  <c r="W12" i="1"/>
  <c r="P9" i="1"/>
  <c r="T9" i="1"/>
  <c r="P8" i="1"/>
  <c r="U7" i="1"/>
  <c r="T37" i="1"/>
  <c r="W37" i="1"/>
  <c r="T8" i="1"/>
  <c r="W8" i="1"/>
  <c r="T18" i="1"/>
  <c r="W18" i="1"/>
  <c r="T19" i="1"/>
  <c r="W19" i="1"/>
  <c r="U38" i="1"/>
  <c r="V38" i="1"/>
  <c r="Z38" i="1"/>
  <c r="AA38" i="1"/>
  <c r="U27" i="1"/>
  <c r="Z27" i="1"/>
  <c r="AA27" i="1"/>
  <c r="BI27" i="1"/>
  <c r="U25" i="1"/>
  <c r="Z25" i="1"/>
  <c r="AA25" i="1"/>
  <c r="BI25" i="1"/>
  <c r="Z32" i="1"/>
  <c r="U29" i="1"/>
  <c r="Z29" i="1"/>
  <c r="AA29" i="1"/>
  <c r="BI29" i="1"/>
  <c r="U30" i="1"/>
  <c r="Z30" i="1"/>
  <c r="AA30" i="1"/>
  <c r="BI30" i="1"/>
  <c r="U24" i="1"/>
  <c r="V24" i="1"/>
  <c r="Z24" i="1"/>
  <c r="AA24" i="1"/>
  <c r="Z8" i="1"/>
  <c r="U8" i="1"/>
  <c r="V8" i="1"/>
  <c r="BI24" i="1"/>
  <c r="AB24" i="1"/>
  <c r="BI38" i="1"/>
  <c r="AB38" i="1"/>
  <c r="Z37" i="1"/>
  <c r="AW37" i="1"/>
  <c r="BC37" i="1"/>
  <c r="P13" i="1"/>
  <c r="P16" i="1"/>
  <c r="W13" i="1"/>
  <c r="P44" i="1"/>
  <c r="P49" i="1"/>
  <c r="T16" i="1"/>
  <c r="W16" i="1"/>
  <c r="T13" i="1"/>
  <c r="P21" i="1"/>
  <c r="T21" i="1"/>
  <c r="F45" i="1"/>
  <c r="E51" i="1"/>
  <c r="E54" i="1"/>
  <c r="F34" i="1"/>
  <c r="I34" i="1"/>
  <c r="F33" i="1"/>
  <c r="I33" i="1"/>
  <c r="BE33" i="1"/>
  <c r="F37" i="1"/>
  <c r="I37" i="1"/>
  <c r="BE37" i="1"/>
  <c r="BF37" i="1"/>
  <c r="BG37" i="1"/>
  <c r="F13" i="1"/>
  <c r="I13" i="1"/>
  <c r="F35" i="1"/>
  <c r="I35" i="1"/>
  <c r="BE35" i="1"/>
  <c r="BF35" i="1"/>
  <c r="BG35" i="1"/>
  <c r="F26" i="1"/>
  <c r="I26" i="1"/>
  <c r="BE26" i="1"/>
  <c r="BF26" i="1"/>
  <c r="BG26" i="1"/>
  <c r="F23" i="1"/>
  <c r="I23" i="1"/>
  <c r="BE23" i="1"/>
  <c r="BF23" i="1"/>
  <c r="BG23" i="1"/>
  <c r="F11" i="1"/>
  <c r="I11" i="1"/>
  <c r="F40" i="1"/>
  <c r="F39" i="1"/>
  <c r="F32" i="1"/>
  <c r="F31" i="1"/>
  <c r="I31" i="1"/>
  <c r="BE31" i="1"/>
  <c r="BF31" i="1"/>
  <c r="BG31" i="1"/>
  <c r="F8" i="1"/>
  <c r="I8" i="1"/>
  <c r="F28" i="1"/>
  <c r="I28" i="1"/>
  <c r="BE28" i="1"/>
  <c r="BF28" i="1"/>
  <c r="BG28" i="1"/>
  <c r="BE34" i="1"/>
  <c r="AN34" i="1"/>
  <c r="K11" i="1"/>
  <c r="O26" i="1"/>
  <c r="V11" i="1"/>
  <c r="O37" i="1"/>
  <c r="O13" i="1"/>
  <c r="O33" i="1"/>
  <c r="AX33" i="1"/>
  <c r="O31" i="1"/>
  <c r="AA31" i="1"/>
  <c r="AA37" i="1"/>
  <c r="AA11" i="1"/>
  <c r="AB11" i="1"/>
  <c r="AA23" i="1"/>
  <c r="AA28" i="1"/>
  <c r="AA26" i="1"/>
  <c r="AA8" i="1"/>
  <c r="AA35" i="1"/>
  <c r="Z13" i="1"/>
  <c r="C18" i="7"/>
  <c r="F18" i="7"/>
  <c r="I39" i="1"/>
  <c r="BE39" i="1"/>
  <c r="BF39" i="1"/>
  <c r="BG39" i="1"/>
  <c r="I40" i="1"/>
  <c r="BE40" i="1"/>
  <c r="BF40" i="1"/>
  <c r="BG40" i="1"/>
  <c r="I32" i="1"/>
  <c r="BE32" i="1"/>
  <c r="BF32" i="1"/>
  <c r="BG32" i="1"/>
  <c r="F51" i="1"/>
  <c r="F54" i="1"/>
  <c r="AY34" i="1"/>
  <c r="AO34" i="1"/>
  <c r="AN44" i="1"/>
  <c r="AB35" i="1"/>
  <c r="BI35" i="1"/>
  <c r="AB26" i="1"/>
  <c r="BI26" i="1"/>
  <c r="AB28" i="1"/>
  <c r="BI28" i="1"/>
  <c r="AB23" i="1"/>
  <c r="BI23" i="1"/>
  <c r="AB37" i="1"/>
  <c r="BI37" i="1"/>
  <c r="AB31" i="1"/>
  <c r="BI31" i="1"/>
  <c r="AX44" i="1"/>
  <c r="BA33" i="1"/>
  <c r="U37" i="1"/>
  <c r="V37" i="1"/>
  <c r="V23" i="1"/>
  <c r="U26" i="1"/>
  <c r="V26" i="1"/>
  <c r="U34" i="1"/>
  <c r="V34" i="1"/>
  <c r="O11" i="1"/>
  <c r="O23" i="1"/>
  <c r="U35" i="1"/>
  <c r="V35" i="1"/>
  <c r="U28" i="1"/>
  <c r="V28" i="1"/>
  <c r="O28" i="1"/>
  <c r="O34" i="1"/>
  <c r="R44" i="1"/>
  <c r="T33" i="1"/>
  <c r="AW33" i="1"/>
  <c r="BC33" i="1"/>
  <c r="U13" i="1"/>
  <c r="V13" i="1"/>
  <c r="O35" i="1"/>
  <c r="O8" i="1"/>
  <c r="U32" i="1"/>
  <c r="V32" i="1"/>
  <c r="AA13" i="1"/>
  <c r="AB13" i="1"/>
  <c r="AA32" i="1"/>
  <c r="AA40" i="1"/>
  <c r="AA39" i="1"/>
  <c r="AB8" i="1"/>
  <c r="K33" i="1"/>
  <c r="K26" i="1"/>
  <c r="K23" i="1"/>
  <c r="K34" i="1"/>
  <c r="K35" i="1"/>
  <c r="K40" i="1"/>
  <c r="O40" i="1"/>
  <c r="K13" i="1"/>
  <c r="K37" i="1"/>
  <c r="K31" i="1"/>
  <c r="K32" i="1"/>
  <c r="O32" i="1"/>
  <c r="K8" i="1"/>
  <c r="K28" i="1"/>
  <c r="K39" i="1"/>
  <c r="O39" i="1"/>
  <c r="I44" i="1"/>
  <c r="AA53" i="1"/>
  <c r="I52" i="1"/>
  <c r="I59" i="1"/>
  <c r="Z53" i="1"/>
  <c r="AB53" i="1"/>
  <c r="AD53" i="1"/>
  <c r="AU34" i="1"/>
  <c r="AO44" i="1"/>
  <c r="AU44" i="1"/>
  <c r="BA34" i="1"/>
  <c r="BA44" i="1"/>
  <c r="AY44" i="1"/>
  <c r="AB39" i="1"/>
  <c r="BI39" i="1"/>
  <c r="AB40" i="1"/>
  <c r="BI40" i="1"/>
  <c r="AB32" i="1"/>
  <c r="BI32" i="1"/>
  <c r="BF33" i="1"/>
  <c r="BG33" i="1"/>
  <c r="Z33" i="1"/>
  <c r="AW44" i="1"/>
  <c r="BE44" i="1"/>
  <c r="U33" i="1"/>
  <c r="V33" i="1"/>
  <c r="T44" i="1"/>
  <c r="C13" i="7"/>
  <c r="J53" i="1"/>
  <c r="J52" i="1"/>
  <c r="E13" i="7"/>
  <c r="O44" i="1"/>
  <c r="C7" i="7"/>
  <c r="J48" i="1"/>
  <c r="K44" i="1"/>
  <c r="AB55" i="1"/>
  <c r="AB56" i="1"/>
  <c r="T47" i="1"/>
  <c r="AA46" i="1"/>
  <c r="AB46" i="1"/>
  <c r="AA54" i="1"/>
  <c r="BC34" i="1"/>
  <c r="F13" i="7"/>
  <c r="F25" i="7"/>
  <c r="F26" i="7"/>
  <c r="U44" i="1"/>
  <c r="V44" i="1"/>
  <c r="AA33" i="1"/>
  <c r="BI33" i="1"/>
  <c r="Z54" i="1"/>
  <c r="AA55" i="1"/>
  <c r="BF34" i="1"/>
  <c r="BC44" i="1"/>
  <c r="Z34" i="1"/>
  <c r="G13" i="7"/>
  <c r="H13" i="7"/>
  <c r="AB33" i="1"/>
  <c r="Z55" i="1"/>
  <c r="Z56" i="1"/>
  <c r="AA56" i="1"/>
  <c r="G18" i="7"/>
  <c r="Z46" i="1"/>
  <c r="AA34" i="1"/>
  <c r="Z44" i="1"/>
  <c r="BG34" i="1"/>
  <c r="BF44" i="1"/>
  <c r="BG44" i="1"/>
  <c r="H18" i="7"/>
  <c r="H25" i="7"/>
  <c r="H26" i="7"/>
  <c r="G25" i="7"/>
  <c r="G26" i="7"/>
  <c r="AB34" i="1"/>
  <c r="BI34" i="1"/>
  <c r="AA44" i="1"/>
  <c r="AB4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tc={E8889AAA-50E4-40D6-91DE-D8A3E73B5188}</author>
    <author>HP</author>
    <author>tc={7EFB42B1-E557-4590-A4A4-D5025C7DF0AA}</author>
    <author>tc={CA05E5F5-A4CC-4AB8-BC73-263B29B169AC}</author>
  </authors>
  <commentList>
    <comment ref="P7" authorId="0" shapeId="0" xr:uid="{E8889AAA-50E4-40D6-91DE-D8A3E73B5188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Modifier l'affectation ==&gt; GO</t>
        </r>
      </text>
    </comment>
    <comment ref="G24" authorId="1" shapeId="0" xr:uid="{FD5308CB-694D-4FCE-966F-4C880FB930CD}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Acompte 2,000,000 F</t>
        </r>
      </text>
    </comment>
    <comment ref="G38" authorId="1" shapeId="0" xr:uid="{9BB44614-6034-4AA2-A5A6-1AD8295F8A60}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pas encore reçu d'acompte </t>
        </r>
      </text>
    </comment>
    <comment ref="AP38" authorId="2" shapeId="0" xr:uid="{7EFB42B1-E557-4590-A4A4-D5025C7DF0AA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Prendre en compte le reste à dépenser lorsque la recette sera validée et saisie sur la ligne</t>
        </r>
      </text>
    </comment>
    <comment ref="AS38" authorId="3" shapeId="0" xr:uid="{CA05E5F5-A4CC-4AB8-BC73-263B29B169AC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Prendre en compte le reste à dépenser lorsque la recette sera validée et saisie sur la ligne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HP</author>
  </authors>
  <commentList>
    <comment ref="G2" authorId="0" shapeId="0" xr:uid="{712E3BBB-38EB-41CE-8729-779C7D5F70C2}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Source onglet décompte</t>
        </r>
      </text>
    </comment>
    <comment ref="I2" authorId="0" shapeId="0" xr:uid="{B56078CE-E992-4FE0-B96C-FD1EC132AFA7}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Source onglet plus ou moins value</t>
        </r>
      </text>
    </comment>
    <comment ref="O2" authorId="0" shapeId="0" xr:uid="{FBFC92BA-76C3-4C5E-9AF0-74038DD08BD2}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Source onglet décompte</t>
        </r>
      </text>
    </comment>
    <comment ref="Q2" authorId="0" shapeId="0" xr:uid="{9522DEB0-1045-47C7-BC9B-9DA0026138A9}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Source onglet plus ou moins value</t>
        </r>
      </text>
    </comment>
  </commentList>
</comments>
</file>

<file path=xl/sharedStrings.xml><?xml version="1.0" encoding="utf-8"?>
<sst xmlns="http://schemas.openxmlformats.org/spreadsheetml/2006/main" count="770" uniqueCount="483">
  <si>
    <t xml:space="preserve">Budget du chantier :  </t>
  </si>
  <si>
    <t>IMMEUBLE JANGO</t>
  </si>
  <si>
    <t>Montant contrat</t>
  </si>
  <si>
    <t>REMISE</t>
  </si>
  <si>
    <t>Facturé HT</t>
  </si>
  <si>
    <t>Stocks</t>
  </si>
  <si>
    <t xml:space="preserve">% </t>
  </si>
  <si>
    <t>Dépensé HT</t>
  </si>
  <si>
    <t>MARGE</t>
  </si>
  <si>
    <t>%</t>
  </si>
  <si>
    <t>Coût sec/m²</t>
  </si>
  <si>
    <t>DESIGNATION</t>
  </si>
  <si>
    <t>F CFA (HT)</t>
  </si>
  <si>
    <t>RÉPARTIE</t>
  </si>
  <si>
    <t>à la date</t>
  </si>
  <si>
    <t>non facturés</t>
  </si>
  <si>
    <t>Études, permis de construire</t>
  </si>
  <si>
    <t>Installation de chantier et frais généraux de chantier</t>
  </si>
  <si>
    <t xml:space="preserve">    Salaires Conducteur travaux, chef de chantier, magasinier</t>
  </si>
  <si>
    <t>VRD, TERRASSEMENTS, DEMOLITIONS</t>
  </si>
  <si>
    <t>Clôture (si elle est dans un lot à part)</t>
  </si>
  <si>
    <t>GROS-ŒUVRE</t>
  </si>
  <si>
    <t xml:space="preserve">    Agglos, hourdis (prix d’achat)</t>
  </si>
  <si>
    <t xml:space="preserve">    Gravier et sable (prix d’achat)</t>
  </si>
  <si>
    <t xml:space="preserve">    Ciment + sikalite  (prix d’achat)</t>
  </si>
  <si>
    <t xml:space="preserve">    Fer à béton et ferrailleurs</t>
  </si>
  <si>
    <t xml:space="preserve">    Coffrage+coffreurs</t>
  </si>
  <si>
    <t xml:space="preserve">    Maçons + manœuvres</t>
  </si>
  <si>
    <t>ETANCHEITE</t>
  </si>
  <si>
    <t>CHARPENTE METALLIQUE ET COUVERTURE</t>
  </si>
  <si>
    <t>FAUX PLAFOND</t>
  </si>
  <si>
    <t>Cloisons placo</t>
  </si>
  <si>
    <t>MENUISERIE METAL (FER)</t>
  </si>
  <si>
    <t>MENUISERIE INOX</t>
  </si>
  <si>
    <t>MENUISERIE ALU</t>
  </si>
  <si>
    <t>MENUISERIE BOIS</t>
  </si>
  <si>
    <t>PEINTURE ET ENDUIT</t>
  </si>
  <si>
    <t>ELECTRICITE Courants forts</t>
  </si>
  <si>
    <t>Courants faibles (téléphone, informatique, video surveillance)</t>
  </si>
  <si>
    <t>CARRELAGE</t>
  </si>
  <si>
    <t>REVETEMENT SOUPLE</t>
  </si>
  <si>
    <t>PLOMBERIE SANITAIRE</t>
  </si>
  <si>
    <t>CLIMATISATION</t>
  </si>
  <si>
    <t>VMC</t>
  </si>
  <si>
    <t>BTC</t>
  </si>
  <si>
    <t>TOTAUX HT</t>
  </si>
  <si>
    <t>TVA 18 %</t>
  </si>
  <si>
    <t>TOTAL TTC</t>
  </si>
  <si>
    <t>MONTANT HT</t>
  </si>
  <si>
    <t>TTC</t>
  </si>
  <si>
    <t>Avance de démarrage :</t>
  </si>
  <si>
    <t>Remboursement de l’avance de démarrage à ce jour</t>
  </si>
  <si>
    <t>RESTE À REMBOURSER</t>
  </si>
  <si>
    <t>CUMUL DE LA RETENUE DE GARANTIE À CE JOUR :</t>
  </si>
  <si>
    <t>Date</t>
  </si>
  <si>
    <t>Libellé (une ligne pour chaque type de produit)</t>
  </si>
  <si>
    <t>Nº Facture/reçu</t>
  </si>
  <si>
    <t>unité</t>
  </si>
  <si>
    <t>Qté</t>
  </si>
  <si>
    <t>Prix U HT</t>
  </si>
  <si>
    <t>Montant HT</t>
  </si>
  <si>
    <t>Fournisseur</t>
  </si>
  <si>
    <t>Nº bon livraison</t>
  </si>
  <si>
    <t>Lot (sélect. liste déroulante)</t>
  </si>
  <si>
    <t>Sous lot</t>
  </si>
  <si>
    <t>u</t>
  </si>
  <si>
    <t>Installation_du_chantier</t>
  </si>
  <si>
    <t>santé, sécurité</t>
  </si>
  <si>
    <t xml:space="preserve">ens </t>
  </si>
  <si>
    <t>VRD</t>
  </si>
  <si>
    <t>main d'oeuvre</t>
  </si>
  <si>
    <t>Gros_Oeuvre</t>
  </si>
  <si>
    <t>outillage g.o.</t>
  </si>
  <si>
    <t>géomètre, implantation</t>
  </si>
  <si>
    <t>jour</t>
  </si>
  <si>
    <t>Location engins</t>
  </si>
  <si>
    <t>voyage</t>
  </si>
  <si>
    <t>nettoyage chantier</t>
  </si>
  <si>
    <t>Baraque, WC chantier</t>
  </si>
  <si>
    <t>Container chantier</t>
  </si>
  <si>
    <t>divers</t>
  </si>
  <si>
    <t>Réseaux de chantier</t>
  </si>
  <si>
    <t>réparations, outils</t>
  </si>
  <si>
    <t>gravier, sable</t>
  </si>
  <si>
    <t>tonne</t>
  </si>
  <si>
    <t>remblai</t>
  </si>
  <si>
    <t>engins</t>
  </si>
  <si>
    <t>coffreurs et aides</t>
  </si>
  <si>
    <t>maçons, manoeuvres</t>
  </si>
  <si>
    <t>Eau, électricité</t>
  </si>
  <si>
    <t>m</t>
  </si>
  <si>
    <t>paquet</t>
  </si>
  <si>
    <t>kg</t>
  </si>
  <si>
    <t>fer à béton</t>
  </si>
  <si>
    <t xml:space="preserve">Carton </t>
  </si>
  <si>
    <t>ferrailleurs et aides</t>
  </si>
  <si>
    <t>Grue, bétonnière</t>
  </si>
  <si>
    <t>ciment, sikalite</t>
  </si>
  <si>
    <t>coffrage, pointes</t>
  </si>
  <si>
    <t xml:space="preserve">Pot </t>
  </si>
  <si>
    <t>Plomberie_sanitaire</t>
  </si>
  <si>
    <t>main d'oeuvre plomb.</t>
  </si>
  <si>
    <t>agglos, hourdis</t>
  </si>
  <si>
    <t>gardien, magasinier</t>
  </si>
  <si>
    <t>Courants_forts</t>
  </si>
  <si>
    <t>tubes, boites</t>
  </si>
  <si>
    <t>réseau EU-EV</t>
  </si>
  <si>
    <t xml:space="preserve">Barre </t>
  </si>
  <si>
    <t>réseau EP</t>
  </si>
  <si>
    <t>circuit de terre</t>
  </si>
  <si>
    <t>m³</t>
  </si>
  <si>
    <t>béton prêt</t>
  </si>
  <si>
    <t>rouleau</t>
  </si>
  <si>
    <t>Etanchéité</t>
  </si>
  <si>
    <t xml:space="preserve">Platine </t>
  </si>
  <si>
    <t>EIF (setrakote)</t>
  </si>
  <si>
    <t>rouleaux étanch</t>
  </si>
  <si>
    <t>main d'oeuvre étanc.</t>
  </si>
  <si>
    <t>Peinture_enduit</t>
  </si>
  <si>
    <t>main d'oeuvre peint.</t>
  </si>
  <si>
    <t>Etudes_permis_de_construire</t>
  </si>
  <si>
    <t xml:space="preserve">Contrôle qualité béton </t>
  </si>
  <si>
    <t>outillage</t>
  </si>
  <si>
    <t>réseau alim</t>
  </si>
  <si>
    <t>forme pente</t>
  </si>
  <si>
    <t>bordures</t>
  </si>
  <si>
    <t>Menuiserie_Fer</t>
  </si>
  <si>
    <t>Carrelage</t>
  </si>
  <si>
    <t>main d'oeuvre carrel.</t>
  </si>
  <si>
    <t>Faux_plafond</t>
  </si>
  <si>
    <t>Ossature Stil, rails</t>
  </si>
  <si>
    <t>enduit</t>
  </si>
  <si>
    <t>Placoplâtre</t>
  </si>
  <si>
    <t>Tiges, chevilles</t>
  </si>
  <si>
    <t>câbles</t>
  </si>
  <si>
    <t>carreaux, marbre</t>
  </si>
  <si>
    <t>Isolant</t>
  </si>
  <si>
    <t>Accessoires</t>
  </si>
  <si>
    <t>Clôture</t>
  </si>
  <si>
    <t>Couverture_charpente_bois</t>
  </si>
  <si>
    <t>Couverture_charpente_métallique</t>
  </si>
  <si>
    <t>Cloisons_placo</t>
  </si>
  <si>
    <t>Menuiserie_inox</t>
  </si>
  <si>
    <t>Menuiserie_Alu</t>
  </si>
  <si>
    <t>Menuiserie_Bois</t>
  </si>
  <si>
    <t>Courants_faibles</t>
  </si>
  <si>
    <t>Revêtement_souple</t>
  </si>
  <si>
    <t>Climatisation</t>
  </si>
  <si>
    <t>Fournisseurs</t>
  </si>
  <si>
    <t>Unité</t>
  </si>
  <si>
    <t>Etudes</t>
  </si>
  <si>
    <t>fouilles</t>
  </si>
  <si>
    <t>bois couverture</t>
  </si>
  <si>
    <t>IPE, Tubes</t>
  </si>
  <si>
    <t>antivols</t>
  </si>
  <si>
    <t>Tubes</t>
  </si>
  <si>
    <t>Coulissantes</t>
  </si>
  <si>
    <t>bois, CP</t>
  </si>
  <si>
    <t>cim. blanc, oxyde, sable</t>
  </si>
  <si>
    <t>branchement compteur</t>
  </si>
  <si>
    <t>rouleaux</t>
  </si>
  <si>
    <t>branchement</t>
  </si>
  <si>
    <t>clims</t>
  </si>
  <si>
    <t>Permis construire</t>
  </si>
  <si>
    <t>remblai, nivellements</t>
  </si>
  <si>
    <t>ferrures</t>
  </si>
  <si>
    <t>Platines, boulons</t>
  </si>
  <si>
    <t>montants, rails</t>
  </si>
  <si>
    <t>porte métal</t>
  </si>
  <si>
    <t>OF</t>
  </si>
  <si>
    <t>portes</t>
  </si>
  <si>
    <t>peinture acrylique</t>
  </si>
  <si>
    <t>transport carrelage</t>
  </si>
  <si>
    <t>colle</t>
  </si>
  <si>
    <t>sanitaires</t>
  </si>
  <si>
    <t>cuivres</t>
  </si>
  <si>
    <t>Divers</t>
  </si>
  <si>
    <t>pointes, colle, boulons</t>
  </si>
  <si>
    <t>tôles</t>
  </si>
  <si>
    <t>soudure</t>
  </si>
  <si>
    <t>Vis, boulons</t>
  </si>
  <si>
    <t>Soufflé</t>
  </si>
  <si>
    <t>cadres, couvre joints</t>
  </si>
  <si>
    <t>peinture glycéro</t>
  </si>
  <si>
    <t>câble téléphone</t>
  </si>
  <si>
    <t>ciment, sable</t>
  </si>
  <si>
    <t>autonivelant</t>
  </si>
  <si>
    <t>accessoires SB</t>
  </si>
  <si>
    <t>amaflex</t>
  </si>
  <si>
    <t>litre</t>
  </si>
  <si>
    <t>Etanchéité liquide</t>
  </si>
  <si>
    <t>tuiles et accessoires</t>
  </si>
  <si>
    <t>Vis</t>
  </si>
  <si>
    <t>Main d'oeuvre</t>
  </si>
  <si>
    <t>Fixes</t>
  </si>
  <si>
    <t>serrures</t>
  </si>
  <si>
    <t>antirouille</t>
  </si>
  <si>
    <t>main d'oeuvre élect.</t>
  </si>
  <si>
    <t>prises</t>
  </si>
  <si>
    <t>outillage, disques</t>
  </si>
  <si>
    <t>peinture epoxy</t>
  </si>
  <si>
    <t>mitigeurs, robinets</t>
  </si>
  <si>
    <t>supports</t>
  </si>
  <si>
    <t>faux plafond extérieur</t>
  </si>
  <si>
    <t>Bande</t>
  </si>
  <si>
    <t>profilés</t>
  </si>
  <si>
    <t>Naco</t>
  </si>
  <si>
    <t>xylamon</t>
  </si>
  <si>
    <t>autres peinture</t>
  </si>
  <si>
    <t>autocom</t>
  </si>
  <si>
    <t>fosse et puits</t>
  </si>
  <si>
    <t>matériel divers</t>
  </si>
  <si>
    <t>m²</t>
  </si>
  <si>
    <t>Clôture chantier</t>
  </si>
  <si>
    <t>bitumage</t>
  </si>
  <si>
    <t>ciment</t>
  </si>
  <si>
    <t>Couvertines</t>
  </si>
  <si>
    <t>peinture, galvanisation</t>
  </si>
  <si>
    <t>chéneau, etc</t>
  </si>
  <si>
    <t>Enduit</t>
  </si>
  <si>
    <t>Enduits</t>
  </si>
  <si>
    <t>vitres</t>
  </si>
  <si>
    <t>vis, paumelles</t>
  </si>
  <si>
    <t>mastic</t>
  </si>
  <si>
    <t>int., prise, bouton, dismatic</t>
  </si>
  <si>
    <t>postes</t>
  </si>
  <si>
    <t>paillasses</t>
  </si>
  <si>
    <t>main d'oeuvre clim.</t>
  </si>
  <si>
    <t>Amenée repli matériel</t>
  </si>
  <si>
    <t>caniveaux</t>
  </si>
  <si>
    <t>transport</t>
  </si>
  <si>
    <t>antirouille, papier verre</t>
  </si>
  <si>
    <t>main d'oeuvre bois.</t>
  </si>
  <si>
    <t>coffrets, disjoncteurs</t>
  </si>
  <si>
    <t>câble info, TV</t>
  </si>
  <si>
    <t>coupes</t>
  </si>
  <si>
    <t>scotch, protection</t>
  </si>
  <si>
    <t>Assurance</t>
  </si>
  <si>
    <t>PVC évac</t>
  </si>
  <si>
    <t>coffrage</t>
  </si>
  <si>
    <t>main d'oeuvre faux plaf</t>
  </si>
  <si>
    <t>main d'oeuvre cloison</t>
  </si>
  <si>
    <t>peinture</t>
  </si>
  <si>
    <t>silicone, vis</t>
  </si>
  <si>
    <t>vernis, peinture</t>
  </si>
  <si>
    <t>scotch, pinceaux</t>
  </si>
  <si>
    <t>Luminaires</t>
  </si>
  <si>
    <t>profilés EMAC</t>
  </si>
  <si>
    <t>dallage</t>
  </si>
  <si>
    <t>tôle deck</t>
  </si>
  <si>
    <t>main d'oeuvre couverture</t>
  </si>
  <si>
    <t>main d'oeuvre enduit</t>
  </si>
  <si>
    <t>transport bois.</t>
  </si>
  <si>
    <t>ventilateur, chauffe-eau</t>
  </si>
  <si>
    <t>carburant</t>
  </si>
  <si>
    <t>pavés, grain de riz</t>
  </si>
  <si>
    <t>portail</t>
  </si>
  <si>
    <t>divers étanch.</t>
  </si>
  <si>
    <t>plâtre, filasse</t>
  </si>
  <si>
    <t>serrures, paumelles</t>
  </si>
  <si>
    <t>divers peint.</t>
  </si>
  <si>
    <t>divers élect.</t>
  </si>
  <si>
    <t>moelons, pierres</t>
  </si>
  <si>
    <t>achat béton</t>
  </si>
  <si>
    <t>bois faux plaf.</t>
  </si>
  <si>
    <t>divers métal.</t>
  </si>
  <si>
    <t>regards</t>
  </si>
  <si>
    <t>chef chant., stagiaire, adjoint</t>
  </si>
  <si>
    <t>flèches</t>
  </si>
  <si>
    <t>divers carrelage</t>
  </si>
  <si>
    <t>Cellulaire, internet</t>
  </si>
  <si>
    <t>Transport</t>
  </si>
  <si>
    <t xml:space="preserve">Botttes </t>
  </si>
  <si>
    <t>transport, déplacements</t>
  </si>
  <si>
    <t>éclair. extér., sonner.</t>
  </si>
  <si>
    <t>logement ouvriers</t>
  </si>
  <si>
    <t>Ci</t>
  </si>
  <si>
    <t>ci</t>
  </si>
  <si>
    <t>Ciment</t>
  </si>
  <si>
    <t>Ctrl</t>
  </si>
  <si>
    <t>S/Total</t>
  </si>
  <si>
    <t>facturé</t>
  </si>
  <si>
    <t>Contrat y compris les avenants</t>
  </si>
  <si>
    <t>Facturation / Décompte en cours de validation / Travaux réalisés, décompte non encore établi)</t>
  </si>
  <si>
    <t>à la date du</t>
  </si>
  <si>
    <t>Décompte en cours de validation</t>
  </si>
  <si>
    <t>Travaux réalisés, décompte non encore établi</t>
  </si>
  <si>
    <t>d'avct</t>
  </si>
  <si>
    <t>Réaffectaions des dépenses</t>
  </si>
  <si>
    <t xml:space="preserve">   Bêton prêt à l’emploi (prix de vente)</t>
  </si>
  <si>
    <t>Divers (outillage g.o.-remblai-engins-Transport-géomètre, implantation)</t>
  </si>
  <si>
    <t>MARGEà stade</t>
  </si>
  <si>
    <t>Reste à dépenser</t>
  </si>
  <si>
    <t>Facturées</t>
  </si>
  <si>
    <t>Reste à réaliser</t>
  </si>
  <si>
    <t>Projeté fin de chantier</t>
  </si>
  <si>
    <t>RECETTES</t>
  </si>
  <si>
    <t>DEPENSES</t>
  </si>
  <si>
    <t>Dépenses comptabilisées</t>
  </si>
  <si>
    <t>Stock chantier</t>
  </si>
  <si>
    <t>TOTAL RECETTE</t>
  </si>
  <si>
    <t>Synthèse point financier au</t>
  </si>
  <si>
    <t>Montant du marché:</t>
  </si>
  <si>
    <t>TOTAL DEPENSES</t>
  </si>
  <si>
    <t>Marge restante à réaliser</t>
  </si>
  <si>
    <t>Dépenses projetées fin de chantier</t>
  </si>
  <si>
    <t>Marge projetée fin de chantier</t>
  </si>
  <si>
    <t>Stock à fin de chantier</t>
  </si>
  <si>
    <t>Chantier:</t>
  </si>
  <si>
    <t>Mai</t>
  </si>
  <si>
    <t>m3</t>
  </si>
  <si>
    <t>ens</t>
  </si>
  <si>
    <t>Unités ouvrages</t>
  </si>
  <si>
    <t>Montant</t>
  </si>
  <si>
    <t>Totaux</t>
  </si>
  <si>
    <t>Surface utile construite (m2) (a)</t>
  </si>
  <si>
    <t>S/Traité
commandes passées</t>
  </si>
  <si>
    <t>Nom sous/traitant</t>
  </si>
  <si>
    <t>ADNO GROUP</t>
  </si>
  <si>
    <t>commandés et livrés</t>
  </si>
  <si>
    <t>commandés et non livrés</t>
  </si>
  <si>
    <t>non encore commandés</t>
  </si>
  <si>
    <t>Consultation non encore lancée
(montant du chiffrage)</t>
  </si>
  <si>
    <t>commandes non passées
(devis reçus)</t>
  </si>
  <si>
    <t>Sous-traitance</t>
  </si>
  <si>
    <t>Montant du contrat yc les avenants
(b)</t>
  </si>
  <si>
    <t>Montant total des travaux réalisés au
(c)</t>
  </si>
  <si>
    <t>Dépenses Conforme à l'avancement des travaux
(d)</t>
  </si>
  <si>
    <t>Fact-dépensé
(e) = (c) - (d)</t>
  </si>
  <si>
    <t>marge
(f)=(e)/(c)</t>
  </si>
  <si>
    <t>Reste à dépenser
(h)</t>
  </si>
  <si>
    <t>Dépenses projetée fin de chantier
(i)=(d) +(h)</t>
  </si>
  <si>
    <t>Marge projetée fin de chantier
(j)=(b)-(i)</t>
  </si>
  <si>
    <t>Projection fin de chantier</t>
  </si>
  <si>
    <t>Résulat à stade</t>
  </si>
  <si>
    <t>Surface utile du projet (m2)====&gt; (l)</t>
  </si>
  <si>
    <t xml:space="preserve">avec frais chantier
(g)=(d)/(a) </t>
  </si>
  <si>
    <t>Coût sec/m²
avec frais chantier
(m)=(i)/(l)</t>
  </si>
  <si>
    <t>Total S/Traitant</t>
  </si>
  <si>
    <t>Total matériels</t>
  </si>
  <si>
    <t>Charges constatées d'avance</t>
  </si>
  <si>
    <t>réalisation par l'équipe de SODECAF</t>
  </si>
  <si>
    <t>ou par des tâcherons</t>
  </si>
  <si>
    <t>Dépenses Fin de chantier -Postes Seconds œuvres</t>
  </si>
  <si>
    <t>Matériels, matériaux fournis ou à être fournis par SODECAF</t>
  </si>
  <si>
    <t xml:space="preserve">Solo </t>
  </si>
  <si>
    <t xml:space="preserve">SODECAF </t>
  </si>
  <si>
    <t xml:space="preserve">PROTEC ALU </t>
  </si>
  <si>
    <t xml:space="preserve">Bitume </t>
  </si>
  <si>
    <t xml:space="preserve">Tobi Yawo CFA </t>
  </si>
  <si>
    <t xml:space="preserve">Dovy </t>
  </si>
  <si>
    <t xml:space="preserve">main d'œuvre </t>
  </si>
  <si>
    <t xml:space="preserve">Colle </t>
  </si>
  <si>
    <t>Bloc BTC</t>
  </si>
  <si>
    <t xml:space="preserve">Vernis  </t>
  </si>
  <si>
    <t xml:space="preserve">Divers </t>
  </si>
  <si>
    <t>LOTS SECONDS ŒUVRES</t>
  </si>
  <si>
    <t>Observations</t>
  </si>
  <si>
    <t>Total
(n)</t>
  </si>
  <si>
    <t>Dépenses cumulées à stade
(o) = (m)</t>
  </si>
  <si>
    <t>Main d'œuvre reste à dépenser</t>
  </si>
  <si>
    <t>Reste à commander</t>
  </si>
  <si>
    <t>Reste à dépenser sur commandés</t>
  </si>
  <si>
    <t>Reste à dépenser-Main d'œuvre en second œuvre</t>
  </si>
  <si>
    <t>TOTAL RESTE A DEPENSER
(p)</t>
  </si>
  <si>
    <t>Dépenses projétées fin de chantier
(q) = (o) + (q)</t>
  </si>
  <si>
    <t>Montant à la vente (Recette finale)
(r)</t>
  </si>
  <si>
    <t>marge fin de chantier
(s) = (r) - (q)</t>
  </si>
  <si>
    <t>% Marge fin de chantier
(t) = (s) / (r)</t>
  </si>
  <si>
    <t>Confirmer le taux de marge. Ou des restes à dépenser oubliés?</t>
  </si>
  <si>
    <t>Reste à dépenser en seconds oeuvre</t>
  </si>
  <si>
    <t>ADNO GROUP (Devis a valider par MO )</t>
  </si>
  <si>
    <t>Reste à dépenser (en cours de consulation)</t>
  </si>
  <si>
    <t>% Marge projetée fin de chantier
(k1) = (j)/(b)</t>
  </si>
  <si>
    <t>Rappel % Marge au chiffrage
(k2)</t>
  </si>
  <si>
    <r>
      <rPr>
        <i/>
        <sz val="10"/>
        <rFont val="Symbol"/>
        <family val="1"/>
        <charset val="2"/>
      </rPr>
      <t xml:space="preserve">D </t>
    </r>
    <r>
      <rPr>
        <i/>
        <sz val="10"/>
        <rFont val="Arial"/>
        <family val="2"/>
        <charset val="1"/>
      </rPr>
      <t xml:space="preserve">
sur % Marge</t>
    </r>
    <r>
      <rPr>
        <i/>
        <sz val="10"/>
        <rFont val="Arial"/>
        <family val="1"/>
        <charset val="2"/>
      </rPr>
      <t xml:space="preserve">
(k1) - (k2)</t>
    </r>
  </si>
  <si>
    <t>TS</t>
  </si>
  <si>
    <t xml:space="preserve">Avenant </t>
  </si>
  <si>
    <t>Plus / moins values</t>
  </si>
  <si>
    <t xml:space="preserve"> </t>
  </si>
  <si>
    <t>LOT N° 1.0</t>
  </si>
  <si>
    <t xml:space="preserve">FRAIS GENERAUX </t>
  </si>
  <si>
    <t>LOT N° 1.1</t>
  </si>
  <si>
    <t>AMENAGEMENT DES ABORDS</t>
  </si>
  <si>
    <t>LOT N° 2</t>
  </si>
  <si>
    <t>GROS ŒUVRE</t>
  </si>
  <si>
    <t>LOT N° 03</t>
  </si>
  <si>
    <t>LOT N° 05</t>
  </si>
  <si>
    <t>MENUISERIE BOIS / VITRERIE</t>
  </si>
  <si>
    <t xml:space="preserve">LOT N° 06 </t>
  </si>
  <si>
    <t>CARRELLAGE / REVETEMENT</t>
  </si>
  <si>
    <t>LOT N°08</t>
  </si>
  <si>
    <t>FAUX PLAFOND BA13</t>
  </si>
  <si>
    <t>LOT N°09</t>
  </si>
  <si>
    <t>LOT N° 10</t>
  </si>
  <si>
    <t>PEINTURE (sans peinture dans les bureaux)</t>
  </si>
  <si>
    <t>LOT N° 11</t>
  </si>
  <si>
    <t>LOT N° 12</t>
  </si>
  <si>
    <t>GROUPE ELECTROGENE</t>
  </si>
  <si>
    <t>LOT N° 13</t>
  </si>
  <si>
    <t>APPAREIL ELEVATEUR (ASCENSEUR)</t>
  </si>
  <si>
    <t>LOT N° 14</t>
  </si>
  <si>
    <t>SERRURERIE-METALLERIE-FERRONNERIE</t>
  </si>
  <si>
    <t>LOT N° 16</t>
  </si>
  <si>
    <t>COURANT FAIBLE-SECURITE</t>
  </si>
  <si>
    <t>LOT N° 17</t>
  </si>
  <si>
    <t>HABILLAGE BRIQUE DE TERRE</t>
  </si>
  <si>
    <t>CONTRAT</t>
  </si>
  <si>
    <t>Réalisé</t>
  </si>
  <si>
    <t>Remise commerciale exceptionnelle</t>
  </si>
  <si>
    <t>Total plus ou moins value 05/04/2024</t>
  </si>
  <si>
    <t>Total</t>
  </si>
  <si>
    <t>Total décompte par lot</t>
  </si>
  <si>
    <t>Rémise par lot</t>
  </si>
  <si>
    <t>+/- value par lot</t>
  </si>
  <si>
    <t>LOT N° 07</t>
  </si>
  <si>
    <t>LOT N° 1.2</t>
  </si>
  <si>
    <t>DEMOLITION ET DEPOSE</t>
  </si>
  <si>
    <t>ELECTRICITE</t>
  </si>
  <si>
    <t>DTS 1</t>
  </si>
  <si>
    <t>REDIMENSIONNEMENT DE LA STRUCTURE POUR R+2</t>
  </si>
  <si>
    <t xml:space="preserve">Parement BTC </t>
  </si>
  <si>
    <t>CHARP</t>
  </si>
  <si>
    <t>Reste à facturr</t>
  </si>
  <si>
    <t>Facturation</t>
  </si>
  <si>
    <t>A stade</t>
  </si>
  <si>
    <t>Depenses</t>
  </si>
  <si>
    <t>Reste</t>
  </si>
  <si>
    <t>Fin de chantier</t>
  </si>
  <si>
    <t>Marge</t>
  </si>
  <si>
    <t>Décompte à fin</t>
  </si>
  <si>
    <t>Dont décompte en cours</t>
  </si>
  <si>
    <t>Décompte à venir</t>
  </si>
  <si>
    <t>Decompte validé</t>
  </si>
  <si>
    <t>Decompte transmis pour validation</t>
  </si>
  <si>
    <t xml:space="preserve">Travaux de climatisation de la partie commune sans la pose des appareils </t>
  </si>
  <si>
    <t xml:space="preserve">Câble d'alimenation de la climatisation et raccordement au coffret </t>
  </si>
  <si>
    <t xml:space="preserve">Travaux de demolition de la dalle local GE et couverture en tôle bac </t>
  </si>
  <si>
    <t>DTS 4 REV 01</t>
  </si>
  <si>
    <t>DTS 5</t>
  </si>
  <si>
    <t>DTS 6</t>
  </si>
  <si>
    <t>LOT CLIM</t>
  </si>
  <si>
    <t>Dont +/- value</t>
  </si>
  <si>
    <t>Dep du 01 au 20 juin</t>
  </si>
  <si>
    <t>Machette</t>
  </si>
  <si>
    <t xml:space="preserve"> FER HA 12</t>
  </si>
  <si>
    <t>Ciment CPJ 42,5</t>
  </si>
  <si>
    <t xml:space="preserve">Rouleau de film polynane </t>
  </si>
  <si>
    <t xml:space="preserve">Rallonge </t>
  </si>
  <si>
    <t xml:space="preserve"> FER HA 8 FE 400</t>
  </si>
  <si>
    <t xml:space="preserve"> FER HA 10 FE 400</t>
  </si>
  <si>
    <t xml:space="preserve">Evacuation des ordures </t>
  </si>
  <si>
    <t>Surveillence chantier DU 10 au 16/11/25</t>
  </si>
  <si>
    <t xml:space="preserve">Evacuations des terres </t>
  </si>
  <si>
    <t xml:space="preserve">Collation pour coulage béton de nuit </t>
  </si>
  <si>
    <t>Menuisiers et aide</t>
  </si>
  <si>
    <t xml:space="preserve">Maçons et aides </t>
  </si>
  <si>
    <t>Maçon (17 jours )</t>
  </si>
  <si>
    <t>Mèches a béton no 10</t>
  </si>
  <si>
    <t>Mèches a béton no 06</t>
  </si>
  <si>
    <t>Mèches a béton no 08</t>
  </si>
  <si>
    <t xml:space="preserve">Disque a couper </t>
  </si>
  <si>
    <t>Chevron 6/8 de 4m</t>
  </si>
  <si>
    <t>Plabche fond 15 de 4m</t>
  </si>
  <si>
    <t>Plabche fond 20 de 4m</t>
  </si>
  <si>
    <t>Carton pointe odrinaire no 8</t>
  </si>
  <si>
    <t>Carton pointe ordinaire no 10</t>
  </si>
  <si>
    <t>Carton pointe acier no 8</t>
  </si>
  <si>
    <t xml:space="preserve">Carton pointe acier no 10 </t>
  </si>
  <si>
    <t xml:space="preserve">Ferronnier </t>
  </si>
  <si>
    <t xml:space="preserve">Magasinier </t>
  </si>
  <si>
    <t>MAIN D'ŒUVRE SALARIE  ( Octobre 2025 )</t>
  </si>
  <si>
    <t>MAIN D'ŒUVRE JOURNALIER  du 20/10 au  2 Novembre 2025</t>
  </si>
  <si>
    <t>MQIN D'ŒUVRE JOURNALIER  du 3 au 16 Novembre 2025</t>
  </si>
  <si>
    <t xml:space="preserve">CHARPENTE BOIS ET COUVERTURE </t>
  </si>
  <si>
    <t>XXXJ</t>
  </si>
  <si>
    <t>TOYOTA</t>
  </si>
  <si>
    <t>MAZDA</t>
  </si>
  <si>
    <t>CITROEN</t>
  </si>
  <si>
    <t>BMW</t>
  </si>
  <si>
    <t>ALPIN</t>
  </si>
  <si>
    <t>UEFA</t>
  </si>
  <si>
    <t>MERCEDES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</si>
</sst>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43" formatCode="_-* #,##0.00_-;\-* #,##0.00_-;_-* &quot;-&quot;??_-;_-@_-"/>
    <numFmt numFmtId="164" formatCode="#,##0.00\ [$€-40C];[Red]\-#,##0.00\ [$€-40C]"/>
    <numFmt numFmtId="165" formatCode="dd/mm/yy"/>
    <numFmt numFmtId="166" formatCode="#,##0&quot;    &quot;;\-#,##0&quot;    &quot;;&quot; -    &quot;;@\ "/>
    <numFmt numFmtId="167" formatCode="0\ %"/>
    <numFmt numFmtId="168" formatCode="#,##0&quot;   &quot;"/>
    <numFmt numFmtId="169" formatCode="0.0\ %"/>
    <numFmt numFmtId="170" formatCode="#,##0\ _€;[Red]\-#,##0\ _€"/>
    <numFmt numFmtId="171" formatCode="0.00\ %"/>
    <numFmt numFmtId="172" formatCode="0.0%"/>
  </numFmts>
  <fonts count="59">
    <font>
      <sz val="10"/>
      <name val="Arial"/>
      <charset val="1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Geneva"/>
      <charset val="1"/>
    </font>
    <font>
      <b/>
      <i/>
      <u/>
      <sz val="10"/>
      <name val="Arial"/>
      <family val="2"/>
      <charset val="1"/>
    </font>
    <font>
      <sz val="10"/>
      <name val="Arial"/>
      <family val="2"/>
      <charset val="1"/>
    </font>
    <font>
      <b/>
      <sz val="14"/>
      <name val="Arial"/>
      <family val="2"/>
      <charset val="1"/>
    </font>
    <font>
      <b/>
      <sz val="11"/>
      <name val="Arial"/>
      <family val="2"/>
      <charset val="1"/>
    </font>
    <font>
      <sz val="11"/>
      <color rgb="FF2A6099"/>
      <name val="Arial"/>
      <family val="2"/>
      <charset val="1"/>
    </font>
    <font>
      <sz val="11"/>
      <name val="Arial"/>
      <family val="2"/>
      <charset val="1"/>
    </font>
    <font>
      <i/>
      <sz val="10"/>
      <name val="Arial"/>
      <family val="2"/>
      <charset val="1"/>
    </font>
    <font>
      <sz val="9"/>
      <name val="Arial"/>
      <family val="2"/>
      <charset val="1"/>
    </font>
    <font>
      <sz val="9"/>
      <color rgb="FFA1467E"/>
      <name val="Arial"/>
      <family val="2"/>
      <charset val="1"/>
    </font>
    <font>
      <b/>
      <sz val="10"/>
      <name val="Arial"/>
      <family val="2"/>
      <charset val="1"/>
    </font>
    <font>
      <sz val="14"/>
      <name val="Arial"/>
      <family val="2"/>
      <charset val="1"/>
    </font>
    <font>
      <b/>
      <sz val="11"/>
      <color rgb="FFFF0000"/>
      <name val="Arial"/>
      <family val="2"/>
      <charset val="1"/>
    </font>
    <font>
      <b/>
      <sz val="14"/>
      <color rgb="FFFF0000"/>
      <name val="Arial"/>
      <family val="2"/>
      <charset val="1"/>
    </font>
    <font>
      <b/>
      <sz val="10"/>
      <color rgb="FFFF0000"/>
      <name val="Arial"/>
      <family val="2"/>
      <charset val="1"/>
    </font>
    <font>
      <sz val="10"/>
      <color rgb="FFADB9CA"/>
      <name val="Arial"/>
      <family val="2"/>
      <charset val="1"/>
    </font>
    <font>
      <b/>
      <sz val="12"/>
      <color rgb="FFFF0000"/>
      <name val="Arial"/>
      <family val="2"/>
      <charset val="1"/>
    </font>
    <font>
      <sz val="10"/>
      <color rgb="FF2A6099"/>
      <name val="Arial"/>
      <family val="2"/>
      <charset val="1"/>
    </font>
    <font>
      <sz val="10"/>
      <color rgb="FFFF0000"/>
      <name val="Arial"/>
      <family val="2"/>
      <charset val="1"/>
    </font>
    <font>
      <b/>
      <sz val="10"/>
      <color rgb="FF2A6099"/>
      <name val="Arial"/>
      <family val="2"/>
      <charset val="1"/>
    </font>
    <font>
      <sz val="10"/>
      <color rgb="FF767171"/>
      <name val="Arial"/>
      <family val="2"/>
      <charset val="1"/>
    </font>
    <font>
      <b/>
      <sz val="12"/>
      <name val="Arial"/>
      <family val="2"/>
      <charset val="1"/>
    </font>
    <font>
      <sz val="10"/>
      <color rgb="FFFF000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9"/>
      <color theme="1"/>
      <name val="Arial"/>
      <family val="2"/>
      <charset val="1"/>
    </font>
    <font>
      <sz val="9"/>
      <color rgb="FFFF0000"/>
      <name val="Arial"/>
      <family val="2"/>
      <charset val="1"/>
    </font>
    <font>
      <sz val="9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1"/>
      <color rgb="FF2A6099"/>
      <name val="Arial"/>
      <family val="2"/>
    </font>
    <font>
      <sz val="9"/>
      <color rgb="FFA1467E"/>
      <name val="Arial"/>
      <family val="2"/>
    </font>
    <font>
      <sz val="9"/>
      <color theme="1"/>
      <name val="Arial"/>
      <family val="2"/>
    </font>
    <font>
      <sz val="9"/>
      <color rgb="FFFF0000"/>
      <name val="Arial"/>
      <family val="2"/>
    </font>
    <font>
      <b/>
      <sz val="10"/>
      <color theme="2"/>
      <name val="Arial"/>
      <family val="2"/>
    </font>
    <font>
      <b/>
      <sz val="16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rgb="FFFF0000"/>
      <name val="Arial"/>
      <family val="2"/>
    </font>
    <font>
      <i/>
      <sz val="10"/>
      <name val="Symbol"/>
      <family val="1"/>
      <charset val="2"/>
    </font>
    <font>
      <i/>
      <sz val="10"/>
      <name val="Arial"/>
      <family val="1"/>
      <charset val="2"/>
    </font>
    <font>
      <b/>
      <sz val="10"/>
      <color rgb="FF0000FF"/>
      <name val="Arial"/>
      <family val="2"/>
      <charset val="1"/>
    </font>
    <font>
      <b/>
      <sz val="10"/>
      <color rgb="FF0000FF"/>
      <name val="Arial"/>
      <family val="2"/>
    </font>
    <font>
      <sz val="11"/>
      <color rgb="FF0000FF"/>
      <name val="Arial"/>
      <family val="2"/>
      <charset val="1"/>
    </font>
    <font>
      <sz val="10"/>
      <color theme="1"/>
      <name val="Arial"/>
      <family val="2"/>
      <charset val="1"/>
    </font>
    <font>
      <i/>
      <sz val="10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Arial"/>
      <family val="2"/>
      <charset val="1"/>
    </font>
    <font>
      <b/>
      <sz val="11"/>
      <color rgb="FFFF0000"/>
      <name val="Arial"/>
      <family val="2"/>
    </font>
    <font>
      <sz val="8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rgb="FFFFDBB6"/>
        <bgColor rgb="FFFFCC99"/>
      </patternFill>
    </fill>
    <fill>
      <patternFill patternType="solid">
        <fgColor rgb="FFFFFF00"/>
        <bgColor rgb="FFFFFF00"/>
      </patternFill>
    </fill>
    <fill>
      <patternFill patternType="solid">
        <fgColor rgb="FFCCFFFF"/>
        <bgColor rgb="FFCCFFCC"/>
      </patternFill>
    </fill>
    <fill>
      <patternFill patternType="solid">
        <fgColor rgb="FFFFCC99"/>
        <bgColor rgb="FFFFDBB6"/>
      </patternFill>
    </fill>
    <fill>
      <patternFill patternType="solid">
        <fgColor rgb="FFCFE7F5"/>
        <bgColor rgb="FFCCFFFF"/>
      </patternFill>
    </fill>
    <fill>
      <patternFill patternType="solid">
        <fgColor rgb="FFCCFFCC"/>
        <bgColor rgb="FFCCFFFF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59999389629810485"/>
        <bgColor rgb="FFADB9CA"/>
      </patternFill>
    </fill>
    <fill>
      <patternFill patternType="solid">
        <fgColor theme="5" tint="0.59999389629810485"/>
        <bgColor rgb="FFFFDBB6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00"/>
        <bgColor rgb="FFCCFFCC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99"/>
        <bgColor indexed="64"/>
      </patternFill>
    </fill>
  </fills>
  <borders count="56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9">
    <xf numFmtId="0" fontId="0" fillId="0" borderId="0"/>
    <xf numFmtId="167" fontId="5" fillId="0" borderId="0" applyBorder="0" applyProtection="0"/>
    <xf numFmtId="0" fontId="3" fillId="0" borderId="0"/>
    <xf numFmtId="164" fontId="4" fillId="0" borderId="0" applyBorder="0" applyProtection="0"/>
    <xf numFmtId="0" fontId="5" fillId="2" borderId="0" applyBorder="0" applyProtection="0"/>
    <xf numFmtId="0" fontId="1" fillId="0" borderId="0"/>
    <xf numFmtId="43" fontId="1" fillId="0" borderId="0" applyFont="0" applyFill="0" applyBorder="0" applyAlignment="0" applyProtection="0"/>
    <xf numFmtId="170" fontId="3" fillId="0" borderId="0" applyBorder="0" applyProtection="0"/>
    <xf numFmtId="170" fontId="3" fillId="0" borderId="0" applyBorder="0" applyProtection="0"/>
  </cellStyleXfs>
  <cellXfs count="408">
    <xf numFmtId="0" fontId="0" fillId="0" borderId="0" xfId="0"/>
    <xf numFmtId="0" fontId="0" fillId="0" borderId="0" xfId="0" applyAlignment="1">
      <alignment horizontal="center"/>
    </xf>
    <xf numFmtId="0" fontId="6" fillId="0" borderId="0" xfId="2" applyFont="1" applyAlignment="1">
      <alignment horizontal="right"/>
    </xf>
    <xf numFmtId="0" fontId="7" fillId="0" borderId="0" xfId="2" applyFont="1" applyAlignment="1">
      <alignment horizontal="center"/>
    </xf>
    <xf numFmtId="165" fontId="7" fillId="3" borderId="0" xfId="2" applyNumberFormat="1" applyFont="1" applyFill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4" xfId="0" applyFont="1" applyBorder="1" applyAlignment="1">
      <alignment horizontal="right"/>
    </xf>
    <xf numFmtId="1" fontId="9" fillId="0" borderId="4" xfId="0" applyNumberFormat="1" applyFont="1" applyBorder="1" applyAlignment="1">
      <alignment horizontal="center"/>
    </xf>
    <xf numFmtId="14" fontId="9" fillId="0" borderId="4" xfId="0" applyNumberFormat="1" applyFont="1" applyBorder="1" applyAlignment="1">
      <alignment horizontal="center"/>
    </xf>
    <xf numFmtId="0" fontId="10" fillId="5" borderId="4" xfId="0" applyFont="1" applyFill="1" applyBorder="1" applyAlignment="1" applyProtection="1">
      <alignment horizontal="center"/>
      <protection hidden="1"/>
    </xf>
    <xf numFmtId="167" fontId="5" fillId="5" borderId="4" xfId="1" applyFill="1" applyBorder="1" applyAlignment="1" applyProtection="1">
      <alignment horizontal="center"/>
      <protection hidden="1"/>
    </xf>
    <xf numFmtId="0" fontId="9" fillId="0" borderId="5" xfId="0" applyFont="1" applyBorder="1" applyAlignment="1">
      <alignment horizontal="left"/>
    </xf>
    <xf numFmtId="166" fontId="9" fillId="0" borderId="5" xfId="0" applyNumberFormat="1" applyFont="1" applyBorder="1"/>
    <xf numFmtId="3" fontId="9" fillId="0" borderId="5" xfId="0" applyNumberFormat="1" applyFont="1" applyBorder="1"/>
    <xf numFmtId="3" fontId="9" fillId="4" borderId="5" xfId="0" applyNumberFormat="1" applyFont="1" applyFill="1" applyBorder="1" applyProtection="1">
      <protection hidden="1"/>
    </xf>
    <xf numFmtId="167" fontId="9" fillId="4" borderId="5" xfId="0" applyNumberFormat="1" applyFont="1" applyFill="1" applyBorder="1" applyProtection="1">
      <protection hidden="1"/>
    </xf>
    <xf numFmtId="3" fontId="9" fillId="4" borderId="5" xfId="0" applyNumberFormat="1" applyFont="1" applyFill="1" applyBorder="1" applyAlignment="1" applyProtection="1">
      <alignment horizontal="center"/>
      <protection hidden="1"/>
    </xf>
    <xf numFmtId="0" fontId="11" fillId="0" borderId="5" xfId="0" applyFont="1" applyBorder="1" applyAlignment="1">
      <alignment horizontal="left"/>
    </xf>
    <xf numFmtId="3" fontId="11" fillId="0" borderId="5" xfId="0" applyNumberFormat="1" applyFont="1" applyBorder="1"/>
    <xf numFmtId="3" fontId="11" fillId="4" borderId="5" xfId="0" applyNumberFormat="1" applyFont="1" applyFill="1" applyBorder="1" applyProtection="1">
      <protection hidden="1"/>
    </xf>
    <xf numFmtId="167" fontId="11" fillId="4" borderId="5" xfId="0" applyNumberFormat="1" applyFont="1" applyFill="1" applyBorder="1" applyProtection="1">
      <protection hidden="1"/>
    </xf>
    <xf numFmtId="3" fontId="11" fillId="4" borderId="5" xfId="0" applyNumberFormat="1" applyFont="1" applyFill="1" applyBorder="1" applyAlignment="1" applyProtection="1">
      <alignment horizontal="center"/>
      <protection hidden="1"/>
    </xf>
    <xf numFmtId="0" fontId="9" fillId="0" borderId="2" xfId="0" applyFont="1" applyBorder="1" applyAlignment="1">
      <alignment horizontal="left"/>
    </xf>
    <xf numFmtId="3" fontId="9" fillId="0" borderId="2" xfId="0" applyNumberFormat="1" applyFont="1" applyBorder="1"/>
    <xf numFmtId="3" fontId="9" fillId="4" borderId="2" xfId="0" applyNumberFormat="1" applyFont="1" applyFill="1" applyBorder="1" applyAlignment="1" applyProtection="1">
      <alignment horizontal="center"/>
      <protection hidden="1"/>
    </xf>
    <xf numFmtId="0" fontId="9" fillId="0" borderId="6" xfId="0" applyFont="1" applyBorder="1" applyAlignment="1">
      <alignment horizontal="right"/>
    </xf>
    <xf numFmtId="168" fontId="7" fillId="0" borderId="6" xfId="0" applyNumberFormat="1" applyFont="1" applyBorder="1"/>
    <xf numFmtId="169" fontId="7" fillId="3" borderId="6" xfId="0" applyNumberFormat="1" applyFont="1" applyFill="1" applyBorder="1" applyAlignment="1">
      <alignment horizontal="center"/>
    </xf>
    <xf numFmtId="168" fontId="7" fillId="0" borderId="7" xfId="0" applyNumberFormat="1" applyFont="1" applyBorder="1" applyAlignment="1">
      <alignment horizontal="right"/>
    </xf>
    <xf numFmtId="0" fontId="0" fillId="0" borderId="0" xfId="0" applyAlignment="1">
      <alignment horizontal="left"/>
    </xf>
    <xf numFmtId="0" fontId="13" fillId="0" borderId="0" xfId="0" applyFont="1" applyAlignment="1">
      <alignment horizontal="center"/>
    </xf>
    <xf numFmtId="0" fontId="13" fillId="0" borderId="7" xfId="0" applyFont="1" applyBorder="1"/>
    <xf numFmtId="166" fontId="7" fillId="0" borderId="6" xfId="0" applyNumberFormat="1" applyFont="1" applyBorder="1"/>
    <xf numFmtId="14" fontId="0" fillId="0" borderId="8" xfId="0" applyNumberFormat="1" applyBorder="1"/>
    <xf numFmtId="168" fontId="0" fillId="0" borderId="0" xfId="0" applyNumberFormat="1"/>
    <xf numFmtId="0" fontId="0" fillId="0" borderId="9" xfId="0" applyBorder="1" applyAlignment="1">
      <alignment horizontal="right"/>
    </xf>
    <xf numFmtId="166" fontId="9" fillId="0" borderId="4" xfId="0" applyNumberFormat="1" applyFont="1" applyBorder="1"/>
    <xf numFmtId="0" fontId="0" fillId="0" borderId="7" xfId="0" applyBorder="1"/>
    <xf numFmtId="165" fontId="0" fillId="0" borderId="5" xfId="0" applyNumberFormat="1" applyBorder="1" applyAlignment="1">
      <alignment horizontal="center"/>
    </xf>
    <xf numFmtId="49" fontId="0" fillId="0" borderId="5" xfId="0" applyNumberFormat="1" applyBorder="1" applyAlignment="1">
      <alignment horizontal="left"/>
    </xf>
    <xf numFmtId="49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3" fontId="0" fillId="0" borderId="5" xfId="0" applyNumberFormat="1" applyBorder="1" applyAlignment="1">
      <alignment horizontal="center"/>
    </xf>
    <xf numFmtId="3" fontId="0" fillId="0" borderId="5" xfId="0" applyNumberFormat="1" applyBorder="1"/>
    <xf numFmtId="0" fontId="0" fillId="0" borderId="5" xfId="0" applyBorder="1"/>
    <xf numFmtId="49" fontId="14" fillId="0" borderId="5" xfId="0" applyNumberFormat="1" applyFont="1" applyBorder="1" applyAlignment="1">
      <alignment horizontal="left"/>
    </xf>
    <xf numFmtId="165" fontId="0" fillId="6" borderId="10" xfId="0" applyNumberFormat="1" applyFill="1" applyBorder="1" applyAlignment="1">
      <alignment horizontal="center"/>
    </xf>
    <xf numFmtId="49" fontId="0" fillId="6" borderId="10" xfId="0" applyNumberFormat="1" applyFill="1" applyBorder="1" applyAlignment="1">
      <alignment horizontal="left"/>
    </xf>
    <xf numFmtId="49" fontId="0" fillId="6" borderId="10" xfId="0" applyNumberFormat="1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3" fontId="0" fillId="6" borderId="10" xfId="0" applyNumberFormat="1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165" fontId="0" fillId="0" borderId="12" xfId="0" applyNumberFormat="1" applyBorder="1" applyAlignment="1">
      <alignment horizontal="center" vertical="center"/>
    </xf>
    <xf numFmtId="170" fontId="0" fillId="0" borderId="5" xfId="0" applyNumberFormat="1" applyBorder="1"/>
    <xf numFmtId="49" fontId="5" fillId="0" borderId="5" xfId="0" applyNumberFormat="1" applyFont="1" applyBorder="1" applyAlignment="1">
      <alignment horizontal="left"/>
    </xf>
    <xf numFmtId="165" fontId="0" fillId="0" borderId="5" xfId="0" applyNumberFormat="1" applyBorder="1" applyAlignment="1">
      <alignment horizontal="center" vertical="center"/>
    </xf>
    <xf numFmtId="49" fontId="15" fillId="0" borderId="5" xfId="0" applyNumberFormat="1" applyFont="1" applyBorder="1" applyAlignment="1">
      <alignment horizontal="left"/>
    </xf>
    <xf numFmtId="49" fontId="13" fillId="0" borderId="5" xfId="0" applyNumberFormat="1" applyFont="1" applyBorder="1" applyAlignment="1">
      <alignment horizontal="left"/>
    </xf>
    <xf numFmtId="0" fontId="5" fillId="0" borderId="5" xfId="0" applyFont="1" applyBorder="1" applyAlignment="1">
      <alignment horizontal="center"/>
    </xf>
    <xf numFmtId="49" fontId="5" fillId="0" borderId="5" xfId="0" applyNumberFormat="1" applyFont="1" applyBorder="1" applyAlignment="1">
      <alignment horizontal="center"/>
    </xf>
    <xf numFmtId="49" fontId="16" fillId="0" borderId="5" xfId="0" applyNumberFormat="1" applyFont="1" applyBorder="1" applyAlignment="1">
      <alignment horizontal="left"/>
    </xf>
    <xf numFmtId="170" fontId="0" fillId="0" borderId="5" xfId="0" applyNumberFormat="1" applyBorder="1" applyAlignment="1">
      <alignment horizontal="right"/>
    </xf>
    <xf numFmtId="49" fontId="17" fillId="0" borderId="5" xfId="0" applyNumberFormat="1" applyFont="1" applyBorder="1" applyAlignment="1">
      <alignment horizontal="left"/>
    </xf>
    <xf numFmtId="49" fontId="18" fillId="0" borderId="5" xfId="0" applyNumberFormat="1" applyFont="1" applyBorder="1" applyAlignment="1">
      <alignment horizontal="left"/>
    </xf>
    <xf numFmtId="170" fontId="5" fillId="0" borderId="5" xfId="0" applyNumberFormat="1" applyFont="1" applyBorder="1"/>
    <xf numFmtId="165" fontId="5" fillId="0" borderId="5" xfId="0" applyNumberFormat="1" applyFont="1" applyBorder="1" applyAlignment="1">
      <alignment horizontal="center"/>
    </xf>
    <xf numFmtId="0" fontId="5" fillId="0" borderId="5" xfId="0" applyFont="1" applyBorder="1"/>
    <xf numFmtId="0" fontId="5" fillId="0" borderId="0" xfId="0" applyFont="1"/>
    <xf numFmtId="49" fontId="13" fillId="0" borderId="5" xfId="0" applyNumberFormat="1" applyFont="1" applyBorder="1" applyAlignment="1">
      <alignment horizontal="center"/>
    </xf>
    <xf numFmtId="49" fontId="19" fillId="0" borderId="5" xfId="0" applyNumberFormat="1" applyFont="1" applyBorder="1" applyAlignment="1">
      <alignment horizontal="left"/>
    </xf>
    <xf numFmtId="49" fontId="20" fillId="0" borderId="5" xfId="0" applyNumberFormat="1" applyFont="1" applyBorder="1" applyAlignment="1">
      <alignment horizontal="left"/>
    </xf>
    <xf numFmtId="49" fontId="21" fillId="0" borderId="5" xfId="0" applyNumberFormat="1" applyFont="1" applyBorder="1" applyAlignment="1">
      <alignment horizontal="left"/>
    </xf>
    <xf numFmtId="49" fontId="7" fillId="0" borderId="5" xfId="0" applyNumberFormat="1" applyFont="1" applyBorder="1" applyAlignment="1">
      <alignment horizontal="left"/>
    </xf>
    <xf numFmtId="49" fontId="22" fillId="0" borderId="5" xfId="0" applyNumberFormat="1" applyFont="1" applyBorder="1" applyAlignment="1">
      <alignment horizontal="left"/>
    </xf>
    <xf numFmtId="170" fontId="20" fillId="0" borderId="5" xfId="0" applyNumberFormat="1" applyFont="1" applyBorder="1"/>
    <xf numFmtId="0" fontId="20" fillId="0" borderId="5" xfId="0" applyFont="1" applyBorder="1" applyAlignment="1">
      <alignment horizontal="center"/>
    </xf>
    <xf numFmtId="49" fontId="5" fillId="0" borderId="5" xfId="0" applyNumberFormat="1" applyFont="1" applyBorder="1"/>
    <xf numFmtId="49" fontId="23" fillId="0" borderId="5" xfId="0" applyNumberFormat="1" applyFont="1" applyBorder="1" applyAlignment="1">
      <alignment horizontal="left"/>
    </xf>
    <xf numFmtId="4" fontId="0" fillId="0" borderId="5" xfId="0" applyNumberFormat="1" applyBorder="1" applyAlignment="1">
      <alignment horizontal="center"/>
    </xf>
    <xf numFmtId="3" fontId="5" fillId="0" borderId="5" xfId="0" applyNumberFormat="1" applyFont="1" applyBorder="1" applyAlignment="1">
      <alignment horizontal="center"/>
    </xf>
    <xf numFmtId="49" fontId="24" fillId="0" borderId="5" xfId="0" applyNumberFormat="1" applyFont="1" applyBorder="1" applyAlignment="1">
      <alignment horizontal="left"/>
    </xf>
    <xf numFmtId="20" fontId="0" fillId="0" borderId="5" xfId="0" applyNumberFormat="1" applyBorder="1" applyAlignment="1">
      <alignment horizontal="left"/>
    </xf>
    <xf numFmtId="0" fontId="0" fillId="7" borderId="6" xfId="0" applyFill="1" applyBorder="1"/>
    <xf numFmtId="0" fontId="0" fillId="0" borderId="4" xfId="0" applyBorder="1"/>
    <xf numFmtId="0" fontId="5" fillId="0" borderId="4" xfId="0" applyFont="1" applyBorder="1"/>
    <xf numFmtId="0" fontId="0" fillId="0" borderId="6" xfId="0" applyBorder="1"/>
    <xf numFmtId="49" fontId="2" fillId="0" borderId="5" xfId="0" applyNumberFormat="1" applyFont="1" applyBorder="1" applyAlignment="1">
      <alignment horizontal="left"/>
    </xf>
    <xf numFmtId="0" fontId="2" fillId="0" borderId="5" xfId="0" applyFont="1" applyBorder="1"/>
    <xf numFmtId="0" fontId="2" fillId="0" borderId="4" xfId="0" applyFont="1" applyBorder="1"/>
    <xf numFmtId="166" fontId="0" fillId="0" borderId="0" xfId="0" applyNumberFormat="1"/>
    <xf numFmtId="3" fontId="0" fillId="0" borderId="0" xfId="0" applyNumberFormat="1"/>
    <xf numFmtId="0" fontId="0" fillId="8" borderId="0" xfId="0" applyFill="1"/>
    <xf numFmtId="166" fontId="25" fillId="0" borderId="0" xfId="0" applyNumberFormat="1" applyFont="1"/>
    <xf numFmtId="0" fontId="6" fillId="0" borderId="0" xfId="2" applyFont="1" applyAlignment="1">
      <alignment horizontal="center"/>
    </xf>
    <xf numFmtId="0" fontId="9" fillId="0" borderId="5" xfId="0" applyFont="1" applyBorder="1" applyAlignment="1">
      <alignment horizontal="center"/>
    </xf>
    <xf numFmtId="0" fontId="11" fillId="0" borderId="5" xfId="0" applyFont="1" applyBorder="1" applyAlignment="1">
      <alignment horizontal="center"/>
    </xf>
    <xf numFmtId="0" fontId="12" fillId="0" borderId="5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168" fontId="7" fillId="0" borderId="7" xfId="0" applyNumberFormat="1" applyFont="1" applyBorder="1" applyAlignment="1">
      <alignment horizontal="center"/>
    </xf>
    <xf numFmtId="0" fontId="13" fillId="0" borderId="7" xfId="0" applyFon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7" xfId="0" applyBorder="1" applyAlignment="1">
      <alignment horizontal="center"/>
    </xf>
    <xf numFmtId="1" fontId="26" fillId="0" borderId="4" xfId="0" applyNumberFormat="1" applyFont="1" applyBorder="1" applyAlignment="1">
      <alignment horizontal="center"/>
    </xf>
    <xf numFmtId="3" fontId="26" fillId="0" borderId="5" xfId="0" applyNumberFormat="1" applyFont="1" applyBorder="1"/>
    <xf numFmtId="3" fontId="28" fillId="0" borderId="5" xfId="0" applyNumberFormat="1" applyFont="1" applyBorder="1"/>
    <xf numFmtId="3" fontId="26" fillId="0" borderId="2" xfId="0" applyNumberFormat="1" applyFont="1" applyBorder="1"/>
    <xf numFmtId="1" fontId="26" fillId="0" borderId="4" xfId="0" applyNumberFormat="1" applyFont="1" applyBorder="1" applyAlignment="1" applyProtection="1">
      <alignment horizontal="center"/>
      <protection hidden="1"/>
    </xf>
    <xf numFmtId="167" fontId="26" fillId="0" borderId="5" xfId="0" applyNumberFormat="1" applyFont="1" applyBorder="1" applyProtection="1">
      <protection hidden="1"/>
    </xf>
    <xf numFmtId="167" fontId="28" fillId="0" borderId="5" xfId="0" applyNumberFormat="1" applyFont="1" applyBorder="1" applyProtection="1">
      <protection hidden="1"/>
    </xf>
    <xf numFmtId="167" fontId="26" fillId="0" borderId="2" xfId="0" applyNumberFormat="1" applyFont="1" applyBorder="1" applyProtection="1">
      <protection hidden="1"/>
    </xf>
    <xf numFmtId="0" fontId="2" fillId="0" borderId="0" xfId="0" applyFont="1"/>
    <xf numFmtId="0" fontId="8" fillId="0" borderId="1" xfId="0" applyFont="1" applyBorder="1" applyAlignment="1">
      <alignment horizontal="right" vertical="center"/>
    </xf>
    <xf numFmtId="0" fontId="8" fillId="0" borderId="1" xfId="0" applyFont="1" applyBorder="1" applyAlignment="1">
      <alignment horizontal="center" vertical="center"/>
    </xf>
    <xf numFmtId="166" fontId="9" fillId="0" borderId="2" xfId="0" applyNumberFormat="1" applyFont="1" applyBorder="1" applyAlignment="1">
      <alignment horizontal="center" vertical="center"/>
    </xf>
    <xf numFmtId="166" fontId="9" fillId="0" borderId="2" xfId="0" applyNumberFormat="1" applyFont="1" applyBorder="1" applyAlignment="1" applyProtection="1">
      <alignment horizontal="center" vertical="center"/>
      <protection hidden="1"/>
    </xf>
    <xf numFmtId="0" fontId="0" fillId="5" borderId="2" xfId="0" applyFill="1" applyBorder="1" applyAlignment="1" applyProtection="1">
      <alignment horizontal="center" vertical="center"/>
      <protection hidden="1"/>
    </xf>
    <xf numFmtId="0" fontId="0" fillId="0" borderId="0" xfId="0" applyAlignment="1">
      <alignment vertical="center"/>
    </xf>
    <xf numFmtId="0" fontId="9" fillId="0" borderId="3" xfId="0" applyFont="1" applyBorder="1" applyAlignment="1">
      <alignment vertic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4" xfId="0" applyFont="1" applyBorder="1" applyAlignment="1" applyProtection="1">
      <alignment horizontal="center" vertical="center"/>
      <protection hidden="1"/>
    </xf>
    <xf numFmtId="14" fontId="9" fillId="9" borderId="4" xfId="0" applyNumberFormat="1" applyFont="1" applyFill="1" applyBorder="1" applyAlignment="1">
      <alignment horizontal="center"/>
    </xf>
    <xf numFmtId="166" fontId="9" fillId="0" borderId="2" xfId="0" applyNumberFormat="1" applyFont="1" applyBorder="1" applyAlignment="1" applyProtection="1">
      <alignment horizontal="center" vertical="center" wrapText="1"/>
      <protection hidden="1"/>
    </xf>
    <xf numFmtId="0" fontId="2" fillId="0" borderId="4" xfId="0" applyFont="1" applyBorder="1" applyAlignment="1">
      <alignment horizontal="center" vertical="center" wrapText="1"/>
    </xf>
    <xf numFmtId="3" fontId="26" fillId="0" borderId="5" xfId="0" applyNumberFormat="1" applyFont="1" applyBorder="1" applyProtection="1">
      <protection hidden="1"/>
    </xf>
    <xf numFmtId="3" fontId="28" fillId="0" borderId="5" xfId="0" applyNumberFormat="1" applyFont="1" applyBorder="1" applyProtection="1">
      <protection hidden="1"/>
    </xf>
    <xf numFmtId="3" fontId="26" fillId="0" borderId="2" xfId="0" applyNumberFormat="1" applyFont="1" applyBorder="1" applyProtection="1">
      <protection hidden="1"/>
    </xf>
    <xf numFmtId="9" fontId="26" fillId="0" borderId="4" xfId="0" applyNumberFormat="1" applyFont="1" applyBorder="1" applyAlignment="1" applyProtection="1">
      <alignment horizontal="center"/>
      <protection hidden="1"/>
    </xf>
    <xf numFmtId="9" fontId="26" fillId="0" borderId="5" xfId="0" applyNumberFormat="1" applyFont="1" applyBorder="1" applyProtection="1">
      <protection hidden="1"/>
    </xf>
    <xf numFmtId="9" fontId="28" fillId="0" borderId="5" xfId="0" applyNumberFormat="1" applyFont="1" applyBorder="1" applyProtection="1">
      <protection hidden="1"/>
    </xf>
    <xf numFmtId="9" fontId="26" fillId="0" borderId="2" xfId="0" applyNumberFormat="1" applyFont="1" applyBorder="1" applyProtection="1">
      <protection hidden="1"/>
    </xf>
    <xf numFmtId="0" fontId="7" fillId="0" borderId="7" xfId="2" applyFont="1" applyBorder="1" applyAlignment="1">
      <alignment horizontal="centerContinuous" vertical="center"/>
    </xf>
    <xf numFmtId="165" fontId="7" fillId="0" borderId="13" xfId="2" applyNumberFormat="1" applyFont="1" applyBorder="1" applyAlignment="1">
      <alignment horizontal="centerContinuous" vertical="center"/>
    </xf>
    <xf numFmtId="0" fontId="0" fillId="0" borderId="13" xfId="0" applyBorder="1" applyAlignment="1">
      <alignment horizontal="centerContinuous" vertical="center"/>
    </xf>
    <xf numFmtId="0" fontId="0" fillId="0" borderId="14" xfId="0" applyBorder="1" applyAlignment="1">
      <alignment horizontal="centerContinuous" vertical="center"/>
    </xf>
    <xf numFmtId="0" fontId="9" fillId="11" borderId="6" xfId="0" applyFont="1" applyFill="1" applyBorder="1" applyAlignment="1">
      <alignment horizontal="right"/>
    </xf>
    <xf numFmtId="0" fontId="9" fillId="11" borderId="6" xfId="0" applyFont="1" applyFill="1" applyBorder="1" applyAlignment="1">
      <alignment horizontal="center"/>
    </xf>
    <xf numFmtId="168" fontId="7" fillId="11" borderId="6" xfId="0" applyNumberFormat="1" applyFont="1" applyFill="1" applyBorder="1"/>
    <xf numFmtId="168" fontId="7" fillId="11" borderId="6" xfId="0" applyNumberFormat="1" applyFont="1" applyFill="1" applyBorder="1" applyAlignment="1">
      <alignment horizontal="right"/>
    </xf>
    <xf numFmtId="9" fontId="7" fillId="12" borderId="6" xfId="0" applyNumberFormat="1" applyFont="1" applyFill="1" applyBorder="1" applyProtection="1">
      <protection hidden="1"/>
    </xf>
    <xf numFmtId="3" fontId="7" fillId="13" borderId="6" xfId="0" applyNumberFormat="1" applyFont="1" applyFill="1" applyBorder="1" applyProtection="1">
      <protection hidden="1"/>
    </xf>
    <xf numFmtId="0" fontId="29" fillId="14" borderId="5" xfId="0" applyFont="1" applyFill="1" applyBorder="1" applyAlignment="1">
      <alignment horizontal="left"/>
    </xf>
    <xf numFmtId="3" fontId="7" fillId="11" borderId="6" xfId="0" applyNumberFormat="1" applyFont="1" applyFill="1" applyBorder="1"/>
    <xf numFmtId="14" fontId="10" fillId="5" borderId="4" xfId="0" applyNumberFormat="1" applyFont="1" applyFill="1" applyBorder="1" applyAlignment="1" applyProtection="1">
      <alignment horizontal="center"/>
      <protection hidden="1"/>
    </xf>
    <xf numFmtId="3" fontId="30" fillId="4" borderId="5" xfId="0" applyNumberFormat="1" applyFont="1" applyFill="1" applyBorder="1" applyProtection="1">
      <protection hidden="1"/>
    </xf>
    <xf numFmtId="3" fontId="11" fillId="15" borderId="5" xfId="0" applyNumberFormat="1" applyFont="1" applyFill="1" applyBorder="1"/>
    <xf numFmtId="0" fontId="0" fillId="0" borderId="0" xfId="0" applyAlignment="1">
      <alignment horizontal="center" vertical="center" wrapText="1"/>
    </xf>
    <xf numFmtId="9" fontId="31" fillId="0" borderId="5" xfId="0" applyNumberFormat="1" applyFont="1" applyBorder="1" applyAlignment="1" applyProtection="1">
      <alignment vertical="center"/>
      <protection hidden="1"/>
    </xf>
    <xf numFmtId="0" fontId="2" fillId="0" borderId="0" xfId="0" applyFont="1" applyAlignment="1">
      <alignment wrapText="1"/>
    </xf>
    <xf numFmtId="0" fontId="30" fillId="0" borderId="5" xfId="0" applyFont="1" applyBorder="1" applyAlignment="1">
      <alignment horizontal="left"/>
    </xf>
    <xf numFmtId="0" fontId="12" fillId="14" borderId="5" xfId="0" applyFont="1" applyFill="1" applyBorder="1" applyAlignment="1">
      <alignment horizontal="left"/>
    </xf>
    <xf numFmtId="3" fontId="2" fillId="0" borderId="0" xfId="0" applyNumberFormat="1" applyFont="1"/>
    <xf numFmtId="0" fontId="11" fillId="0" borderId="5" xfId="0" applyFont="1" applyBorder="1" applyAlignment="1">
      <alignment horizontal="left" indent="1"/>
    </xf>
    <xf numFmtId="49" fontId="2" fillId="0" borderId="5" xfId="0" applyNumberFormat="1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3" fontId="2" fillId="0" borderId="5" xfId="0" applyNumberFormat="1" applyFont="1" applyBorder="1" applyAlignment="1">
      <alignment horizontal="center"/>
    </xf>
    <xf numFmtId="170" fontId="2" fillId="0" borderId="5" xfId="0" applyNumberFormat="1" applyFont="1" applyBorder="1"/>
    <xf numFmtId="165" fontId="2" fillId="0" borderId="5" xfId="0" applyNumberFormat="1" applyFont="1" applyBorder="1" applyAlignment="1">
      <alignment horizontal="center"/>
    </xf>
    <xf numFmtId="0" fontId="27" fillId="0" borderId="0" xfId="0" applyFont="1"/>
    <xf numFmtId="0" fontId="34" fillId="0" borderId="0" xfId="2" applyFont="1" applyAlignment="1">
      <alignment horizontal="right"/>
    </xf>
    <xf numFmtId="0" fontId="36" fillId="0" borderId="1" xfId="0" applyFont="1" applyBorder="1" applyAlignment="1">
      <alignment horizontal="right" vertical="center"/>
    </xf>
    <xf numFmtId="0" fontId="33" fillId="0" borderId="3" xfId="0" applyFont="1" applyBorder="1" applyAlignment="1">
      <alignment vertical="center"/>
    </xf>
    <xf numFmtId="0" fontId="33" fillId="0" borderId="4" xfId="0" applyFont="1" applyBorder="1" applyAlignment="1">
      <alignment horizontal="right"/>
    </xf>
    <xf numFmtId="0" fontId="33" fillId="0" borderId="5" xfId="0" applyFont="1" applyBorder="1" applyAlignment="1">
      <alignment horizontal="left"/>
    </xf>
    <xf numFmtId="0" fontId="31" fillId="0" borderId="5" xfId="0" applyFont="1" applyBorder="1" applyAlignment="1">
      <alignment horizontal="left"/>
    </xf>
    <xf numFmtId="0" fontId="37" fillId="14" borderId="5" xfId="0" applyFont="1" applyFill="1" applyBorder="1" applyAlignment="1">
      <alignment horizontal="left"/>
    </xf>
    <xf numFmtId="0" fontId="38" fillId="14" borderId="5" xfId="0" applyFont="1" applyFill="1" applyBorder="1" applyAlignment="1">
      <alignment horizontal="left"/>
    </xf>
    <xf numFmtId="0" fontId="39" fillId="0" borderId="5" xfId="0" applyFont="1" applyBorder="1" applyAlignment="1">
      <alignment horizontal="left"/>
    </xf>
    <xf numFmtId="0" fontId="31" fillId="0" borderId="5" xfId="0" applyFont="1" applyBorder="1" applyAlignment="1">
      <alignment horizontal="left" indent="1"/>
    </xf>
    <xf numFmtId="0" fontId="33" fillId="0" borderId="2" xfId="0" applyFont="1" applyBorder="1" applyAlignment="1">
      <alignment horizontal="left"/>
    </xf>
    <xf numFmtId="0" fontId="33" fillId="11" borderId="6" xfId="0" applyFont="1" applyFill="1" applyBorder="1" applyAlignment="1">
      <alignment horizontal="right"/>
    </xf>
    <xf numFmtId="0" fontId="33" fillId="0" borderId="6" xfId="0" applyFont="1" applyBorder="1" applyAlignment="1">
      <alignment horizontal="right"/>
    </xf>
    <xf numFmtId="168" fontId="33" fillId="0" borderId="7" xfId="0" applyNumberFormat="1" applyFont="1" applyBorder="1" applyAlignment="1">
      <alignment horizontal="right"/>
    </xf>
    <xf numFmtId="0" fontId="2" fillId="0" borderId="0" xfId="0" applyFont="1" applyAlignment="1">
      <alignment horizontal="left"/>
    </xf>
    <xf numFmtId="0" fontId="2" fillId="0" borderId="7" xfId="0" applyFont="1" applyBorder="1"/>
    <xf numFmtId="14" fontId="2" fillId="0" borderId="8" xfId="0" applyNumberFormat="1" applyFont="1" applyBorder="1"/>
    <xf numFmtId="0" fontId="2" fillId="0" borderId="9" xfId="0" applyFont="1" applyBorder="1" applyAlignment="1">
      <alignment horizontal="right"/>
    </xf>
    <xf numFmtId="14" fontId="0" fillId="0" borderId="0" xfId="0" applyNumberFormat="1"/>
    <xf numFmtId="0" fontId="2" fillId="0" borderId="0" xfId="0" applyFont="1" applyAlignment="1">
      <alignment vertical="center"/>
    </xf>
    <xf numFmtId="0" fontId="27" fillId="0" borderId="0" xfId="0" applyFont="1" applyAlignment="1">
      <alignment vertical="center"/>
    </xf>
    <xf numFmtId="0" fontId="27" fillId="0" borderId="6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3" fontId="27" fillId="0" borderId="6" xfId="0" applyNumberFormat="1" applyFont="1" applyBorder="1" applyAlignment="1">
      <alignment vertical="center"/>
    </xf>
    <xf numFmtId="171" fontId="5" fillId="0" borderId="6" xfId="1" applyNumberFormat="1" applyBorder="1" applyAlignment="1">
      <alignment vertical="center"/>
    </xf>
    <xf numFmtId="0" fontId="40" fillId="16" borderId="7" xfId="0" applyFont="1" applyFill="1" applyBorder="1" applyAlignment="1">
      <alignment horizontal="centerContinuous" vertical="center"/>
    </xf>
    <xf numFmtId="0" fontId="40" fillId="16" borderId="13" xfId="0" applyFont="1" applyFill="1" applyBorder="1" applyAlignment="1">
      <alignment horizontal="centerContinuous" vertical="center"/>
    </xf>
    <xf numFmtId="0" fontId="40" fillId="16" borderId="14" xfId="0" applyFont="1" applyFill="1" applyBorder="1" applyAlignment="1">
      <alignment horizontal="centerContinuous" vertical="center"/>
    </xf>
    <xf numFmtId="0" fontId="41" fillId="0" borderId="0" xfId="0" applyFont="1" applyAlignment="1">
      <alignment vertical="center"/>
    </xf>
    <xf numFmtId="14" fontId="41" fillId="0" borderId="0" xfId="0" applyNumberFormat="1" applyFont="1" applyAlignment="1">
      <alignment vertical="center"/>
    </xf>
    <xf numFmtId="0" fontId="32" fillId="0" borderId="0" xfId="0" applyFont="1"/>
    <xf numFmtId="0" fontId="35" fillId="0" borderId="0" xfId="0" applyFont="1"/>
    <xf numFmtId="0" fontId="27" fillId="0" borderId="6" xfId="0" applyFont="1" applyBorder="1" applyAlignment="1">
      <alignment vertical="center" wrapText="1"/>
    </xf>
    <xf numFmtId="0" fontId="2" fillId="8" borderId="0" xfId="0" applyFont="1" applyFill="1" applyAlignment="1">
      <alignment horizontal="center"/>
    </xf>
    <xf numFmtId="0" fontId="10" fillId="5" borderId="5" xfId="0" applyFont="1" applyFill="1" applyBorder="1" applyAlignment="1" applyProtection="1">
      <alignment horizontal="center" vertical="center" wrapText="1"/>
      <protection hidden="1"/>
    </xf>
    <xf numFmtId="0" fontId="5" fillId="5" borderId="5" xfId="0" applyFont="1" applyFill="1" applyBorder="1" applyAlignment="1" applyProtection="1">
      <alignment horizontal="center" vertical="center" wrapText="1"/>
      <protection hidden="1"/>
    </xf>
    <xf numFmtId="0" fontId="27" fillId="0" borderId="6" xfId="0" applyFont="1" applyBorder="1" applyAlignment="1">
      <alignment horizontal="centerContinuous" vertical="center" wrapText="1"/>
    </xf>
    <xf numFmtId="0" fontId="27" fillId="0" borderId="7" xfId="0" applyFont="1" applyBorder="1" applyAlignment="1">
      <alignment horizontal="centerContinuous" vertical="center"/>
    </xf>
    <xf numFmtId="0" fontId="27" fillId="0" borderId="13" xfId="0" applyFont="1" applyBorder="1" applyAlignment="1">
      <alignment horizontal="centerContinuous" vertical="center"/>
    </xf>
    <xf numFmtId="0" fontId="27" fillId="0" borderId="14" xfId="0" applyFont="1" applyBorder="1" applyAlignment="1">
      <alignment horizontal="centerContinuous" vertical="center"/>
    </xf>
    <xf numFmtId="0" fontId="27" fillId="0" borderId="19" xfId="0" applyFont="1" applyBorder="1" applyAlignment="1">
      <alignment horizontal="centerContinuous" vertical="center"/>
    </xf>
    <xf numFmtId="0" fontId="27" fillId="0" borderId="20" xfId="0" applyFont="1" applyBorder="1" applyAlignment="1">
      <alignment horizontal="centerContinuous" vertical="center"/>
    </xf>
    <xf numFmtId="0" fontId="27" fillId="0" borderId="21" xfId="0" applyFont="1" applyBorder="1" applyAlignment="1">
      <alignment horizontal="centerContinuous" vertical="center"/>
    </xf>
    <xf numFmtId="0" fontId="27" fillId="0" borderId="22" xfId="0" applyFont="1" applyBorder="1" applyAlignment="1">
      <alignment horizontal="centerContinuous" vertical="center" wrapText="1"/>
    </xf>
    <xf numFmtId="3" fontId="0" fillId="0" borderId="26" xfId="0" applyNumberFormat="1" applyBorder="1"/>
    <xf numFmtId="3" fontId="27" fillId="17" borderId="27" xfId="0" applyNumberFormat="1" applyFont="1" applyFill="1" applyBorder="1"/>
    <xf numFmtId="3" fontId="27" fillId="17" borderId="28" xfId="0" applyNumberFormat="1" applyFont="1" applyFill="1" applyBorder="1"/>
    <xf numFmtId="0" fontId="27" fillId="0" borderId="15" xfId="0" applyFont="1" applyBorder="1" applyAlignment="1">
      <alignment horizontal="centerContinuous" vertical="center"/>
    </xf>
    <xf numFmtId="3" fontId="27" fillId="17" borderId="26" xfId="0" applyNumberFormat="1" applyFont="1" applyFill="1" applyBorder="1"/>
    <xf numFmtId="3" fontId="27" fillId="0" borderId="34" xfId="0" applyNumberFormat="1" applyFont="1" applyBorder="1"/>
    <xf numFmtId="3" fontId="27" fillId="17" borderId="35" xfId="0" applyNumberFormat="1" applyFont="1" applyFill="1" applyBorder="1"/>
    <xf numFmtId="0" fontId="27" fillId="17" borderId="36" xfId="0" applyFont="1" applyFill="1" applyBorder="1" applyAlignment="1">
      <alignment horizontal="centerContinuous"/>
    </xf>
    <xf numFmtId="0" fontId="27" fillId="17" borderId="17" xfId="0" applyFont="1" applyFill="1" applyBorder="1" applyAlignment="1">
      <alignment horizontal="centerContinuous"/>
    </xf>
    <xf numFmtId="0" fontId="27" fillId="17" borderId="37" xfId="0" applyFont="1" applyFill="1" applyBorder="1" applyAlignment="1">
      <alignment horizontal="centerContinuous"/>
    </xf>
    <xf numFmtId="0" fontId="27" fillId="17" borderId="38" xfId="0" applyFont="1" applyFill="1" applyBorder="1" applyAlignment="1">
      <alignment horizontal="centerContinuous"/>
    </xf>
    <xf numFmtId="3" fontId="27" fillId="0" borderId="33" xfId="0" applyNumberFormat="1" applyFont="1" applyBorder="1"/>
    <xf numFmtId="0" fontId="2" fillId="0" borderId="26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14" fontId="9" fillId="0" borderId="4" xfId="0" applyNumberFormat="1" applyFont="1" applyBorder="1" applyAlignment="1">
      <alignment horizontal="left" indent="3"/>
    </xf>
    <xf numFmtId="3" fontId="9" fillId="0" borderId="5" xfId="0" applyNumberFormat="1" applyFont="1" applyBorder="1" applyProtection="1">
      <protection hidden="1"/>
    </xf>
    <xf numFmtId="3" fontId="11" fillId="0" borderId="5" xfId="0" applyNumberFormat="1" applyFont="1" applyBorder="1" applyProtection="1">
      <protection hidden="1"/>
    </xf>
    <xf numFmtId="3" fontId="30" fillId="0" borderId="5" xfId="0" applyNumberFormat="1" applyFont="1" applyBorder="1" applyProtection="1">
      <protection hidden="1"/>
    </xf>
    <xf numFmtId="3" fontId="9" fillId="18" borderId="5" xfId="0" applyNumberFormat="1" applyFont="1" applyFill="1" applyBorder="1" applyProtection="1">
      <protection hidden="1"/>
    </xf>
    <xf numFmtId="1" fontId="9" fillId="9" borderId="4" xfId="0" applyNumberFormat="1" applyFont="1" applyFill="1" applyBorder="1" applyAlignment="1">
      <alignment horizontal="center"/>
    </xf>
    <xf numFmtId="0" fontId="2" fillId="0" borderId="39" xfId="0" applyFon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27" fillId="0" borderId="6" xfId="0" applyFont="1" applyBorder="1" applyAlignment="1">
      <alignment horizontal="centerContinuous" vertical="center"/>
    </xf>
    <xf numFmtId="3" fontId="27" fillId="0" borderId="27" xfId="0" applyNumberFormat="1" applyFont="1" applyBorder="1"/>
    <xf numFmtId="9" fontId="7" fillId="13" borderId="6" xfId="0" applyNumberFormat="1" applyFont="1" applyFill="1" applyBorder="1" applyProtection="1">
      <protection hidden="1"/>
    </xf>
    <xf numFmtId="0" fontId="27" fillId="0" borderId="42" xfId="0" applyFont="1" applyBorder="1" applyAlignment="1">
      <alignment horizontal="centerContinuous" vertical="center"/>
    </xf>
    <xf numFmtId="3" fontId="27" fillId="17" borderId="44" xfId="0" applyNumberFormat="1" applyFont="1" applyFill="1" applyBorder="1"/>
    <xf numFmtId="0" fontId="27" fillId="0" borderId="16" xfId="0" applyFont="1" applyBorder="1" applyAlignment="1">
      <alignment horizontal="centerContinuous" vertical="center"/>
    </xf>
    <xf numFmtId="3" fontId="27" fillId="19" borderId="43" xfId="0" applyNumberFormat="1" applyFont="1" applyFill="1" applyBorder="1"/>
    <xf numFmtId="3" fontId="27" fillId="19" borderId="13" xfId="0" applyNumberFormat="1" applyFont="1" applyFill="1" applyBorder="1"/>
    <xf numFmtId="49" fontId="27" fillId="0" borderId="5" xfId="0" applyNumberFormat="1" applyFont="1" applyBorder="1" applyAlignment="1">
      <alignment horizontal="left"/>
    </xf>
    <xf numFmtId="49" fontId="26" fillId="0" borderId="5" xfId="0" applyNumberFormat="1" applyFont="1" applyBorder="1" applyAlignment="1">
      <alignment horizontal="left"/>
    </xf>
    <xf numFmtId="0" fontId="9" fillId="0" borderId="4" xfId="0" applyFont="1" applyBorder="1" applyAlignment="1">
      <alignment horizontal="center" vertical="center" wrapText="1"/>
    </xf>
    <xf numFmtId="49" fontId="13" fillId="0" borderId="0" xfId="0" applyNumberFormat="1" applyFont="1" applyAlignment="1">
      <alignment horizontal="left"/>
    </xf>
    <xf numFmtId="3" fontId="0" fillId="0" borderId="0" xfId="0" applyNumberFormat="1" applyAlignment="1">
      <alignment horizontal="center"/>
    </xf>
    <xf numFmtId="0" fontId="27" fillId="19" borderId="45" xfId="0" applyFont="1" applyFill="1" applyBorder="1" applyAlignment="1">
      <alignment horizontal="center" vertical="center" wrapText="1"/>
    </xf>
    <xf numFmtId="0" fontId="27" fillId="19" borderId="41" xfId="0" applyFont="1" applyFill="1" applyBorder="1" applyAlignment="1">
      <alignment horizontal="center" vertical="center" wrapText="1"/>
    </xf>
    <xf numFmtId="3" fontId="0" fillId="20" borderId="30" xfId="0" applyNumberFormat="1" applyFill="1" applyBorder="1"/>
    <xf numFmtId="3" fontId="0" fillId="20" borderId="4" xfId="0" applyNumberFormat="1" applyFill="1" applyBorder="1"/>
    <xf numFmtId="3" fontId="0" fillId="20" borderId="24" xfId="0" applyNumberFormat="1" applyFill="1" applyBorder="1"/>
    <xf numFmtId="3" fontId="0" fillId="20" borderId="22" xfId="0" applyNumberFormat="1" applyFill="1" applyBorder="1"/>
    <xf numFmtId="3" fontId="0" fillId="20" borderId="6" xfId="0" applyNumberFormat="1" applyFill="1" applyBorder="1"/>
    <xf numFmtId="3" fontId="0" fillId="20" borderId="25" xfId="0" applyNumberFormat="1" applyFill="1" applyBorder="1"/>
    <xf numFmtId="3" fontId="2" fillId="20" borderId="22" xfId="0" applyNumberFormat="1" applyFont="1" applyFill="1" applyBorder="1"/>
    <xf numFmtId="3" fontId="27" fillId="20" borderId="33" xfId="0" applyNumberFormat="1" applyFont="1" applyFill="1" applyBorder="1"/>
    <xf numFmtId="3" fontId="27" fillId="20" borderId="34" xfId="0" applyNumberFormat="1" applyFont="1" applyFill="1" applyBorder="1"/>
    <xf numFmtId="49" fontId="25" fillId="0" borderId="5" xfId="0" applyNumberFormat="1" applyFont="1" applyBorder="1" applyAlignment="1">
      <alignment horizontal="left"/>
    </xf>
    <xf numFmtId="165" fontId="25" fillId="0" borderId="5" xfId="0" applyNumberFormat="1" applyFont="1" applyBorder="1" applyAlignment="1">
      <alignment horizontal="left"/>
    </xf>
    <xf numFmtId="3" fontId="2" fillId="20" borderId="30" xfId="0" applyNumberFormat="1" applyFont="1" applyFill="1" applyBorder="1"/>
    <xf numFmtId="3" fontId="25" fillId="0" borderId="5" xfId="0" applyNumberFormat="1" applyFont="1" applyBorder="1" applyAlignment="1">
      <alignment horizontal="center"/>
    </xf>
    <xf numFmtId="3" fontId="27" fillId="0" borderId="0" xfId="0" applyNumberFormat="1" applyFont="1"/>
    <xf numFmtId="3" fontId="2" fillId="20" borderId="6" xfId="0" applyNumberFormat="1" applyFont="1" applyFill="1" applyBorder="1"/>
    <xf numFmtId="0" fontId="2" fillId="7" borderId="6" xfId="0" applyFont="1" applyFill="1" applyBorder="1"/>
    <xf numFmtId="0" fontId="27" fillId="0" borderId="49" xfId="0" applyFont="1" applyBorder="1" applyAlignment="1">
      <alignment horizontal="centerContinuous" vertical="center"/>
    </xf>
    <xf numFmtId="3" fontId="0" fillId="0" borderId="33" xfId="0" applyNumberFormat="1" applyBorder="1"/>
    <xf numFmtId="3" fontId="0" fillId="0" borderId="34" xfId="0" applyNumberFormat="1" applyBorder="1"/>
    <xf numFmtId="0" fontId="0" fillId="0" borderId="50" xfId="0" applyBorder="1"/>
    <xf numFmtId="0" fontId="0" fillId="0" borderId="51" xfId="0" applyBorder="1"/>
    <xf numFmtId="0" fontId="0" fillId="0" borderId="52" xfId="0" applyBorder="1"/>
    <xf numFmtId="0" fontId="27" fillId="0" borderId="48" xfId="0" applyFont="1" applyBorder="1" applyAlignment="1">
      <alignment horizontal="center" vertical="center"/>
    </xf>
    <xf numFmtId="3" fontId="2" fillId="0" borderId="34" xfId="0" applyNumberFormat="1" applyFont="1" applyBorder="1"/>
    <xf numFmtId="167" fontId="5" fillId="0" borderId="34" xfId="1" applyBorder="1"/>
    <xf numFmtId="3" fontId="44" fillId="0" borderId="33" xfId="0" applyNumberFormat="1" applyFont="1" applyBorder="1"/>
    <xf numFmtId="167" fontId="44" fillId="0" borderId="34" xfId="1" applyFont="1" applyBorder="1"/>
    <xf numFmtId="3" fontId="2" fillId="0" borderId="33" xfId="0" applyNumberFormat="1" applyFont="1" applyBorder="1"/>
    <xf numFmtId="3" fontId="44" fillId="0" borderId="34" xfId="0" applyNumberFormat="1" applyFont="1" applyBorder="1"/>
    <xf numFmtId="3" fontId="27" fillId="20" borderId="6" xfId="0" applyNumberFormat="1" applyFont="1" applyFill="1" applyBorder="1"/>
    <xf numFmtId="0" fontId="27" fillId="0" borderId="31" xfId="0" applyFont="1" applyBorder="1" applyAlignment="1">
      <alignment horizontal="centerContinuous" vertical="center" wrapText="1"/>
    </xf>
    <xf numFmtId="3" fontId="27" fillId="20" borderId="22" xfId="0" applyNumberFormat="1" applyFont="1" applyFill="1" applyBorder="1"/>
    <xf numFmtId="167" fontId="2" fillId="0" borderId="34" xfId="1" applyFont="1" applyBorder="1"/>
    <xf numFmtId="0" fontId="27" fillId="0" borderId="49" xfId="0" applyFont="1" applyBorder="1" applyAlignment="1">
      <alignment horizontal="centerContinuous" vertical="center" wrapText="1"/>
    </xf>
    <xf numFmtId="3" fontId="27" fillId="9" borderId="35" xfId="0" applyNumberFormat="1" applyFont="1" applyFill="1" applyBorder="1"/>
    <xf numFmtId="167" fontId="5" fillId="11" borderId="34" xfId="1" applyFill="1" applyBorder="1"/>
    <xf numFmtId="3" fontId="27" fillId="11" borderId="34" xfId="0" applyNumberFormat="1" applyFont="1" applyFill="1" applyBorder="1"/>
    <xf numFmtId="167" fontId="44" fillId="0" borderId="33" xfId="1" applyFont="1" applyBorder="1"/>
    <xf numFmtId="172" fontId="27" fillId="21" borderId="35" xfId="0" applyNumberFormat="1" applyFont="1" applyFill="1" applyBorder="1"/>
    <xf numFmtId="14" fontId="9" fillId="0" borderId="5" xfId="0" applyNumberFormat="1" applyFont="1" applyBorder="1" applyAlignment="1">
      <alignment horizontal="center"/>
    </xf>
    <xf numFmtId="9" fontId="9" fillId="4" borderId="5" xfId="0" applyNumberFormat="1" applyFont="1" applyFill="1" applyBorder="1" applyProtection="1">
      <protection hidden="1"/>
    </xf>
    <xf numFmtId="9" fontId="11" fillId="4" borderId="5" xfId="0" applyNumberFormat="1" applyFont="1" applyFill="1" applyBorder="1" applyProtection="1">
      <protection hidden="1"/>
    </xf>
    <xf numFmtId="9" fontId="9" fillId="4" borderId="2" xfId="0" applyNumberFormat="1" applyFont="1" applyFill="1" applyBorder="1" applyProtection="1">
      <protection hidden="1"/>
    </xf>
    <xf numFmtId="3" fontId="0" fillId="21" borderId="25" xfId="0" applyNumberFormat="1" applyFill="1" applyBorder="1"/>
    <xf numFmtId="3" fontId="27" fillId="21" borderId="34" xfId="0" applyNumberFormat="1" applyFont="1" applyFill="1" applyBorder="1"/>
    <xf numFmtId="3" fontId="25" fillId="0" borderId="0" xfId="0" applyNumberFormat="1" applyFont="1"/>
    <xf numFmtId="171" fontId="7" fillId="13" borderId="6" xfId="0" applyNumberFormat="1" applyFont="1" applyFill="1" applyBorder="1" applyProtection="1">
      <protection hidden="1"/>
    </xf>
    <xf numFmtId="171" fontId="5" fillId="0" borderId="0" xfId="1" applyNumberFormat="1"/>
    <xf numFmtId="3" fontId="27" fillId="22" borderId="0" xfId="0" applyNumberFormat="1" applyFont="1" applyFill="1"/>
    <xf numFmtId="3" fontId="27" fillId="14" borderId="0" xfId="0" applyNumberFormat="1" applyFont="1" applyFill="1"/>
    <xf numFmtId="3" fontId="0" fillId="15" borderId="0" xfId="0" applyNumberFormat="1" applyFill="1"/>
    <xf numFmtId="3" fontId="27" fillId="15" borderId="0" xfId="0" applyNumberFormat="1" applyFont="1" applyFill="1"/>
    <xf numFmtId="0" fontId="0" fillId="0" borderId="0" xfId="0" applyAlignment="1">
      <alignment wrapText="1"/>
    </xf>
    <xf numFmtId="0" fontId="27" fillId="0" borderId="53" xfId="0" applyFont="1" applyBorder="1" applyAlignment="1">
      <alignment horizontal="centerContinuous"/>
    </xf>
    <xf numFmtId="0" fontId="27" fillId="0" borderId="54" xfId="0" applyFont="1" applyBorder="1" applyAlignment="1">
      <alignment horizontal="centerContinuous"/>
    </xf>
    <xf numFmtId="0" fontId="27" fillId="0" borderId="55" xfId="0" applyFont="1" applyBorder="1" applyAlignment="1">
      <alignment horizontal="centerContinuous"/>
    </xf>
    <xf numFmtId="0" fontId="0" fillId="0" borderId="8" xfId="0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quotePrefix="1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3" fontId="0" fillId="15" borderId="8" xfId="0" applyNumberFormat="1" applyFill="1" applyBorder="1"/>
    <xf numFmtId="3" fontId="0" fillId="15" borderId="9" xfId="0" applyNumberFormat="1" applyFill="1" applyBorder="1"/>
    <xf numFmtId="3" fontId="0" fillId="0" borderId="43" xfId="0" applyNumberFormat="1" applyBorder="1"/>
    <xf numFmtId="3" fontId="0" fillId="15" borderId="43" xfId="0" applyNumberFormat="1" applyFill="1" applyBorder="1"/>
    <xf numFmtId="3" fontId="0" fillId="0" borderId="1" xfId="0" applyNumberFormat="1" applyBorder="1"/>
    <xf numFmtId="3" fontId="0" fillId="0" borderId="3" xfId="0" applyNumberFormat="1" applyBorder="1"/>
    <xf numFmtId="1" fontId="26" fillId="9" borderId="4" xfId="0" applyNumberFormat="1" applyFont="1" applyFill="1" applyBorder="1" applyAlignment="1" applyProtection="1">
      <alignment horizontal="center"/>
      <protection hidden="1"/>
    </xf>
    <xf numFmtId="169" fontId="7" fillId="12" borderId="6" xfId="0" applyNumberFormat="1" applyFont="1" applyFill="1" applyBorder="1" applyProtection="1">
      <protection hidden="1"/>
    </xf>
    <xf numFmtId="165" fontId="25" fillId="0" borderId="5" xfId="0" applyNumberFormat="1" applyFont="1" applyBorder="1" applyAlignment="1">
      <alignment horizontal="center"/>
    </xf>
    <xf numFmtId="49" fontId="25" fillId="0" borderId="5" xfId="0" applyNumberFormat="1" applyFont="1" applyBorder="1" applyAlignment="1">
      <alignment horizontal="center"/>
    </xf>
    <xf numFmtId="0" fontId="25" fillId="0" borderId="5" xfId="0" applyFont="1" applyBorder="1" applyAlignment="1">
      <alignment horizontal="center"/>
    </xf>
    <xf numFmtId="170" fontId="25" fillId="0" borderId="5" xfId="0" applyNumberFormat="1" applyFont="1" applyBorder="1"/>
    <xf numFmtId="0" fontId="25" fillId="0" borderId="5" xfId="0" applyFont="1" applyBorder="1"/>
    <xf numFmtId="0" fontId="25" fillId="0" borderId="0" xfId="0" applyFont="1"/>
    <xf numFmtId="49" fontId="47" fillId="9" borderId="5" xfId="0" applyNumberFormat="1" applyFont="1" applyFill="1" applyBorder="1" applyAlignment="1">
      <alignment horizontal="left"/>
    </xf>
    <xf numFmtId="49" fontId="48" fillId="0" borderId="5" xfId="0" applyNumberFormat="1" applyFont="1" applyBorder="1" applyAlignment="1">
      <alignment horizontal="left"/>
    </xf>
    <xf numFmtId="3" fontId="49" fillId="0" borderId="5" xfId="0" applyNumberFormat="1" applyFont="1" applyBorder="1"/>
    <xf numFmtId="14" fontId="33" fillId="0" borderId="4" xfId="0" applyNumberFormat="1" applyFont="1" applyBorder="1" applyAlignment="1">
      <alignment horizontal="center"/>
    </xf>
    <xf numFmtId="167" fontId="33" fillId="4" borderId="5" xfId="0" applyNumberFormat="1" applyFont="1" applyFill="1" applyBorder="1" applyProtection="1">
      <protection hidden="1"/>
    </xf>
    <xf numFmtId="167" fontId="31" fillId="4" borderId="5" xfId="0" applyNumberFormat="1" applyFont="1" applyFill="1" applyBorder="1" applyProtection="1">
      <protection hidden="1"/>
    </xf>
    <xf numFmtId="10" fontId="26" fillId="13" borderId="6" xfId="0" applyNumberFormat="1" applyFont="1" applyFill="1" applyBorder="1" applyProtection="1">
      <protection hidden="1"/>
    </xf>
    <xf numFmtId="168" fontId="2" fillId="0" borderId="0" xfId="0" applyNumberFormat="1" applyFont="1"/>
    <xf numFmtId="3" fontId="26" fillId="4" borderId="5" xfId="0" applyNumberFormat="1" applyFont="1" applyFill="1" applyBorder="1" applyProtection="1">
      <protection hidden="1"/>
    </xf>
    <xf numFmtId="3" fontId="26" fillId="4" borderId="2" xfId="0" applyNumberFormat="1" applyFont="1" applyFill="1" applyBorder="1" applyProtection="1">
      <protection hidden="1"/>
    </xf>
    <xf numFmtId="167" fontId="26" fillId="4" borderId="5" xfId="0" applyNumberFormat="1" applyFont="1" applyFill="1" applyBorder="1" applyProtection="1">
      <protection hidden="1"/>
    </xf>
    <xf numFmtId="3" fontId="26" fillId="4" borderId="5" xfId="0" applyNumberFormat="1" applyFont="1" applyFill="1" applyBorder="1" applyAlignment="1" applyProtection="1">
      <alignment horizontal="center"/>
      <protection hidden="1"/>
    </xf>
    <xf numFmtId="167" fontId="26" fillId="4" borderId="2" xfId="0" applyNumberFormat="1" applyFont="1" applyFill="1" applyBorder="1" applyProtection="1">
      <protection hidden="1"/>
    </xf>
    <xf numFmtId="3" fontId="26" fillId="4" borderId="2" xfId="0" applyNumberFormat="1" applyFont="1" applyFill="1" applyBorder="1" applyAlignment="1" applyProtection="1">
      <alignment horizontal="center"/>
      <protection hidden="1"/>
    </xf>
    <xf numFmtId="0" fontId="52" fillId="0" borderId="0" xfId="0" applyFont="1"/>
    <xf numFmtId="166" fontId="53" fillId="4" borderId="2" xfId="0" applyNumberFormat="1" applyFont="1" applyFill="1" applyBorder="1" applyAlignment="1" applyProtection="1">
      <alignment horizontal="center" vertical="center"/>
      <protection hidden="1"/>
    </xf>
    <xf numFmtId="0" fontId="53" fillId="4" borderId="4" xfId="0" applyFont="1" applyFill="1" applyBorder="1" applyAlignment="1" applyProtection="1">
      <alignment horizontal="center" vertical="center"/>
      <protection hidden="1"/>
    </xf>
    <xf numFmtId="14" fontId="53" fillId="4" borderId="4" xfId="0" applyNumberFormat="1" applyFont="1" applyFill="1" applyBorder="1" applyAlignment="1" applyProtection="1">
      <alignment horizontal="center"/>
      <protection hidden="1"/>
    </xf>
    <xf numFmtId="3" fontId="53" fillId="4" borderId="5" xfId="0" applyNumberFormat="1" applyFont="1" applyFill="1" applyBorder="1" applyProtection="1">
      <protection hidden="1"/>
    </xf>
    <xf numFmtId="3" fontId="54" fillId="4" borderId="5" xfId="0" applyNumberFormat="1" applyFont="1" applyFill="1" applyBorder="1" applyProtection="1">
      <protection hidden="1"/>
    </xf>
    <xf numFmtId="3" fontId="38" fillId="4" borderId="5" xfId="0" applyNumberFormat="1" applyFont="1" applyFill="1" applyBorder="1" applyProtection="1">
      <protection hidden="1"/>
    </xf>
    <xf numFmtId="3" fontId="54" fillId="4" borderId="2" xfId="0" applyNumberFormat="1" applyFont="1" applyFill="1" applyBorder="1" applyProtection="1">
      <protection hidden="1"/>
    </xf>
    <xf numFmtId="3" fontId="54" fillId="13" borderId="6" xfId="0" applyNumberFormat="1" applyFont="1" applyFill="1" applyBorder="1" applyProtection="1">
      <protection hidden="1"/>
    </xf>
    <xf numFmtId="3" fontId="52" fillId="0" borderId="0" xfId="0" applyNumberFormat="1" applyFont="1"/>
    <xf numFmtId="3" fontId="52" fillId="8" borderId="0" xfId="0" applyNumberFormat="1" applyFont="1" applyFill="1"/>
    <xf numFmtId="49" fontId="55" fillId="0" borderId="5" xfId="0" applyNumberFormat="1" applyFont="1" applyBorder="1" applyAlignment="1">
      <alignment horizontal="left"/>
    </xf>
    <xf numFmtId="49" fontId="56" fillId="0" borderId="5" xfId="0" applyNumberFormat="1" applyFont="1" applyBorder="1" applyAlignment="1">
      <alignment horizontal="left"/>
    </xf>
    <xf numFmtId="49" fontId="50" fillId="0" borderId="5" xfId="0" applyNumberFormat="1" applyFont="1" applyBorder="1" applyAlignment="1">
      <alignment horizontal="left"/>
    </xf>
    <xf numFmtId="168" fontId="27" fillId="0" borderId="0" xfId="0" applyNumberFormat="1" applyFont="1"/>
    <xf numFmtId="169" fontId="5" fillId="0" borderId="0" xfId="1" applyNumberFormat="1"/>
    <xf numFmtId="168" fontId="27" fillId="0" borderId="0" xfId="0" applyNumberFormat="1" applyFont="1" applyAlignment="1">
      <alignment horizontal="center" vertical="center"/>
    </xf>
    <xf numFmtId="168" fontId="27" fillId="0" borderId="0" xfId="0" applyNumberFormat="1" applyFont="1" applyAlignment="1">
      <alignment horizontal="center" vertical="center" wrapText="1"/>
    </xf>
    <xf numFmtId="49" fontId="13" fillId="9" borderId="5" xfId="0" applyNumberFormat="1" applyFont="1" applyFill="1" applyBorder="1" applyAlignment="1">
      <alignment horizontal="left"/>
    </xf>
    <xf numFmtId="49" fontId="27" fillId="9" borderId="5" xfId="0" applyNumberFormat="1" applyFont="1" applyFill="1" applyBorder="1" applyAlignment="1">
      <alignment horizontal="left"/>
    </xf>
    <xf numFmtId="3" fontId="0" fillId="23" borderId="8" xfId="0" applyNumberFormat="1" applyFill="1" applyBorder="1"/>
    <xf numFmtId="3" fontId="0" fillId="23" borderId="9" xfId="0" applyNumberFormat="1" applyFill="1" applyBorder="1"/>
    <xf numFmtId="3" fontId="0" fillId="23" borderId="0" xfId="0" applyNumberFormat="1" applyFill="1"/>
    <xf numFmtId="3" fontId="0" fillId="23" borderId="43" xfId="0" applyNumberFormat="1" applyFill="1" applyBorder="1"/>
    <xf numFmtId="3" fontId="27" fillId="23" borderId="0" xfId="0" applyNumberFormat="1" applyFont="1" applyFill="1"/>
    <xf numFmtId="3" fontId="57" fillId="0" borderId="5" xfId="0" applyNumberFormat="1" applyFont="1" applyBorder="1"/>
    <xf numFmtId="3" fontId="57" fillId="0" borderId="5" xfId="0" applyNumberFormat="1" applyFont="1" applyBorder="1" applyProtection="1">
      <protection hidden="1"/>
    </xf>
    <xf numFmtId="14" fontId="33" fillId="0" borderId="4" xfId="0" applyNumberFormat="1" applyFont="1" applyBorder="1" applyAlignment="1">
      <alignment horizontal="left" indent="3"/>
    </xf>
    <xf numFmtId="3" fontId="33" fillId="0" borderId="5" xfId="0" applyNumberFormat="1" applyFont="1" applyBorder="1"/>
    <xf numFmtId="3" fontId="31" fillId="0" borderId="5" xfId="0" applyNumberFormat="1" applyFont="1" applyBorder="1"/>
    <xf numFmtId="3" fontId="26" fillId="13" borderId="6" xfId="0" applyNumberFormat="1" applyFont="1" applyFill="1" applyBorder="1" applyProtection="1">
      <protection hidden="1"/>
    </xf>
    <xf numFmtId="168" fontId="2" fillId="0" borderId="0" xfId="0" applyNumberFormat="1" applyFont="1" applyAlignment="1">
      <alignment vertical="center"/>
    </xf>
    <xf numFmtId="170" fontId="0" fillId="0" borderId="0" xfId="0" applyNumberFormat="1"/>
    <xf numFmtId="4" fontId="0" fillId="6" borderId="10" xfId="0" applyNumberFormat="1" applyFill="1" applyBorder="1" applyAlignment="1">
      <alignment horizontal="center"/>
    </xf>
    <xf numFmtId="4" fontId="5" fillId="0" borderId="5" xfId="0" applyNumberFormat="1" applyFont="1" applyBorder="1" applyAlignment="1">
      <alignment horizontal="center"/>
    </xf>
    <xf numFmtId="4" fontId="2" fillId="0" borderId="5" xfId="0" applyNumberFormat="1" applyFont="1" applyBorder="1" applyAlignment="1">
      <alignment horizontal="center"/>
    </xf>
    <xf numFmtId="4" fontId="21" fillId="0" borderId="5" xfId="0" applyNumberFormat="1" applyFont="1" applyBorder="1" applyAlignment="1">
      <alignment horizontal="center"/>
    </xf>
    <xf numFmtId="4" fontId="25" fillId="0" borderId="5" xfId="0" applyNumberFormat="1" applyFont="1" applyBorder="1" applyAlignment="1">
      <alignment horizontal="center"/>
    </xf>
    <xf numFmtId="165" fontId="2" fillId="0" borderId="5" xfId="0" applyNumberFormat="1" applyFont="1" applyBorder="1" applyAlignment="1">
      <alignment horizontal="center" vertical="center"/>
    </xf>
    <xf numFmtId="166" fontId="26" fillId="0" borderId="2" xfId="0" applyNumberFormat="1" applyFont="1" applyBorder="1" applyAlignment="1">
      <alignment horizontal="center" vertical="center" wrapText="1"/>
    </xf>
    <xf numFmtId="0" fontId="27" fillId="0" borderId="4" xfId="0" applyFont="1" applyBorder="1" applyAlignment="1">
      <alignment horizontal="center" vertical="center" wrapText="1"/>
    </xf>
    <xf numFmtId="166" fontId="9" fillId="0" borderId="2" xfId="0" applyNumberFormat="1" applyFont="1" applyBorder="1" applyAlignment="1" applyProtection="1">
      <alignment horizontal="center" vertical="center" wrapText="1"/>
      <protection hidden="1"/>
    </xf>
    <xf numFmtId="0" fontId="0" fillId="0" borderId="4" xfId="0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10" fillId="5" borderId="2" xfId="0" applyFont="1" applyFill="1" applyBorder="1" applyAlignment="1" applyProtection="1">
      <alignment horizontal="center" vertical="center" wrapText="1"/>
      <protection hidden="1"/>
    </xf>
    <xf numFmtId="0" fontId="10" fillId="5" borderId="4" xfId="0" applyFont="1" applyFill="1" applyBorder="1" applyAlignment="1" applyProtection="1">
      <alignment horizontal="center" vertical="center" wrapText="1"/>
      <protection hidden="1"/>
    </xf>
    <xf numFmtId="0" fontId="27" fillId="19" borderId="46" xfId="0" applyFont="1" applyFill="1" applyBorder="1" applyAlignment="1">
      <alignment horizontal="center" vertical="center" wrapText="1"/>
    </xf>
    <xf numFmtId="0" fontId="27" fillId="19" borderId="47" xfId="0" applyFont="1" applyFill="1" applyBorder="1" applyAlignment="1">
      <alignment horizontal="center" vertical="center"/>
    </xf>
    <xf numFmtId="0" fontId="27" fillId="9" borderId="31" xfId="0" applyFont="1" applyFill="1" applyBorder="1" applyAlignment="1">
      <alignment horizontal="center" vertical="center" wrapText="1"/>
    </xf>
    <xf numFmtId="0" fontId="0" fillId="9" borderId="32" xfId="0" applyFill="1" applyBorder="1" applyAlignment="1">
      <alignment vertical="center" wrapText="1"/>
    </xf>
    <xf numFmtId="0" fontId="0" fillId="9" borderId="41" xfId="0" applyFill="1" applyBorder="1" applyAlignment="1">
      <alignment vertical="center" wrapText="1"/>
    </xf>
    <xf numFmtId="0" fontId="27" fillId="0" borderId="45" xfId="0" applyFont="1" applyBorder="1" applyAlignment="1">
      <alignment horizontal="center" vertical="center" wrapText="1"/>
    </xf>
    <xf numFmtId="0" fontId="27" fillId="0" borderId="41" xfId="0" applyFont="1" applyBorder="1" applyAlignment="1">
      <alignment horizontal="center" vertical="center" wrapText="1"/>
    </xf>
    <xf numFmtId="0" fontId="27" fillId="0" borderId="32" xfId="0" applyFont="1" applyBorder="1" applyAlignment="1">
      <alignment horizontal="center" vertical="center" wrapText="1"/>
    </xf>
    <xf numFmtId="0" fontId="0" fillId="0" borderId="41" xfId="0" applyBorder="1" applyAlignment="1">
      <alignment vertical="center" wrapText="1"/>
    </xf>
    <xf numFmtId="0" fontId="2" fillId="0" borderId="23" xfId="0" applyFont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27" fillId="0" borderId="31" xfId="0" applyFont="1" applyBorder="1" applyAlignment="1">
      <alignment horizontal="center" vertical="center" wrapText="1"/>
    </xf>
    <xf numFmtId="0" fontId="0" fillId="0" borderId="32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27" fillId="19" borderId="45" xfId="0" applyFont="1" applyFill="1" applyBorder="1" applyAlignment="1">
      <alignment horizontal="center" vertical="center" wrapText="1"/>
    </xf>
    <xf numFmtId="0" fontId="27" fillId="19" borderId="41" xfId="0" applyFont="1" applyFill="1" applyBorder="1" applyAlignment="1">
      <alignment horizontal="center" vertical="center"/>
    </xf>
    <xf numFmtId="0" fontId="27" fillId="9" borderId="32" xfId="0" applyFont="1" applyFill="1" applyBorder="1" applyAlignment="1">
      <alignment horizontal="center" vertical="center" wrapText="1"/>
    </xf>
    <xf numFmtId="0" fontId="0" fillId="9" borderId="41" xfId="0" applyFill="1" applyBorder="1" applyAlignment="1">
      <alignment horizontal="center" vertical="center" wrapText="1"/>
    </xf>
    <xf numFmtId="0" fontId="27" fillId="0" borderId="7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166" fontId="9" fillId="10" borderId="2" xfId="0" applyNumberFormat="1" applyFont="1" applyFill="1" applyBorder="1" applyAlignment="1">
      <alignment horizontal="center" vertical="center" wrapText="1"/>
    </xf>
    <xf numFmtId="0" fontId="51" fillId="5" borderId="2" xfId="0" applyFont="1" applyFill="1" applyBorder="1" applyAlignment="1" applyProtection="1">
      <alignment horizontal="center" vertical="center" wrapText="1"/>
      <protection hidden="1"/>
    </xf>
    <xf numFmtId="0" fontId="2" fillId="0" borderId="4" xfId="0" applyFont="1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166" fontId="33" fillId="10" borderId="2" xfId="0" applyNumberFormat="1" applyFont="1" applyFill="1" applyBorder="1" applyAlignment="1">
      <alignment horizontal="center" vertical="center" wrapText="1"/>
    </xf>
    <xf numFmtId="166" fontId="9" fillId="0" borderId="2" xfId="0" applyNumberFormat="1" applyFont="1" applyBorder="1" applyAlignment="1">
      <alignment horizontal="center" vertical="center" wrapText="1"/>
    </xf>
    <xf numFmtId="0" fontId="46" fillId="5" borderId="2" xfId="0" applyFont="1" applyFill="1" applyBorder="1" applyAlignment="1" applyProtection="1">
      <alignment horizontal="center" vertical="center" wrapText="1"/>
      <protection hidden="1"/>
    </xf>
  </cellXfs>
  <cellStyles count="9">
    <cellStyle name="Excel Built-in Comma [0] 1" xfId="7" xr:uid="{B220A4D8-00F0-4118-8325-1B45E13F4738}"/>
    <cellStyle name="Excel Built-in Comma [0] 2" xfId="8" xr:uid="{B968DA29-7A62-4323-8E45-3EBDB756A2CB}"/>
    <cellStyle name="Milliers 2" xfId="6" xr:uid="{5D8996DA-13E9-479E-80B4-9180BD2F0907}"/>
    <cellStyle name="Normal" xfId="0" builtinId="0"/>
    <cellStyle name="Normal 2" xfId="5" xr:uid="{B605D87F-CCB1-481F-A0FA-21151E7BD0F3}"/>
    <cellStyle name="Normal_q02gros" xfId="2" xr:uid="{00000000-0005-0000-0000-000006000000}"/>
    <cellStyle name="Pourcentage" xfId="1" builtinId="5"/>
    <cellStyle name="Résultat2" xfId="3" xr:uid="{00000000-0005-0000-0000-000007000000}"/>
    <cellStyle name="Sans nom1" xfId="4" xr:uid="{00000000-0005-0000-0000-000008000000}"/>
  </cellStyles>
  <dxfs count="1">
    <dxf>
      <font>
        <name val="Arial"/>
        <charset val="1"/>
      </font>
      <fill>
        <patternFill>
          <bgColor rgb="FFFFDBB6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767171"/>
      <rgbColor rgb="FF9999FF"/>
      <rgbColor rgb="FFA1467E"/>
      <rgbColor rgb="FFFFDBB6"/>
      <rgbColor rgb="FFCCFFFF"/>
      <rgbColor rgb="FF660066"/>
      <rgbColor rgb="FFFF8080"/>
      <rgbColor rgb="FF2A6099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FE7F5"/>
      <rgbColor rgb="FFCCFFCC"/>
      <rgbColor rgb="FFFFFF99"/>
      <rgbColor rgb="FFADB9CA"/>
      <rgbColor rgb="FFFF99CC"/>
      <rgbColor rgb="FFCC99FF"/>
      <rgbColor rgb="FFFFCC99"/>
      <rgbColor rgb="FF3366FF"/>
      <rgbColor rgb="FF33CCCC"/>
      <rgbColor rgb="FF99CC00"/>
      <rgbColor rgb="FFFFBF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C9211E"/>
      <rgbColor rgb="FF993366"/>
      <rgbColor rgb="FF55308D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00FF"/>
      <color rgb="FFFFFF99"/>
      <color rgb="FF00FF00"/>
      <color rgb="FF00FFFF"/>
      <color rgb="FF99FFCC"/>
      <color rgb="FFFFFF66"/>
      <color rgb="FFCCFFFF"/>
      <color rgb="FFFFCC99"/>
      <color rgb="FF66FF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20" Type="http://schemas.microsoft.com/office/2017/10/relationships/person" Target="persons/perso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kabore kabore" id="{B86A9C2D-3D53-4D68-B22D-6601E138884C}" userId="0fb57ea7f65a0f26" providerId="Windows Live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P7" dT="2024-03-23T02:11:45.00" personId="{B86A9C2D-3D53-4D68-B22D-6601E138884C}" id="{E8889AAA-50E4-40D6-91DE-D8A3E73B5188}">
    <text>Modifier l'affectation ==&gt; GO</text>
  </threadedComment>
  <threadedComment ref="AP38" dT="2024-03-22T23:46:25.64" personId="{B86A9C2D-3D53-4D68-B22D-6601E138884C}" id="{7EFB42B1-E557-4590-A4A4-D5025C7DF0AA}">
    <text>Prendre en compte le reste à dépenser lorsque la recette sera validée et saisie sur la ligne</text>
  </threadedComment>
  <threadedComment ref="AS38" dT="2024-03-22T23:46:45.28" personId="{B86A9C2D-3D53-4D68-B22D-6601E138884C}" id="{CA05E5F5-A4CC-4AB8-BC73-263B29B169AC}">
    <text>Prendre en compte le reste à dépenser lorsque la recette sera validée et saisie sur la ligne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microsoft.com/office/2017/10/relationships/threadedComment" Target="../threadedComments/threadedComment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0F1174-037A-41CB-BAB6-7C3C5AF02A00}">
  <sheetPr codeName="Feuil1">
    <pageSetUpPr fitToPage="1"/>
  </sheetPr>
  <dimension ref="A1:H26"/>
  <sheetViews>
    <sheetView showGridLines="0" tabSelected="1" zoomScale="90" zoomScaleNormal="90" workbookViewId="0">
      <selection activeCell="H5" sqref="H5"/>
    </sheetView>
  </sheetViews>
  <sheetFormatPr baseColWidth="10" defaultRowHeight="12.75"/>
  <cols>
    <col min="1" max="1" width="3.7109375" customWidth="1"/>
    <col min="2" max="2" width="22.42578125" customWidth="1"/>
    <col min="3" max="8" width="16.7109375" customWidth="1"/>
    <col min="9" max="9" width="2.140625" customWidth="1"/>
  </cols>
  <sheetData>
    <row r="1" spans="1:8">
      <c r="A1" s="112"/>
    </row>
    <row r="3" spans="1:8" ht="15.75">
      <c r="B3" s="192" t="s">
        <v>308</v>
      </c>
      <c r="C3" s="193" t="s">
        <v>475</v>
      </c>
    </row>
    <row r="4" spans="1:8">
      <c r="B4" s="160"/>
    </row>
    <row r="5" spans="1:8" s="118" customFormat="1" ht="22.5" customHeight="1">
      <c r="D5" s="190" t="s">
        <v>301</v>
      </c>
      <c r="H5" s="191">
        <f>+Budget!P6</f>
        <v>45443</v>
      </c>
    </row>
    <row r="6" spans="1:8" ht="17.25" customHeight="1">
      <c r="D6" s="112"/>
      <c r="H6" s="179"/>
    </row>
    <row r="7" spans="1:8" ht="22.5" customHeight="1">
      <c r="B7" s="181" t="s">
        <v>302</v>
      </c>
      <c r="C7" s="185">
        <f>+Budget!I44</f>
        <v>463778085.12124997</v>
      </c>
    </row>
    <row r="9" spans="1:8">
      <c r="C9" s="112"/>
    </row>
    <row r="11" spans="1:8" s="118" customFormat="1" ht="20.25" customHeight="1">
      <c r="B11" s="187" t="s">
        <v>296</v>
      </c>
      <c r="C11" s="188"/>
      <c r="D11" s="188"/>
      <c r="E11" s="188"/>
      <c r="F11" s="188"/>
      <c r="G11" s="188"/>
      <c r="H11" s="189"/>
    </row>
    <row r="12" spans="1:8" s="148" customFormat="1" ht="38.25">
      <c r="B12" s="182"/>
      <c r="C12" s="182" t="s">
        <v>293</v>
      </c>
      <c r="D12" s="182" t="s">
        <v>285</v>
      </c>
      <c r="E12" s="182" t="s">
        <v>286</v>
      </c>
      <c r="F12" s="182" t="str">
        <f>CONCATENATE("Montant total des travaux réalisés au ",DAY($H$5),"/",MONTH($H$5),"/",YEAR($H$5))</f>
        <v>Montant total des travaux réalisés au 31/5/2024</v>
      </c>
      <c r="G12" s="182" t="s">
        <v>294</v>
      </c>
      <c r="H12" s="182" t="s">
        <v>295</v>
      </c>
    </row>
    <row r="13" spans="1:8">
      <c r="B13" s="182" t="s">
        <v>300</v>
      </c>
      <c r="C13" s="185">
        <f>+Budget!J44</f>
        <v>410715020.83217645</v>
      </c>
      <c r="D13" s="185">
        <f>+Budget!L44</f>
        <v>408715020.83217651</v>
      </c>
      <c r="E13" s="185" t="e">
        <f>+Budget!#REF!</f>
        <v>#REF!</v>
      </c>
      <c r="F13" s="185" t="e">
        <f>+SUM(C13:E13)</f>
        <v>#REF!</v>
      </c>
      <c r="G13" s="185" t="e">
        <f>+C7-F13</f>
        <v>#REF!</v>
      </c>
      <c r="H13" s="185" t="e">
        <f>+F13+G13</f>
        <v>#REF!</v>
      </c>
    </row>
    <row r="16" spans="1:8" s="118" customFormat="1" ht="20.25" customHeight="1">
      <c r="B16" s="187" t="s">
        <v>297</v>
      </c>
      <c r="C16" s="188"/>
      <c r="D16" s="188"/>
      <c r="E16" s="188"/>
      <c r="F16" s="188"/>
      <c r="G16" s="188"/>
      <c r="H16" s="189"/>
    </row>
    <row r="17" spans="2:8" s="148" customFormat="1" ht="38.25">
      <c r="B17" s="182"/>
      <c r="C17" s="182" t="s">
        <v>298</v>
      </c>
      <c r="D17" s="182" t="s">
        <v>299</v>
      </c>
      <c r="E17" s="182"/>
      <c r="F17" s="182" t="str">
        <f>CONCATENATE("Montant des dépenses au ",DAY($H$5),"/",MONTH($H$5),"/",YEAR($H$5))</f>
        <v>Montant des dépenses au 31/5/2024</v>
      </c>
      <c r="G17" s="182" t="s">
        <v>292</v>
      </c>
      <c r="H17" s="182" t="s">
        <v>305</v>
      </c>
    </row>
    <row r="18" spans="2:8">
      <c r="B18" s="182" t="s">
        <v>303</v>
      </c>
      <c r="C18" s="185">
        <f>+Budget!P44</f>
        <v>2571983.0508474577</v>
      </c>
      <c r="D18" s="185">
        <f>+Budget!S44</f>
        <v>0</v>
      </c>
      <c r="E18" s="185"/>
      <c r="F18" s="185">
        <f>+SUM(C18:E18)</f>
        <v>2571983.0508474577</v>
      </c>
      <c r="G18" s="185" t="e">
        <f>+Budget!Y44</f>
        <v>#REF!</v>
      </c>
      <c r="H18" s="185" t="e">
        <f>+F18+G18-D18+G20</f>
        <v>#REF!</v>
      </c>
    </row>
    <row r="20" spans="2:8" ht="28.5" customHeight="1">
      <c r="B20" s="180"/>
      <c r="F20" s="194" t="s">
        <v>307</v>
      </c>
      <c r="G20" s="185"/>
    </row>
    <row r="23" spans="2:8" s="118" customFormat="1" ht="20.25" customHeight="1">
      <c r="B23" s="187" t="s">
        <v>8</v>
      </c>
      <c r="C23" s="188"/>
      <c r="D23" s="188"/>
      <c r="E23" s="188"/>
      <c r="F23" s="188"/>
      <c r="G23" s="188"/>
      <c r="H23" s="189"/>
    </row>
    <row r="24" spans="2:8" s="148" customFormat="1" ht="25.5">
      <c r="B24" s="182"/>
      <c r="C24"/>
      <c r="D24"/>
      <c r="E24"/>
      <c r="F24" s="182" t="str">
        <f>CONCATENATE("Marge au ",DAY($H$5),"/",MONTH($H$5),"/",YEAR($H$5))</f>
        <v>Marge au 31/5/2024</v>
      </c>
      <c r="G24" s="182" t="s">
        <v>304</v>
      </c>
      <c r="H24" s="182" t="s">
        <v>306</v>
      </c>
    </row>
    <row r="25" spans="2:8" ht="27" customHeight="1">
      <c r="B25" s="182" t="s">
        <v>8</v>
      </c>
      <c r="F25" s="185" t="e">
        <f>+F13-F18</f>
        <v>#REF!</v>
      </c>
      <c r="G25" s="185" t="e">
        <f>+G13-G18</f>
        <v>#REF!</v>
      </c>
      <c r="H25" s="185" t="e">
        <f>+H13-H18</f>
        <v>#REF!</v>
      </c>
    </row>
    <row r="26" spans="2:8" s="183" customFormat="1" ht="21.75" customHeight="1">
      <c r="B26" s="184" t="s">
        <v>9</v>
      </c>
      <c r="F26" s="186" t="str">
        <f>+IFERROR(F25/F13,"")</f>
        <v/>
      </c>
      <c r="G26" s="186" t="str">
        <f t="shared" ref="G26:H26" si="0">+IFERROR(G25/G13,"")</f>
        <v/>
      </c>
      <c r="H26" s="186" t="str">
        <f t="shared" si="0"/>
        <v/>
      </c>
    </row>
  </sheetData>
  <printOptions horizontalCentered="1"/>
  <pageMargins left="0.51181102362204722" right="0.51181102362204722" top="0.55118110236220474" bottom="0.55118110236220474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BI59"/>
  <sheetViews>
    <sheetView showZeros="0" zoomScale="70" zoomScaleNormal="70" workbookViewId="0">
      <pane xSplit="4" ySplit="6" topLeftCell="Q7" activePane="bottomRight" state="frozen"/>
      <selection activeCell="P24" sqref="P24"/>
      <selection pane="topRight" activeCell="P24" sqref="P24"/>
      <selection pane="bottomLeft" activeCell="P24" sqref="P24"/>
      <selection pane="bottomRight" activeCell="A4" sqref="A4"/>
    </sheetView>
  </sheetViews>
  <sheetFormatPr baseColWidth="10" defaultColWidth="11.5703125" defaultRowHeight="12.75" outlineLevelCol="1"/>
  <cols>
    <col min="1" max="1" width="59.7109375" customWidth="1"/>
    <col min="2" max="2" width="12.7109375" bestFit="1" customWidth="1"/>
    <col min="3" max="3" width="59.7109375" style="112" hidden="1" customWidth="1" outlineLevel="1"/>
    <col min="4" max="4" width="9.7109375" style="1" customWidth="1" collapsed="1"/>
    <col min="5" max="5" width="21.42578125" customWidth="1"/>
    <col min="6" max="6" width="16.5703125" customWidth="1"/>
    <col min="7" max="8" width="15.140625" customWidth="1"/>
    <col min="9" max="9" width="18.85546875" customWidth="1"/>
    <col min="10" max="10" width="15.85546875" customWidth="1"/>
    <col min="11" max="11" width="8.42578125" customWidth="1"/>
    <col min="12" max="14" width="15" customWidth="1"/>
    <col min="15" max="15" width="7.140625" customWidth="1"/>
    <col min="16" max="16" width="16.140625" style="331" customWidth="1"/>
    <col min="17" max="20" width="14.7109375" customWidth="1"/>
    <col min="21" max="21" width="15.85546875" bestFit="1" customWidth="1"/>
    <col min="22" max="22" width="10.85546875" customWidth="1"/>
    <col min="23" max="23" width="12.5703125" style="1" customWidth="1"/>
    <col min="24" max="24" width="4.42578125" customWidth="1"/>
    <col min="25" max="25" width="15" style="112" customWidth="1"/>
    <col min="26" max="27" width="14.7109375" customWidth="1"/>
    <col min="28" max="28" width="14.7109375" style="112" customWidth="1"/>
    <col min="29" max="31" width="14.7109375" customWidth="1"/>
    <col min="32" max="32" width="20.85546875" customWidth="1"/>
    <col min="33" max="33" width="17.28515625" customWidth="1"/>
    <col min="34" max="34" width="10.85546875" customWidth="1"/>
    <col min="35" max="35" width="55.85546875" customWidth="1"/>
    <col min="36" max="36" width="38.7109375" customWidth="1"/>
    <col min="37" max="37" width="19.5703125" customWidth="1"/>
    <col min="38" max="38" width="16" customWidth="1"/>
    <col min="39" max="42" width="15" customWidth="1"/>
    <col min="43" max="47" width="16.5703125" customWidth="1"/>
    <col min="48" max="48" width="2.28515625" customWidth="1"/>
    <col min="49" max="53" width="16.5703125" customWidth="1"/>
    <col min="54" max="54" width="2.42578125" customWidth="1"/>
    <col min="55" max="55" width="16.5703125" customWidth="1"/>
    <col min="56" max="56" width="3.85546875" customWidth="1"/>
    <col min="57" max="59" width="16.5703125" customWidth="1"/>
    <col min="60" max="60" width="99.140625" customWidth="1"/>
    <col min="61" max="104" width="10.85546875" customWidth="1"/>
  </cols>
  <sheetData>
    <row r="1" spans="1:60" ht="18">
      <c r="A1" s="2" t="s">
        <v>0</v>
      </c>
      <c r="B1" s="2"/>
      <c r="C1" s="161"/>
      <c r="D1" s="93"/>
      <c r="E1" s="3" t="s">
        <v>1</v>
      </c>
      <c r="F1" s="4">
        <v>45443</v>
      </c>
    </row>
    <row r="2" spans="1:60" ht="18">
      <c r="A2" s="2"/>
      <c r="B2" s="2"/>
      <c r="C2" s="161"/>
      <c r="D2" s="93"/>
      <c r="E2" s="3"/>
      <c r="Q2" s="112"/>
      <c r="T2" s="150"/>
    </row>
    <row r="3" spans="1:60" ht="27.75" customHeight="1">
      <c r="A3" s="2"/>
      <c r="B3" s="2"/>
      <c r="C3" s="161"/>
      <c r="D3" s="93"/>
      <c r="E3" s="133" t="s">
        <v>282</v>
      </c>
      <c r="F3" s="134"/>
      <c r="G3" s="135"/>
      <c r="H3" s="135"/>
      <c r="I3" s="136"/>
      <c r="J3" s="396" t="s">
        <v>283</v>
      </c>
      <c r="K3" s="397"/>
      <c r="L3" s="397"/>
      <c r="M3" s="397"/>
      <c r="N3" s="397"/>
      <c r="O3" s="398"/>
      <c r="U3" s="199" t="s">
        <v>334</v>
      </c>
      <c r="V3" s="200"/>
      <c r="W3" s="201"/>
      <c r="Y3" s="199" t="s">
        <v>333</v>
      </c>
      <c r="Z3" s="200"/>
      <c r="AA3" s="200"/>
      <c r="AB3" s="201"/>
      <c r="AC3" s="201"/>
      <c r="AD3" s="201"/>
      <c r="AE3" s="201"/>
    </row>
    <row r="4" spans="1:60" s="118" customFormat="1" ht="14.25" customHeight="1">
      <c r="A4" s="113"/>
      <c r="B4" s="113"/>
      <c r="C4" s="162"/>
      <c r="D4" s="114"/>
      <c r="E4" s="115" t="s">
        <v>2</v>
      </c>
      <c r="F4" s="115" t="s">
        <v>3</v>
      </c>
      <c r="G4" s="115" t="s">
        <v>376</v>
      </c>
      <c r="H4" s="115"/>
      <c r="I4" s="370" t="s">
        <v>325</v>
      </c>
      <c r="J4" s="115" t="s">
        <v>4</v>
      </c>
      <c r="K4" s="116" t="s">
        <v>6</v>
      </c>
      <c r="L4" s="372" t="s">
        <v>430</v>
      </c>
      <c r="M4" s="372" t="s">
        <v>285</v>
      </c>
      <c r="N4" s="372" t="s">
        <v>326</v>
      </c>
      <c r="O4" s="124" t="s">
        <v>9</v>
      </c>
      <c r="P4" s="332" t="s">
        <v>7</v>
      </c>
      <c r="Q4" s="406" t="s">
        <v>288</v>
      </c>
      <c r="R4" s="115"/>
      <c r="S4" s="115" t="s">
        <v>5</v>
      </c>
      <c r="T4" s="401" t="s">
        <v>327</v>
      </c>
      <c r="U4" s="117" t="s">
        <v>291</v>
      </c>
      <c r="V4" s="117" t="s">
        <v>9</v>
      </c>
      <c r="W4" s="117" t="s">
        <v>10</v>
      </c>
      <c r="Y4" s="405" t="s">
        <v>330</v>
      </c>
      <c r="Z4" s="401" t="s">
        <v>331</v>
      </c>
      <c r="AA4" s="376" t="s">
        <v>332</v>
      </c>
      <c r="AB4" s="402" t="s">
        <v>373</v>
      </c>
      <c r="AC4" s="376" t="s">
        <v>374</v>
      </c>
      <c r="AD4" s="407" t="s">
        <v>375</v>
      </c>
      <c r="AE4" s="376" t="s">
        <v>337</v>
      </c>
    </row>
    <row r="5" spans="1:60" s="118" customFormat="1" ht="57" customHeight="1">
      <c r="A5" s="119" t="s">
        <v>11</v>
      </c>
      <c r="B5" s="119"/>
      <c r="C5" s="163"/>
      <c r="D5" s="120"/>
      <c r="E5" s="121" t="s">
        <v>12</v>
      </c>
      <c r="F5" s="121" t="s">
        <v>13</v>
      </c>
      <c r="G5" s="121" t="s">
        <v>377</v>
      </c>
      <c r="H5" s="238" t="s">
        <v>378</v>
      </c>
      <c r="I5" s="371"/>
      <c r="J5" s="121" t="s">
        <v>284</v>
      </c>
      <c r="K5" s="122" t="s">
        <v>281</v>
      </c>
      <c r="L5" s="373"/>
      <c r="M5" s="373"/>
      <c r="N5" s="373"/>
      <c r="O5" s="125" t="s">
        <v>287</v>
      </c>
      <c r="P5" s="333" t="s">
        <v>14</v>
      </c>
      <c r="Q5" s="373"/>
      <c r="R5" s="238" t="s">
        <v>340</v>
      </c>
      <c r="S5" s="121" t="s">
        <v>15</v>
      </c>
      <c r="T5" s="373"/>
      <c r="U5" s="196" t="s">
        <v>328</v>
      </c>
      <c r="V5" s="196" t="s">
        <v>329</v>
      </c>
      <c r="W5" s="197" t="s">
        <v>336</v>
      </c>
      <c r="Y5" s="403"/>
      <c r="Z5" s="373"/>
      <c r="AA5" s="373"/>
      <c r="AB5" s="403"/>
      <c r="AC5" s="373"/>
      <c r="AD5" s="373"/>
      <c r="AE5" s="377"/>
    </row>
    <row r="6" spans="1:60" ht="15">
      <c r="A6" s="6" t="s">
        <v>315</v>
      </c>
      <c r="B6" s="6"/>
      <c r="C6" s="164"/>
      <c r="D6" s="5"/>
      <c r="E6" s="225">
        <f>495+11+713</f>
        <v>1219</v>
      </c>
      <c r="F6" s="7"/>
      <c r="G6" s="7"/>
      <c r="H6" s="7"/>
      <c r="I6" s="104"/>
      <c r="J6" s="123">
        <v>45443</v>
      </c>
      <c r="K6" s="108"/>
      <c r="L6" s="309" t="s">
        <v>309</v>
      </c>
      <c r="M6" s="108"/>
      <c r="N6" s="123">
        <v>45443</v>
      </c>
      <c r="O6" s="129"/>
      <c r="P6" s="334">
        <f>+F1</f>
        <v>45443</v>
      </c>
      <c r="Q6" s="8"/>
      <c r="R6" s="8"/>
      <c r="S6" s="8"/>
      <c r="T6" s="8">
        <f>+F1</f>
        <v>45443</v>
      </c>
      <c r="U6" s="145">
        <f>+T6</f>
        <v>45443</v>
      </c>
      <c r="V6" s="9"/>
      <c r="W6" s="10"/>
      <c r="Y6" s="358"/>
      <c r="Z6" s="220" t="s">
        <v>335</v>
      </c>
      <c r="AA6" s="8"/>
      <c r="AB6" s="320"/>
      <c r="AC6" s="282"/>
      <c r="AD6" s="282"/>
      <c r="AE6" s="224"/>
    </row>
    <row r="7" spans="1:60" ht="16.5" customHeight="1">
      <c r="A7" s="11" t="s">
        <v>16</v>
      </c>
      <c r="B7" s="11"/>
      <c r="C7" s="165" t="s">
        <v>120</v>
      </c>
      <c r="D7" s="94" t="s">
        <v>280</v>
      </c>
      <c r="E7" s="13"/>
      <c r="F7" s="13"/>
      <c r="G7" s="13"/>
      <c r="H7" s="13"/>
      <c r="I7" s="105">
        <f t="shared" ref="I7:I18" si="0">IF(D7="S/Total",SUM(E7:H7),"")</f>
        <v>0</v>
      </c>
      <c r="J7" s="105"/>
      <c r="K7" s="109" t="str">
        <f>+IF(AND(D7="S/Total",I7&lt;&gt;0),J7/I7,"")</f>
        <v/>
      </c>
      <c r="L7" s="126"/>
      <c r="M7" s="126"/>
      <c r="N7" s="126"/>
      <c r="O7" s="130"/>
      <c r="P7" s="335">
        <f>SUMIFS(Saisie!$G$20:$G$2493,Saisie!$J$20:$J$2493,Listes!$A$1)</f>
        <v>0</v>
      </c>
      <c r="Q7" s="13"/>
      <c r="R7" s="13"/>
      <c r="S7" s="13"/>
      <c r="T7" s="13">
        <f>+SUM(P7:S7)</f>
        <v>0</v>
      </c>
      <c r="U7" s="14">
        <f t="shared" ref="U7:U13" si="1">+IF(D7="S/Total",N7-T7,"")</f>
        <v>0</v>
      </c>
      <c r="V7" s="15" t="str">
        <f t="shared" ref="V7:V20" si="2">+IF(AND(D7="S/Total",N7&lt;&gt;0),U7/N7,"")</f>
        <v/>
      </c>
      <c r="W7" s="16">
        <f>IF($E$6&gt;0,P7/$E$6,"")</f>
        <v>0</v>
      </c>
      <c r="Y7" s="359" t="e">
        <f>SUMIFS(#REF!,#REF!,C7)</f>
        <v>#REF!</v>
      </c>
      <c r="Z7" s="221" t="e">
        <f>+T7+Y7</f>
        <v>#REF!</v>
      </c>
      <c r="AA7" s="14" t="e">
        <f>+IF(D7="S/Total",I7-Z7,"")</f>
        <v>#REF!</v>
      </c>
      <c r="AB7" s="321" t="str">
        <f>+IF(AND(D7="S/Total",I7&lt;&gt;0),AA7/I7,"")</f>
        <v/>
      </c>
      <c r="AC7" s="283"/>
      <c r="AD7" s="283"/>
      <c r="AE7" s="16" t="str">
        <f>IF($AE$6&gt;0,Z7/$AE$6,"")</f>
        <v/>
      </c>
    </row>
    <row r="8" spans="1:60" ht="15.75" customHeight="1">
      <c r="A8" s="11" t="s">
        <v>17</v>
      </c>
      <c r="B8" s="11" t="s">
        <v>380</v>
      </c>
      <c r="C8" s="165" t="s">
        <v>66</v>
      </c>
      <c r="D8" s="94" t="s">
        <v>280</v>
      </c>
      <c r="E8" s="13">
        <v>17800000</v>
      </c>
      <c r="F8" s="13">
        <f>E8/E$44*F$44</f>
        <v>-231227.29825929401</v>
      </c>
      <c r="G8" s="13"/>
      <c r="H8" s="13">
        <f>+SUMIF('Décompte Travaux'!B:B,B8,'Décompte Travaux'!E:E)</f>
        <v>0</v>
      </c>
      <c r="I8" s="105">
        <f t="shared" si="0"/>
        <v>17568772.701740704</v>
      </c>
      <c r="J8" s="105">
        <v>16251535.86636306</v>
      </c>
      <c r="K8" s="109">
        <f t="shared" ref="K8:K43" si="3">+IF(AND(D8="S/Total",I8&lt;&gt;0),J8/I8,"")</f>
        <v>0.92502396964546452</v>
      </c>
      <c r="L8" s="126">
        <f>+SUMIF('Décompte Travaux'!B:B,B8,'Décompte Travaux'!J:J)</f>
        <v>16251535.866363097</v>
      </c>
      <c r="M8" s="126">
        <f>+N8-L8</f>
        <v>-3.7252902984619141E-8</v>
      </c>
      <c r="N8" s="126">
        <f>+SUMIF('Décompte Travaux'!B:B,B8,'Décompte Travaux'!R:R)</f>
        <v>16251535.86636306</v>
      </c>
      <c r="O8" s="130">
        <f>+IFERROR(N8/I8,"")</f>
        <v>0.92502396964546452</v>
      </c>
      <c r="P8" s="336">
        <f>SUMIFS(Saisie!$G$20:$G$2493,Saisie!$J$20:$J$2493,Listes!$B$1)</f>
        <v>122000</v>
      </c>
      <c r="Q8" s="13"/>
      <c r="R8" s="13"/>
      <c r="S8" s="13"/>
      <c r="T8" s="105">
        <f t="shared" ref="T8:T43" si="4">+SUM(P8:S8)</f>
        <v>122000</v>
      </c>
      <c r="U8" s="325">
        <f>+IF(D8="S/Total",N8-T8,"")</f>
        <v>16129535.86636306</v>
      </c>
      <c r="V8" s="327">
        <f>+IF(AND(D8="S/Total",N8&lt;&gt;0),U8/N8,"")</f>
        <v>0.9924930172136831</v>
      </c>
      <c r="W8" s="328">
        <f>IF($E$6&gt;0,P8/$E$6,"")</f>
        <v>100.08203445447087</v>
      </c>
      <c r="Y8" s="105">
        <f>IFERROR(VLOOKUP(B8,#REF!,18,0),0)</f>
        <v>0</v>
      </c>
      <c r="Z8" s="126">
        <f>+T8+Y8</f>
        <v>122000</v>
      </c>
      <c r="AA8" s="325">
        <f>+IF(D8="S/Total",I8-Z8,"")</f>
        <v>17446772.701740704</v>
      </c>
      <c r="AB8" s="327">
        <f>+IF(AND(D8="S/Total",I8&lt;&gt;0),AA8/I8,"")</f>
        <v>0.99305586098294096</v>
      </c>
      <c r="AC8" s="283"/>
      <c r="AD8" s="283"/>
      <c r="AE8" s="16" t="str">
        <f>IF($AE$6&gt;0,Z8/$AE$6,"")</f>
        <v/>
      </c>
      <c r="AF8">
        <f>SUMIFS(Saisie!$O$20:$O$2493,Saisie!$J$20:$J$2493,Listes!$B$1)</f>
        <v>0</v>
      </c>
    </row>
    <row r="9" spans="1:60">
      <c r="A9" s="17" t="s">
        <v>18</v>
      </c>
      <c r="B9" s="17"/>
      <c r="C9" s="166"/>
      <c r="D9" s="95"/>
      <c r="E9" s="18">
        <v>5000000</v>
      </c>
      <c r="F9" s="18"/>
      <c r="G9" s="18"/>
      <c r="H9" s="18"/>
      <c r="I9" s="106" t="str">
        <f t="shared" si="0"/>
        <v/>
      </c>
      <c r="J9" s="106"/>
      <c r="K9" s="110" t="str">
        <f t="shared" si="3"/>
        <v/>
      </c>
      <c r="L9" s="127"/>
      <c r="M9" s="127"/>
      <c r="N9" s="127"/>
      <c r="O9" s="131"/>
      <c r="P9" s="337">
        <f>SUMIFS(Saisie!$G$20:$G$2493,Saisie!$K$20:$K$2493,"chef chant., stagiaire, adjoint")+SUMIFS(Saisie!$G$20:$G$2493,Saisie!$K$20:$K$2493,"gardien, magasinier")</f>
        <v>15000</v>
      </c>
      <c r="Q9" s="18"/>
      <c r="R9" s="18"/>
      <c r="S9" s="18"/>
      <c r="T9" s="18">
        <f t="shared" si="4"/>
        <v>15000</v>
      </c>
      <c r="U9" s="19" t="str">
        <f t="shared" si="1"/>
        <v/>
      </c>
      <c r="V9" s="20" t="str">
        <f t="shared" si="2"/>
        <v/>
      </c>
      <c r="W9" s="21"/>
      <c r="Y9" s="360"/>
      <c r="Z9" s="222"/>
      <c r="AA9" s="19"/>
      <c r="AB9" s="322"/>
      <c r="AC9" s="284"/>
      <c r="AD9" s="284"/>
      <c r="AE9" s="21"/>
    </row>
    <row r="10" spans="1:60">
      <c r="A10" s="17"/>
      <c r="B10" s="17"/>
      <c r="C10" s="166"/>
      <c r="D10" s="95"/>
      <c r="E10" s="18"/>
      <c r="F10" s="18"/>
      <c r="G10" s="18"/>
      <c r="H10" s="18"/>
      <c r="I10" s="106" t="str">
        <f t="shared" si="0"/>
        <v/>
      </c>
      <c r="J10" s="106"/>
      <c r="K10" s="110" t="str">
        <f t="shared" si="3"/>
        <v/>
      </c>
      <c r="L10" s="127"/>
      <c r="M10" s="127"/>
      <c r="N10" s="127"/>
      <c r="O10" s="131"/>
      <c r="P10" s="337"/>
      <c r="Q10" s="18"/>
      <c r="R10" s="18"/>
      <c r="S10" s="18"/>
      <c r="T10" s="18">
        <f t="shared" si="4"/>
        <v>0</v>
      </c>
      <c r="U10" s="19" t="str">
        <f t="shared" si="1"/>
        <v/>
      </c>
      <c r="V10" s="20" t="str">
        <f t="shared" si="2"/>
        <v/>
      </c>
      <c r="W10" s="21"/>
      <c r="Y10" s="360"/>
      <c r="Z10" s="222"/>
      <c r="AA10" s="19"/>
      <c r="AB10" s="322"/>
      <c r="AC10" s="284"/>
      <c r="AD10" s="284"/>
      <c r="AE10" s="21"/>
    </row>
    <row r="11" spans="1:60" ht="16.5" customHeight="1">
      <c r="A11" s="11" t="s">
        <v>19</v>
      </c>
      <c r="B11" s="11" t="s">
        <v>382</v>
      </c>
      <c r="C11" s="165" t="s">
        <v>69</v>
      </c>
      <c r="D11" s="94" t="s">
        <v>280</v>
      </c>
      <c r="E11" s="13">
        <f>20112340+10100000</f>
        <v>30212340</v>
      </c>
      <c r="F11" s="13">
        <f>E11/E$44*F$44</f>
        <v>-392467.28945456172</v>
      </c>
      <c r="G11" s="13"/>
      <c r="H11" s="13">
        <f>+SUMIF('Décompte Travaux'!B:B,B11,'Décompte Travaux'!E:E)</f>
        <v>0</v>
      </c>
      <c r="I11" s="105">
        <f t="shared" si="0"/>
        <v>29819872.710545439</v>
      </c>
      <c r="J11" s="105">
        <v>24278562.033681639</v>
      </c>
      <c r="K11" s="109">
        <f t="shared" si="3"/>
        <v>0.81417389904202431</v>
      </c>
      <c r="L11" s="126">
        <f>+SUMIF('Décompte Travaux'!B:B,B11,'Décompte Travaux'!J:J)</f>
        <v>24278562.033681639</v>
      </c>
      <c r="M11" s="126">
        <f>+N11-L11</f>
        <v>0</v>
      </c>
      <c r="N11" s="126">
        <f>+SUMIF('Décompte Travaux'!B:B,B11,'Décompte Travaux'!R:R)</f>
        <v>24278562.033681639</v>
      </c>
      <c r="O11" s="130">
        <f>+IFERROR(N11/I11,"")</f>
        <v>0.81417389904202431</v>
      </c>
      <c r="P11" s="336">
        <f>SUMIFS(Saisie!$G$20:$G$2493,Saisie!$J$20:$J$2493,Listes!$C$1)</f>
        <v>1080000</v>
      </c>
      <c r="Q11" s="13"/>
      <c r="R11" s="13"/>
      <c r="S11" s="13"/>
      <c r="T11" s="105">
        <f t="shared" si="4"/>
        <v>1080000</v>
      </c>
      <c r="U11" s="325">
        <f>+IF(D11="S/Total",N11-T11,"")</f>
        <v>23198562.033681639</v>
      </c>
      <c r="V11" s="327">
        <f t="shared" si="2"/>
        <v>0.95551631111835555</v>
      </c>
      <c r="W11" s="328">
        <f>IF($E$6&gt;0,P11/$E$6,"")</f>
        <v>885.97210828547986</v>
      </c>
      <c r="Y11" s="105">
        <f>IFERROR(VLOOKUP(B11,#REF!,18,0),0)</f>
        <v>0</v>
      </c>
      <c r="Z11" s="126">
        <f t="shared" ref="Z11:Z13" si="5">+T11+Y11</f>
        <v>1080000</v>
      </c>
      <c r="AA11" s="325">
        <f>+IF(D11="S/Total",I11-Z11,"")</f>
        <v>28739872.710545439</v>
      </c>
      <c r="AB11" s="327">
        <f>+IF(AND(D11="S/Total",I11&lt;&gt;0),AA11/I11,"")</f>
        <v>0.9637825415794592</v>
      </c>
      <c r="AC11" s="283"/>
      <c r="AD11" s="283"/>
      <c r="AE11" s="16" t="str">
        <f>IF($AE$6&gt;0,Z11/$AE$6,"")</f>
        <v/>
      </c>
      <c r="AF11">
        <f>SUMIFS(Saisie!$O$20:$O$2493,Saisie!$J$20:$J$2493,Listes!$B$1)</f>
        <v>0</v>
      </c>
    </row>
    <row r="12" spans="1:60" ht="16.5" customHeight="1">
      <c r="A12" s="11" t="s">
        <v>20</v>
      </c>
      <c r="B12" s="11"/>
      <c r="C12" s="165" t="s">
        <v>138</v>
      </c>
      <c r="D12" s="94" t="s">
        <v>280</v>
      </c>
      <c r="E12" s="13"/>
      <c r="F12" s="13"/>
      <c r="G12" s="13"/>
      <c r="H12" s="13"/>
      <c r="I12" s="105">
        <f t="shared" si="0"/>
        <v>0</v>
      </c>
      <c r="J12" s="105"/>
      <c r="K12" s="109" t="str">
        <f t="shared" si="3"/>
        <v/>
      </c>
      <c r="L12" s="126"/>
      <c r="M12" s="126"/>
      <c r="N12" s="126"/>
      <c r="O12" s="130"/>
      <c r="P12" s="335">
        <f>SUMIFS(Saisie!$G$20:$G$2493,Saisie!$J$20:$J$2493,Listes!$D$1)</f>
        <v>0</v>
      </c>
      <c r="Q12" s="13"/>
      <c r="R12" s="13"/>
      <c r="S12" s="13"/>
      <c r="T12" s="13">
        <f t="shared" si="4"/>
        <v>0</v>
      </c>
      <c r="U12" s="14">
        <f t="shared" si="1"/>
        <v>0</v>
      </c>
      <c r="V12" s="15" t="str">
        <f t="shared" si="2"/>
        <v/>
      </c>
      <c r="W12" s="16">
        <f t="shared" ref="W12" si="6">IF($E$6&gt;0,P12/$E$6)</f>
        <v>0</v>
      </c>
      <c r="Y12" s="359" t="e">
        <f>SUMIFS(#REF!,#REF!,C12)</f>
        <v>#REF!</v>
      </c>
      <c r="Z12" s="221" t="e">
        <f t="shared" si="5"/>
        <v>#REF!</v>
      </c>
      <c r="AA12" s="14" t="e">
        <f>+IF(D12="S/Total",I12-Z12,"")</f>
        <v>#REF!</v>
      </c>
      <c r="AB12" s="321" t="str">
        <f>+IF(AND(D12="S/Total",I12&lt;&gt;0),AA12/I12,"")</f>
        <v/>
      </c>
      <c r="AC12" s="283"/>
      <c r="AD12" s="283"/>
      <c r="AE12" s="16"/>
    </row>
    <row r="13" spans="1:60" ht="15">
      <c r="A13" s="22" t="s">
        <v>21</v>
      </c>
      <c r="B13" s="11" t="s">
        <v>384</v>
      </c>
      <c r="C13" s="165" t="s">
        <v>71</v>
      </c>
      <c r="D13" s="94" t="s">
        <v>280</v>
      </c>
      <c r="E13" s="23">
        <v>256544870.12125</v>
      </c>
      <c r="F13" s="23">
        <f>E13/E$44*F$44</f>
        <v>-3332594.2247425904</v>
      </c>
      <c r="G13" s="23">
        <f>17510000+1068000</f>
        <v>18578000</v>
      </c>
      <c r="H13" s="23">
        <f>+SUMIF('Décompte Travaux'!B:B,B13,'Décompte Travaux'!E:E)</f>
        <v>0</v>
      </c>
      <c r="I13" s="107">
        <f t="shared" si="0"/>
        <v>271790275.89650738</v>
      </c>
      <c r="J13" s="107">
        <v>270072609.77511615</v>
      </c>
      <c r="K13" s="111">
        <f t="shared" si="3"/>
        <v>0.9936801781604383</v>
      </c>
      <c r="L13" s="128">
        <f>+SUMIF('Décompte Travaux'!B:B,B13,'Décompte Travaux'!J:J)</f>
        <v>270072609.77511615</v>
      </c>
      <c r="M13" s="128">
        <f>+N13-L13</f>
        <v>0</v>
      </c>
      <c r="N13" s="128">
        <f>+SUMIF('Décompte Travaux'!B:B,B13,'Décompte Travaux'!R:R)</f>
        <v>270072609.77511615</v>
      </c>
      <c r="O13" s="132">
        <f>+IFERROR(N13/I13,"")</f>
        <v>0.9936801781604383</v>
      </c>
      <c r="P13" s="338">
        <f>SUMIFS(Saisie!$G$20:$G$2493,Saisie!$J$20:$J$2493,Listes!$E$1)</f>
        <v>1369983.0508474577</v>
      </c>
      <c r="Q13" s="107">
        <f>+SUM(Q14:Q20)</f>
        <v>0</v>
      </c>
      <c r="R13" s="23"/>
      <c r="S13" s="23"/>
      <c r="T13" s="107">
        <f t="shared" si="4"/>
        <v>1369983.0508474577</v>
      </c>
      <c r="U13" s="326">
        <f t="shared" si="1"/>
        <v>268702626.72426867</v>
      </c>
      <c r="V13" s="329">
        <f t="shared" si="2"/>
        <v>0.9949273528626682</v>
      </c>
      <c r="W13" s="330">
        <f>IF($E$6&gt;0,P13/$E$6,"")</f>
        <v>1123.8581221062</v>
      </c>
      <c r="X13" s="153"/>
      <c r="Y13" s="107" t="e">
        <f>VLOOKUP(B13,#REF!,18,0)</f>
        <v>#REF!</v>
      </c>
      <c r="Z13" s="128" t="e">
        <f t="shared" si="5"/>
        <v>#REF!</v>
      </c>
      <c r="AA13" s="326" t="e">
        <f>+IF(D13="S/Total",I13-Z13,"")</f>
        <v>#REF!</v>
      </c>
      <c r="AB13" s="329" t="e">
        <f>+IF(AND(D13="S/Total",I13&lt;&gt;0),AA13/I13,"")</f>
        <v>#REF!</v>
      </c>
      <c r="AC13" s="285"/>
      <c r="AD13" s="285"/>
      <c r="AE13" s="24" t="str">
        <f t="shared" ref="AE13:AE20" si="7">IF($AE$6&gt;0,Z13/$AE$6,"")</f>
        <v/>
      </c>
      <c r="AF13">
        <f>SUMIFS(Saisie!$O$20:$O$2493,Saisie!$J$20:$J$2493,Listes!$B$1)</f>
        <v>0</v>
      </c>
      <c r="AG13" s="89"/>
    </row>
    <row r="14" spans="1:60" ht="15">
      <c r="A14" s="152" t="s">
        <v>22</v>
      </c>
      <c r="B14" s="152"/>
      <c r="C14" s="167"/>
      <c r="D14" s="96"/>
      <c r="E14" s="18">
        <v>6563746</v>
      </c>
      <c r="F14" s="18"/>
      <c r="G14" s="13"/>
      <c r="H14" s="13"/>
      <c r="I14" s="105" t="str">
        <f t="shared" si="0"/>
        <v/>
      </c>
      <c r="J14" s="106"/>
      <c r="K14" s="110" t="str">
        <f t="shared" si="3"/>
        <v/>
      </c>
      <c r="L14" s="127"/>
      <c r="M14" s="127"/>
      <c r="N14" s="127"/>
      <c r="O14" s="149"/>
      <c r="P14" s="337">
        <f>SUMIFS(Saisie!$G$20:$G$2493,Saisie!$K$20:$K$2493,"agglos, hourdis")</f>
        <v>0</v>
      </c>
      <c r="Q14" s="18"/>
      <c r="R14" s="18"/>
      <c r="S14" s="18"/>
      <c r="T14" s="18">
        <f t="shared" si="4"/>
        <v>0</v>
      </c>
      <c r="U14" s="146"/>
      <c r="V14" s="20" t="str">
        <f t="shared" si="2"/>
        <v/>
      </c>
      <c r="W14" s="21">
        <f t="shared" ref="W14:W19" si="8">IF($E$6&gt;0,P14/$E$6,"")</f>
        <v>0</v>
      </c>
      <c r="X14" s="112"/>
      <c r="Y14" s="360"/>
      <c r="Z14" s="223"/>
      <c r="AA14" s="146"/>
      <c r="AB14" s="322"/>
      <c r="AC14" s="284"/>
      <c r="AD14" s="284"/>
      <c r="AE14" s="21" t="str">
        <f t="shared" si="7"/>
        <v/>
      </c>
      <c r="AF14" s="92"/>
      <c r="AG14" s="92"/>
      <c r="AJ14" s="112"/>
      <c r="AK14" s="112"/>
      <c r="AL14" s="112"/>
      <c r="AM14" s="112"/>
      <c r="AN14" s="112"/>
      <c r="AO14" s="112"/>
      <c r="AP14" s="112"/>
    </row>
    <row r="15" spans="1:60">
      <c r="A15" s="143" t="s">
        <v>289</v>
      </c>
      <c r="B15" s="143"/>
      <c r="C15" s="168"/>
      <c r="D15" s="95"/>
      <c r="E15" s="18">
        <v>66742615</v>
      </c>
      <c r="F15" s="18"/>
      <c r="G15" s="18"/>
      <c r="H15" s="18"/>
      <c r="I15" s="106" t="str">
        <f t="shared" si="0"/>
        <v/>
      </c>
      <c r="J15" s="106"/>
      <c r="K15" s="110" t="str">
        <f t="shared" si="3"/>
        <v/>
      </c>
      <c r="L15" s="127"/>
      <c r="M15" s="127"/>
      <c r="N15" s="127"/>
      <c r="O15" s="149"/>
      <c r="P15" s="337">
        <f>SUMIFS(Saisie!$G$20:$G$2493,Saisie!$K$20:$K$2493,"béton prêt")</f>
        <v>0</v>
      </c>
      <c r="Q15" s="147"/>
      <c r="R15" s="18"/>
      <c r="S15" s="18"/>
      <c r="T15" s="18">
        <f t="shared" si="4"/>
        <v>0</v>
      </c>
      <c r="U15" s="146"/>
      <c r="V15" s="20" t="str">
        <f t="shared" si="2"/>
        <v/>
      </c>
      <c r="W15" s="21">
        <f t="shared" si="8"/>
        <v>0</v>
      </c>
      <c r="X15" s="112"/>
      <c r="Y15" s="360"/>
      <c r="Z15" s="223"/>
      <c r="AA15" s="146"/>
      <c r="AB15" s="322"/>
      <c r="AC15" s="284"/>
      <c r="AD15" s="284"/>
      <c r="AE15" s="21" t="str">
        <f t="shared" si="7"/>
        <v/>
      </c>
      <c r="AQ15" s="112"/>
      <c r="AR15" s="112"/>
      <c r="AS15" s="112"/>
      <c r="AT15" s="112"/>
      <c r="AU15" s="112"/>
      <c r="AW15" s="112"/>
      <c r="AX15" s="112"/>
      <c r="AY15" s="112"/>
      <c r="AZ15" s="112"/>
      <c r="BA15" s="112"/>
      <c r="BC15" s="112"/>
      <c r="BE15" s="112"/>
      <c r="BF15" s="112"/>
      <c r="BG15" s="112"/>
      <c r="BH15" s="112"/>
    </row>
    <row r="16" spans="1:60">
      <c r="A16" s="143" t="s">
        <v>23</v>
      </c>
      <c r="B16" s="143"/>
      <c r="C16" s="168"/>
      <c r="D16" s="96"/>
      <c r="E16" s="18">
        <f>1730000+120000</f>
        <v>1850000</v>
      </c>
      <c r="F16" s="18"/>
      <c r="G16" s="18"/>
      <c r="H16" s="18"/>
      <c r="I16" s="106" t="str">
        <f t="shared" si="0"/>
        <v/>
      </c>
      <c r="J16" s="106"/>
      <c r="K16" s="110" t="str">
        <f t="shared" si="3"/>
        <v/>
      </c>
      <c r="L16" s="127"/>
      <c r="M16" s="127"/>
      <c r="N16" s="127"/>
      <c r="O16" s="149"/>
      <c r="P16" s="337">
        <f>SUMIFS(Saisie!$G$20:$G$2493,Saisie!$K$20:$K$2493,"gravier, sable")</f>
        <v>0</v>
      </c>
      <c r="Q16" s="18"/>
      <c r="R16" s="18"/>
      <c r="S16" s="18"/>
      <c r="T16" s="18">
        <f t="shared" si="4"/>
        <v>0</v>
      </c>
      <c r="U16" s="146"/>
      <c r="V16" s="20" t="str">
        <f t="shared" si="2"/>
        <v/>
      </c>
      <c r="W16" s="21">
        <f t="shared" si="8"/>
        <v>0</v>
      </c>
      <c r="X16" s="112"/>
      <c r="Y16" s="360"/>
      <c r="Z16" s="223"/>
      <c r="AA16" s="146"/>
      <c r="AB16" s="322"/>
      <c r="AC16" s="284"/>
      <c r="AD16" s="284"/>
      <c r="AE16" s="21" t="str">
        <f t="shared" si="7"/>
        <v/>
      </c>
      <c r="AJ16" s="90"/>
      <c r="AK16" s="90"/>
      <c r="AL16" s="90"/>
      <c r="AM16" s="90"/>
      <c r="AN16" s="90"/>
      <c r="AO16" s="90"/>
      <c r="AP16" s="90"/>
    </row>
    <row r="17" spans="1:61">
      <c r="A17" s="143" t="s">
        <v>24</v>
      </c>
      <c r="B17" s="143"/>
      <c r="C17" s="168"/>
      <c r="D17" s="96"/>
      <c r="E17" s="18">
        <f>5630000+135000</f>
        <v>5765000</v>
      </c>
      <c r="F17" s="18"/>
      <c r="G17" s="18"/>
      <c r="H17" s="18"/>
      <c r="I17" s="106" t="str">
        <f t="shared" si="0"/>
        <v/>
      </c>
      <c r="J17" s="106"/>
      <c r="K17" s="110" t="str">
        <f t="shared" si="3"/>
        <v/>
      </c>
      <c r="L17" s="127"/>
      <c r="M17" s="127"/>
      <c r="N17" s="127"/>
      <c r="O17" s="149"/>
      <c r="P17" s="337">
        <f>SUMIFS(Saisie!$G$20:$G$2493,Saisie!$K$20:$K$2493,"ciment, sikalite")</f>
        <v>158203.38983050847</v>
      </c>
      <c r="Q17" s="18"/>
      <c r="R17" s="18"/>
      <c r="S17" s="18"/>
      <c r="T17" s="18">
        <f t="shared" si="4"/>
        <v>158203.38983050847</v>
      </c>
      <c r="U17" s="146"/>
      <c r="V17" s="20" t="str">
        <f t="shared" si="2"/>
        <v/>
      </c>
      <c r="W17" s="21">
        <f t="shared" si="8"/>
        <v>129.78128780189374</v>
      </c>
      <c r="X17" s="112"/>
      <c r="Y17" s="360"/>
      <c r="Z17" s="223"/>
      <c r="AA17" s="146"/>
      <c r="AB17" s="322"/>
      <c r="AC17" s="284"/>
      <c r="AD17" s="284"/>
      <c r="AE17" s="21" t="str">
        <f t="shared" si="7"/>
        <v/>
      </c>
      <c r="AJ17" s="90"/>
      <c r="AK17" s="90"/>
    </row>
    <row r="18" spans="1:61" ht="13.5" thickBot="1">
      <c r="A18" s="143" t="s">
        <v>27</v>
      </c>
      <c r="B18" s="143"/>
      <c r="C18" s="168"/>
      <c r="D18" s="95"/>
      <c r="E18" s="18"/>
      <c r="F18" s="18"/>
      <c r="G18" s="18"/>
      <c r="H18" s="18"/>
      <c r="I18" s="106" t="str">
        <f t="shared" si="0"/>
        <v/>
      </c>
      <c r="J18" s="106"/>
      <c r="K18" s="110" t="str">
        <f>+IF(AND(D18="S/Total",I18&lt;&gt;0),J18/I18,"")</f>
        <v/>
      </c>
      <c r="L18" s="127"/>
      <c r="M18" s="127"/>
      <c r="N18" s="127"/>
      <c r="O18" s="149"/>
      <c r="P18" s="337">
        <f>SUMIFS(Saisie!$G$20:$G$2493,Saisie!$K$20:$K$2493,"maçons, manoeuvres")</f>
        <v>0</v>
      </c>
      <c r="Q18" s="147"/>
      <c r="R18" s="18"/>
      <c r="S18" s="18"/>
      <c r="T18" s="18">
        <f t="shared" si="4"/>
        <v>0</v>
      </c>
      <c r="U18" s="146"/>
      <c r="V18" s="20" t="str">
        <f t="shared" si="2"/>
        <v/>
      </c>
      <c r="W18" s="21">
        <f t="shared" si="8"/>
        <v>0</v>
      </c>
      <c r="X18" s="90"/>
      <c r="Y18" s="360"/>
      <c r="Z18" s="223"/>
      <c r="AA18" s="146"/>
      <c r="AB18" s="322"/>
      <c r="AC18" s="284"/>
      <c r="AD18" s="284"/>
      <c r="AE18" s="21" t="str">
        <f t="shared" si="7"/>
        <v/>
      </c>
    </row>
    <row r="19" spans="1:61" ht="13.5" thickBot="1">
      <c r="A19" s="151" t="s">
        <v>25</v>
      </c>
      <c r="B19" s="151"/>
      <c r="C19" s="169"/>
      <c r="D19" s="95"/>
      <c r="E19" s="18">
        <v>97530000</v>
      </c>
      <c r="F19" s="18"/>
      <c r="G19" s="18"/>
      <c r="H19" s="18"/>
      <c r="I19" s="106"/>
      <c r="J19" s="106"/>
      <c r="K19" s="110" t="str">
        <f t="shared" si="3"/>
        <v/>
      </c>
      <c r="L19" s="127"/>
      <c r="M19" s="127"/>
      <c r="N19" s="127"/>
      <c r="O19" s="149"/>
      <c r="P19" s="337">
        <f>SUMIFS(Saisie!$G$20:$G$2493,Saisie!$K$20:$K$2493,"fer à béton")+SUMIFS(Saisie!$G$20:$G$2493,Saisie!$K$20:$K$2493,"ferrailleurs et aides")</f>
        <v>1156779.6610169492</v>
      </c>
      <c r="Q19" s="18"/>
      <c r="R19" s="18"/>
      <c r="S19" s="18"/>
      <c r="T19" s="18">
        <f t="shared" si="4"/>
        <v>1156779.6610169492</v>
      </c>
      <c r="U19" s="146"/>
      <c r="V19" s="20" t="str">
        <f t="shared" si="2"/>
        <v/>
      </c>
      <c r="W19" s="21">
        <f t="shared" si="8"/>
        <v>948.95788434532335</v>
      </c>
      <c r="X19" s="90"/>
      <c r="Y19" s="360"/>
      <c r="Z19" s="223"/>
      <c r="AA19" s="146"/>
      <c r="AB19" s="322"/>
      <c r="AC19" s="284"/>
      <c r="AD19" s="284"/>
      <c r="AE19" s="21" t="str">
        <f t="shared" si="7"/>
        <v/>
      </c>
      <c r="AJ19" s="213" t="s">
        <v>343</v>
      </c>
      <c r="AK19" s="214"/>
      <c r="AL19" s="214"/>
      <c r="AM19" s="214"/>
      <c r="AN19" s="214"/>
      <c r="AO19" s="214"/>
      <c r="AP19" s="214"/>
      <c r="AQ19" s="215"/>
      <c r="AR19" s="215"/>
      <c r="AS19" s="215"/>
      <c r="AT19" s="214"/>
      <c r="AU19" s="216"/>
      <c r="AW19" s="215"/>
      <c r="AX19" s="215"/>
      <c r="AY19" s="215"/>
      <c r="AZ19" s="215"/>
      <c r="BA19" s="215"/>
      <c r="BC19" s="215"/>
      <c r="BE19" s="215"/>
      <c r="BF19" s="215"/>
      <c r="BG19" s="215"/>
      <c r="BH19" s="215"/>
    </row>
    <row r="20" spans="1:61" ht="65.25" customHeight="1">
      <c r="A20" s="17" t="s">
        <v>26</v>
      </c>
      <c r="B20" s="17"/>
      <c r="C20" s="166"/>
      <c r="D20" s="95"/>
      <c r="E20" s="18">
        <v>40184500</v>
      </c>
      <c r="F20" s="18"/>
      <c r="G20" s="18"/>
      <c r="H20" s="18"/>
      <c r="I20" s="106" t="str">
        <f>IF(D20="S/Total",SUM(E20:H20),"")</f>
        <v/>
      </c>
      <c r="J20" s="106"/>
      <c r="K20" s="110" t="str">
        <f t="shared" si="3"/>
        <v/>
      </c>
      <c r="L20" s="127"/>
      <c r="M20" s="127"/>
      <c r="N20" s="127"/>
      <c r="O20" s="149"/>
      <c r="P20" s="337">
        <f>SUMIFS(Saisie!$G$20:$G$2493,Saisie!$K$20:$K$2493,"coffrage, pointes")+SUMIFS(Saisie!$G$20:$G$2493,Saisie!$K$20:$K$2493,"coffreurs et aides")</f>
        <v>0</v>
      </c>
      <c r="Q20" s="18"/>
      <c r="R20" s="18"/>
      <c r="S20" s="18"/>
      <c r="T20" s="18">
        <f t="shared" si="4"/>
        <v>0</v>
      </c>
      <c r="U20" s="146"/>
      <c r="V20" s="20" t="str">
        <f t="shared" si="2"/>
        <v/>
      </c>
      <c r="W20" s="21">
        <f>IF($E$6&gt;0,P20/$E$6,"")</f>
        <v>0</v>
      </c>
      <c r="X20" s="90"/>
      <c r="Y20" s="360"/>
      <c r="Z20" s="223"/>
      <c r="AA20" s="146"/>
      <c r="AB20" s="322"/>
      <c r="AC20" s="284"/>
      <c r="AD20" s="284"/>
      <c r="AE20" s="21" t="str">
        <f t="shared" si="7"/>
        <v/>
      </c>
      <c r="AJ20" s="202" t="s">
        <v>324</v>
      </c>
      <c r="AK20" s="203"/>
      <c r="AL20" s="203"/>
      <c r="AM20" s="203"/>
      <c r="AN20" s="204"/>
      <c r="AO20" s="231"/>
      <c r="AP20" s="273" t="s">
        <v>360</v>
      </c>
      <c r="AQ20" s="209" t="s">
        <v>344</v>
      </c>
      <c r="AR20" s="203"/>
      <c r="AS20" s="204"/>
      <c r="AT20" s="233"/>
      <c r="AU20" s="389" t="s">
        <v>358</v>
      </c>
      <c r="AW20" s="380" t="s">
        <v>359</v>
      </c>
      <c r="AX20" s="276" t="s">
        <v>370</v>
      </c>
      <c r="AY20" s="276"/>
      <c r="AZ20" s="276"/>
      <c r="BA20" s="276"/>
      <c r="BC20" s="380" t="s">
        <v>365</v>
      </c>
      <c r="BE20" s="380" t="s">
        <v>366</v>
      </c>
      <c r="BF20" s="380" t="s">
        <v>367</v>
      </c>
      <c r="BG20" s="380" t="s">
        <v>368</v>
      </c>
      <c r="BH20" s="259"/>
    </row>
    <row r="21" spans="1:61" ht="39" thickBot="1">
      <c r="A21" s="154" t="s">
        <v>290</v>
      </c>
      <c r="B21" s="154"/>
      <c r="C21" s="170"/>
      <c r="D21" s="95"/>
      <c r="E21" s="18"/>
      <c r="F21" s="18"/>
      <c r="G21" s="18"/>
      <c r="H21" s="18"/>
      <c r="I21" s="106"/>
      <c r="J21" s="106"/>
      <c r="K21" s="110"/>
      <c r="L21" s="127"/>
      <c r="M21" s="127"/>
      <c r="N21" s="127"/>
      <c r="O21" s="149"/>
      <c r="P21" s="337">
        <f>+P13-SUM(P14:P20)</f>
        <v>55000</v>
      </c>
      <c r="Q21" s="18"/>
      <c r="R21" s="18"/>
      <c r="S21" s="18"/>
      <c r="T21" s="18">
        <f t="shared" si="4"/>
        <v>55000</v>
      </c>
      <c r="U21" s="146"/>
      <c r="V21" s="20"/>
      <c r="W21" s="21"/>
      <c r="X21" s="90"/>
      <c r="Y21" s="360"/>
      <c r="Z21" s="223"/>
      <c r="AA21" s="146"/>
      <c r="AB21" s="322"/>
      <c r="AC21" s="284"/>
      <c r="AD21" s="284"/>
      <c r="AE21" s="21"/>
      <c r="AJ21" s="205" t="s">
        <v>316</v>
      </c>
      <c r="AK21" s="198"/>
      <c r="AL21" s="198" t="s">
        <v>323</v>
      </c>
      <c r="AM21" s="228"/>
      <c r="AN21" s="387" t="s">
        <v>322</v>
      </c>
      <c r="AO21" s="378" t="s">
        <v>338</v>
      </c>
      <c r="AP21" s="241" t="s">
        <v>341</v>
      </c>
      <c r="AQ21" s="399" t="s">
        <v>319</v>
      </c>
      <c r="AR21" s="374" t="s">
        <v>320</v>
      </c>
      <c r="AS21" s="387" t="s">
        <v>321</v>
      </c>
      <c r="AT21" s="392" t="s">
        <v>339</v>
      </c>
      <c r="AU21" s="390"/>
      <c r="AW21" s="381"/>
      <c r="AX21" s="385" t="s">
        <v>362</v>
      </c>
      <c r="AY21" s="385" t="s">
        <v>361</v>
      </c>
      <c r="AZ21" s="385" t="s">
        <v>363</v>
      </c>
      <c r="BA21" s="394" t="s">
        <v>364</v>
      </c>
      <c r="BC21" s="381"/>
      <c r="BE21" s="381"/>
      <c r="BF21" s="381"/>
      <c r="BG21" s="381"/>
      <c r="BH21" s="383" t="s">
        <v>357</v>
      </c>
    </row>
    <row r="22" spans="1:61" ht="33" customHeight="1" thickBot="1">
      <c r="A22" s="17"/>
      <c r="B22" s="17"/>
      <c r="C22" s="166"/>
      <c r="D22" s="95"/>
      <c r="E22" s="18"/>
      <c r="F22" s="18"/>
      <c r="G22" s="18"/>
      <c r="H22" s="18"/>
      <c r="I22" s="106" t="str">
        <f t="shared" ref="I22:I43" si="9">IF(D22="S/Total",SUM(E22:H22),"")</f>
        <v/>
      </c>
      <c r="J22" s="106"/>
      <c r="K22" s="110" t="str">
        <f t="shared" si="3"/>
        <v/>
      </c>
      <c r="L22" s="127"/>
      <c r="M22" s="127"/>
      <c r="N22" s="127"/>
      <c r="O22" s="131"/>
      <c r="P22" s="337"/>
      <c r="Q22" s="18"/>
      <c r="R22" s="18"/>
      <c r="S22" s="18"/>
      <c r="T22" s="18">
        <f t="shared" si="4"/>
        <v>0</v>
      </c>
      <c r="U22" s="19" t="str">
        <f t="shared" ref="U22:U43" si="10">+IF(D22="S/Total",N22-T22,"")</f>
        <v/>
      </c>
      <c r="V22" s="20" t="str">
        <f t="shared" ref="V22:V43" si="11">+IF(AND(D22="S/Total",N22&lt;&gt;0),U22/N22,"")</f>
        <v/>
      </c>
      <c r="W22" s="21"/>
      <c r="Y22" s="360"/>
      <c r="Z22" s="222"/>
      <c r="AA22" s="19"/>
      <c r="AB22" s="322"/>
      <c r="AC22" s="284"/>
      <c r="AD22" s="284"/>
      <c r="AE22" s="21"/>
      <c r="AI22" s="265" t="s">
        <v>356</v>
      </c>
      <c r="AJ22" s="218" t="s">
        <v>317</v>
      </c>
      <c r="AK22" s="219" t="s">
        <v>313</v>
      </c>
      <c r="AL22" s="226" t="s">
        <v>317</v>
      </c>
      <c r="AM22" s="227" t="s">
        <v>313</v>
      </c>
      <c r="AN22" s="404"/>
      <c r="AO22" s="379"/>
      <c r="AP22" s="242" t="s">
        <v>342</v>
      </c>
      <c r="AQ22" s="400"/>
      <c r="AR22" s="375"/>
      <c r="AS22" s="388"/>
      <c r="AT22" s="393"/>
      <c r="AU22" s="391"/>
      <c r="AW22" s="382"/>
      <c r="AX22" s="386"/>
      <c r="AY22" s="386"/>
      <c r="AZ22" s="386"/>
      <c r="BA22" s="395"/>
      <c r="BC22" s="382"/>
      <c r="BE22" s="382"/>
      <c r="BF22" s="382"/>
      <c r="BG22" s="382"/>
      <c r="BH22" s="384"/>
    </row>
    <row r="23" spans="1:61" ht="15">
      <c r="A23" s="22" t="s">
        <v>28</v>
      </c>
      <c r="B23" s="22" t="s">
        <v>386</v>
      </c>
      <c r="C23" s="171" t="s">
        <v>113</v>
      </c>
      <c r="D23" s="97" t="s">
        <v>280</v>
      </c>
      <c r="E23" s="23">
        <v>37371950</v>
      </c>
      <c r="F23" s="23">
        <f>E23/E$44*F$44</f>
        <v>-485472.75444839452</v>
      </c>
      <c r="G23" s="23"/>
      <c r="H23" s="23">
        <f>+SUMIF('Décompte Travaux'!B:B,B23,'Décompte Travaux'!E:E)</f>
        <v>0</v>
      </c>
      <c r="I23" s="107">
        <f t="shared" si="9"/>
        <v>36886477.245551609</v>
      </c>
      <c r="J23" s="107">
        <v>35976042.188314073</v>
      </c>
      <c r="K23" s="111">
        <f t="shared" si="3"/>
        <v>0.97531791796823508</v>
      </c>
      <c r="L23" s="128">
        <f>+SUMIF('Décompte Travaux'!B:B,B23,'Décompte Travaux'!J:J)</f>
        <v>35976042.188314073</v>
      </c>
      <c r="M23" s="128">
        <f>+N23-L23</f>
        <v>0</v>
      </c>
      <c r="N23" s="128">
        <f>+SUMIF('Décompte Travaux'!B:B,B23,'Décompte Travaux'!R:R)</f>
        <v>35976042.188314073</v>
      </c>
      <c r="O23" s="132">
        <f t="shared" ref="O23:O40" si="12">+IFERROR(N23/I23,"")</f>
        <v>0.97531791796823508</v>
      </c>
      <c r="P23" s="338">
        <f>SUMIFS(Saisie!$G$20:$G$2493,Saisie!$J$20:$J$2493,Listes!$F$1)</f>
        <v>0</v>
      </c>
      <c r="Q23" s="23"/>
      <c r="R23" s="23">
        <f>-16497000/2*0</f>
        <v>0</v>
      </c>
      <c r="S23" s="23">
        <f>-16497000/2*0</f>
        <v>0</v>
      </c>
      <c r="T23" s="107">
        <f t="shared" si="4"/>
        <v>0</v>
      </c>
      <c r="U23" s="326">
        <f>+IF(D23="S/Total",N23-T23,"")</f>
        <v>35976042.188314073</v>
      </c>
      <c r="V23" s="329">
        <f t="shared" si="11"/>
        <v>1</v>
      </c>
      <c r="W23" s="330">
        <f t="shared" ref="W23:W40" si="13">IF($E$6&gt;0,P23/$E$6,"")</f>
        <v>0</v>
      </c>
      <c r="Y23" s="107">
        <f>IFERROR(VLOOKUP(B23,#REF!,18,0),0)</f>
        <v>0</v>
      </c>
      <c r="Z23" s="128">
        <f t="shared" ref="Z23:Z40" si="14">+T23+Y23</f>
        <v>0</v>
      </c>
      <c r="AA23" s="326">
        <f t="shared" ref="AA23:AA40" si="15">+IF(D23="S/Total",I23-Z23,"")</f>
        <v>36886477.245551609</v>
      </c>
      <c r="AB23" s="329">
        <f t="shared" ref="AB23:AB40" si="16">+IF(AND(D23="S/Total",I23&lt;&gt;0),AA23/I23,"")</f>
        <v>1</v>
      </c>
      <c r="AC23" s="285"/>
      <c r="AD23" s="285"/>
      <c r="AE23" s="24" t="str">
        <f t="shared" ref="AE23:AE40" si="17">IF($AE$6&gt;0,Z23/$AE$6,"")</f>
        <v/>
      </c>
      <c r="AF23">
        <f>SUMIFS(Saisie!$O$20:$O$2493,Saisie!$J$20:$J$2493,Listes!$B$1)</f>
        <v>0</v>
      </c>
      <c r="AI23" s="262" t="str">
        <f>+A23</f>
        <v>ETANCHEITE</v>
      </c>
      <c r="AJ23" s="254" t="s">
        <v>345</v>
      </c>
      <c r="AK23" s="244"/>
      <c r="AL23" s="244"/>
      <c r="AM23" s="244"/>
      <c r="AN23" s="245"/>
      <c r="AO23" s="234">
        <f>+SUM(AK23,AM23:AN23)</f>
        <v>0</v>
      </c>
      <c r="AP23" s="250">
        <f>2170000-300000</f>
        <v>1870000</v>
      </c>
      <c r="AQ23" s="243">
        <v>16618300</v>
      </c>
      <c r="AR23" s="244"/>
      <c r="AS23" s="245"/>
      <c r="AT23" s="234">
        <f>+SUM(AQ23:AS23)</f>
        <v>16618300</v>
      </c>
      <c r="AU23" s="217">
        <f>+AO23+AP23+AT23</f>
        <v>18488300</v>
      </c>
      <c r="AW23" s="217">
        <f>+T23</f>
        <v>0</v>
      </c>
      <c r="AX23" s="270">
        <f>AK23+AR23</f>
        <v>0</v>
      </c>
      <c r="AY23" s="270">
        <f>+AM23+AN23+AS23</f>
        <v>0</v>
      </c>
      <c r="AZ23" s="270">
        <f>AP23</f>
        <v>1870000</v>
      </c>
      <c r="BA23" s="217">
        <f>+SUM(AX23:AZ23)</f>
        <v>1870000</v>
      </c>
      <c r="BC23" s="217">
        <f>AW23+BA23</f>
        <v>1870000</v>
      </c>
      <c r="BE23" s="260">
        <f>I23</f>
        <v>36886477.245551609</v>
      </c>
      <c r="BF23" s="260">
        <f>BE23-BC23</f>
        <v>35016477.245551609</v>
      </c>
      <c r="BG23" s="280">
        <f>+IFERROR(BF23/BE23,"")</f>
        <v>0.94930391461479247</v>
      </c>
      <c r="BH23" s="268" t="s">
        <v>369</v>
      </c>
      <c r="BI23" s="90">
        <f>+AA23-BF23</f>
        <v>1870000</v>
      </c>
    </row>
    <row r="24" spans="1:61" ht="15">
      <c r="A24" s="11" t="s">
        <v>474</v>
      </c>
      <c r="B24" s="11" t="s">
        <v>422</v>
      </c>
      <c r="C24" s="165"/>
      <c r="D24" s="94" t="s">
        <v>280</v>
      </c>
      <c r="E24" s="13"/>
      <c r="F24" s="13"/>
      <c r="G24" s="356">
        <v>3200000</v>
      </c>
      <c r="H24" s="13"/>
      <c r="I24" s="105">
        <f t="shared" si="9"/>
        <v>3200000</v>
      </c>
      <c r="J24" s="356">
        <v>2000000</v>
      </c>
      <c r="K24" s="109">
        <f t="shared" si="3"/>
        <v>0.625</v>
      </c>
      <c r="L24" s="126"/>
      <c r="M24" s="126"/>
      <c r="N24" s="357">
        <f>+J24</f>
        <v>2000000</v>
      </c>
      <c r="O24" s="130">
        <f t="shared" si="12"/>
        <v>0.625</v>
      </c>
      <c r="P24" s="336">
        <f>SUMIFS(Saisie!$G$20:$G$2493,Saisie!$J$20:$J$2493,Listes!$G$1)</f>
        <v>0</v>
      </c>
      <c r="Q24" s="13"/>
      <c r="R24" s="13"/>
      <c r="S24" s="13"/>
      <c r="T24" s="105">
        <f t="shared" si="4"/>
        <v>0</v>
      </c>
      <c r="U24" s="325">
        <f t="shared" si="10"/>
        <v>2000000</v>
      </c>
      <c r="V24" s="15">
        <f t="shared" si="11"/>
        <v>1</v>
      </c>
      <c r="W24" s="16">
        <f t="shared" si="13"/>
        <v>0</v>
      </c>
      <c r="Y24" s="105">
        <f>IFERROR(VLOOKUP(B24,#REF!,18,0),0)</f>
        <v>0</v>
      </c>
      <c r="Z24" s="126">
        <f t="shared" si="14"/>
        <v>0</v>
      </c>
      <c r="AA24" s="325">
        <f t="shared" si="15"/>
        <v>3200000</v>
      </c>
      <c r="AB24" s="327">
        <f t="shared" si="16"/>
        <v>1</v>
      </c>
      <c r="AC24" s="283"/>
      <c r="AD24" s="283"/>
      <c r="AE24" s="16" t="str">
        <f t="shared" si="17"/>
        <v/>
      </c>
      <c r="AF24" s="288"/>
      <c r="AI24" s="263"/>
      <c r="AJ24" s="246"/>
      <c r="AK24" s="247"/>
      <c r="AL24" s="247"/>
      <c r="AM24" s="247"/>
      <c r="AN24" s="248"/>
      <c r="AO24" s="235"/>
      <c r="AP24" s="251"/>
      <c r="AQ24" s="246"/>
      <c r="AR24" s="247"/>
      <c r="AS24" s="248"/>
      <c r="AT24" s="235"/>
      <c r="AU24" s="211"/>
      <c r="AW24" s="211"/>
      <c r="AX24" s="266"/>
      <c r="AY24" s="266"/>
      <c r="AZ24" s="266"/>
      <c r="BA24" s="211"/>
      <c r="BC24" s="211"/>
      <c r="BE24" s="261"/>
      <c r="BF24" s="261"/>
      <c r="BG24" s="266"/>
      <c r="BH24" s="266"/>
      <c r="BI24" s="90">
        <f t="shared" ref="BI24:BI42" si="18">+AA24-BF24</f>
        <v>3200000</v>
      </c>
    </row>
    <row r="25" spans="1:61" ht="15">
      <c r="A25" s="11" t="s">
        <v>29</v>
      </c>
      <c r="B25" s="11"/>
      <c r="C25" s="165"/>
      <c r="D25" s="94" t="s">
        <v>280</v>
      </c>
      <c r="E25" s="13"/>
      <c r="F25" s="13"/>
      <c r="G25" s="13"/>
      <c r="H25" s="13"/>
      <c r="I25" s="105">
        <f t="shared" si="9"/>
        <v>0</v>
      </c>
      <c r="J25" s="105"/>
      <c r="K25" s="109" t="str">
        <f t="shared" si="3"/>
        <v/>
      </c>
      <c r="L25" s="126"/>
      <c r="M25" s="126"/>
      <c r="N25" s="126"/>
      <c r="O25" s="130" t="str">
        <f t="shared" si="12"/>
        <v/>
      </c>
      <c r="P25" s="335">
        <f>SUMIFS(Saisie!$G$20:$G$2493,Saisie!$J$20:$J$2493,Listes!$H$1)</f>
        <v>0</v>
      </c>
      <c r="Q25" s="13"/>
      <c r="R25" s="13"/>
      <c r="S25" s="13"/>
      <c r="T25" s="13">
        <f t="shared" si="4"/>
        <v>0</v>
      </c>
      <c r="U25" s="14">
        <f t="shared" si="10"/>
        <v>0</v>
      </c>
      <c r="V25" s="15" t="str">
        <f t="shared" si="11"/>
        <v/>
      </c>
      <c r="W25" s="16">
        <f t="shared" si="13"/>
        <v>0</v>
      </c>
      <c r="Y25" s="359" t="e">
        <f>SUMIFS(#REF!,#REF!,C25)</f>
        <v>#REF!</v>
      </c>
      <c r="Z25" s="221" t="e">
        <f t="shared" si="14"/>
        <v>#REF!</v>
      </c>
      <c r="AA25" s="14" t="e">
        <f t="shared" si="15"/>
        <v>#REF!</v>
      </c>
      <c r="AB25" s="321" t="str">
        <f t="shared" si="16"/>
        <v/>
      </c>
      <c r="AC25" s="283"/>
      <c r="AD25" s="283"/>
      <c r="AE25" s="16" t="str">
        <f t="shared" si="17"/>
        <v/>
      </c>
      <c r="AF25" s="288"/>
      <c r="AI25" s="263"/>
      <c r="AJ25" s="246"/>
      <c r="AK25" s="247"/>
      <c r="AL25" s="247"/>
      <c r="AM25" s="247"/>
      <c r="AN25" s="248"/>
      <c r="AO25" s="235"/>
      <c r="AP25" s="251"/>
      <c r="AQ25" s="246"/>
      <c r="AR25" s="247"/>
      <c r="AS25" s="248"/>
      <c r="AT25" s="235"/>
      <c r="AU25" s="211"/>
      <c r="AW25" s="211"/>
      <c r="AX25" s="266"/>
      <c r="AY25" s="266"/>
      <c r="AZ25" s="266"/>
      <c r="BA25" s="211"/>
      <c r="BC25" s="211"/>
      <c r="BE25" s="261"/>
      <c r="BF25" s="261"/>
      <c r="BG25" s="266"/>
      <c r="BH25" s="266"/>
      <c r="BI25" s="90" t="e">
        <f t="shared" si="18"/>
        <v>#REF!</v>
      </c>
    </row>
    <row r="26" spans="1:61" ht="16.5" customHeight="1">
      <c r="A26" s="11" t="s">
        <v>30</v>
      </c>
      <c r="B26" s="11" t="s">
        <v>391</v>
      </c>
      <c r="C26" s="165" t="s">
        <v>129</v>
      </c>
      <c r="D26" s="94" t="s">
        <v>280</v>
      </c>
      <c r="E26" s="13">
        <v>1937590</v>
      </c>
      <c r="F26" s="13">
        <f>E26/E$44*F$44</f>
        <v>-25169.870833383451</v>
      </c>
      <c r="G26" s="13"/>
      <c r="H26" s="13">
        <f>+SUMIF('Décompte Travaux'!B:B,B26,'Décompte Travaux'!E:E)</f>
        <v>0</v>
      </c>
      <c r="I26" s="105">
        <f t="shared" si="9"/>
        <v>1912420.1291666166</v>
      </c>
      <c r="J26" s="105">
        <v>2457750.6110845851</v>
      </c>
      <c r="K26" s="109">
        <f t="shared" si="3"/>
        <v>1.2851520299337205</v>
      </c>
      <c r="L26" s="126">
        <f>+SUMIF('Décompte Travaux'!B:B,B26,'Décompte Travaux'!J:J)</f>
        <v>2457750.6110845851</v>
      </c>
      <c r="M26" s="126">
        <f>+N26-L26</f>
        <v>0</v>
      </c>
      <c r="N26" s="126">
        <f>+SUMIF('Décompte Travaux'!B:B,B26,'Décompte Travaux'!R:R)</f>
        <v>2457750.6110845851</v>
      </c>
      <c r="O26" s="130">
        <f t="shared" si="12"/>
        <v>1.2851520299337205</v>
      </c>
      <c r="P26" s="336">
        <f>SUMIFS(Saisie!$G$20:$G$2493,Saisie!$J$20:$J$2493,Listes!$I$1)</f>
        <v>0</v>
      </c>
      <c r="Q26" s="13"/>
      <c r="R26" s="13"/>
      <c r="S26" s="13"/>
      <c r="T26" s="105">
        <f t="shared" si="4"/>
        <v>0</v>
      </c>
      <c r="U26" s="325">
        <f t="shared" si="10"/>
        <v>2457750.6110845851</v>
      </c>
      <c r="V26" s="327">
        <f t="shared" si="11"/>
        <v>1</v>
      </c>
      <c r="W26" s="328">
        <f t="shared" si="13"/>
        <v>0</v>
      </c>
      <c r="Y26" s="105">
        <f>IFERROR(VLOOKUP(B26,#REF!,18,0),0)</f>
        <v>0</v>
      </c>
      <c r="Z26" s="126">
        <f t="shared" si="14"/>
        <v>0</v>
      </c>
      <c r="AA26" s="325">
        <f t="shared" si="15"/>
        <v>1912420.1291666166</v>
      </c>
      <c r="AB26" s="327">
        <f t="shared" si="16"/>
        <v>1</v>
      </c>
      <c r="AC26" s="283"/>
      <c r="AD26" s="283"/>
      <c r="AE26" s="16" t="str">
        <f t="shared" si="17"/>
        <v/>
      </c>
      <c r="AF26" s="288"/>
      <c r="AI26" s="263" t="str">
        <f t="shared" ref="AI26:AI43" si="19">+A26</f>
        <v>FAUX PLAFOND</v>
      </c>
      <c r="AJ26" s="249" t="s">
        <v>346</v>
      </c>
      <c r="AK26" s="247"/>
      <c r="AL26" s="247"/>
      <c r="AM26" s="247"/>
      <c r="AN26" s="248"/>
      <c r="AO26" s="235">
        <f t="shared" ref="AO26:AO43" si="20">+SUM(AK26,AM26:AN26)</f>
        <v>0</v>
      </c>
      <c r="AP26" s="251">
        <v>305000</v>
      </c>
      <c r="AQ26" s="246"/>
      <c r="AR26" s="247"/>
      <c r="AS26" s="248">
        <v>317000</v>
      </c>
      <c r="AT26" s="235">
        <f t="shared" ref="AT26:AT43" si="21">+SUM(AQ26:AS26)</f>
        <v>317000</v>
      </c>
      <c r="AU26" s="211">
        <f t="shared" ref="AU26:AU43" si="22">+AO26+AP26+AT26</f>
        <v>622000</v>
      </c>
      <c r="AW26" s="211">
        <f t="shared" ref="AW26:AW43" si="23">+T26</f>
        <v>0</v>
      </c>
      <c r="AX26" s="266">
        <f t="shared" ref="AX26:AX43" si="24">AK26+AR26</f>
        <v>0</v>
      </c>
      <c r="AY26" s="266">
        <f t="shared" ref="AY26:AY43" si="25">+AM26+AN26+AS26</f>
        <v>317000</v>
      </c>
      <c r="AZ26" s="266">
        <f t="shared" ref="AZ26:AZ43" si="26">AP26</f>
        <v>305000</v>
      </c>
      <c r="BA26" s="211">
        <f t="shared" ref="BA26:BA43" si="27">+SUM(AX26:AZ26)</f>
        <v>622000</v>
      </c>
      <c r="BC26" s="211">
        <f t="shared" ref="BC26:BC43" si="28">AW26+BA26</f>
        <v>622000</v>
      </c>
      <c r="BE26" s="261">
        <f t="shared" ref="BE26:BE43" si="29">I26</f>
        <v>1912420.1291666166</v>
      </c>
      <c r="BF26" s="261">
        <f t="shared" ref="BF26:BF40" si="30">BE26-BC26</f>
        <v>1290420.1291666166</v>
      </c>
      <c r="BG26" s="269">
        <f t="shared" ref="BG26:BG43" si="31">+IFERROR(BF26/BE26,"")</f>
        <v>0.67475765888792882</v>
      </c>
      <c r="BH26" s="271" t="s">
        <v>369</v>
      </c>
      <c r="BI26" s="90">
        <f t="shared" si="18"/>
        <v>622000</v>
      </c>
    </row>
    <row r="27" spans="1:61" ht="16.5" customHeight="1">
      <c r="A27" s="11" t="s">
        <v>31</v>
      </c>
      <c r="B27" s="11"/>
      <c r="C27" s="165" t="s">
        <v>141</v>
      </c>
      <c r="D27" s="94" t="s">
        <v>280</v>
      </c>
      <c r="E27" s="13"/>
      <c r="F27" s="13"/>
      <c r="G27" s="13"/>
      <c r="H27" s="13"/>
      <c r="I27" s="105">
        <f t="shared" si="9"/>
        <v>0</v>
      </c>
      <c r="J27" s="105"/>
      <c r="K27" s="109" t="str">
        <f t="shared" si="3"/>
        <v/>
      </c>
      <c r="L27" s="126"/>
      <c r="M27" s="126"/>
      <c r="N27" s="126"/>
      <c r="O27" s="130" t="str">
        <f t="shared" si="12"/>
        <v/>
      </c>
      <c r="P27" s="335">
        <f>SUMIFS(Saisie!$G$20:$G$2493,Saisie!$J$20:$J$2493,Listes!$J$1)</f>
        <v>0</v>
      </c>
      <c r="Q27" s="13"/>
      <c r="R27" s="13"/>
      <c r="S27" s="13"/>
      <c r="T27" s="13">
        <f t="shared" si="4"/>
        <v>0</v>
      </c>
      <c r="U27" s="14">
        <f t="shared" si="10"/>
        <v>0</v>
      </c>
      <c r="V27" s="15" t="str">
        <f t="shared" si="11"/>
        <v/>
      </c>
      <c r="W27" s="16">
        <f t="shared" si="13"/>
        <v>0</v>
      </c>
      <c r="Y27" s="359">
        <f t="shared" ref="Y27:Y36" si="32">BA27</f>
        <v>0</v>
      </c>
      <c r="Z27" s="221">
        <f t="shared" si="14"/>
        <v>0</v>
      </c>
      <c r="AA27" s="14">
        <f t="shared" si="15"/>
        <v>0</v>
      </c>
      <c r="AB27" s="321" t="str">
        <f t="shared" si="16"/>
        <v/>
      </c>
      <c r="AC27" s="283"/>
      <c r="AD27" s="283"/>
      <c r="AE27" s="16" t="str">
        <f t="shared" si="17"/>
        <v/>
      </c>
      <c r="AF27" s="90"/>
      <c r="AI27" s="263" t="str">
        <f t="shared" si="19"/>
        <v>Cloisons placo</v>
      </c>
      <c r="AJ27" s="246"/>
      <c r="AK27" s="247"/>
      <c r="AL27" s="247"/>
      <c r="AM27" s="247"/>
      <c r="AN27" s="248"/>
      <c r="AO27" s="235">
        <f t="shared" si="20"/>
        <v>0</v>
      </c>
      <c r="AP27" s="251"/>
      <c r="AQ27" s="246"/>
      <c r="AR27" s="247"/>
      <c r="AS27" s="248"/>
      <c r="AT27" s="235">
        <f t="shared" si="21"/>
        <v>0</v>
      </c>
      <c r="AU27" s="211">
        <f t="shared" si="22"/>
        <v>0</v>
      </c>
      <c r="AW27" s="211">
        <f t="shared" si="23"/>
        <v>0</v>
      </c>
      <c r="AX27" s="266">
        <f t="shared" si="24"/>
        <v>0</v>
      </c>
      <c r="AY27" s="266">
        <f t="shared" si="25"/>
        <v>0</v>
      </c>
      <c r="AZ27" s="266">
        <f t="shared" si="26"/>
        <v>0</v>
      </c>
      <c r="BA27" s="211">
        <f t="shared" si="27"/>
        <v>0</v>
      </c>
      <c r="BC27" s="211">
        <f t="shared" si="28"/>
        <v>0</v>
      </c>
      <c r="BE27" s="261">
        <f t="shared" si="29"/>
        <v>0</v>
      </c>
      <c r="BF27" s="261">
        <f t="shared" si="30"/>
        <v>0</v>
      </c>
      <c r="BG27" s="275" t="str">
        <f t="shared" si="31"/>
        <v/>
      </c>
      <c r="BH27" s="266"/>
      <c r="BI27" s="90">
        <f t="shared" si="18"/>
        <v>0</v>
      </c>
    </row>
    <row r="28" spans="1:61" ht="16.5" customHeight="1">
      <c r="A28" s="11" t="s">
        <v>32</v>
      </c>
      <c r="B28" s="11" t="s">
        <v>401</v>
      </c>
      <c r="C28" s="165" t="s">
        <v>126</v>
      </c>
      <c r="D28" s="94" t="s">
        <v>280</v>
      </c>
      <c r="E28" s="13">
        <v>16070650</v>
      </c>
      <c r="F28" s="13">
        <f>E28/E$44*F$44</f>
        <v>-208762.52700959117</v>
      </c>
      <c r="G28" s="13"/>
      <c r="H28" s="13">
        <f>+SUMIF('Décompte Travaux'!B:B,B28,'Décompte Travaux'!E:E)</f>
        <v>0</v>
      </c>
      <c r="I28" s="105">
        <f t="shared" si="9"/>
        <v>15861887.472990409</v>
      </c>
      <c r="J28" s="105">
        <v>8346462.9999127015</v>
      </c>
      <c r="K28" s="109">
        <f t="shared" si="3"/>
        <v>0.52619607938368262</v>
      </c>
      <c r="L28" s="126">
        <f>+SUMIF('Décompte Travaux'!B:B,B28,'Décompte Travaux'!J:J)</f>
        <v>8346462.9999127015</v>
      </c>
      <c r="M28" s="126">
        <f>+N28-L28</f>
        <v>0</v>
      </c>
      <c r="N28" s="126">
        <f>+SUMIF('Décompte Travaux'!B:B,B28,'Décompte Travaux'!R:R)</f>
        <v>8346462.9999127015</v>
      </c>
      <c r="O28" s="130">
        <f t="shared" si="12"/>
        <v>0.52619607938368262</v>
      </c>
      <c r="P28" s="336">
        <f>SUMIFS(Saisie!$G$20:$G$2493,Saisie!$J$20:$J$2493,Listes!$K$1)</f>
        <v>0</v>
      </c>
      <c r="Q28" s="13"/>
      <c r="R28" s="13"/>
      <c r="S28" s="13"/>
      <c r="T28" s="105">
        <f t="shared" si="4"/>
        <v>0</v>
      </c>
      <c r="U28" s="325">
        <f t="shared" si="10"/>
        <v>8346462.9999127015</v>
      </c>
      <c r="V28" s="327">
        <f t="shared" si="11"/>
        <v>1</v>
      </c>
      <c r="W28" s="328">
        <f t="shared" si="13"/>
        <v>0</v>
      </c>
      <c r="Y28" s="105">
        <f>IFERROR(VLOOKUP(B28,#REF!,18,0),0)</f>
        <v>0</v>
      </c>
      <c r="Z28" s="126">
        <f t="shared" si="14"/>
        <v>0</v>
      </c>
      <c r="AA28" s="325">
        <f t="shared" si="15"/>
        <v>15861887.472990409</v>
      </c>
      <c r="AB28" s="327">
        <f t="shared" si="16"/>
        <v>1</v>
      </c>
      <c r="AC28" s="283"/>
      <c r="AD28" s="283"/>
      <c r="AE28" s="16" t="str">
        <f t="shared" si="17"/>
        <v/>
      </c>
      <c r="AF28" s="288"/>
      <c r="AI28" s="263" t="str">
        <f t="shared" si="19"/>
        <v>MENUISERIE METAL (FER)</v>
      </c>
      <c r="AJ28" s="249" t="s">
        <v>346</v>
      </c>
      <c r="AK28" s="247"/>
      <c r="AL28" s="247"/>
      <c r="AM28" s="247"/>
      <c r="AN28" s="248"/>
      <c r="AO28" s="235">
        <f t="shared" si="20"/>
        <v>0</v>
      </c>
      <c r="AP28" s="251">
        <v>1250000</v>
      </c>
      <c r="AQ28" s="246"/>
      <c r="AR28" s="247">
        <v>49130</v>
      </c>
      <c r="AS28" s="248">
        <v>2985000</v>
      </c>
      <c r="AT28" s="235">
        <f t="shared" si="21"/>
        <v>3034130</v>
      </c>
      <c r="AU28" s="211">
        <f t="shared" si="22"/>
        <v>4284130</v>
      </c>
      <c r="AW28" s="211">
        <f t="shared" si="23"/>
        <v>0</v>
      </c>
      <c r="AX28" s="266">
        <f t="shared" si="24"/>
        <v>49130</v>
      </c>
      <c r="AY28" s="266">
        <f t="shared" si="25"/>
        <v>2985000</v>
      </c>
      <c r="AZ28" s="266">
        <f t="shared" si="26"/>
        <v>1250000</v>
      </c>
      <c r="BA28" s="211">
        <f t="shared" si="27"/>
        <v>4284130</v>
      </c>
      <c r="BC28" s="211">
        <f t="shared" si="28"/>
        <v>4284130</v>
      </c>
      <c r="BE28" s="261">
        <f t="shared" si="29"/>
        <v>15861887.472990409</v>
      </c>
      <c r="BF28" s="261">
        <f t="shared" si="30"/>
        <v>11577757.472990409</v>
      </c>
      <c r="BG28" s="269">
        <f t="shared" si="31"/>
        <v>0.72991045313522696</v>
      </c>
      <c r="BH28" s="271" t="s">
        <v>369</v>
      </c>
      <c r="BI28" s="90">
        <f t="shared" si="18"/>
        <v>4284130</v>
      </c>
    </row>
    <row r="29" spans="1:61" ht="16.5" customHeight="1">
      <c r="A29" s="11" t="s">
        <v>33</v>
      </c>
      <c r="B29" s="11"/>
      <c r="C29" s="165" t="s">
        <v>142</v>
      </c>
      <c r="D29" s="94" t="s">
        <v>280</v>
      </c>
      <c r="E29" s="13"/>
      <c r="F29" s="13"/>
      <c r="G29" s="13"/>
      <c r="H29" s="13"/>
      <c r="I29" s="105">
        <f t="shared" si="9"/>
        <v>0</v>
      </c>
      <c r="J29" s="105"/>
      <c r="K29" s="109" t="str">
        <f t="shared" si="3"/>
        <v/>
      </c>
      <c r="L29" s="126"/>
      <c r="M29" s="126"/>
      <c r="N29" s="126"/>
      <c r="O29" s="130" t="str">
        <f t="shared" si="12"/>
        <v/>
      </c>
      <c r="P29" s="335">
        <f>SUMIFS(Saisie!$G$20:$G$2493,Saisie!$J$20:$J$2493,Listes!$L$1)</f>
        <v>0</v>
      </c>
      <c r="Q29" s="13"/>
      <c r="R29" s="13"/>
      <c r="S29" s="13"/>
      <c r="T29" s="13">
        <f t="shared" si="4"/>
        <v>0</v>
      </c>
      <c r="U29" s="14">
        <f t="shared" si="10"/>
        <v>0</v>
      </c>
      <c r="V29" s="15" t="str">
        <f t="shared" si="11"/>
        <v/>
      </c>
      <c r="W29" s="16">
        <f t="shared" si="13"/>
        <v>0</v>
      </c>
      <c r="Y29" s="359">
        <f t="shared" si="32"/>
        <v>0</v>
      </c>
      <c r="Z29" s="221">
        <f t="shared" si="14"/>
        <v>0</v>
      </c>
      <c r="AA29" s="14">
        <f t="shared" si="15"/>
        <v>0</v>
      </c>
      <c r="AB29" s="321" t="str">
        <f t="shared" si="16"/>
        <v/>
      </c>
      <c r="AC29" s="283"/>
      <c r="AD29" s="283"/>
      <c r="AE29" s="16" t="str">
        <f t="shared" si="17"/>
        <v/>
      </c>
      <c r="AF29" s="90"/>
      <c r="AI29" s="263" t="str">
        <f t="shared" si="19"/>
        <v>MENUISERIE INOX</v>
      </c>
      <c r="AJ29" s="246"/>
      <c r="AK29" s="247"/>
      <c r="AL29" s="247"/>
      <c r="AM29" s="247"/>
      <c r="AN29" s="248"/>
      <c r="AO29" s="235">
        <f t="shared" si="20"/>
        <v>0</v>
      </c>
      <c r="AP29" s="251"/>
      <c r="AQ29" s="246"/>
      <c r="AR29" s="247"/>
      <c r="AS29" s="248"/>
      <c r="AT29" s="235">
        <f t="shared" si="21"/>
        <v>0</v>
      </c>
      <c r="AU29" s="211">
        <f t="shared" si="22"/>
        <v>0</v>
      </c>
      <c r="AW29" s="211">
        <f t="shared" si="23"/>
        <v>0</v>
      </c>
      <c r="AX29" s="266">
        <f t="shared" si="24"/>
        <v>0</v>
      </c>
      <c r="AY29" s="266">
        <f t="shared" si="25"/>
        <v>0</v>
      </c>
      <c r="AZ29" s="266">
        <f t="shared" si="26"/>
        <v>0</v>
      </c>
      <c r="BA29" s="211">
        <f t="shared" si="27"/>
        <v>0</v>
      </c>
      <c r="BC29" s="211">
        <f t="shared" si="28"/>
        <v>0</v>
      </c>
      <c r="BE29" s="261">
        <f t="shared" si="29"/>
        <v>0</v>
      </c>
      <c r="BF29" s="261">
        <f t="shared" si="30"/>
        <v>0</v>
      </c>
      <c r="BG29" s="275" t="str">
        <f t="shared" si="31"/>
        <v/>
      </c>
      <c r="BH29" s="266"/>
      <c r="BI29" s="90">
        <f t="shared" si="18"/>
        <v>0</v>
      </c>
    </row>
    <row r="30" spans="1:61" ht="16.5" customHeight="1">
      <c r="A30" s="11" t="s">
        <v>34</v>
      </c>
      <c r="B30" s="11"/>
      <c r="C30" s="165" t="s">
        <v>143</v>
      </c>
      <c r="D30" s="94" t="s">
        <v>280</v>
      </c>
      <c r="E30" s="13"/>
      <c r="F30" s="13"/>
      <c r="G30" s="13"/>
      <c r="H30" s="13"/>
      <c r="I30" s="105">
        <f t="shared" si="9"/>
        <v>0</v>
      </c>
      <c r="J30" s="105"/>
      <c r="K30" s="109" t="str">
        <f t="shared" si="3"/>
        <v/>
      </c>
      <c r="L30" s="126"/>
      <c r="M30" s="126"/>
      <c r="N30" s="126"/>
      <c r="O30" s="130" t="str">
        <f t="shared" si="12"/>
        <v/>
      </c>
      <c r="P30" s="335">
        <f>SUMIFS(Saisie!$G$20:$G$2493,Saisie!$J$20:$J$2493,Listes!$M$1)</f>
        <v>0</v>
      </c>
      <c r="Q30" s="13"/>
      <c r="R30" s="13"/>
      <c r="S30" s="13"/>
      <c r="T30" s="13">
        <f t="shared" si="4"/>
        <v>0</v>
      </c>
      <c r="U30" s="14">
        <f t="shared" si="10"/>
        <v>0</v>
      </c>
      <c r="V30" s="15" t="str">
        <f t="shared" si="11"/>
        <v/>
      </c>
      <c r="W30" s="16">
        <f t="shared" si="13"/>
        <v>0</v>
      </c>
      <c r="Y30" s="359">
        <f t="shared" si="32"/>
        <v>0</v>
      </c>
      <c r="Z30" s="221">
        <f t="shared" si="14"/>
        <v>0</v>
      </c>
      <c r="AA30" s="14">
        <f t="shared" si="15"/>
        <v>0</v>
      </c>
      <c r="AB30" s="321" t="str">
        <f t="shared" si="16"/>
        <v/>
      </c>
      <c r="AC30" s="283"/>
      <c r="AD30" s="283"/>
      <c r="AE30" s="16" t="str">
        <f t="shared" si="17"/>
        <v/>
      </c>
      <c r="AF30" s="90"/>
      <c r="AG30" s="90">
        <f>AK33-AG33</f>
        <v>9814897.5600000005</v>
      </c>
      <c r="AI30" s="263" t="str">
        <f t="shared" si="19"/>
        <v>MENUISERIE ALU</v>
      </c>
      <c r="AJ30" s="246"/>
      <c r="AK30" s="247"/>
      <c r="AL30" s="247"/>
      <c r="AM30" s="247"/>
      <c r="AN30" s="248"/>
      <c r="AO30" s="235">
        <f t="shared" si="20"/>
        <v>0</v>
      </c>
      <c r="AP30" s="251"/>
      <c r="AQ30" s="246"/>
      <c r="AR30" s="247"/>
      <c r="AS30" s="248"/>
      <c r="AT30" s="235">
        <f t="shared" si="21"/>
        <v>0</v>
      </c>
      <c r="AU30" s="211">
        <f t="shared" si="22"/>
        <v>0</v>
      </c>
      <c r="AW30" s="211">
        <f t="shared" si="23"/>
        <v>0</v>
      </c>
      <c r="AX30" s="266">
        <f t="shared" si="24"/>
        <v>0</v>
      </c>
      <c r="AY30" s="266">
        <f t="shared" si="25"/>
        <v>0</v>
      </c>
      <c r="AZ30" s="266">
        <f t="shared" si="26"/>
        <v>0</v>
      </c>
      <c r="BA30" s="211">
        <f t="shared" si="27"/>
        <v>0</v>
      </c>
      <c r="BC30" s="211">
        <f t="shared" si="28"/>
        <v>0</v>
      </c>
      <c r="BE30" s="261">
        <f t="shared" si="29"/>
        <v>0</v>
      </c>
      <c r="BF30" s="261">
        <f t="shared" si="30"/>
        <v>0</v>
      </c>
      <c r="BG30" s="275" t="str">
        <f t="shared" si="31"/>
        <v/>
      </c>
      <c r="BH30" s="266"/>
      <c r="BI30" s="90">
        <f t="shared" si="18"/>
        <v>0</v>
      </c>
    </row>
    <row r="31" spans="1:61" ht="16.5" customHeight="1">
      <c r="A31" s="11" t="s">
        <v>35</v>
      </c>
      <c r="B31" s="11" t="s">
        <v>387</v>
      </c>
      <c r="C31" s="165" t="s">
        <v>144</v>
      </c>
      <c r="D31" s="94" t="s">
        <v>280</v>
      </c>
      <c r="E31" s="13">
        <v>10680000</v>
      </c>
      <c r="F31" s="13">
        <f>E31/E$44*F$44</f>
        <v>-138736.37895557639</v>
      </c>
      <c r="G31" s="13"/>
      <c r="H31" s="13">
        <f>+SUMIF('Décompte Travaux'!B:B,B31,'Décompte Travaux'!E:E)</f>
        <v>0</v>
      </c>
      <c r="I31" s="105">
        <f t="shared" si="9"/>
        <v>10541263.621044423</v>
      </c>
      <c r="J31" s="105">
        <v>4753917.7002317347</v>
      </c>
      <c r="K31" s="109">
        <f t="shared" si="3"/>
        <v>0.45098176756922037</v>
      </c>
      <c r="L31" s="126">
        <f>+SUMIF('Décompte Travaux'!B:B,B31,'Décompte Travaux'!J:J)</f>
        <v>4753917.7002317347</v>
      </c>
      <c r="M31" s="126">
        <f>+N31-L31</f>
        <v>0</v>
      </c>
      <c r="N31" s="126">
        <f>+SUMIF('Décompte Travaux'!B:B,B31,'Décompte Travaux'!R:R)</f>
        <v>4753917.7002317347</v>
      </c>
      <c r="O31" s="130">
        <f t="shared" si="12"/>
        <v>0.45098176756922037</v>
      </c>
      <c r="P31" s="336">
        <f>SUMIFS(Saisie!$G$20:$G$2493,Saisie!$J$20:$J$2493,Listes!$N$1)</f>
        <v>0</v>
      </c>
      <c r="Q31" s="13"/>
      <c r="R31" s="13"/>
      <c r="S31" s="13"/>
      <c r="T31" s="105">
        <f t="shared" si="4"/>
        <v>0</v>
      </c>
      <c r="U31" s="325">
        <f t="shared" si="10"/>
        <v>4753917.7002317347</v>
      </c>
      <c r="V31" s="327">
        <f t="shared" si="11"/>
        <v>1</v>
      </c>
      <c r="W31" s="328">
        <f t="shared" si="13"/>
        <v>0</v>
      </c>
      <c r="Y31" s="105">
        <f>IFERROR(VLOOKUP(B31,#REF!,18,0),0)</f>
        <v>0</v>
      </c>
      <c r="Z31" s="126">
        <f t="shared" si="14"/>
        <v>0</v>
      </c>
      <c r="AA31" s="325">
        <f t="shared" si="15"/>
        <v>10541263.621044423</v>
      </c>
      <c r="AB31" s="327">
        <f t="shared" si="16"/>
        <v>1</v>
      </c>
      <c r="AC31" s="283"/>
      <c r="AD31" s="283"/>
      <c r="AE31" s="16" t="str">
        <f t="shared" si="17"/>
        <v/>
      </c>
      <c r="AF31" s="90"/>
      <c r="AI31" s="263" t="str">
        <f t="shared" si="19"/>
        <v>MENUISERIE BOIS</v>
      </c>
      <c r="AJ31" s="249" t="s">
        <v>347</v>
      </c>
      <c r="AK31" s="272"/>
      <c r="AL31" s="247"/>
      <c r="AM31" s="247">
        <v>9618000</v>
      </c>
      <c r="AN31" s="248"/>
      <c r="AO31" s="235">
        <f>+SUM(AK31,AM31:AN31)</f>
        <v>9618000</v>
      </c>
      <c r="AP31" s="251"/>
      <c r="AQ31" s="246"/>
      <c r="AR31" s="247"/>
      <c r="AS31" s="248"/>
      <c r="AT31" s="235">
        <f t="shared" si="21"/>
        <v>0</v>
      </c>
      <c r="AU31" s="211">
        <f t="shared" si="22"/>
        <v>9618000</v>
      </c>
      <c r="AW31" s="211">
        <f t="shared" si="23"/>
        <v>0</v>
      </c>
      <c r="AX31" s="266">
        <f t="shared" si="24"/>
        <v>0</v>
      </c>
      <c r="AY31" s="266">
        <f t="shared" si="25"/>
        <v>9618000</v>
      </c>
      <c r="AZ31" s="266">
        <f t="shared" si="26"/>
        <v>0</v>
      </c>
      <c r="BA31" s="211">
        <f t="shared" si="27"/>
        <v>9618000</v>
      </c>
      <c r="BC31" s="211">
        <f t="shared" si="28"/>
        <v>9618000</v>
      </c>
      <c r="BE31" s="261">
        <f t="shared" si="29"/>
        <v>10541263.621044423</v>
      </c>
      <c r="BF31" s="261">
        <f t="shared" si="30"/>
        <v>923263.62104442343</v>
      </c>
      <c r="BG31" s="267">
        <f t="shared" si="31"/>
        <v>8.7585668496254432E-2</v>
      </c>
      <c r="BH31" s="261"/>
      <c r="BI31" s="90">
        <f t="shared" si="18"/>
        <v>9618000</v>
      </c>
    </row>
    <row r="32" spans="1:61" ht="16.5" customHeight="1">
      <c r="A32" s="11" t="s">
        <v>36</v>
      </c>
      <c r="B32" s="11" t="s">
        <v>394</v>
      </c>
      <c r="C32" s="165" t="s">
        <v>118</v>
      </c>
      <c r="D32" s="94" t="s">
        <v>280</v>
      </c>
      <c r="E32" s="13">
        <v>13206760</v>
      </c>
      <c r="F32" s="13">
        <f>E32/E$44*F$44</f>
        <v>-171559.74345836593</v>
      </c>
      <c r="G32" s="13"/>
      <c r="H32" s="13">
        <f>+SUMIF('Décompte Travaux'!B:B,B32,'Décompte Travaux'!E:E)</f>
        <v>0</v>
      </c>
      <c r="I32" s="105">
        <f t="shared" si="9"/>
        <v>13035200.256541634</v>
      </c>
      <c r="J32" s="105">
        <v>3924886.188419817</v>
      </c>
      <c r="K32" s="109">
        <f t="shared" si="3"/>
        <v>0.30109903270953875</v>
      </c>
      <c r="L32" s="126">
        <f>+SUMIF('Décompte Travaux'!B:B,B32,'Décompte Travaux'!J:J)</f>
        <v>3924886.188419817</v>
      </c>
      <c r="M32" s="126">
        <f>+N32-L32</f>
        <v>0</v>
      </c>
      <c r="N32" s="126">
        <f>+SUMIF('Décompte Travaux'!B:B,B32,'Décompte Travaux'!R:R)</f>
        <v>3924886.188419817</v>
      </c>
      <c r="O32" s="130">
        <f t="shared" si="12"/>
        <v>0.30109903270953875</v>
      </c>
      <c r="P32" s="336">
        <f>SUMIFS(Saisie!$G$20:$G$2493,Saisie!$J$20:$J$2493,Listes!$O$1)</f>
        <v>0</v>
      </c>
      <c r="Q32" s="13"/>
      <c r="R32" s="13"/>
      <c r="S32" s="13"/>
      <c r="T32" s="105">
        <f t="shared" si="4"/>
        <v>0</v>
      </c>
      <c r="U32" s="325">
        <f t="shared" si="10"/>
        <v>3924886.188419817</v>
      </c>
      <c r="V32" s="327">
        <f t="shared" si="11"/>
        <v>1</v>
      </c>
      <c r="W32" s="328">
        <f t="shared" si="13"/>
        <v>0</v>
      </c>
      <c r="Y32" s="105">
        <f>IFERROR(VLOOKUP(B32,#REF!,18,0),0)</f>
        <v>0</v>
      </c>
      <c r="Z32" s="126">
        <f t="shared" si="14"/>
        <v>0</v>
      </c>
      <c r="AA32" s="325">
        <f t="shared" si="15"/>
        <v>13035200.256541634</v>
      </c>
      <c r="AB32" s="327">
        <f t="shared" si="16"/>
        <v>1</v>
      </c>
      <c r="AC32" s="283"/>
      <c r="AD32" s="283"/>
      <c r="AE32" s="16" t="str">
        <f t="shared" si="17"/>
        <v/>
      </c>
      <c r="AF32" s="90"/>
      <c r="AG32" s="90">
        <v>5390000</v>
      </c>
      <c r="AI32" s="263" t="str">
        <f t="shared" si="19"/>
        <v>PEINTURE ET ENDUIT</v>
      </c>
      <c r="AJ32" s="249" t="s">
        <v>346</v>
      </c>
      <c r="AK32" s="247"/>
      <c r="AL32" s="247"/>
      <c r="AM32" s="247"/>
      <c r="AN32" s="248"/>
      <c r="AO32" s="235">
        <f t="shared" si="20"/>
        <v>0</v>
      </c>
      <c r="AP32" s="251">
        <v>1235000</v>
      </c>
      <c r="AQ32" s="246"/>
      <c r="AR32" s="247"/>
      <c r="AS32" s="248">
        <v>5650000</v>
      </c>
      <c r="AT32" s="235">
        <f>+SUM(AQ32:AS32)</f>
        <v>5650000</v>
      </c>
      <c r="AU32" s="211">
        <f>+AO32+AP32+AT32</f>
        <v>6885000</v>
      </c>
      <c r="AW32" s="211">
        <f t="shared" si="23"/>
        <v>0</v>
      </c>
      <c r="AX32" s="266">
        <f t="shared" si="24"/>
        <v>0</v>
      </c>
      <c r="AY32" s="266">
        <f t="shared" si="25"/>
        <v>5650000</v>
      </c>
      <c r="AZ32" s="266">
        <f t="shared" si="26"/>
        <v>1235000</v>
      </c>
      <c r="BA32" s="211">
        <f t="shared" si="27"/>
        <v>6885000</v>
      </c>
      <c r="BC32" s="211">
        <f t="shared" si="28"/>
        <v>6885000</v>
      </c>
      <c r="BE32" s="261">
        <f t="shared" si="29"/>
        <v>13035200.256541634</v>
      </c>
      <c r="BF32" s="261">
        <f t="shared" si="30"/>
        <v>6150200.256541634</v>
      </c>
      <c r="BG32" s="267">
        <f t="shared" si="31"/>
        <v>0.47181478884109929</v>
      </c>
      <c r="BH32" s="261"/>
      <c r="BI32" s="90">
        <f t="shared" si="18"/>
        <v>6885000</v>
      </c>
    </row>
    <row r="33" spans="1:61" ht="15">
      <c r="A33" s="11" t="s">
        <v>37</v>
      </c>
      <c r="B33" s="11" t="s">
        <v>415</v>
      </c>
      <c r="C33" s="165" t="s">
        <v>104</v>
      </c>
      <c r="D33" s="94" t="s">
        <v>280</v>
      </c>
      <c r="E33" s="13">
        <v>20603500</v>
      </c>
      <c r="F33" s="13">
        <f>E33/E$44*F$44</f>
        <v>-267645.59773513279</v>
      </c>
      <c r="G33" s="13"/>
      <c r="H33" s="13">
        <f>+SUMIF('Décompte Travaux'!B:B,B33,'Décompte Travaux'!E:E)</f>
        <v>0</v>
      </c>
      <c r="I33" s="105">
        <f t="shared" si="9"/>
        <v>20335854.402264867</v>
      </c>
      <c r="J33" s="105">
        <v>7168500</v>
      </c>
      <c r="K33" s="109">
        <f t="shared" si="3"/>
        <v>0.35250547423282208</v>
      </c>
      <c r="L33" s="126">
        <f>+SUMIF('Décompte Travaux'!B:B,B33,'Décompte Travaux'!J:J)</f>
        <v>7168500</v>
      </c>
      <c r="M33" s="126">
        <f>+N33-L33</f>
        <v>0</v>
      </c>
      <c r="N33" s="126">
        <f>+SUMIF('Décompte Travaux'!B:B,B33,'Décompte Travaux'!R:R)</f>
        <v>7168500</v>
      </c>
      <c r="O33" s="130">
        <f t="shared" si="12"/>
        <v>0.35250547423282208</v>
      </c>
      <c r="P33" s="336">
        <f>SUMIFS(Saisie!$G$20:$G$2493,Saisie!$J$20:$J$2493,Listes!$P$1)</f>
        <v>0</v>
      </c>
      <c r="Q33" s="13"/>
      <c r="R33" s="13"/>
      <c r="S33" s="13"/>
      <c r="T33" s="105">
        <f t="shared" si="4"/>
        <v>0</v>
      </c>
      <c r="U33" s="325">
        <f t="shared" si="10"/>
        <v>7168500</v>
      </c>
      <c r="V33" s="327">
        <f t="shared" si="11"/>
        <v>1</v>
      </c>
      <c r="W33" s="328">
        <f t="shared" si="13"/>
        <v>0</v>
      </c>
      <c r="Y33" s="105">
        <f>IFERROR(VLOOKUP(B33,#REF!,18,0),0)</f>
        <v>0</v>
      </c>
      <c r="Z33" s="126">
        <f t="shared" si="14"/>
        <v>0</v>
      </c>
      <c r="AA33" s="325">
        <f t="shared" si="15"/>
        <v>20335854.402264867</v>
      </c>
      <c r="AB33" s="327">
        <f t="shared" si="16"/>
        <v>1</v>
      </c>
      <c r="AC33" s="283"/>
      <c r="AD33" s="283"/>
      <c r="AE33" s="16" t="str">
        <f t="shared" si="17"/>
        <v/>
      </c>
      <c r="AF33" s="288"/>
      <c r="AG33" s="90">
        <f>+AK33*0.22</f>
        <v>2768304.44</v>
      </c>
      <c r="AI33" s="263" t="str">
        <f t="shared" si="19"/>
        <v>ELECTRICITE Courants forts</v>
      </c>
      <c r="AJ33" s="249" t="s">
        <v>318</v>
      </c>
      <c r="AK33" s="247">
        <v>12583202</v>
      </c>
      <c r="AL33" s="247"/>
      <c r="AM33" s="247"/>
      <c r="AN33" s="248"/>
      <c r="AO33" s="235">
        <f>+SUM(AK33,AM33:AN33)</f>
        <v>12583202</v>
      </c>
      <c r="AP33" s="251"/>
      <c r="AQ33" s="246"/>
      <c r="AR33" s="247"/>
      <c r="AS33" s="248"/>
      <c r="AT33" s="235">
        <f t="shared" si="21"/>
        <v>0</v>
      </c>
      <c r="AU33" s="211">
        <f t="shared" si="22"/>
        <v>12583202</v>
      </c>
      <c r="AW33" s="211">
        <f t="shared" si="23"/>
        <v>0</v>
      </c>
      <c r="AX33" s="266">
        <f>-R33</f>
        <v>0</v>
      </c>
      <c r="AY33" s="266">
        <f t="shared" si="25"/>
        <v>0</v>
      </c>
      <c r="AZ33" s="266">
        <f t="shared" si="26"/>
        <v>0</v>
      </c>
      <c r="BA33" s="211">
        <f t="shared" si="27"/>
        <v>0</v>
      </c>
      <c r="BC33" s="211">
        <f t="shared" si="28"/>
        <v>0</v>
      </c>
      <c r="BE33" s="261">
        <f t="shared" si="29"/>
        <v>20335854.402264867</v>
      </c>
      <c r="BF33" s="261">
        <f t="shared" si="30"/>
        <v>20335854.402264867</v>
      </c>
      <c r="BG33" s="269">
        <f t="shared" si="31"/>
        <v>1</v>
      </c>
      <c r="BH33" s="271" t="s">
        <v>369</v>
      </c>
      <c r="BI33" s="90">
        <f t="shared" si="18"/>
        <v>0</v>
      </c>
    </row>
    <row r="34" spans="1:61" ht="15">
      <c r="A34" s="11" t="s">
        <v>38</v>
      </c>
      <c r="B34" s="11" t="s">
        <v>403</v>
      </c>
      <c r="C34" s="165" t="s">
        <v>145</v>
      </c>
      <c r="D34" s="94" t="s">
        <v>280</v>
      </c>
      <c r="E34" s="13">
        <v>2647500</v>
      </c>
      <c r="F34" s="13">
        <f>E34/E$44*F$44</f>
        <v>-34391.813041656227</v>
      </c>
      <c r="G34" s="13"/>
      <c r="H34" s="13">
        <f>+SUMIF('Décompte Travaux'!B:B,B34,'Décompte Travaux'!E:E)</f>
        <v>0</v>
      </c>
      <c r="I34" s="105">
        <f t="shared" si="9"/>
        <v>2613108.1869583437</v>
      </c>
      <c r="J34" s="105">
        <v>417347.61717599467</v>
      </c>
      <c r="K34" s="109">
        <f t="shared" si="3"/>
        <v>0.15971310306206152</v>
      </c>
      <c r="L34" s="126">
        <f>+SUMIF('Décompte Travaux'!B:B,B34,'Décompte Travaux'!J:J)</f>
        <v>417347.61717599467</v>
      </c>
      <c r="M34" s="126">
        <f>+N34-L34</f>
        <v>0</v>
      </c>
      <c r="N34" s="126">
        <f>+SUMIF('Décompte Travaux'!B:B,B34,'Décompte Travaux'!R:R)</f>
        <v>417347.61717599467</v>
      </c>
      <c r="O34" s="130">
        <f t="shared" si="12"/>
        <v>0.15971310306206152</v>
      </c>
      <c r="P34" s="336">
        <f>SUMIFS(Saisie!$G$20:$G$2493,Saisie!$J$20:$J$2493,Listes!$Q$1)</f>
        <v>0</v>
      </c>
      <c r="Q34" s="13"/>
      <c r="R34" s="13"/>
      <c r="S34" s="13"/>
      <c r="T34" s="105">
        <f t="shared" si="4"/>
        <v>0</v>
      </c>
      <c r="U34" s="325">
        <f t="shared" si="10"/>
        <v>417347.61717599467</v>
      </c>
      <c r="V34" s="327">
        <f t="shared" si="11"/>
        <v>1</v>
      </c>
      <c r="W34" s="328">
        <f t="shared" si="13"/>
        <v>0</v>
      </c>
      <c r="Y34" s="105">
        <f>IFERROR(VLOOKUP(B34,#REF!,18,0),0)</f>
        <v>0</v>
      </c>
      <c r="Z34" s="126">
        <f t="shared" si="14"/>
        <v>0</v>
      </c>
      <c r="AA34" s="325">
        <f t="shared" si="15"/>
        <v>2613108.1869583437</v>
      </c>
      <c r="AB34" s="327">
        <f t="shared" si="16"/>
        <v>1</v>
      </c>
      <c r="AC34" s="283"/>
      <c r="AD34" s="283"/>
      <c r="AE34" s="16" t="str">
        <f t="shared" si="17"/>
        <v/>
      </c>
      <c r="AF34" s="90"/>
      <c r="AG34" s="90">
        <f>+AG32-AG33</f>
        <v>2621695.56</v>
      </c>
      <c r="AI34" s="263" t="str">
        <f t="shared" si="19"/>
        <v>Courants faibles (téléphone, informatique, video surveillance)</v>
      </c>
      <c r="AJ34" s="249" t="s">
        <v>371</v>
      </c>
      <c r="AK34" s="257"/>
      <c r="AL34" s="247"/>
      <c r="AM34" s="247"/>
      <c r="AN34" s="248">
        <f>I34*(1-30%)</f>
        <v>1829175.7308708406</v>
      </c>
      <c r="AO34" s="235">
        <f t="shared" si="20"/>
        <v>1829175.7308708406</v>
      </c>
      <c r="AP34" s="251"/>
      <c r="AQ34" s="246"/>
      <c r="AR34" s="247"/>
      <c r="AS34" s="248"/>
      <c r="AT34" s="235">
        <f t="shared" si="21"/>
        <v>0</v>
      </c>
      <c r="AU34" s="211">
        <f t="shared" si="22"/>
        <v>1829175.7308708406</v>
      </c>
      <c r="AW34" s="211">
        <f t="shared" si="23"/>
        <v>0</v>
      </c>
      <c r="AX34" s="266">
        <f t="shared" si="24"/>
        <v>0</v>
      </c>
      <c r="AY34" s="266">
        <f t="shared" si="25"/>
        <v>1829175.7308708406</v>
      </c>
      <c r="AZ34" s="266">
        <f t="shared" si="26"/>
        <v>0</v>
      </c>
      <c r="BA34" s="211">
        <f t="shared" si="27"/>
        <v>1829175.7308708406</v>
      </c>
      <c r="BC34" s="211">
        <f t="shared" si="28"/>
        <v>1829175.7308708406</v>
      </c>
      <c r="BE34" s="261">
        <f t="shared" si="29"/>
        <v>2613108.1869583437</v>
      </c>
      <c r="BF34" s="261">
        <f t="shared" si="30"/>
        <v>783932.45608750312</v>
      </c>
      <c r="BG34" s="278">
        <f t="shared" si="31"/>
        <v>0.3</v>
      </c>
      <c r="BH34" s="279" t="s">
        <v>372</v>
      </c>
      <c r="BI34" s="90">
        <f t="shared" si="18"/>
        <v>1829175.7308708406</v>
      </c>
    </row>
    <row r="35" spans="1:61" ht="16.5" customHeight="1">
      <c r="A35" s="11" t="s">
        <v>39</v>
      </c>
      <c r="B35" s="11" t="s">
        <v>389</v>
      </c>
      <c r="C35" s="165" t="s">
        <v>127</v>
      </c>
      <c r="D35" s="94" t="s">
        <v>280</v>
      </c>
      <c r="E35" s="13">
        <v>8107375</v>
      </c>
      <c r="F35" s="13">
        <f>E35/E$44*F$44</f>
        <v>-105317.21445083953</v>
      </c>
      <c r="G35" s="13"/>
      <c r="H35" s="13">
        <f>+SUMIF('Décompte Travaux'!B:B,B35,'Décompte Travaux'!E:E)</f>
        <v>0</v>
      </c>
      <c r="I35" s="105">
        <f t="shared" si="9"/>
        <v>8002057.7855491601</v>
      </c>
      <c r="J35" s="105">
        <v>8531497.8580057044</v>
      </c>
      <c r="K35" s="109">
        <f t="shared" si="3"/>
        <v>1.0661629904013759</v>
      </c>
      <c r="L35" s="126">
        <f>+SUMIF('Décompte Travaux'!B:B,B35,'Décompte Travaux'!J:J)</f>
        <v>8531497.8580057044</v>
      </c>
      <c r="M35" s="126">
        <f>+N35-L35</f>
        <v>0</v>
      </c>
      <c r="N35" s="126">
        <f>+SUMIF('Décompte Travaux'!B:B,B35,'Décompte Travaux'!R:R)</f>
        <v>8531497.8580057044</v>
      </c>
      <c r="O35" s="130">
        <f t="shared" si="12"/>
        <v>1.0661629904013759</v>
      </c>
      <c r="P35" s="336">
        <f>SUMIFS(Saisie!$G$20:$G$2493,Saisie!$J$20:$J$2493,Listes!$R$1)</f>
        <v>0</v>
      </c>
      <c r="Q35" s="13"/>
      <c r="R35" s="13"/>
      <c r="S35" s="13"/>
      <c r="T35" s="105">
        <f t="shared" si="4"/>
        <v>0</v>
      </c>
      <c r="U35" s="325">
        <f t="shared" si="10"/>
        <v>8531497.8580057044</v>
      </c>
      <c r="V35" s="327">
        <f t="shared" si="11"/>
        <v>1</v>
      </c>
      <c r="W35" s="328">
        <f t="shared" si="13"/>
        <v>0</v>
      </c>
      <c r="Y35" s="105">
        <f>IFERROR(VLOOKUP(B35,#REF!,18,0),0)</f>
        <v>0</v>
      </c>
      <c r="Z35" s="126">
        <f t="shared" si="14"/>
        <v>0</v>
      </c>
      <c r="AA35" s="325">
        <f t="shared" si="15"/>
        <v>8002057.7855491601</v>
      </c>
      <c r="AB35" s="327">
        <f t="shared" si="16"/>
        <v>1</v>
      </c>
      <c r="AC35" s="283"/>
      <c r="AD35" s="283"/>
      <c r="AE35" s="16" t="str">
        <f t="shared" si="17"/>
        <v/>
      </c>
      <c r="AF35" s="90"/>
      <c r="AI35" s="263" t="str">
        <f t="shared" si="19"/>
        <v>CARRELAGE</v>
      </c>
      <c r="AJ35" s="249" t="s">
        <v>346</v>
      </c>
      <c r="AK35" s="247"/>
      <c r="AL35" s="247"/>
      <c r="AM35" s="247"/>
      <c r="AN35" s="248"/>
      <c r="AO35" s="235">
        <f t="shared" si="20"/>
        <v>0</v>
      </c>
      <c r="AP35" s="251">
        <v>610440</v>
      </c>
      <c r="AQ35" s="246"/>
      <c r="AR35" s="247">
        <f>92*12203+50*3814</f>
        <v>1313376</v>
      </c>
      <c r="AS35" s="248">
        <v>1936038</v>
      </c>
      <c r="AT35" s="235">
        <f>+SUM(AQ35:AS35)</f>
        <v>3249414</v>
      </c>
      <c r="AU35" s="211">
        <f t="shared" si="22"/>
        <v>3859854</v>
      </c>
      <c r="AW35" s="211">
        <f t="shared" si="23"/>
        <v>0</v>
      </c>
      <c r="AX35" s="266">
        <f t="shared" si="24"/>
        <v>1313376</v>
      </c>
      <c r="AY35" s="266">
        <f t="shared" si="25"/>
        <v>1936038</v>
      </c>
      <c r="AZ35" s="266">
        <f t="shared" si="26"/>
        <v>610440</v>
      </c>
      <c r="BA35" s="211">
        <f t="shared" si="27"/>
        <v>3859854</v>
      </c>
      <c r="BC35" s="211">
        <f t="shared" si="28"/>
        <v>3859854</v>
      </c>
      <c r="BE35" s="261">
        <f t="shared" si="29"/>
        <v>8002057.7855491601</v>
      </c>
      <c r="BF35" s="261">
        <f t="shared" si="30"/>
        <v>4142203.7855491601</v>
      </c>
      <c r="BG35" s="267">
        <f t="shared" si="31"/>
        <v>0.51764232358200746</v>
      </c>
      <c r="BH35" s="261"/>
      <c r="BI35" s="90">
        <f t="shared" si="18"/>
        <v>3859854</v>
      </c>
    </row>
    <row r="36" spans="1:61" ht="16.5" customHeight="1">
      <c r="A36" s="11" t="s">
        <v>40</v>
      </c>
      <c r="B36" s="11"/>
      <c r="C36" s="165" t="s">
        <v>146</v>
      </c>
      <c r="D36" s="94" t="s">
        <v>280</v>
      </c>
      <c r="E36" s="13"/>
      <c r="F36" s="13"/>
      <c r="G36" s="13"/>
      <c r="H36" s="13"/>
      <c r="I36" s="105">
        <f t="shared" si="9"/>
        <v>0</v>
      </c>
      <c r="J36" s="105"/>
      <c r="K36" s="109" t="str">
        <f t="shared" si="3"/>
        <v/>
      </c>
      <c r="L36" s="126"/>
      <c r="M36" s="126"/>
      <c r="N36" s="126"/>
      <c r="O36" s="130" t="str">
        <f t="shared" si="12"/>
        <v/>
      </c>
      <c r="P36" s="336">
        <f>SUMIFS(Saisie!$G$20:$G$2493,Saisie!$J$20:$J$2493,Listes!$S$1)</f>
        <v>0</v>
      </c>
      <c r="Q36" s="13"/>
      <c r="R36" s="13"/>
      <c r="S36" s="13"/>
      <c r="T36" s="13">
        <f t="shared" si="4"/>
        <v>0</v>
      </c>
      <c r="U36" s="14">
        <f t="shared" si="10"/>
        <v>0</v>
      </c>
      <c r="V36" s="15" t="str">
        <f t="shared" si="11"/>
        <v/>
      </c>
      <c r="W36" s="16">
        <f t="shared" si="13"/>
        <v>0</v>
      </c>
      <c r="Y36" s="359">
        <f t="shared" si="32"/>
        <v>0</v>
      </c>
      <c r="Z36" s="221">
        <f t="shared" si="14"/>
        <v>0</v>
      </c>
      <c r="AA36" s="14">
        <f t="shared" si="15"/>
        <v>0</v>
      </c>
      <c r="AB36" s="321" t="str">
        <f t="shared" si="16"/>
        <v/>
      </c>
      <c r="AC36" s="283"/>
      <c r="AD36" s="283"/>
      <c r="AE36" s="16" t="str">
        <f t="shared" si="17"/>
        <v/>
      </c>
      <c r="AF36" s="90"/>
      <c r="AI36" s="263" t="str">
        <f t="shared" si="19"/>
        <v>REVETEMENT SOUPLE</v>
      </c>
      <c r="AJ36" s="246"/>
      <c r="AK36" s="247"/>
      <c r="AL36" s="247"/>
      <c r="AM36" s="247"/>
      <c r="AN36" s="248"/>
      <c r="AO36" s="235">
        <f t="shared" si="20"/>
        <v>0</v>
      </c>
      <c r="AP36" s="251"/>
      <c r="AQ36" s="246"/>
      <c r="AR36" s="247"/>
      <c r="AS36" s="248"/>
      <c r="AT36" s="235">
        <f t="shared" si="21"/>
        <v>0</v>
      </c>
      <c r="AU36" s="211">
        <f t="shared" si="22"/>
        <v>0</v>
      </c>
      <c r="AW36" s="211">
        <f t="shared" si="23"/>
        <v>0</v>
      </c>
      <c r="AX36" s="266">
        <f t="shared" si="24"/>
        <v>0</v>
      </c>
      <c r="AY36" s="266">
        <f t="shared" si="25"/>
        <v>0</v>
      </c>
      <c r="AZ36" s="266">
        <f t="shared" si="26"/>
        <v>0</v>
      </c>
      <c r="BA36" s="211">
        <f t="shared" si="27"/>
        <v>0</v>
      </c>
      <c r="BC36" s="211">
        <f t="shared" si="28"/>
        <v>0</v>
      </c>
      <c r="BE36" s="261">
        <f t="shared" si="29"/>
        <v>0</v>
      </c>
      <c r="BF36" s="261">
        <f t="shared" si="30"/>
        <v>0</v>
      </c>
      <c r="BG36" s="267" t="str">
        <f t="shared" si="31"/>
        <v/>
      </c>
      <c r="BH36" s="261"/>
      <c r="BI36" s="90">
        <f t="shared" si="18"/>
        <v>0</v>
      </c>
    </row>
    <row r="37" spans="1:61" ht="16.5" customHeight="1">
      <c r="A37" s="11" t="s">
        <v>41</v>
      </c>
      <c r="B37" s="11" t="s">
        <v>393</v>
      </c>
      <c r="C37" s="165" t="s">
        <v>100</v>
      </c>
      <c r="D37" s="94" t="s">
        <v>280</v>
      </c>
      <c r="E37" s="13">
        <v>22459200</v>
      </c>
      <c r="F37" s="13">
        <f>E37/E$44*F$44</f>
        <v>-291751.69309354696</v>
      </c>
      <c r="G37" s="13"/>
      <c r="H37" s="13">
        <f>+SUMIF('Décompte Travaux'!B:B,B37,'Décompte Travaux'!E:E)</f>
        <v>0</v>
      </c>
      <c r="I37" s="105">
        <f t="shared" si="9"/>
        <v>22167448.306906454</v>
      </c>
      <c r="J37" s="105">
        <v>17797419.033257294</v>
      </c>
      <c r="K37" s="109">
        <f t="shared" si="3"/>
        <v>0.80286277368750458</v>
      </c>
      <c r="L37" s="126">
        <f>+SUMIF('Décompte Travaux'!B:B,B37,'Décompte Travaux'!J:J)</f>
        <v>17797419.033257294</v>
      </c>
      <c r="M37" s="126">
        <f>+N37-L37</f>
        <v>0</v>
      </c>
      <c r="N37" s="126">
        <f>+SUMIF('Décompte Travaux'!B:B,B37,'Décompte Travaux'!R:R)</f>
        <v>17797419.033257294</v>
      </c>
      <c r="O37" s="130">
        <f t="shared" si="12"/>
        <v>0.80286277368750458</v>
      </c>
      <c r="P37" s="336">
        <f>SUMIFS(Saisie!$G$20:$G$2493,Saisie!$J$20:$J$2493,Listes!$T$1)</f>
        <v>0</v>
      </c>
      <c r="Q37" s="13"/>
      <c r="R37" s="13"/>
      <c r="S37" s="13"/>
      <c r="T37" s="105">
        <f t="shared" si="4"/>
        <v>0</v>
      </c>
      <c r="U37" s="325">
        <f t="shared" si="10"/>
        <v>17797419.033257294</v>
      </c>
      <c r="V37" s="327">
        <f t="shared" si="11"/>
        <v>1</v>
      </c>
      <c r="W37" s="328">
        <f t="shared" si="13"/>
        <v>0</v>
      </c>
      <c r="Y37" s="105">
        <f>IFERROR(VLOOKUP(B37,#REF!,18,0),0)</f>
        <v>0</v>
      </c>
      <c r="Z37" s="126">
        <f t="shared" si="14"/>
        <v>0</v>
      </c>
      <c r="AA37" s="325">
        <f t="shared" si="15"/>
        <v>22167448.306906454</v>
      </c>
      <c r="AB37" s="327">
        <f t="shared" si="16"/>
        <v>1</v>
      </c>
      <c r="AC37" s="283"/>
      <c r="AD37" s="283"/>
      <c r="AE37" s="16" t="str">
        <f t="shared" si="17"/>
        <v/>
      </c>
      <c r="AF37" s="288"/>
      <c r="AI37" s="263" t="str">
        <f t="shared" si="19"/>
        <v>PLOMBERIE SANITAIRE</v>
      </c>
      <c r="AJ37" s="249" t="s">
        <v>349</v>
      </c>
      <c r="AK37" s="247"/>
      <c r="AL37" s="247"/>
      <c r="AM37" s="247"/>
      <c r="AN37" s="248"/>
      <c r="AO37" s="235">
        <f t="shared" si="20"/>
        <v>0</v>
      </c>
      <c r="AP37" s="251">
        <v>1900000</v>
      </c>
      <c r="AQ37" s="274">
        <v>3570682</v>
      </c>
      <c r="AR37" s="247"/>
      <c r="AS37" s="248">
        <v>4805000</v>
      </c>
      <c r="AT37" s="235">
        <f t="shared" si="21"/>
        <v>8375682</v>
      </c>
      <c r="AU37" s="211">
        <f t="shared" si="22"/>
        <v>10275682</v>
      </c>
      <c r="AW37" s="211">
        <f t="shared" si="23"/>
        <v>0</v>
      </c>
      <c r="AX37" s="266">
        <f>AK37+AR37</f>
        <v>0</v>
      </c>
      <c r="AY37" s="266">
        <f t="shared" si="25"/>
        <v>4805000</v>
      </c>
      <c r="AZ37" s="266">
        <f t="shared" si="26"/>
        <v>1900000</v>
      </c>
      <c r="BA37" s="211">
        <f t="shared" si="27"/>
        <v>6705000</v>
      </c>
      <c r="BC37" s="211">
        <f t="shared" si="28"/>
        <v>6705000</v>
      </c>
      <c r="BE37" s="261">
        <f t="shared" si="29"/>
        <v>22167448.306906454</v>
      </c>
      <c r="BF37" s="261">
        <f t="shared" si="30"/>
        <v>15462448.306906454</v>
      </c>
      <c r="BG37" s="269">
        <f t="shared" si="31"/>
        <v>0.69752946269819427</v>
      </c>
      <c r="BH37" s="271" t="s">
        <v>369</v>
      </c>
      <c r="BI37" s="90">
        <f t="shared" si="18"/>
        <v>6705000</v>
      </c>
    </row>
    <row r="38" spans="1:61" ht="16.5" customHeight="1">
      <c r="A38" s="11" t="s">
        <v>42</v>
      </c>
      <c r="B38" s="11" t="s">
        <v>441</v>
      </c>
      <c r="C38" s="165" t="s">
        <v>147</v>
      </c>
      <c r="D38" s="94" t="s">
        <v>280</v>
      </c>
      <c r="E38" s="13"/>
      <c r="F38" s="13"/>
      <c r="G38" s="319">
        <f>3000000+695000</f>
        <v>3695000</v>
      </c>
      <c r="H38" s="13">
        <f>+SUMIF('Décompte Travaux'!B:B,B38,'Décompte Travaux'!E:E)</f>
        <v>0</v>
      </c>
      <c r="I38" s="105">
        <f t="shared" si="9"/>
        <v>3695000</v>
      </c>
      <c r="J38" s="105">
        <v>3395000</v>
      </c>
      <c r="K38" s="109">
        <f t="shared" si="3"/>
        <v>0.91880920162381596</v>
      </c>
      <c r="L38" s="126">
        <f>+SUMIF('Décompte Travaux'!B:B,B38,'Décompte Travaux'!J:J)</f>
        <v>3395000</v>
      </c>
      <c r="M38" s="126"/>
      <c r="N38" s="126">
        <f>+SUMIF('Décompte Travaux'!B:B,B38,'Décompte Travaux'!R:R)</f>
        <v>3395000</v>
      </c>
      <c r="O38" s="130">
        <f t="shared" si="12"/>
        <v>0.91880920162381596</v>
      </c>
      <c r="P38" s="336">
        <f>SUMIFS(Saisie!$G$20:$G$2493,Saisie!$J$20:$J$2493,Listes!$U$1)</f>
        <v>0</v>
      </c>
      <c r="Q38" s="13"/>
      <c r="R38" s="13"/>
      <c r="S38" s="13"/>
      <c r="T38" s="105">
        <f t="shared" si="4"/>
        <v>0</v>
      </c>
      <c r="U38" s="325">
        <f t="shared" si="10"/>
        <v>3395000</v>
      </c>
      <c r="V38" s="327">
        <f t="shared" si="11"/>
        <v>1</v>
      </c>
      <c r="W38" s="328">
        <f t="shared" si="13"/>
        <v>0</v>
      </c>
      <c r="Y38" s="105">
        <f>IFERROR(VLOOKUP(B38,#REF!,18,0),0)</f>
        <v>0</v>
      </c>
      <c r="Z38" s="126">
        <f t="shared" si="14"/>
        <v>0</v>
      </c>
      <c r="AA38" s="325">
        <f t="shared" si="15"/>
        <v>3695000</v>
      </c>
      <c r="AB38" s="327">
        <f t="shared" si="16"/>
        <v>1</v>
      </c>
      <c r="AC38" s="283"/>
      <c r="AD38" s="283"/>
      <c r="AE38" s="16" t="str">
        <f t="shared" si="17"/>
        <v/>
      </c>
      <c r="AF38" s="90"/>
      <c r="AI38" s="263" t="str">
        <f t="shared" si="19"/>
        <v>CLIMATISATION</v>
      </c>
      <c r="AJ38" s="249" t="s">
        <v>350</v>
      </c>
      <c r="AK38" s="247"/>
      <c r="AL38" s="247"/>
      <c r="AM38" s="247"/>
      <c r="AN38" s="248"/>
      <c r="AO38" s="235">
        <f t="shared" si="20"/>
        <v>0</v>
      </c>
      <c r="AP38" s="287">
        <f>500000*0</f>
        <v>0</v>
      </c>
      <c r="AQ38" s="246"/>
      <c r="AR38" s="247"/>
      <c r="AS38" s="286">
        <f>1644000*0</f>
        <v>0</v>
      </c>
      <c r="AT38" s="235">
        <f t="shared" si="21"/>
        <v>0</v>
      </c>
      <c r="AU38" s="211">
        <f t="shared" si="22"/>
        <v>0</v>
      </c>
      <c r="AW38" s="211">
        <f t="shared" si="23"/>
        <v>0</v>
      </c>
      <c r="AX38" s="266">
        <f t="shared" si="24"/>
        <v>0</v>
      </c>
      <c r="AY38" s="266">
        <f t="shared" si="25"/>
        <v>0</v>
      </c>
      <c r="AZ38" s="266">
        <f t="shared" si="26"/>
        <v>0</v>
      </c>
      <c r="BA38" s="211">
        <f t="shared" si="27"/>
        <v>0</v>
      </c>
      <c r="BC38" s="211">
        <f t="shared" si="28"/>
        <v>0</v>
      </c>
      <c r="BE38" s="261">
        <f t="shared" si="29"/>
        <v>3695000</v>
      </c>
      <c r="BF38" s="271">
        <f t="shared" si="30"/>
        <v>3695000</v>
      </c>
      <c r="BG38" s="267">
        <f t="shared" si="31"/>
        <v>1</v>
      </c>
      <c r="BH38" s="271"/>
      <c r="BI38" s="90">
        <f t="shared" si="18"/>
        <v>0</v>
      </c>
    </row>
    <row r="39" spans="1:61" ht="16.5" customHeight="1">
      <c r="A39" s="11" t="s">
        <v>43</v>
      </c>
      <c r="B39" s="11" t="s">
        <v>396</v>
      </c>
      <c r="C39" s="165"/>
      <c r="D39" s="94" t="s">
        <v>280</v>
      </c>
      <c r="E39" s="13">
        <v>1636000</v>
      </c>
      <c r="F39" s="13">
        <f>E39/E$44*F$44</f>
        <v>-21252.126963607021</v>
      </c>
      <c r="G39" s="13"/>
      <c r="H39" s="13">
        <f>+SUMIF('Décompte Travaux'!B:B,B39,'Décompte Travaux'!E:E)</f>
        <v>0</v>
      </c>
      <c r="I39" s="105">
        <f t="shared" si="9"/>
        <v>1614747.873036393</v>
      </c>
      <c r="J39" s="105">
        <v>394417.93384247134</v>
      </c>
      <c r="K39" s="109">
        <f t="shared" si="3"/>
        <v>0.24425976366254795</v>
      </c>
      <c r="L39" s="126">
        <f>+SUMIF('Décompte Travaux'!B:B,B39,'Décompte Travaux'!J:J)</f>
        <v>394417.93384247134</v>
      </c>
      <c r="M39" s="126">
        <f>+N39-L39</f>
        <v>0</v>
      </c>
      <c r="N39" s="126">
        <f>+SUMIF('Décompte Travaux'!B:B,B39,'Décompte Travaux'!R:R)</f>
        <v>394417.93384247134</v>
      </c>
      <c r="O39" s="130">
        <f t="shared" si="12"/>
        <v>0.24425976366254795</v>
      </c>
      <c r="P39" s="336"/>
      <c r="Q39" s="13"/>
      <c r="R39" s="13"/>
      <c r="S39" s="13"/>
      <c r="T39" s="105">
        <f t="shared" si="4"/>
        <v>0</v>
      </c>
      <c r="U39" s="325">
        <f t="shared" si="10"/>
        <v>394417.93384247134</v>
      </c>
      <c r="V39" s="327">
        <f t="shared" si="11"/>
        <v>1</v>
      </c>
      <c r="W39" s="328">
        <f t="shared" si="13"/>
        <v>0</v>
      </c>
      <c r="Y39" s="105">
        <f>IFERROR(VLOOKUP(B39,#REF!,18,0),0)</f>
        <v>0</v>
      </c>
      <c r="Z39" s="126">
        <f t="shared" si="14"/>
        <v>0</v>
      </c>
      <c r="AA39" s="325">
        <f t="shared" si="15"/>
        <v>1614747.873036393</v>
      </c>
      <c r="AB39" s="327">
        <f t="shared" si="16"/>
        <v>1</v>
      </c>
      <c r="AC39" s="283"/>
      <c r="AD39" s="283"/>
      <c r="AE39" s="16" t="str">
        <f t="shared" si="17"/>
        <v/>
      </c>
      <c r="AF39" s="288"/>
      <c r="AI39" s="263" t="str">
        <f t="shared" si="19"/>
        <v>VMC</v>
      </c>
      <c r="AJ39" s="249" t="s">
        <v>346</v>
      </c>
      <c r="AK39" s="247"/>
      <c r="AL39" s="247"/>
      <c r="AM39" s="247"/>
      <c r="AN39" s="248"/>
      <c r="AO39" s="235">
        <f t="shared" si="20"/>
        <v>0</v>
      </c>
      <c r="AP39" s="251">
        <v>0</v>
      </c>
      <c r="AQ39" s="246"/>
      <c r="AR39" s="247"/>
      <c r="AS39" s="248">
        <v>400000</v>
      </c>
      <c r="AT39" s="235">
        <f t="shared" si="21"/>
        <v>400000</v>
      </c>
      <c r="AU39" s="211">
        <f t="shared" si="22"/>
        <v>400000</v>
      </c>
      <c r="AW39" s="211">
        <f t="shared" si="23"/>
        <v>0</v>
      </c>
      <c r="AX39" s="266">
        <f t="shared" si="24"/>
        <v>0</v>
      </c>
      <c r="AY39" s="266">
        <f t="shared" si="25"/>
        <v>400000</v>
      </c>
      <c r="AZ39" s="266">
        <f t="shared" si="26"/>
        <v>0</v>
      </c>
      <c r="BA39" s="211">
        <f t="shared" si="27"/>
        <v>400000</v>
      </c>
      <c r="BC39" s="211">
        <f t="shared" si="28"/>
        <v>400000</v>
      </c>
      <c r="BE39" s="261">
        <f t="shared" si="29"/>
        <v>1614747.873036393</v>
      </c>
      <c r="BF39" s="261">
        <f t="shared" si="30"/>
        <v>1214747.873036393</v>
      </c>
      <c r="BG39" s="269">
        <f t="shared" si="31"/>
        <v>0.7522833089429406</v>
      </c>
      <c r="BH39" s="271" t="s">
        <v>369</v>
      </c>
      <c r="BI39" s="90">
        <f t="shared" si="18"/>
        <v>400000</v>
      </c>
    </row>
    <row r="40" spans="1:61" ht="16.5" customHeight="1">
      <c r="A40" s="11" t="s">
        <v>44</v>
      </c>
      <c r="B40" s="11" t="s">
        <v>405</v>
      </c>
      <c r="C40" s="165"/>
      <c r="D40" s="94" t="s">
        <v>280</v>
      </c>
      <c r="E40" s="13">
        <v>4796000</v>
      </c>
      <c r="F40" s="13">
        <f>E40/E$44*F$44</f>
        <v>-62301.467553459217</v>
      </c>
      <c r="G40" s="13"/>
      <c r="H40" s="13">
        <f>+SUMIF('Décompte Travaux'!B:B,B40,'Décompte Travaux'!E:E)</f>
        <v>0</v>
      </c>
      <c r="I40" s="105">
        <f t="shared" si="9"/>
        <v>4733698.5324465409</v>
      </c>
      <c r="J40" s="105">
        <v>4949071.0267712316</v>
      </c>
      <c r="K40" s="109">
        <f t="shared" si="3"/>
        <v>1.0454977208304346</v>
      </c>
      <c r="L40" s="126">
        <f>+SUMIF('Décompte Travaux'!B:B,B40,'Décompte Travaux'!J:J)</f>
        <v>4949071.0267712316</v>
      </c>
      <c r="M40" s="126">
        <f>+N40-L40</f>
        <v>0</v>
      </c>
      <c r="N40" s="126">
        <f>+SUMIF('Décompte Travaux'!B:B,B40,'Décompte Travaux'!R:R)</f>
        <v>4949071.0267712316</v>
      </c>
      <c r="O40" s="130">
        <f t="shared" si="12"/>
        <v>1.0454977208304346</v>
      </c>
      <c r="P40" s="336">
        <f>SUMIFS(Saisie!$G$20:$G$2493,Saisie!$J$20:$J$2493,Listes!$V$1)</f>
        <v>0</v>
      </c>
      <c r="Q40" s="13"/>
      <c r="R40" s="13"/>
      <c r="S40" s="13"/>
      <c r="T40" s="105">
        <f t="shared" si="4"/>
        <v>0</v>
      </c>
      <c r="U40" s="325">
        <f t="shared" si="10"/>
        <v>4949071.0267712316</v>
      </c>
      <c r="V40" s="327">
        <f t="shared" si="11"/>
        <v>1</v>
      </c>
      <c r="W40" s="328">
        <f t="shared" si="13"/>
        <v>0</v>
      </c>
      <c r="Y40" s="105">
        <f>IFERROR(VLOOKUP(B40,#REF!,18,0),0)</f>
        <v>0</v>
      </c>
      <c r="Z40" s="126">
        <f t="shared" si="14"/>
        <v>0</v>
      </c>
      <c r="AA40" s="325">
        <f t="shared" si="15"/>
        <v>4733698.5324465409</v>
      </c>
      <c r="AB40" s="327">
        <f t="shared" si="16"/>
        <v>1</v>
      </c>
      <c r="AC40" s="283"/>
      <c r="AD40" s="283"/>
      <c r="AE40" s="16" t="str">
        <f t="shared" si="17"/>
        <v/>
      </c>
      <c r="AF40" s="288"/>
      <c r="AI40" s="263" t="str">
        <f t="shared" si="19"/>
        <v>BTC</v>
      </c>
      <c r="AJ40" s="249" t="s">
        <v>346</v>
      </c>
      <c r="AK40" s="247"/>
      <c r="AL40" s="247"/>
      <c r="AM40" s="247"/>
      <c r="AN40" s="248"/>
      <c r="AO40" s="235">
        <f t="shared" si="20"/>
        <v>0</v>
      </c>
      <c r="AP40" s="251">
        <v>1130000</v>
      </c>
      <c r="AQ40" s="246"/>
      <c r="AR40" s="247"/>
      <c r="AS40" s="248"/>
      <c r="AT40" s="235">
        <f t="shared" si="21"/>
        <v>0</v>
      </c>
      <c r="AU40" s="211">
        <f t="shared" si="22"/>
        <v>1130000</v>
      </c>
      <c r="AW40" s="211">
        <f t="shared" si="23"/>
        <v>0</v>
      </c>
      <c r="AX40" s="266">
        <f t="shared" si="24"/>
        <v>0</v>
      </c>
      <c r="AY40" s="266">
        <f t="shared" si="25"/>
        <v>0</v>
      </c>
      <c r="AZ40" s="266">
        <f t="shared" si="26"/>
        <v>1130000</v>
      </c>
      <c r="BA40" s="211">
        <f t="shared" si="27"/>
        <v>1130000</v>
      </c>
      <c r="BC40" s="211">
        <f t="shared" si="28"/>
        <v>1130000</v>
      </c>
      <c r="BE40" s="261">
        <f t="shared" si="29"/>
        <v>4733698.5324465409</v>
      </c>
      <c r="BF40" s="261">
        <f t="shared" si="30"/>
        <v>3603698.5324465409</v>
      </c>
      <c r="BG40" s="269">
        <f t="shared" si="31"/>
        <v>0.76128602354912189</v>
      </c>
      <c r="BH40" s="271" t="s">
        <v>369</v>
      </c>
      <c r="BI40" s="90">
        <f t="shared" si="18"/>
        <v>1130000</v>
      </c>
    </row>
    <row r="41" spans="1:61" ht="16.5" customHeight="1">
      <c r="A41" s="11"/>
      <c r="B41" s="11"/>
      <c r="C41" s="165"/>
      <c r="D41" s="94"/>
      <c r="E41" s="13"/>
      <c r="F41" s="13"/>
      <c r="G41" s="13"/>
      <c r="H41" s="13"/>
      <c r="I41" s="105" t="str">
        <f t="shared" si="9"/>
        <v/>
      </c>
      <c r="J41" s="105"/>
      <c r="K41" s="109" t="str">
        <f t="shared" si="3"/>
        <v/>
      </c>
      <c r="L41" s="126"/>
      <c r="M41" s="126"/>
      <c r="N41" s="126"/>
      <c r="O41" s="130"/>
      <c r="P41" s="335"/>
      <c r="Q41" s="13"/>
      <c r="R41" s="13"/>
      <c r="S41" s="13"/>
      <c r="T41" s="13">
        <f t="shared" si="4"/>
        <v>0</v>
      </c>
      <c r="U41" s="14" t="str">
        <f t="shared" si="10"/>
        <v/>
      </c>
      <c r="V41" s="15" t="str">
        <f t="shared" si="11"/>
        <v/>
      </c>
      <c r="W41" s="16">
        <f t="shared" ref="W41:W43" si="33">IF($E$6&gt;0,P41/$E$6)</f>
        <v>0</v>
      </c>
      <c r="Y41" s="359"/>
      <c r="Z41" s="221"/>
      <c r="AA41" s="14"/>
      <c r="AB41" s="321"/>
      <c r="AC41" s="283"/>
      <c r="AD41" s="283"/>
      <c r="AE41" s="16"/>
      <c r="AI41" s="263">
        <f t="shared" si="19"/>
        <v>0</v>
      </c>
      <c r="AJ41" s="246"/>
      <c r="AK41" s="247"/>
      <c r="AL41" s="247"/>
      <c r="AM41" s="247"/>
      <c r="AN41" s="248"/>
      <c r="AO41" s="235">
        <f t="shared" si="20"/>
        <v>0</v>
      </c>
      <c r="AP41" s="251"/>
      <c r="AQ41" s="246"/>
      <c r="AR41" s="247"/>
      <c r="AS41" s="248"/>
      <c r="AT41" s="235">
        <f t="shared" si="21"/>
        <v>0</v>
      </c>
      <c r="AU41" s="211">
        <f t="shared" si="22"/>
        <v>0</v>
      </c>
      <c r="AW41" s="211">
        <f t="shared" si="23"/>
        <v>0</v>
      </c>
      <c r="AX41" s="266">
        <f t="shared" si="24"/>
        <v>0</v>
      </c>
      <c r="AY41" s="266">
        <f t="shared" si="25"/>
        <v>0</v>
      </c>
      <c r="AZ41" s="266">
        <f t="shared" si="26"/>
        <v>0</v>
      </c>
      <c r="BA41" s="211">
        <f t="shared" si="27"/>
        <v>0</v>
      </c>
      <c r="BC41" s="211">
        <f t="shared" si="28"/>
        <v>0</v>
      </c>
      <c r="BE41" s="261" t="str">
        <f t="shared" si="29"/>
        <v/>
      </c>
      <c r="BF41" s="261"/>
      <c r="BG41" s="261" t="str">
        <f t="shared" si="31"/>
        <v/>
      </c>
      <c r="BH41" s="261"/>
      <c r="BI41" s="90">
        <f t="shared" si="18"/>
        <v>0</v>
      </c>
    </row>
    <row r="42" spans="1:61" ht="15">
      <c r="A42" s="11"/>
      <c r="B42" s="11"/>
      <c r="C42" s="165"/>
      <c r="D42" s="94"/>
      <c r="E42" s="13"/>
      <c r="F42" s="13"/>
      <c r="G42" s="13"/>
      <c r="H42" s="13"/>
      <c r="I42" s="105" t="str">
        <f t="shared" si="9"/>
        <v/>
      </c>
      <c r="J42" s="105"/>
      <c r="K42" s="109" t="str">
        <f t="shared" si="3"/>
        <v/>
      </c>
      <c r="L42" s="126"/>
      <c r="M42" s="126"/>
      <c r="N42" s="126"/>
      <c r="O42" s="130"/>
      <c r="P42" s="335"/>
      <c r="Q42" s="13"/>
      <c r="R42" s="13"/>
      <c r="S42" s="13"/>
      <c r="T42" s="13">
        <f t="shared" si="4"/>
        <v>0</v>
      </c>
      <c r="U42" s="14" t="str">
        <f t="shared" si="10"/>
        <v/>
      </c>
      <c r="V42" s="15" t="str">
        <f t="shared" si="11"/>
        <v/>
      </c>
      <c r="W42" s="16">
        <f t="shared" si="33"/>
        <v>0</v>
      </c>
      <c r="Y42" s="359"/>
      <c r="Z42" s="221"/>
      <c r="AA42" s="14"/>
      <c r="AB42" s="321"/>
      <c r="AC42" s="283"/>
      <c r="AD42" s="283"/>
      <c r="AE42" s="16"/>
      <c r="AI42" s="263">
        <f t="shared" si="19"/>
        <v>0</v>
      </c>
      <c r="AJ42" s="246"/>
      <c r="AK42" s="247"/>
      <c r="AL42" s="247"/>
      <c r="AM42" s="247"/>
      <c r="AN42" s="248"/>
      <c r="AO42" s="235">
        <f t="shared" si="20"/>
        <v>0</v>
      </c>
      <c r="AP42" s="251"/>
      <c r="AQ42" s="246"/>
      <c r="AR42" s="247"/>
      <c r="AS42" s="248"/>
      <c r="AT42" s="235">
        <f t="shared" si="21"/>
        <v>0</v>
      </c>
      <c r="AU42" s="211">
        <f t="shared" si="22"/>
        <v>0</v>
      </c>
      <c r="AW42" s="211">
        <f t="shared" si="23"/>
        <v>0</v>
      </c>
      <c r="AX42" s="266">
        <f t="shared" si="24"/>
        <v>0</v>
      </c>
      <c r="AY42" s="266">
        <f t="shared" si="25"/>
        <v>0</v>
      </c>
      <c r="AZ42" s="266">
        <f t="shared" si="26"/>
        <v>0</v>
      </c>
      <c r="BA42" s="211">
        <f t="shared" si="27"/>
        <v>0</v>
      </c>
      <c r="BC42" s="211">
        <f t="shared" si="28"/>
        <v>0</v>
      </c>
      <c r="BE42" s="261" t="str">
        <f t="shared" si="29"/>
        <v/>
      </c>
      <c r="BF42" s="261"/>
      <c r="BG42" s="261" t="str">
        <f t="shared" si="31"/>
        <v/>
      </c>
      <c r="BH42" s="261"/>
      <c r="BI42" s="90">
        <f t="shared" si="18"/>
        <v>0</v>
      </c>
    </row>
    <row r="43" spans="1:61" ht="15.75" thickBot="1">
      <c r="A43" s="11"/>
      <c r="B43" s="11"/>
      <c r="C43" s="165"/>
      <c r="D43" s="94"/>
      <c r="E43" s="13"/>
      <c r="F43" s="13"/>
      <c r="G43" s="13"/>
      <c r="H43" s="13"/>
      <c r="I43" s="105" t="str">
        <f t="shared" si="9"/>
        <v/>
      </c>
      <c r="J43" s="13"/>
      <c r="K43" s="109" t="str">
        <f t="shared" si="3"/>
        <v/>
      </c>
      <c r="L43" s="126"/>
      <c r="M43" s="126"/>
      <c r="N43" s="126"/>
      <c r="O43" s="130"/>
      <c r="P43" s="335"/>
      <c r="Q43" s="13"/>
      <c r="R43" s="13"/>
      <c r="S43" s="13"/>
      <c r="T43" s="13">
        <f t="shared" si="4"/>
        <v>0</v>
      </c>
      <c r="U43" s="14" t="str">
        <f t="shared" si="10"/>
        <v/>
      </c>
      <c r="V43" s="15" t="str">
        <f t="shared" si="11"/>
        <v/>
      </c>
      <c r="W43" s="16">
        <f t="shared" si="33"/>
        <v>0</v>
      </c>
      <c r="Y43" s="359"/>
      <c r="Z43" s="221"/>
      <c r="AA43" s="14"/>
      <c r="AB43" s="321"/>
      <c r="AC43" s="283"/>
      <c r="AD43" s="283"/>
      <c r="AE43" s="16"/>
      <c r="AI43" s="264">
        <f t="shared" si="19"/>
        <v>0</v>
      </c>
      <c r="AJ43" s="246"/>
      <c r="AK43" s="247"/>
      <c r="AL43" s="247"/>
      <c r="AM43" s="247"/>
      <c r="AN43" s="248"/>
      <c r="AO43" s="235">
        <f t="shared" si="20"/>
        <v>0</v>
      </c>
      <c r="AP43" s="251"/>
      <c r="AQ43" s="246"/>
      <c r="AR43" s="247"/>
      <c r="AS43" s="248"/>
      <c r="AT43" s="235">
        <f t="shared" si="21"/>
        <v>0</v>
      </c>
      <c r="AU43" s="211">
        <f t="shared" si="22"/>
        <v>0</v>
      </c>
      <c r="AW43" s="211">
        <f t="shared" si="23"/>
        <v>0</v>
      </c>
      <c r="AX43" s="266">
        <f t="shared" si="24"/>
        <v>0</v>
      </c>
      <c r="AY43" s="266">
        <f t="shared" si="25"/>
        <v>0</v>
      </c>
      <c r="AZ43" s="266">
        <f t="shared" si="26"/>
        <v>0</v>
      </c>
      <c r="BA43" s="211">
        <f t="shared" si="27"/>
        <v>0</v>
      </c>
      <c r="BC43" s="211">
        <f t="shared" si="28"/>
        <v>0</v>
      </c>
      <c r="BE43" s="261" t="str">
        <f t="shared" si="29"/>
        <v/>
      </c>
      <c r="BF43" s="261"/>
      <c r="BG43" s="261" t="str">
        <f t="shared" si="31"/>
        <v/>
      </c>
      <c r="BH43" s="261"/>
    </row>
    <row r="44" spans="1:61" ht="15.75" thickBot="1">
      <c r="A44" s="137" t="s">
        <v>45</v>
      </c>
      <c r="B44" s="137"/>
      <c r="C44" s="172"/>
      <c r="D44" s="138"/>
      <c r="E44" s="144">
        <f>+SUMIF($D$7:$D$43,"S/Total",E7:E43)</f>
        <v>444073735.12125003</v>
      </c>
      <c r="F44" s="144">
        <v>-5768650</v>
      </c>
      <c r="G44" s="144">
        <f>SUM(G11:G41)</f>
        <v>25473000</v>
      </c>
      <c r="H44" s="144">
        <f>SUM(H11:H41)</f>
        <v>0</v>
      </c>
      <c r="I44" s="144">
        <f>+SUMIF($D$7:$D$43,"S/Total",I7:I43)</f>
        <v>463778085.12124997</v>
      </c>
      <c r="J44" s="140">
        <f>SUM(J7:J42)</f>
        <v>410715020.83217645</v>
      </c>
      <c r="K44" s="310">
        <f>+IF(I44&lt;&gt;0,J44/I44,"")</f>
        <v>0.88558522709152865</v>
      </c>
      <c r="L44" s="140">
        <f>+SUMIF($D$7:$D$43,"S/Total",L7:L43)</f>
        <v>408715020.83217651</v>
      </c>
      <c r="M44" s="139">
        <f>+SUMIF($D$7:$D$43,"S/Total",M7:M43)</f>
        <v>-3.7252902984619141E-8</v>
      </c>
      <c r="N44" s="140">
        <f t="shared" ref="N44" si="34">+SUMIF($D$7:$D$43,"S/Total",N7:N43)</f>
        <v>410715020.83217645</v>
      </c>
      <c r="O44" s="141">
        <f>+IFERROR(N44/I44,"")</f>
        <v>0.88558522709152865</v>
      </c>
      <c r="P44" s="339">
        <f>+SUMIF($D$7:$D$43,"S/Total",P7:P43)</f>
        <v>2571983.0508474577</v>
      </c>
      <c r="Q44" s="142"/>
      <c r="R44" s="142">
        <f>+SUMIF($D$7:$D$43,"S/Total",R7:R43)</f>
        <v>0</v>
      </c>
      <c r="S44" s="142">
        <f>+SUMIF($D$7:$D$43,"S/Total",S7:S43)</f>
        <v>0</v>
      </c>
      <c r="T44" s="142">
        <f>+SUMIF($D$7:$D$43,"S/Total",T7:T43)</f>
        <v>2571983.0508474577</v>
      </c>
      <c r="U44" s="142">
        <f>+SUMIF($D$7:$D$43,"S/Total",U7:U43)</f>
        <v>408143037.78132898</v>
      </c>
      <c r="V44" s="289">
        <f>+IF(N44=0,"",U44/N44)</f>
        <v>0.99373779160636444</v>
      </c>
      <c r="W44" s="142"/>
      <c r="Y44" s="361" t="e">
        <f>+SUMIF($D$7:$D$43,"S/Total",Y7:Y43)</f>
        <v>#REF!</v>
      </c>
      <c r="Z44" s="142" t="e">
        <f>+SUMIF($D$7:$D$43,"S/Total",Z7:Z43)</f>
        <v>#REF!</v>
      </c>
      <c r="AA44" s="142" t="e">
        <f>+SUMIF($D$7:$D$43,"S/Total",AA7:AA43)</f>
        <v>#REF!</v>
      </c>
      <c r="AB44" s="323" t="e">
        <f>+IF(I44&lt;&gt;0,AA44/I44,"")</f>
        <v>#REF!</v>
      </c>
      <c r="AC44" s="230"/>
      <c r="AD44" s="230"/>
      <c r="AE44" s="142"/>
      <c r="AJ44" s="206"/>
      <c r="AK44" s="207">
        <f>+SUM(AK23:AK43)</f>
        <v>12583202</v>
      </c>
      <c r="AL44" s="229"/>
      <c r="AM44" s="207">
        <f t="shared" ref="AM44:AT44" si="35">+SUM(AM23:AM43)</f>
        <v>9618000</v>
      </c>
      <c r="AN44" s="208">
        <f t="shared" si="35"/>
        <v>1829175.7308708406</v>
      </c>
      <c r="AO44" s="232">
        <f t="shared" si="35"/>
        <v>24030377.730870839</v>
      </c>
      <c r="AP44" s="210">
        <f t="shared" si="35"/>
        <v>8300440</v>
      </c>
      <c r="AQ44" s="210">
        <f>+SUM(AQ23:AQ43)</f>
        <v>20188982</v>
      </c>
      <c r="AR44" s="207">
        <f>+SUM(AR23:AR43)</f>
        <v>1362506</v>
      </c>
      <c r="AS44" s="208">
        <f t="shared" si="35"/>
        <v>16093038</v>
      </c>
      <c r="AT44" s="232">
        <f t="shared" si="35"/>
        <v>37644526</v>
      </c>
      <c r="AU44" s="212">
        <f>+SUM(AK44:AS44)</f>
        <v>94005721.461741686</v>
      </c>
      <c r="AW44" s="277">
        <f t="shared" ref="AW44:BA44" si="36">+SUM(AW23:AW43)</f>
        <v>0</v>
      </c>
      <c r="AX44" s="212">
        <f t="shared" si="36"/>
        <v>1362506</v>
      </c>
      <c r="AY44" s="212">
        <f t="shared" si="36"/>
        <v>27540213.730870839</v>
      </c>
      <c r="AZ44" s="212">
        <f t="shared" si="36"/>
        <v>8300440</v>
      </c>
      <c r="BA44" s="277">
        <f t="shared" si="36"/>
        <v>37203159.730870843</v>
      </c>
      <c r="BC44" s="277">
        <f t="shared" ref="BC44" si="37">+SUM(BC23:BC43)</f>
        <v>37203159.730870843</v>
      </c>
      <c r="BE44" s="277">
        <f t="shared" ref="BE44:BF44" si="38">+SUM(BE23:BE43)</f>
        <v>141399163.81245643</v>
      </c>
      <c r="BF44" s="277">
        <f t="shared" si="38"/>
        <v>104196004.08158562</v>
      </c>
      <c r="BG44" s="281">
        <f t="shared" ref="BG44" si="39">+IFERROR(BF44/BE44,"")</f>
        <v>0.73689264683195077</v>
      </c>
      <c r="BH44" s="212"/>
    </row>
    <row r="45" spans="1:61" ht="15">
      <c r="A45" s="25" t="s">
        <v>46</v>
      </c>
      <c r="B45" s="25"/>
      <c r="C45" s="173"/>
      <c r="D45" s="98"/>
      <c r="E45" s="26">
        <f>E44*0.18</f>
        <v>79933272.321824998</v>
      </c>
      <c r="F45" s="27">
        <f>-F44/E44</f>
        <v>1.2990297655016516E-2</v>
      </c>
      <c r="G45" s="26"/>
      <c r="H45" s="26"/>
      <c r="I45" s="26"/>
      <c r="J45" s="26"/>
    </row>
    <row r="46" spans="1:61" ht="15">
      <c r="A46" s="28" t="s">
        <v>47</v>
      </c>
      <c r="B46" s="28"/>
      <c r="C46" s="174"/>
      <c r="D46" s="99"/>
      <c r="E46" s="26">
        <f>1.18*(E44-E11)+E11</f>
        <v>518568786.24307501</v>
      </c>
      <c r="F46" s="26"/>
      <c r="G46" s="26"/>
      <c r="H46" s="26"/>
      <c r="I46" s="26"/>
      <c r="J46" s="26"/>
      <c r="M46" s="34"/>
      <c r="P46" s="340"/>
      <c r="T46" s="90">
        <v>220826350.24201289</v>
      </c>
      <c r="U46" s="90"/>
      <c r="Y46" s="153" t="e">
        <f>+#REF!</f>
        <v>#REF!</v>
      </c>
      <c r="Z46" s="90" t="e">
        <f>+T44+Y44</f>
        <v>#REF!</v>
      </c>
      <c r="AA46" s="90" t="e">
        <f>+I44-T44-Y44</f>
        <v>#REF!</v>
      </c>
      <c r="AB46" s="112" t="e">
        <f>+AA46/I44</f>
        <v>#REF!</v>
      </c>
    </row>
    <row r="47" spans="1:61">
      <c r="P47" s="340"/>
      <c r="T47" s="90">
        <f>+T44-T46</f>
        <v>-218254367.19116542</v>
      </c>
    </row>
    <row r="48" spans="1:61">
      <c r="G48" s="90">
        <f>+G44-G13</f>
        <v>6895000</v>
      </c>
      <c r="H48" s="90">
        <f>+H44-H13</f>
        <v>0</v>
      </c>
      <c r="J48">
        <f>+J44/I44</f>
        <v>0.88558522709152865</v>
      </c>
    </row>
    <row r="49" spans="1:31">
      <c r="A49" s="29"/>
      <c r="B49" s="29"/>
      <c r="C49" s="175"/>
      <c r="L49" s="341">
        <f>-L44+'Décompte Travaux'!J31</f>
        <v>0</v>
      </c>
      <c r="O49" s="91" t="s">
        <v>279</v>
      </c>
      <c r="P49" s="341">
        <f>-P44+Saisie!H1</f>
        <v>1191499.9999999995</v>
      </c>
    </row>
    <row r="50" spans="1:31">
      <c r="E50" s="30" t="s">
        <v>48</v>
      </c>
      <c r="F50" s="1" t="s">
        <v>49</v>
      </c>
      <c r="U50" s="90"/>
      <c r="W50" s="112" t="s">
        <v>423</v>
      </c>
      <c r="Y50" s="345">
        <f>+I44-N44</f>
        <v>53063064.289073527</v>
      </c>
    </row>
    <row r="51" spans="1:31" ht="15">
      <c r="A51" s="31" t="s">
        <v>50</v>
      </c>
      <c r="B51" s="31"/>
      <c r="C51" s="176"/>
      <c r="D51" s="100"/>
      <c r="E51" s="32">
        <f>0.2*(E44+F44)</f>
        <v>87661017.024250016</v>
      </c>
      <c r="F51" s="32">
        <f>E51*1.18</f>
        <v>103440000.08861502</v>
      </c>
      <c r="I51" s="90">
        <f>+'Décompte Travaux'!D31</f>
        <v>0</v>
      </c>
      <c r="J51">
        <v>438305085.12124997</v>
      </c>
    </row>
    <row r="52" spans="1:31" ht="38.25">
      <c r="A52" s="33" t="s">
        <v>51</v>
      </c>
      <c r="B52" s="33"/>
      <c r="C52" s="177"/>
      <c r="D52" s="101"/>
      <c r="E52" s="12">
        <f>1133443+10505237+9178880+9636460+14016843+4680438+3111468+4506292</f>
        <v>56769061</v>
      </c>
      <c r="F52" s="12">
        <f>E52*1.18</f>
        <v>66987491.979999997</v>
      </c>
      <c r="I52" s="90">
        <f>+I51-I44</f>
        <v>-463778085.12124997</v>
      </c>
      <c r="J52" s="34">
        <f>+J51-J44</f>
        <v>27590064.289073527</v>
      </c>
      <c r="Q52" s="34"/>
      <c r="R52" s="34"/>
      <c r="S52" s="34"/>
      <c r="T52" s="34"/>
      <c r="Y52" s="362"/>
      <c r="Z52" s="347" t="s">
        <v>428</v>
      </c>
      <c r="AA52" s="347" t="s">
        <v>425</v>
      </c>
      <c r="AB52" s="347" t="s">
        <v>427</v>
      </c>
      <c r="AC52" s="348" t="s">
        <v>431</v>
      </c>
      <c r="AD52" s="348" t="s">
        <v>432</v>
      </c>
      <c r="AE52" s="34"/>
    </row>
    <row r="53" spans="1:31" ht="14.25">
      <c r="A53" s="35"/>
      <c r="B53" s="35"/>
      <c r="C53" s="178"/>
      <c r="D53" s="102"/>
      <c r="E53" s="36"/>
      <c r="F53" s="36"/>
      <c r="J53">
        <f>+J44*1.18</f>
        <v>484643724.58196819</v>
      </c>
      <c r="Y53" s="112" t="s">
        <v>424</v>
      </c>
      <c r="Z53" s="324">
        <f>+I44</f>
        <v>463778085.12124997</v>
      </c>
      <c r="AA53" s="34">
        <f>+J44</f>
        <v>410715020.83217645</v>
      </c>
      <c r="AB53" s="34">
        <f>+Z53-AA53</f>
        <v>53063064.289073527</v>
      </c>
      <c r="AC53" s="34">
        <f>+M44</f>
        <v>-3.7252902984619141E-8</v>
      </c>
      <c r="AD53" s="34">
        <f>+AB53-AC53</f>
        <v>53063064.289073564</v>
      </c>
    </row>
    <row r="54" spans="1:31" ht="15">
      <c r="A54" s="37" t="s">
        <v>52</v>
      </c>
      <c r="B54" s="37"/>
      <c r="C54" s="176"/>
      <c r="D54" s="103"/>
      <c r="E54" s="32">
        <f>E51-E52</f>
        <v>30891956.024250016</v>
      </c>
      <c r="F54" s="32">
        <f>F51-F52</f>
        <v>36452508.108615018</v>
      </c>
      <c r="Y54" s="112" t="s">
        <v>426</v>
      </c>
      <c r="Z54" s="324" t="e">
        <f>+AA54+AB54</f>
        <v>#REF!</v>
      </c>
      <c r="AA54" s="90">
        <f>+T44</f>
        <v>2571983.0508474577</v>
      </c>
      <c r="AB54" s="90" t="e">
        <f>+Y44</f>
        <v>#REF!</v>
      </c>
    </row>
    <row r="55" spans="1:31">
      <c r="Y55" s="112" t="s">
        <v>429</v>
      </c>
      <c r="Z55" s="324" t="e">
        <f>+AA55+AB55</f>
        <v>#REF!</v>
      </c>
      <c r="AA55" s="90">
        <f>+AA53-AA54</f>
        <v>408143037.78132898</v>
      </c>
      <c r="AB55" s="90" t="e">
        <f>+AB53-AB54</f>
        <v>#REF!</v>
      </c>
    </row>
    <row r="56" spans="1:31">
      <c r="Z56" s="346" t="e">
        <f>+Z55/Z53</f>
        <v>#REF!</v>
      </c>
      <c r="AA56" s="346">
        <f>+AA55/AA53</f>
        <v>0.99373779160636444</v>
      </c>
      <c r="AB56" s="346" t="e">
        <f>+AB55/AB53</f>
        <v>#REF!</v>
      </c>
    </row>
    <row r="57" spans="1:31">
      <c r="E57" s="1" t="s">
        <v>48</v>
      </c>
      <c r="F57" s="1"/>
      <c r="I57">
        <v>455815085.12124997</v>
      </c>
    </row>
    <row r="58" spans="1:31" ht="15">
      <c r="A58" s="31" t="s">
        <v>53</v>
      </c>
      <c r="B58" s="31"/>
      <c r="C58" s="176"/>
      <c r="D58" s="100"/>
      <c r="E58" s="32">
        <f>566334+5252396+4589437+4817009+7008180+2340199+3111468+2253053</f>
        <v>29938076</v>
      </c>
      <c r="F58" s="32">
        <f>E58*1.18</f>
        <v>35326929.68</v>
      </c>
    </row>
    <row r="59" spans="1:31">
      <c r="I59" s="90">
        <f>+I44-I57</f>
        <v>7963000</v>
      </c>
    </row>
  </sheetData>
  <mergeCells count="31">
    <mergeCell ref="J3:O3"/>
    <mergeCell ref="AQ21:AQ22"/>
    <mergeCell ref="Z4:Z5"/>
    <mergeCell ref="AA4:AA5"/>
    <mergeCell ref="AB4:AB5"/>
    <mergeCell ref="AN21:AN22"/>
    <mergeCell ref="Y4:Y5"/>
    <mergeCell ref="Q4:Q5"/>
    <mergeCell ref="T4:T5"/>
    <mergeCell ref="AC4:AC5"/>
    <mergeCell ref="AD4:AD5"/>
    <mergeCell ref="BF20:BF22"/>
    <mergeCell ref="M4:M5"/>
    <mergeCell ref="BH21:BH22"/>
    <mergeCell ref="AX21:AX22"/>
    <mergeCell ref="AS21:AS22"/>
    <mergeCell ref="AU20:AU22"/>
    <mergeCell ref="AT21:AT22"/>
    <mergeCell ref="AW20:AW22"/>
    <mergeCell ref="AY21:AY22"/>
    <mergeCell ref="BG20:BG22"/>
    <mergeCell ref="AZ21:AZ22"/>
    <mergeCell ref="BA21:BA22"/>
    <mergeCell ref="BC20:BC22"/>
    <mergeCell ref="BE20:BE22"/>
    <mergeCell ref="I4:I5"/>
    <mergeCell ref="L4:L5"/>
    <mergeCell ref="N4:N5"/>
    <mergeCell ref="AR21:AR22"/>
    <mergeCell ref="AE4:AE5"/>
    <mergeCell ref="AO21:AO22"/>
  </mergeCells>
  <printOptions horizontalCentered="1"/>
  <pageMargins left="0.78749999999999998" right="0.78749999999999998" top="0.64722222222222203" bottom="0.98402777777777795" header="0.511811023622047" footer="0.511811023622047"/>
  <pageSetup paperSize="9" scale="36" orientation="landscape" horizontalDpi="300" verticalDpi="30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498FE2-CDFA-42A6-9E4A-E4266D80ACBD}">
  <dimension ref="A1:R31"/>
  <sheetViews>
    <sheetView workbookViewId="0">
      <pane xSplit="3" ySplit="2" topLeftCell="H3" activePane="bottomRight" state="frozen"/>
      <selection activeCell="P24" sqref="P24"/>
      <selection pane="topRight" activeCell="P24" sqref="P24"/>
      <selection pane="bottomLeft" activeCell="P24" sqref="P24"/>
      <selection pane="bottomRight" activeCell="C4" sqref="C4"/>
    </sheetView>
  </sheetViews>
  <sheetFormatPr baseColWidth="10" defaultRowHeight="12.75"/>
  <cols>
    <col min="3" max="3" width="61.7109375" bestFit="1" customWidth="1"/>
    <col min="8" max="9" width="11.7109375" customWidth="1"/>
    <col min="11" max="11" width="1.7109375" customWidth="1"/>
    <col min="16" max="17" width="11.7109375" customWidth="1"/>
  </cols>
  <sheetData>
    <row r="1" spans="1:18">
      <c r="A1" s="112" t="s">
        <v>379</v>
      </c>
      <c r="G1" s="296" t="s">
        <v>433</v>
      </c>
      <c r="H1" s="297"/>
      <c r="I1" s="297"/>
      <c r="J1" s="298"/>
      <c r="O1" s="296" t="s">
        <v>434</v>
      </c>
      <c r="P1" s="297"/>
      <c r="Q1" s="297"/>
      <c r="R1" s="298"/>
    </row>
    <row r="2" spans="1:18" s="295" customFormat="1" ht="38.25">
      <c r="A2" s="148"/>
      <c r="B2" s="148"/>
      <c r="C2" s="148"/>
      <c r="D2" s="148" t="s">
        <v>407</v>
      </c>
      <c r="E2" s="300" t="s">
        <v>442</v>
      </c>
      <c r="F2" s="148" t="s">
        <v>9</v>
      </c>
      <c r="G2" s="299" t="s">
        <v>408</v>
      </c>
      <c r="H2" s="300" t="s">
        <v>413</v>
      </c>
      <c r="I2" s="301" t="s">
        <v>414</v>
      </c>
      <c r="J2" s="302" t="s">
        <v>412</v>
      </c>
      <c r="N2" s="148" t="s">
        <v>9</v>
      </c>
      <c r="O2" s="299" t="s">
        <v>408</v>
      </c>
      <c r="P2" s="300" t="s">
        <v>413</v>
      </c>
      <c r="Q2" s="301" t="s">
        <v>414</v>
      </c>
      <c r="R2" s="302" t="s">
        <v>412</v>
      </c>
    </row>
    <row r="3" spans="1:18">
      <c r="B3" t="s">
        <v>380</v>
      </c>
      <c r="C3" s="112" t="s">
        <v>381</v>
      </c>
      <c r="D3" s="90"/>
      <c r="E3" s="90"/>
      <c r="F3" s="290" t="str">
        <f>IFERROR(G3/D3,"")</f>
        <v/>
      </c>
      <c r="G3" s="303">
        <v>16481538.461538499</v>
      </c>
      <c r="H3" s="90">
        <f>+$G$18/SUM($G$3:$G$17)*G3</f>
        <v>-230002.59517540308</v>
      </c>
      <c r="I3" s="293">
        <v>0</v>
      </c>
      <c r="J3" s="307">
        <f>+SUM(G3:I3)</f>
        <v>16251535.866363097</v>
      </c>
      <c r="N3" s="290" t="str">
        <f>IFERROR(O3/D3,"")</f>
        <v/>
      </c>
      <c r="O3" s="351">
        <v>16481538.461538462</v>
      </c>
      <c r="P3" s="90">
        <f t="shared" ref="P3:P17" si="0">+$G$18/SUM($G$3:$G$17)*O3</f>
        <v>-230002.59517540256</v>
      </c>
      <c r="Q3" s="353">
        <v>0</v>
      </c>
      <c r="R3" s="307">
        <f>+SUM(O3:Q3)</f>
        <v>16251535.86636306</v>
      </c>
    </row>
    <row r="4" spans="1:18">
      <c r="B4" t="s">
        <v>382</v>
      </c>
      <c r="C4" t="s">
        <v>383</v>
      </c>
      <c r="D4" s="90"/>
      <c r="E4" s="90"/>
      <c r="F4" s="290" t="str">
        <f t="shared" ref="F4:F19" si="1">IFERROR(G4/D4,"")</f>
        <v/>
      </c>
      <c r="G4" s="303">
        <v>17903440</v>
      </c>
      <c r="H4" s="90">
        <f t="shared" ref="H4:H17" si="2">+$G$18/SUM($G$3:$G$17)*G4</f>
        <v>-249845.46631836283</v>
      </c>
      <c r="I4" s="293">
        <v>-3475032.5</v>
      </c>
      <c r="J4" s="307">
        <f t="shared" ref="J4:J17" si="3">+SUM(G4:I4)</f>
        <v>14178562.033681639</v>
      </c>
      <c r="L4" t="s">
        <v>380</v>
      </c>
      <c r="N4" s="290" t="str">
        <f t="shared" ref="N4:N19" si="4">IFERROR(O4/D4,"")</f>
        <v/>
      </c>
      <c r="O4" s="351">
        <v>17903440</v>
      </c>
      <c r="P4" s="90">
        <f t="shared" si="0"/>
        <v>-249845.46631836283</v>
      </c>
      <c r="Q4" s="353">
        <v>-3475032.5</v>
      </c>
      <c r="R4" s="307">
        <f t="shared" ref="R4:R17" si="5">+SUM(O4:Q4)</f>
        <v>14178562.033681639</v>
      </c>
    </row>
    <row r="5" spans="1:18">
      <c r="B5" t="s">
        <v>384</v>
      </c>
      <c r="C5" t="s">
        <v>385</v>
      </c>
      <c r="D5" s="90"/>
      <c r="E5" s="90"/>
      <c r="F5" s="290" t="str">
        <f t="shared" si="1"/>
        <v/>
      </c>
      <c r="G5" s="303">
        <v>255286869.99374998</v>
      </c>
      <c r="H5" s="90">
        <f t="shared" si="2"/>
        <v>-3562570.4936338342</v>
      </c>
      <c r="I5" s="293">
        <v>304310.27499999921</v>
      </c>
      <c r="J5" s="307">
        <f t="shared" si="3"/>
        <v>252028609.77511615</v>
      </c>
      <c r="L5" t="s">
        <v>382</v>
      </c>
      <c r="N5" s="290" t="str">
        <f t="shared" si="4"/>
        <v/>
      </c>
      <c r="O5" s="351">
        <v>255286869.99374998</v>
      </c>
      <c r="P5" s="90">
        <f t="shared" si="0"/>
        <v>-3562570.4936338342</v>
      </c>
      <c r="Q5" s="353">
        <v>304310.27499999921</v>
      </c>
      <c r="R5" s="307">
        <f t="shared" si="5"/>
        <v>252028609.77511615</v>
      </c>
    </row>
    <row r="6" spans="1:18">
      <c r="B6" t="s">
        <v>386</v>
      </c>
      <c r="C6" t="s">
        <v>28</v>
      </c>
      <c r="D6" s="90"/>
      <c r="E6" s="90"/>
      <c r="F6" s="290" t="str">
        <f t="shared" si="1"/>
        <v/>
      </c>
      <c r="G6" s="303">
        <v>36968950</v>
      </c>
      <c r="H6" s="90">
        <f t="shared" si="2"/>
        <v>-515907.81168592401</v>
      </c>
      <c r="I6" s="293">
        <v>-477000</v>
      </c>
      <c r="J6" s="307">
        <f t="shared" si="3"/>
        <v>35976042.188314073</v>
      </c>
      <c r="L6" t="s">
        <v>384</v>
      </c>
      <c r="N6" s="290" t="str">
        <f t="shared" si="4"/>
        <v/>
      </c>
      <c r="O6" s="351">
        <v>36968950</v>
      </c>
      <c r="P6" s="90">
        <f t="shared" si="0"/>
        <v>-515907.81168592401</v>
      </c>
      <c r="Q6" s="353">
        <v>-477000</v>
      </c>
      <c r="R6" s="307">
        <f t="shared" si="5"/>
        <v>35976042.188314073</v>
      </c>
    </row>
    <row r="7" spans="1:18">
      <c r="B7" t="s">
        <v>387</v>
      </c>
      <c r="C7" s="112" t="s">
        <v>388</v>
      </c>
      <c r="D7" s="90"/>
      <c r="E7" s="90"/>
      <c r="F7" s="290" t="str">
        <f t="shared" si="1"/>
        <v/>
      </c>
      <c r="G7" s="303">
        <v>4699500</v>
      </c>
      <c r="H7" s="90">
        <f t="shared" si="2"/>
        <v>-65582.299768264988</v>
      </c>
      <c r="I7" s="293">
        <v>120000</v>
      </c>
      <c r="J7" s="307">
        <f t="shared" si="3"/>
        <v>4753917.7002317347</v>
      </c>
      <c r="L7" t="s">
        <v>386</v>
      </c>
      <c r="N7" s="290" t="str">
        <f t="shared" si="4"/>
        <v/>
      </c>
      <c r="O7" s="351">
        <v>4699500</v>
      </c>
      <c r="P7" s="90">
        <f t="shared" si="0"/>
        <v>-65582.299768264988</v>
      </c>
      <c r="Q7" s="353">
        <v>120000</v>
      </c>
      <c r="R7" s="307">
        <f t="shared" si="5"/>
        <v>4753917.7002317347</v>
      </c>
    </row>
    <row r="8" spans="1:18">
      <c r="B8" t="s">
        <v>389</v>
      </c>
      <c r="C8" t="s">
        <v>390</v>
      </c>
      <c r="D8" s="90"/>
      <c r="E8" s="90"/>
      <c r="F8" s="290" t="str">
        <f t="shared" si="1"/>
        <v/>
      </c>
      <c r="G8" s="303">
        <v>5861800.25</v>
      </c>
      <c r="H8" s="90">
        <f t="shared" si="2"/>
        <v>-81802.391994295278</v>
      </c>
      <c r="I8" s="293">
        <v>2751500</v>
      </c>
      <c r="J8" s="307">
        <f t="shared" si="3"/>
        <v>8531497.8580057044</v>
      </c>
      <c r="L8" t="s">
        <v>391</v>
      </c>
      <c r="N8" s="290" t="str">
        <f t="shared" si="4"/>
        <v/>
      </c>
      <c r="O8" s="351">
        <v>5861800.25</v>
      </c>
      <c r="P8" s="90">
        <f t="shared" si="0"/>
        <v>-81802.391994295278</v>
      </c>
      <c r="Q8" s="353">
        <v>2751500</v>
      </c>
      <c r="R8" s="307">
        <f t="shared" si="5"/>
        <v>8531497.8580057044</v>
      </c>
    </row>
    <row r="9" spans="1:18">
      <c r="B9" t="s">
        <v>391</v>
      </c>
      <c r="C9" t="s">
        <v>392</v>
      </c>
      <c r="D9" s="90"/>
      <c r="E9" s="90"/>
      <c r="F9" s="290" t="str">
        <f t="shared" si="1"/>
        <v/>
      </c>
      <c r="G9" s="303">
        <v>1937590</v>
      </c>
      <c r="H9" s="90">
        <f t="shared" si="2"/>
        <v>-27039.388915414951</v>
      </c>
      <c r="I9" s="293">
        <v>547200.00000000012</v>
      </c>
      <c r="J9" s="307">
        <f t="shared" si="3"/>
        <v>2457750.6110845851</v>
      </c>
      <c r="L9" t="s">
        <v>401</v>
      </c>
      <c r="N9" s="290" t="str">
        <f t="shared" si="4"/>
        <v/>
      </c>
      <c r="O9" s="351">
        <v>1937590</v>
      </c>
      <c r="P9" s="90">
        <f t="shared" si="0"/>
        <v>-27039.388915414951</v>
      </c>
      <c r="Q9" s="353">
        <v>547200.00000000012</v>
      </c>
      <c r="R9" s="307">
        <f t="shared" si="5"/>
        <v>2457750.6110845851</v>
      </c>
    </row>
    <row r="10" spans="1:18">
      <c r="B10" t="s">
        <v>393</v>
      </c>
      <c r="C10" t="s">
        <v>41</v>
      </c>
      <c r="D10" s="90"/>
      <c r="E10" s="90"/>
      <c r="F10" s="290" t="str">
        <f t="shared" si="1"/>
        <v/>
      </c>
      <c r="G10" s="303">
        <v>18049300</v>
      </c>
      <c r="H10" s="90">
        <f t="shared" si="2"/>
        <v>-251880.96674270567</v>
      </c>
      <c r="I10" s="293"/>
      <c r="J10" s="307">
        <f t="shared" si="3"/>
        <v>17797419.033257294</v>
      </c>
      <c r="L10" t="s">
        <v>387</v>
      </c>
      <c r="N10" s="290" t="str">
        <f t="shared" si="4"/>
        <v/>
      </c>
      <c r="O10" s="351">
        <v>18049300</v>
      </c>
      <c r="P10" s="90">
        <f t="shared" si="0"/>
        <v>-251880.96674270567</v>
      </c>
      <c r="Q10" s="353"/>
      <c r="R10" s="307">
        <f t="shared" si="5"/>
        <v>17797419.033257294</v>
      </c>
    </row>
    <row r="11" spans="1:18">
      <c r="B11" t="s">
        <v>394</v>
      </c>
      <c r="C11" t="s">
        <v>395</v>
      </c>
      <c r="D11" s="90"/>
      <c r="E11" s="90"/>
      <c r="F11" s="290" t="str">
        <f t="shared" si="1"/>
        <v/>
      </c>
      <c r="G11" s="303">
        <v>7840560</v>
      </c>
      <c r="H11" s="90">
        <f t="shared" si="2"/>
        <v>-109416.31158018252</v>
      </c>
      <c r="I11" s="293">
        <v>-3806257.5</v>
      </c>
      <c r="J11" s="307">
        <f t="shared" si="3"/>
        <v>3924886.188419817</v>
      </c>
      <c r="L11" t="s">
        <v>394</v>
      </c>
      <c r="N11" s="290" t="str">
        <f t="shared" si="4"/>
        <v/>
      </c>
      <c r="O11" s="351">
        <v>7840560</v>
      </c>
      <c r="P11" s="90">
        <f t="shared" si="0"/>
        <v>-109416.31158018252</v>
      </c>
      <c r="Q11" s="353">
        <v>-3806257.5</v>
      </c>
      <c r="R11" s="307">
        <f t="shared" si="5"/>
        <v>3924886.188419817</v>
      </c>
    </row>
    <row r="12" spans="1:18">
      <c r="B12" t="s">
        <v>396</v>
      </c>
      <c r="C12" t="s">
        <v>43</v>
      </c>
      <c r="D12" s="90"/>
      <c r="E12" s="90"/>
      <c r="F12" s="290" t="str">
        <f t="shared" si="1"/>
        <v/>
      </c>
      <c r="G12" s="303">
        <v>400000</v>
      </c>
      <c r="H12" s="90">
        <f t="shared" si="2"/>
        <v>-5582.0661575286722</v>
      </c>
      <c r="I12" s="293"/>
      <c r="J12" s="307">
        <f t="shared" si="3"/>
        <v>394417.93384247134</v>
      </c>
      <c r="L12" t="s">
        <v>415</v>
      </c>
      <c r="N12" s="290" t="str">
        <f t="shared" si="4"/>
        <v/>
      </c>
      <c r="O12" s="351">
        <v>400000</v>
      </c>
      <c r="P12" s="90">
        <f t="shared" si="0"/>
        <v>-5582.0661575286722</v>
      </c>
      <c r="Q12" s="353"/>
      <c r="R12" s="307">
        <f t="shared" si="5"/>
        <v>394417.93384247134</v>
      </c>
    </row>
    <row r="13" spans="1:18">
      <c r="B13" t="s">
        <v>397</v>
      </c>
      <c r="C13" t="s">
        <v>398</v>
      </c>
      <c r="D13" s="90"/>
      <c r="E13" s="90"/>
      <c r="F13" s="290" t="str">
        <f t="shared" si="1"/>
        <v/>
      </c>
      <c r="G13" s="303"/>
      <c r="H13" s="90">
        <f t="shared" si="2"/>
        <v>0</v>
      </c>
      <c r="I13" s="293"/>
      <c r="J13" s="307">
        <f t="shared" si="3"/>
        <v>0</v>
      </c>
      <c r="L13" t="s">
        <v>403</v>
      </c>
      <c r="N13" s="290" t="str">
        <f t="shared" si="4"/>
        <v/>
      </c>
      <c r="O13" s="351"/>
      <c r="P13" s="90">
        <f t="shared" si="0"/>
        <v>0</v>
      </c>
      <c r="Q13" s="353"/>
      <c r="R13" s="307">
        <f t="shared" si="5"/>
        <v>0</v>
      </c>
    </row>
    <row r="14" spans="1:18">
      <c r="B14" t="s">
        <v>399</v>
      </c>
      <c r="C14" t="s">
        <v>400</v>
      </c>
      <c r="D14" s="90"/>
      <c r="E14" s="90"/>
      <c r="F14" s="290" t="str">
        <f t="shared" si="1"/>
        <v/>
      </c>
      <c r="G14" s="303"/>
      <c r="H14" s="90">
        <f t="shared" si="2"/>
        <v>0</v>
      </c>
      <c r="I14" s="293"/>
      <c r="J14" s="307">
        <f t="shared" si="3"/>
        <v>0</v>
      </c>
      <c r="L14" t="s">
        <v>389</v>
      </c>
      <c r="N14" s="290" t="str">
        <f t="shared" si="4"/>
        <v/>
      </c>
      <c r="O14" s="351"/>
      <c r="P14" s="90">
        <f t="shared" si="0"/>
        <v>0</v>
      </c>
      <c r="Q14" s="353"/>
      <c r="R14" s="307">
        <f t="shared" si="5"/>
        <v>0</v>
      </c>
    </row>
    <row r="15" spans="1:18">
      <c r="B15" t="s">
        <v>401</v>
      </c>
      <c r="C15" t="s">
        <v>402</v>
      </c>
      <c r="D15" s="90"/>
      <c r="E15" s="90"/>
      <c r="F15" s="290" t="str">
        <f t="shared" si="1"/>
        <v/>
      </c>
      <c r="G15" s="303">
        <v>11801150</v>
      </c>
      <c r="H15" s="90">
        <f t="shared" si="2"/>
        <v>-164687.00008729871</v>
      </c>
      <c r="I15" s="293">
        <v>-3290000</v>
      </c>
      <c r="J15" s="307">
        <f t="shared" si="3"/>
        <v>8346462.9999127015</v>
      </c>
      <c r="L15" t="s">
        <v>393</v>
      </c>
      <c r="N15" s="290" t="str">
        <f t="shared" si="4"/>
        <v/>
      </c>
      <c r="O15" s="351">
        <v>11801150</v>
      </c>
      <c r="P15" s="90">
        <f t="shared" si="0"/>
        <v>-164687.00008729871</v>
      </c>
      <c r="Q15" s="353">
        <v>-3290000</v>
      </c>
      <c r="R15" s="307">
        <f t="shared" si="5"/>
        <v>8346462.9999127015</v>
      </c>
    </row>
    <row r="16" spans="1:18">
      <c r="B16" t="s">
        <v>403</v>
      </c>
      <c r="C16" t="s">
        <v>404</v>
      </c>
      <c r="D16" s="90"/>
      <c r="E16" s="90"/>
      <c r="F16" s="290" t="str">
        <f t="shared" si="1"/>
        <v/>
      </c>
      <c r="G16" s="303">
        <v>727500</v>
      </c>
      <c r="H16" s="90">
        <f t="shared" si="2"/>
        <v>-10152.382824005272</v>
      </c>
      <c r="I16" s="293">
        <v>-300000</v>
      </c>
      <c r="J16" s="307">
        <f t="shared" si="3"/>
        <v>417347.61717599467</v>
      </c>
      <c r="L16" t="s">
        <v>396</v>
      </c>
      <c r="N16" s="290" t="str">
        <f t="shared" si="4"/>
        <v/>
      </c>
      <c r="O16" s="351">
        <v>727500</v>
      </c>
      <c r="P16" s="90">
        <f t="shared" si="0"/>
        <v>-10152.382824005272</v>
      </c>
      <c r="Q16" s="353">
        <v>-300000</v>
      </c>
      <c r="R16" s="307">
        <f t="shared" si="5"/>
        <v>417347.61717599467</v>
      </c>
    </row>
    <row r="17" spans="1:18">
      <c r="B17" t="s">
        <v>405</v>
      </c>
      <c r="C17" t="s">
        <v>406</v>
      </c>
      <c r="D17" s="90"/>
      <c r="E17" s="90"/>
      <c r="F17" s="290" t="str">
        <f t="shared" si="1"/>
        <v/>
      </c>
      <c r="G17" s="304">
        <v>4796000</v>
      </c>
      <c r="H17" s="305">
        <f t="shared" si="2"/>
        <v>-66928.97322876878</v>
      </c>
      <c r="I17" s="306">
        <v>220000</v>
      </c>
      <c r="J17" s="308">
        <f t="shared" si="3"/>
        <v>4949071.0267712316</v>
      </c>
      <c r="L17" t="s">
        <v>405</v>
      </c>
      <c r="N17" s="290" t="str">
        <f t="shared" si="4"/>
        <v/>
      </c>
      <c r="O17" s="352">
        <v>4796000</v>
      </c>
      <c r="P17" s="305">
        <f t="shared" si="0"/>
        <v>-66928.97322876878</v>
      </c>
      <c r="Q17" s="354">
        <v>220000</v>
      </c>
      <c r="R17" s="308">
        <f t="shared" si="5"/>
        <v>4949071.0267712316</v>
      </c>
    </row>
    <row r="18" spans="1:18">
      <c r="C18" t="s">
        <v>409</v>
      </c>
      <c r="D18" s="90"/>
      <c r="E18" s="90"/>
      <c r="F18" s="290" t="str">
        <f t="shared" si="1"/>
        <v/>
      </c>
      <c r="G18" s="294">
        <v>-5341398.1481119888</v>
      </c>
      <c r="N18" s="290" t="str">
        <f t="shared" si="4"/>
        <v/>
      </c>
      <c r="O18" s="355">
        <v>-5341398.1481119888</v>
      </c>
    </row>
    <row r="19" spans="1:18">
      <c r="C19" t="s">
        <v>410</v>
      </c>
      <c r="D19" s="293"/>
      <c r="E19" s="293"/>
      <c r="F19" s="290" t="str">
        <f t="shared" si="1"/>
        <v/>
      </c>
      <c r="G19" s="294">
        <v>-7405279.7250000015</v>
      </c>
      <c r="N19" s="290" t="str">
        <f t="shared" si="4"/>
        <v/>
      </c>
      <c r="O19" s="355">
        <v>-7405279.7250000015</v>
      </c>
    </row>
    <row r="20" spans="1:18">
      <c r="C20" s="160" t="s">
        <v>411</v>
      </c>
      <c r="D20" s="256"/>
      <c r="E20" s="256"/>
      <c r="F20" s="160"/>
      <c r="G20" s="256">
        <f>+SUM(G3:G19)</f>
        <v>370007520.83217645</v>
      </c>
      <c r="H20" s="291">
        <f>+SUM(H3:H19)</f>
        <v>-5341398.1481119907</v>
      </c>
      <c r="I20" s="292">
        <f>+SUM(I3:I19)</f>
        <v>-7405279.7250000006</v>
      </c>
      <c r="J20" s="256">
        <f>+SUM(J3:J19)</f>
        <v>370007520.83217651</v>
      </c>
      <c r="N20" s="160"/>
      <c r="O20" s="256">
        <f>+SUM(O3:O19)</f>
        <v>370007520.83217639</v>
      </c>
      <c r="P20" s="291">
        <f>+SUM(P3:P19)</f>
        <v>-5341398.1481119888</v>
      </c>
      <c r="Q20" s="292">
        <f>+SUM(Q3:Q19)</f>
        <v>-7405279.7250000006</v>
      </c>
      <c r="R20" s="256">
        <f>+SUM(R3:R19)</f>
        <v>370007520.83217645</v>
      </c>
    </row>
    <row r="22" spans="1:18">
      <c r="D22" s="90"/>
      <c r="E22" s="90"/>
      <c r="F22" s="290"/>
      <c r="G22" s="90"/>
      <c r="L22" s="112"/>
      <c r="N22" s="290"/>
      <c r="O22" s="90"/>
    </row>
    <row r="23" spans="1:18">
      <c r="A23" t="s">
        <v>416</v>
      </c>
      <c r="B23" t="s">
        <v>382</v>
      </c>
      <c r="C23" t="s">
        <v>417</v>
      </c>
      <c r="D23" s="90"/>
      <c r="E23" s="90"/>
      <c r="F23" s="290"/>
      <c r="G23" s="303">
        <v>10100000</v>
      </c>
      <c r="H23" s="90"/>
      <c r="I23" s="293"/>
      <c r="J23" s="307">
        <f t="shared" ref="J23:J28" si="6">+SUM(G23:I23)</f>
        <v>10100000</v>
      </c>
      <c r="N23" s="290"/>
      <c r="O23" s="351">
        <v>10100000</v>
      </c>
      <c r="P23" s="90"/>
      <c r="Q23" s="353"/>
      <c r="R23" s="307">
        <f t="shared" ref="R23:R28" si="7">+SUM(O23:Q23)</f>
        <v>10100000</v>
      </c>
    </row>
    <row r="24" spans="1:18">
      <c r="B24" t="s">
        <v>415</v>
      </c>
      <c r="C24" t="s">
        <v>418</v>
      </c>
      <c r="D24" s="90"/>
      <c r="E24" s="90"/>
      <c r="F24" s="290"/>
      <c r="G24" s="303">
        <v>7168500</v>
      </c>
      <c r="H24" s="90"/>
      <c r="I24" s="293"/>
      <c r="J24" s="307">
        <f t="shared" si="6"/>
        <v>7168500</v>
      </c>
      <c r="N24" s="290"/>
      <c r="O24" s="351">
        <v>7168500</v>
      </c>
      <c r="P24" s="90"/>
      <c r="Q24" s="353"/>
      <c r="R24" s="307">
        <f t="shared" si="7"/>
        <v>7168500</v>
      </c>
    </row>
    <row r="25" spans="1:18">
      <c r="A25" t="s">
        <v>419</v>
      </c>
      <c r="B25" t="s">
        <v>384</v>
      </c>
      <c r="C25" t="s">
        <v>420</v>
      </c>
      <c r="D25" s="90"/>
      <c r="E25" s="90"/>
      <c r="F25" s="290"/>
      <c r="G25" s="303">
        <v>17510000</v>
      </c>
      <c r="H25" s="90"/>
      <c r="I25" s="293"/>
      <c r="J25" s="307">
        <f t="shared" si="6"/>
        <v>17510000</v>
      </c>
      <c r="N25" s="290"/>
      <c r="O25" s="351">
        <v>17510000</v>
      </c>
      <c r="P25" s="90"/>
      <c r="Q25" s="353"/>
      <c r="R25" s="307">
        <f t="shared" si="7"/>
        <v>17510000</v>
      </c>
    </row>
    <row r="26" spans="1:18">
      <c r="A26" t="s">
        <v>438</v>
      </c>
      <c r="B26" t="s">
        <v>441</v>
      </c>
      <c r="C26" t="s">
        <v>435</v>
      </c>
      <c r="D26" s="90"/>
      <c r="E26" s="90"/>
      <c r="F26" s="290"/>
      <c r="G26" s="293">
        <v>2700000</v>
      </c>
      <c r="H26" s="90"/>
      <c r="I26" s="293"/>
      <c r="J26" s="307">
        <f t="shared" si="6"/>
        <v>2700000</v>
      </c>
      <c r="N26" s="290"/>
      <c r="O26" s="353">
        <v>2700000</v>
      </c>
      <c r="P26" s="90"/>
      <c r="Q26" s="353"/>
      <c r="R26" s="307">
        <f t="shared" si="7"/>
        <v>2700000</v>
      </c>
    </row>
    <row r="27" spans="1:18">
      <c r="A27" t="s">
        <v>439</v>
      </c>
      <c r="B27" t="s">
        <v>441</v>
      </c>
      <c r="C27" t="s">
        <v>436</v>
      </c>
      <c r="D27" s="90"/>
      <c r="E27" s="90"/>
      <c r="F27" s="290"/>
      <c r="G27" s="293">
        <v>695000</v>
      </c>
      <c r="H27" s="90"/>
      <c r="I27" s="293"/>
      <c r="J27" s="307">
        <f t="shared" si="6"/>
        <v>695000</v>
      </c>
      <c r="N27" s="290"/>
      <c r="O27" s="353">
        <v>695000</v>
      </c>
      <c r="P27" s="90"/>
      <c r="Q27" s="353"/>
      <c r="R27" s="307">
        <f t="shared" si="7"/>
        <v>695000</v>
      </c>
    </row>
    <row r="28" spans="1:18">
      <c r="A28" t="s">
        <v>440</v>
      </c>
      <c r="B28" t="s">
        <v>384</v>
      </c>
      <c r="C28" t="s">
        <v>437</v>
      </c>
      <c r="D28" s="90"/>
      <c r="E28" s="90"/>
      <c r="F28" s="290"/>
      <c r="G28" s="293">
        <v>534000</v>
      </c>
      <c r="H28" s="90"/>
      <c r="I28" s="293"/>
      <c r="J28" s="307">
        <f t="shared" si="6"/>
        <v>534000</v>
      </c>
      <c r="N28" s="290"/>
      <c r="O28" s="353">
        <v>534000</v>
      </c>
      <c r="P28" s="90"/>
      <c r="Q28" s="353"/>
      <c r="R28" s="307">
        <f t="shared" si="7"/>
        <v>534000</v>
      </c>
    </row>
    <row r="29" spans="1:18">
      <c r="C29" s="160" t="s">
        <v>411</v>
      </c>
      <c r="D29" s="256"/>
      <c r="E29" s="256"/>
      <c r="F29" s="160"/>
      <c r="G29" s="256">
        <f t="shared" ref="G29:J29" si="8">+SUM(G23:G28)</f>
        <v>38707500</v>
      </c>
      <c r="H29" s="256">
        <f t="shared" si="8"/>
        <v>0</v>
      </c>
      <c r="I29" s="256">
        <f t="shared" si="8"/>
        <v>0</v>
      </c>
      <c r="J29" s="256">
        <f t="shared" si="8"/>
        <v>38707500</v>
      </c>
      <c r="N29" s="160"/>
      <c r="O29" s="256">
        <f t="shared" ref="O29:R29" si="9">+SUM(O23:O28)</f>
        <v>38707500</v>
      </c>
      <c r="P29" s="256">
        <f t="shared" si="9"/>
        <v>0</v>
      </c>
      <c r="Q29" s="256">
        <f t="shared" si="9"/>
        <v>0</v>
      </c>
      <c r="R29" s="256">
        <f t="shared" si="9"/>
        <v>38707500</v>
      </c>
    </row>
    <row r="31" spans="1:18">
      <c r="C31" s="160" t="s">
        <v>314</v>
      </c>
      <c r="D31" s="256"/>
      <c r="E31" s="256"/>
      <c r="F31" s="290" t="e">
        <f>+J31/D31</f>
        <v>#DIV/0!</v>
      </c>
      <c r="G31" s="256">
        <f>+G20+G29</f>
        <v>408715020.83217645</v>
      </c>
      <c r="H31" s="256">
        <f>+H20+H29</f>
        <v>-5341398.1481119907</v>
      </c>
      <c r="I31" s="256">
        <f>+I20+I29</f>
        <v>-7405279.7250000006</v>
      </c>
      <c r="J31" s="256">
        <f>+J20+J29</f>
        <v>408715020.83217651</v>
      </c>
      <c r="N31" s="290" t="str">
        <f t="shared" ref="N31" si="10">IFERROR(O31/D31,"")</f>
        <v/>
      </c>
      <c r="O31" s="256">
        <f>+O20+O29</f>
        <v>408715020.83217639</v>
      </c>
      <c r="P31" s="256">
        <f>+P20+P29</f>
        <v>-5341398.1481119888</v>
      </c>
      <c r="Q31" s="256">
        <f>+Q20+Q29</f>
        <v>-7405279.7250000006</v>
      </c>
      <c r="R31" s="256">
        <f>+R20+R29</f>
        <v>408715020.83217645</v>
      </c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pageSetUpPr fitToPage="1"/>
  </sheetPr>
  <dimension ref="A1:O2548"/>
  <sheetViews>
    <sheetView showZeros="0" zoomScale="90" zoomScaleNormal="90" workbookViewId="0">
      <pane xSplit="2" ySplit="2" topLeftCell="C3" activePane="bottomRight" state="frozen"/>
      <selection activeCell="P24" sqref="P24"/>
      <selection pane="topRight" activeCell="P24" sqref="P24"/>
      <selection pane="bottomLeft" activeCell="P24" sqref="P24"/>
      <selection pane="bottomRight" activeCell="A40" sqref="A40:XFD73"/>
    </sheetView>
  </sheetViews>
  <sheetFormatPr baseColWidth="10" defaultColWidth="11.5703125" defaultRowHeight="12.75"/>
  <cols>
    <col min="1" max="1" width="10" style="38" customWidth="1"/>
    <col min="2" max="2" width="52.85546875" style="39" customWidth="1"/>
    <col min="3" max="3" width="15.28515625" style="40" customWidth="1"/>
    <col min="4" max="4" width="9.42578125" style="41" customWidth="1"/>
    <col min="5" max="5" width="10.28515625" style="78" customWidth="1"/>
    <col min="6" max="6" width="11.5703125" style="43"/>
    <col min="7" max="7" width="13.85546875" style="43" customWidth="1"/>
    <col min="8" max="8" width="22.28515625" style="40" customWidth="1"/>
    <col min="9" max="9" width="15.7109375" style="40" customWidth="1"/>
    <col min="10" max="10" width="27.28515625" style="44" customWidth="1"/>
    <col min="11" max="11" width="27.140625" style="44" customWidth="1"/>
    <col min="12" max="12" width="17.42578125" customWidth="1"/>
    <col min="13" max="13" width="16.85546875" customWidth="1"/>
    <col min="14" max="65" width="10.85546875" customWidth="1"/>
  </cols>
  <sheetData>
    <row r="1" spans="1:15" ht="18">
      <c r="B1" s="45"/>
      <c r="H1" s="157">
        <f>+SUM(G:G)</f>
        <v>3763483.0508474573</v>
      </c>
      <c r="L1" t="s">
        <v>276</v>
      </c>
      <c r="M1" t="s">
        <v>277</v>
      </c>
      <c r="N1" t="s">
        <v>278</v>
      </c>
      <c r="O1" s="112" t="s">
        <v>443</v>
      </c>
    </row>
    <row r="2" spans="1:15">
      <c r="A2" s="46" t="s">
        <v>54</v>
      </c>
      <c r="B2" s="47" t="s">
        <v>55</v>
      </c>
      <c r="C2" s="48" t="s">
        <v>56</v>
      </c>
      <c r="D2" s="49" t="s">
        <v>57</v>
      </c>
      <c r="E2" s="364" t="s">
        <v>58</v>
      </c>
      <c r="F2" s="50" t="s">
        <v>59</v>
      </c>
      <c r="G2" s="50" t="s">
        <v>60</v>
      </c>
      <c r="H2" s="48" t="s">
        <v>61</v>
      </c>
      <c r="I2" s="48" t="s">
        <v>62</v>
      </c>
      <c r="J2" s="49" t="s">
        <v>63</v>
      </c>
      <c r="K2" s="49" t="s">
        <v>64</v>
      </c>
      <c r="L2" s="51"/>
    </row>
    <row r="3" spans="1:15" ht="16.5" customHeight="1">
      <c r="A3" s="55">
        <v>45910</v>
      </c>
      <c r="B3" s="86" t="s">
        <v>465</v>
      </c>
      <c r="D3" s="41" t="s">
        <v>65</v>
      </c>
      <c r="E3" s="78">
        <v>50</v>
      </c>
      <c r="F3" s="53">
        <v>900</v>
      </c>
      <c r="G3" s="53">
        <f>+E3*F3</f>
        <v>45000</v>
      </c>
      <c r="H3" s="41" t="s">
        <v>478</v>
      </c>
      <c r="J3" s="44" t="s">
        <v>71</v>
      </c>
      <c r="K3" s="44" t="s">
        <v>98</v>
      </c>
    </row>
    <row r="4" spans="1:15" ht="16.5" customHeight="1">
      <c r="A4" s="55">
        <v>45910</v>
      </c>
      <c r="B4" s="86" t="s">
        <v>466</v>
      </c>
      <c r="D4" s="41" t="s">
        <v>65</v>
      </c>
      <c r="E4" s="78">
        <v>50</v>
      </c>
      <c r="F4" s="53">
        <v>900</v>
      </c>
      <c r="G4" s="53">
        <f>+E4*F4</f>
        <v>45000</v>
      </c>
      <c r="H4" s="41" t="s">
        <v>478</v>
      </c>
      <c r="J4" s="44" t="s">
        <v>71</v>
      </c>
      <c r="K4" s="44" t="s">
        <v>98</v>
      </c>
    </row>
    <row r="5" spans="1:15" ht="16.5" customHeight="1">
      <c r="A5" s="55">
        <v>45910</v>
      </c>
      <c r="B5" s="86" t="s">
        <v>467</v>
      </c>
      <c r="D5" s="41" t="s">
        <v>65</v>
      </c>
      <c r="E5" s="78">
        <v>25</v>
      </c>
      <c r="F5" s="53">
        <v>2000</v>
      </c>
      <c r="G5" s="53">
        <f t="shared" ref="G5:G9" si="0">+E5*F5</f>
        <v>50000</v>
      </c>
      <c r="H5" s="41" t="s">
        <v>478</v>
      </c>
      <c r="J5" s="44" t="s">
        <v>71</v>
      </c>
      <c r="K5" s="44" t="s">
        <v>98</v>
      </c>
    </row>
    <row r="6" spans="1:15" ht="16.5" customHeight="1">
      <c r="A6" s="55">
        <v>45910</v>
      </c>
      <c r="B6" s="86" t="s">
        <v>468</v>
      </c>
      <c r="D6" s="41" t="s">
        <v>65</v>
      </c>
      <c r="E6" s="78">
        <v>25</v>
      </c>
      <c r="F6" s="53">
        <v>2000</v>
      </c>
      <c r="G6" s="53">
        <f t="shared" si="0"/>
        <v>50000</v>
      </c>
      <c r="H6" s="41" t="s">
        <v>478</v>
      </c>
      <c r="J6" s="44" t="s">
        <v>71</v>
      </c>
      <c r="K6" s="44" t="s">
        <v>98</v>
      </c>
    </row>
    <row r="7" spans="1:15" ht="15.6" customHeight="1">
      <c r="A7" s="55">
        <v>45912</v>
      </c>
      <c r="B7" s="86" t="s">
        <v>462</v>
      </c>
      <c r="D7" s="41" t="s">
        <v>65</v>
      </c>
      <c r="E7" s="78">
        <v>50</v>
      </c>
      <c r="F7" s="53">
        <v>2500</v>
      </c>
      <c r="G7" s="53">
        <f t="shared" si="0"/>
        <v>125000</v>
      </c>
      <c r="H7" s="41" t="s">
        <v>479</v>
      </c>
      <c r="J7" s="44" t="s">
        <v>71</v>
      </c>
      <c r="K7" s="44" t="s">
        <v>98</v>
      </c>
    </row>
    <row r="8" spans="1:15" ht="16.5" customHeight="1">
      <c r="A8" s="55">
        <v>45912</v>
      </c>
      <c r="B8" s="86" t="s">
        <v>463</v>
      </c>
      <c r="D8" s="41" t="s">
        <v>65</v>
      </c>
      <c r="E8" s="78">
        <v>50</v>
      </c>
      <c r="F8" s="53">
        <v>2500</v>
      </c>
      <c r="G8" s="53">
        <f t="shared" si="0"/>
        <v>125000</v>
      </c>
      <c r="H8" s="41" t="s">
        <v>479</v>
      </c>
      <c r="J8" s="44" t="s">
        <v>66</v>
      </c>
      <c r="K8" s="44" t="s">
        <v>73</v>
      </c>
    </row>
    <row r="9" spans="1:15" ht="16.5" customHeight="1">
      <c r="A9" s="55">
        <v>45912</v>
      </c>
      <c r="B9" s="86" t="s">
        <v>464</v>
      </c>
      <c r="D9" s="41" t="s">
        <v>65</v>
      </c>
      <c r="E9" s="78">
        <v>30</v>
      </c>
      <c r="F9" s="53">
        <v>3500</v>
      </c>
      <c r="G9" s="53">
        <f t="shared" si="0"/>
        <v>105000</v>
      </c>
      <c r="H9" s="41" t="s">
        <v>479</v>
      </c>
      <c r="J9" s="44" t="s">
        <v>66</v>
      </c>
      <c r="K9" s="44" t="s">
        <v>73</v>
      </c>
    </row>
    <row r="10" spans="1:15" ht="16.5" customHeight="1">
      <c r="A10" s="55">
        <v>45917</v>
      </c>
      <c r="B10" s="252" t="s">
        <v>461</v>
      </c>
      <c r="D10" s="41" t="s">
        <v>65</v>
      </c>
      <c r="E10" s="78">
        <v>1</v>
      </c>
      <c r="F10" s="53"/>
      <c r="G10" s="53"/>
      <c r="H10" s="41" t="s">
        <v>481</v>
      </c>
      <c r="J10" s="44" t="s">
        <v>71</v>
      </c>
      <c r="K10" s="44" t="s">
        <v>72</v>
      </c>
    </row>
    <row r="11" spans="1:15" ht="16.5" customHeight="1">
      <c r="A11" s="55">
        <v>45918</v>
      </c>
      <c r="B11" s="86" t="s">
        <v>458</v>
      </c>
      <c r="D11" s="41" t="s">
        <v>65</v>
      </c>
      <c r="E11" s="78">
        <v>2</v>
      </c>
      <c r="F11" s="53">
        <v>1500</v>
      </c>
      <c r="G11" s="53">
        <f>+E11*F11</f>
        <v>3000</v>
      </c>
      <c r="H11" s="41" t="s">
        <v>482</v>
      </c>
      <c r="J11" s="44" t="s">
        <v>71</v>
      </c>
      <c r="K11" s="44" t="s">
        <v>72</v>
      </c>
    </row>
    <row r="12" spans="1:15" ht="16.5" customHeight="1">
      <c r="A12" s="55">
        <v>45918</v>
      </c>
      <c r="B12" s="86" t="s">
        <v>459</v>
      </c>
      <c r="D12" s="41" t="s">
        <v>65</v>
      </c>
      <c r="E12" s="78">
        <v>2</v>
      </c>
      <c r="F12" s="53">
        <v>1500</v>
      </c>
      <c r="G12" s="53">
        <f t="shared" ref="G12:G13" si="1">+E12*F12</f>
        <v>3000</v>
      </c>
      <c r="H12" s="41" t="s">
        <v>482</v>
      </c>
      <c r="J12" s="44" t="s">
        <v>71</v>
      </c>
      <c r="K12" s="44" t="s">
        <v>72</v>
      </c>
    </row>
    <row r="13" spans="1:15" ht="16.5" customHeight="1">
      <c r="A13" s="55">
        <v>45918</v>
      </c>
      <c r="B13" s="86" t="s">
        <v>460</v>
      </c>
      <c r="D13" s="41" t="s">
        <v>65</v>
      </c>
      <c r="E13" s="78">
        <v>2</v>
      </c>
      <c r="F13" s="53">
        <v>1500</v>
      </c>
      <c r="G13" s="53">
        <f t="shared" si="1"/>
        <v>3000</v>
      </c>
      <c r="H13" s="41" t="s">
        <v>482</v>
      </c>
      <c r="J13" s="44" t="s">
        <v>71</v>
      </c>
      <c r="K13" s="44" t="s">
        <v>72</v>
      </c>
    </row>
    <row r="14" spans="1:15" ht="16.5" customHeight="1">
      <c r="A14" s="55">
        <v>45961</v>
      </c>
      <c r="B14" s="236" t="s">
        <v>471</v>
      </c>
      <c r="F14" s="53"/>
      <c r="G14" s="53"/>
      <c r="H14" s="41"/>
    </row>
    <row r="15" spans="1:15" s="112" customFormat="1" ht="16.5" customHeight="1">
      <c r="A15" s="369">
        <v>45961</v>
      </c>
      <c r="B15" s="236" t="s">
        <v>457</v>
      </c>
      <c r="C15" s="155"/>
      <c r="D15" s="156" t="s">
        <v>65</v>
      </c>
      <c r="E15" s="366">
        <v>1</v>
      </c>
      <c r="F15" s="158">
        <f>17*22500</f>
        <v>382500</v>
      </c>
      <c r="G15" s="158">
        <f>+E15*F15</f>
        <v>382500</v>
      </c>
      <c r="H15" s="156" t="s">
        <v>479</v>
      </c>
      <c r="I15" s="155"/>
      <c r="J15" s="87" t="s">
        <v>71</v>
      </c>
      <c r="K15" s="87" t="s">
        <v>88</v>
      </c>
    </row>
    <row r="16" spans="1:15" ht="16.5" customHeight="1">
      <c r="A16" s="55">
        <v>45963</v>
      </c>
      <c r="B16" s="236" t="s">
        <v>472</v>
      </c>
      <c r="F16" s="53"/>
      <c r="G16" s="53"/>
      <c r="H16" s="41"/>
    </row>
    <row r="17" spans="1:11" ht="16.5" customHeight="1">
      <c r="A17" s="55">
        <v>45963</v>
      </c>
      <c r="B17" s="236" t="s">
        <v>455</v>
      </c>
      <c r="D17" s="41" t="s">
        <v>65</v>
      </c>
      <c r="E17" s="78">
        <v>1</v>
      </c>
      <c r="F17" s="53">
        <f>4500+16500+20000+30000</f>
        <v>71000</v>
      </c>
      <c r="G17" s="53">
        <f t="shared" ref="G17:G24" si="2">+E17*F17</f>
        <v>71000</v>
      </c>
      <c r="H17" s="41" t="s">
        <v>480</v>
      </c>
      <c r="J17" s="44" t="s">
        <v>71</v>
      </c>
      <c r="K17" s="44" t="s">
        <v>87</v>
      </c>
    </row>
    <row r="18" spans="1:11" ht="15" customHeight="1">
      <c r="A18" s="55">
        <v>45963</v>
      </c>
      <c r="B18" s="236" t="s">
        <v>456</v>
      </c>
      <c r="D18" s="41" t="s">
        <v>65</v>
      </c>
      <c r="E18" s="78">
        <v>1</v>
      </c>
      <c r="F18" s="53">
        <f>9000+22000+36000+28000+30000+27000+8000+10500</f>
        <v>170500</v>
      </c>
      <c r="G18" s="53">
        <f t="shared" si="2"/>
        <v>170500</v>
      </c>
      <c r="H18" s="41" t="s">
        <v>480</v>
      </c>
      <c r="J18" s="44" t="s">
        <v>71</v>
      </c>
      <c r="K18" s="44" t="s">
        <v>88</v>
      </c>
    </row>
    <row r="19" spans="1:11" ht="15" customHeight="1">
      <c r="A19" s="55">
        <v>45963</v>
      </c>
      <c r="B19" s="236" t="s">
        <v>470</v>
      </c>
      <c r="D19" s="41" t="s">
        <v>65</v>
      </c>
      <c r="E19" s="78">
        <v>1</v>
      </c>
      <c r="F19" s="53">
        <v>13500</v>
      </c>
      <c r="G19" s="53">
        <f t="shared" si="2"/>
        <v>13500</v>
      </c>
      <c r="H19" s="41" t="s">
        <v>480</v>
      </c>
      <c r="J19" s="44" t="s">
        <v>66</v>
      </c>
      <c r="K19" s="44" t="s">
        <v>103</v>
      </c>
    </row>
    <row r="20" spans="1:11" ht="16.5" customHeight="1">
      <c r="A20" s="52">
        <v>45971</v>
      </c>
      <c r="B20" s="39" t="s">
        <v>444</v>
      </c>
      <c r="D20" s="41" t="s">
        <v>65</v>
      </c>
      <c r="E20" s="78">
        <v>2</v>
      </c>
      <c r="F20" s="53">
        <v>2000</v>
      </c>
      <c r="G20" s="53">
        <f t="shared" si="2"/>
        <v>4000</v>
      </c>
      <c r="H20" s="41" t="s">
        <v>480</v>
      </c>
      <c r="J20" s="44" t="s">
        <v>66</v>
      </c>
      <c r="K20" s="87" t="s">
        <v>77</v>
      </c>
    </row>
    <row r="21" spans="1:11" ht="16.5" customHeight="1">
      <c r="A21" s="52">
        <v>45972</v>
      </c>
      <c r="B21" s="54" t="s">
        <v>451</v>
      </c>
      <c r="D21" s="41" t="s">
        <v>76</v>
      </c>
      <c r="E21" s="78">
        <v>2</v>
      </c>
      <c r="F21" s="53">
        <v>25000</v>
      </c>
      <c r="G21" s="53">
        <f t="shared" si="2"/>
        <v>50000</v>
      </c>
      <c r="H21" s="41" t="s">
        <v>477</v>
      </c>
      <c r="J21" s="44" t="str">
        <f>+J20</f>
        <v>Installation_du_chantier</v>
      </c>
      <c r="K21" s="44" t="s">
        <v>77</v>
      </c>
    </row>
    <row r="22" spans="1:11" ht="16.5" customHeight="1">
      <c r="A22" s="52">
        <v>45972</v>
      </c>
      <c r="B22" s="54" t="s">
        <v>453</v>
      </c>
      <c r="D22" s="41" t="s">
        <v>76</v>
      </c>
      <c r="E22" s="78">
        <v>24</v>
      </c>
      <c r="F22" s="53">
        <v>30000</v>
      </c>
      <c r="G22" s="53">
        <f t="shared" si="2"/>
        <v>720000</v>
      </c>
      <c r="H22" s="41" t="s">
        <v>477</v>
      </c>
      <c r="J22" s="44" t="s">
        <v>69</v>
      </c>
      <c r="K22" s="44">
        <f>+K58</f>
        <v>0</v>
      </c>
    </row>
    <row r="23" spans="1:11" ht="16.5" customHeight="1">
      <c r="A23" s="52">
        <v>45972</v>
      </c>
      <c r="B23" s="54" t="s">
        <v>454</v>
      </c>
      <c r="D23" s="41" t="s">
        <v>65</v>
      </c>
      <c r="E23" s="78">
        <v>1</v>
      </c>
      <c r="F23" s="53">
        <v>15000</v>
      </c>
      <c r="G23" s="53">
        <f t="shared" si="2"/>
        <v>15000</v>
      </c>
      <c r="H23" s="41" t="s">
        <v>477</v>
      </c>
      <c r="J23" s="44" t="s">
        <v>66</v>
      </c>
      <c r="K23" s="44" t="s">
        <v>80</v>
      </c>
    </row>
    <row r="24" spans="1:11" ht="16.5" customHeight="1">
      <c r="A24" s="52">
        <v>45973</v>
      </c>
      <c r="B24" s="54" t="s">
        <v>446</v>
      </c>
      <c r="D24" s="41" t="s">
        <v>84</v>
      </c>
      <c r="E24" s="78">
        <v>2</v>
      </c>
      <c r="F24" s="53">
        <v>90000</v>
      </c>
      <c r="G24" s="53">
        <f t="shared" si="2"/>
        <v>180000</v>
      </c>
      <c r="H24" s="41" t="s">
        <v>477</v>
      </c>
      <c r="J24" s="44" t="s">
        <v>71</v>
      </c>
      <c r="K24" s="44" t="s">
        <v>97</v>
      </c>
    </row>
    <row r="25" spans="1:11" ht="16.5" customHeight="1">
      <c r="A25" s="52">
        <v>45973</v>
      </c>
      <c r="B25" s="54" t="s">
        <v>449</v>
      </c>
      <c r="D25" s="41" t="str">
        <f>D24</f>
        <v>tonne</v>
      </c>
      <c r="E25" s="78">
        <v>0.1</v>
      </c>
      <c r="F25" s="53">
        <f>650000/1.18</f>
        <v>550847.45762711868</v>
      </c>
      <c r="G25" s="53">
        <f t="shared" ref="G25:G38" si="3">+E25*F25</f>
        <v>55084.745762711871</v>
      </c>
      <c r="H25" s="41" t="s">
        <v>477</v>
      </c>
      <c r="J25" s="44" t="s">
        <v>71</v>
      </c>
      <c r="K25" s="44" t="s">
        <v>93</v>
      </c>
    </row>
    <row r="26" spans="1:11" ht="16.5" customHeight="1">
      <c r="A26" s="52">
        <v>45973</v>
      </c>
      <c r="B26" s="54" t="s">
        <v>450</v>
      </c>
      <c r="D26" s="41" t="s">
        <v>84</v>
      </c>
      <c r="E26" s="78">
        <v>1</v>
      </c>
      <c r="F26" s="53">
        <f>+F25</f>
        <v>550847.45762711868</v>
      </c>
      <c r="G26" s="53">
        <f t="shared" si="3"/>
        <v>550847.45762711868</v>
      </c>
      <c r="H26" s="41" t="str">
        <f>+H25</f>
        <v>MAZDA</v>
      </c>
      <c r="J26" s="44" t="str">
        <f>+J25</f>
        <v>Gros_Oeuvre</v>
      </c>
      <c r="K26" s="44" t="s">
        <v>93</v>
      </c>
    </row>
    <row r="27" spans="1:11" ht="16.5" customHeight="1">
      <c r="A27" s="55">
        <v>45973</v>
      </c>
      <c r="B27" s="54" t="s">
        <v>445</v>
      </c>
      <c r="D27" s="41" t="s">
        <v>84</v>
      </c>
      <c r="E27" s="78">
        <v>1</v>
      </c>
      <c r="F27" s="53">
        <f>+F25</f>
        <v>550847.45762711868</v>
      </c>
      <c r="G27" s="53">
        <f t="shared" si="3"/>
        <v>550847.45762711868</v>
      </c>
      <c r="H27" s="41" t="str">
        <f>+H26</f>
        <v>MAZDA</v>
      </c>
      <c r="J27" s="44" t="str">
        <f>+J26</f>
        <v>Gros_Oeuvre</v>
      </c>
      <c r="K27" s="44" t="s">
        <v>93</v>
      </c>
    </row>
    <row r="28" spans="1:11" ht="14.45" customHeight="1">
      <c r="A28" s="55">
        <v>45973</v>
      </c>
      <c r="B28" s="54" t="s">
        <v>446</v>
      </c>
      <c r="D28" s="41" t="s">
        <v>84</v>
      </c>
      <c r="E28" s="78">
        <v>-0.35</v>
      </c>
      <c r="F28" s="53">
        <f>+F27</f>
        <v>550847.45762711868</v>
      </c>
      <c r="G28" s="53">
        <f>+E28*F28</f>
        <v>-192796.61016949153</v>
      </c>
      <c r="H28" s="41" t="str">
        <f>+H24</f>
        <v>MAZDA</v>
      </c>
      <c r="J28" s="44" t="str">
        <f>+J27</f>
        <v>Gros_Oeuvre</v>
      </c>
      <c r="K28" s="44" t="s">
        <v>97</v>
      </c>
    </row>
    <row r="29" spans="1:11" ht="14.45" customHeight="1">
      <c r="A29" s="55">
        <v>45974</v>
      </c>
      <c r="B29" s="54" t="s">
        <v>453</v>
      </c>
      <c r="D29" s="41" t="s">
        <v>76</v>
      </c>
      <c r="E29" s="78">
        <v>12</v>
      </c>
      <c r="F29" s="53">
        <v>30000</v>
      </c>
      <c r="G29" s="53">
        <f t="shared" si="3"/>
        <v>360000</v>
      </c>
      <c r="H29" s="41" t="s">
        <v>481</v>
      </c>
      <c r="J29" s="44" t="s">
        <v>69</v>
      </c>
      <c r="K29" s="44">
        <f>+K22</f>
        <v>0</v>
      </c>
    </row>
    <row r="30" spans="1:11" ht="16.5" customHeight="1">
      <c r="A30" s="55">
        <v>45975</v>
      </c>
      <c r="B30" s="54" t="s">
        <v>446</v>
      </c>
      <c r="D30" s="41" t="s">
        <v>84</v>
      </c>
      <c r="E30" s="78">
        <v>2</v>
      </c>
      <c r="F30" s="53">
        <v>90000</v>
      </c>
      <c r="G30" s="53">
        <f t="shared" si="3"/>
        <v>180000</v>
      </c>
      <c r="H30" s="41" t="s">
        <v>481</v>
      </c>
      <c r="J30" s="44" t="s">
        <v>71</v>
      </c>
      <c r="K30" s="44" t="s">
        <v>97</v>
      </c>
    </row>
    <row r="31" spans="1:11" ht="16.5" customHeight="1">
      <c r="A31" s="55">
        <v>45977</v>
      </c>
      <c r="B31" s="236" t="s">
        <v>473</v>
      </c>
      <c r="F31" s="53"/>
      <c r="G31" s="53"/>
      <c r="H31" s="41"/>
    </row>
    <row r="32" spans="1:11" ht="16.5" customHeight="1">
      <c r="A32" s="55">
        <v>45977</v>
      </c>
      <c r="B32" s="236" t="s">
        <v>456</v>
      </c>
      <c r="D32" s="41" t="s">
        <v>65</v>
      </c>
      <c r="E32" s="78">
        <v>1</v>
      </c>
      <c r="F32" s="53">
        <f>26000+12000</f>
        <v>38000</v>
      </c>
      <c r="G32" s="53">
        <f>+E32*F32</f>
        <v>38000</v>
      </c>
      <c r="H32" s="41" t="s">
        <v>479</v>
      </c>
      <c r="J32" s="44" t="s">
        <v>66</v>
      </c>
      <c r="K32" s="44" t="s">
        <v>77</v>
      </c>
    </row>
    <row r="33" spans="1:11" ht="16.5" customHeight="1">
      <c r="A33" s="55">
        <v>45977</v>
      </c>
      <c r="B33" s="236" t="s">
        <v>456</v>
      </c>
      <c r="D33" s="41" t="s">
        <v>65</v>
      </c>
      <c r="F33" s="53">
        <f>31000+29000</f>
        <v>60000</v>
      </c>
      <c r="G33" s="53"/>
      <c r="H33" s="41" t="s">
        <v>479</v>
      </c>
      <c r="J33" s="44" t="s">
        <v>71</v>
      </c>
      <c r="K33" s="44" t="s">
        <v>88</v>
      </c>
    </row>
    <row r="34" spans="1:11" ht="16.5" customHeight="1">
      <c r="A34" s="55">
        <v>45977</v>
      </c>
      <c r="B34" s="236" t="s">
        <v>469</v>
      </c>
      <c r="D34" s="41" t="s">
        <v>65</v>
      </c>
      <c r="E34" s="78">
        <v>1</v>
      </c>
      <c r="F34" s="53">
        <v>7000</v>
      </c>
      <c r="G34" s="53"/>
      <c r="H34" s="41" t="s">
        <v>479</v>
      </c>
      <c r="J34" s="44" t="s">
        <v>66</v>
      </c>
      <c r="K34" s="44" t="s">
        <v>213</v>
      </c>
    </row>
    <row r="35" spans="1:11" ht="16.5" customHeight="1">
      <c r="A35" s="55">
        <v>45977</v>
      </c>
      <c r="B35" s="236" t="s">
        <v>470</v>
      </c>
      <c r="D35" s="41" t="s">
        <v>65</v>
      </c>
      <c r="E35" s="78">
        <v>1</v>
      </c>
      <c r="F35" s="53">
        <v>46500</v>
      </c>
      <c r="G35" s="53"/>
      <c r="H35" s="41" t="s">
        <v>479</v>
      </c>
      <c r="J35" s="44" t="s">
        <v>66</v>
      </c>
      <c r="K35" s="44" t="s">
        <v>103</v>
      </c>
    </row>
    <row r="36" spans="1:11" ht="16.5" customHeight="1">
      <c r="A36" s="55">
        <v>45978</v>
      </c>
      <c r="B36" s="71" t="s">
        <v>447</v>
      </c>
      <c r="D36" s="41" t="s">
        <v>112</v>
      </c>
      <c r="E36" s="78">
        <v>1</v>
      </c>
      <c r="F36" s="53"/>
      <c r="G36" s="53">
        <f t="shared" si="3"/>
        <v>0</v>
      </c>
      <c r="H36" s="41" t="str">
        <f>+H20</f>
        <v>ALPIN</v>
      </c>
      <c r="J36" s="44" t="s">
        <v>66</v>
      </c>
      <c r="K36" s="44" t="s">
        <v>78</v>
      </c>
    </row>
    <row r="37" spans="1:11" ht="16.5" customHeight="1">
      <c r="A37" s="55">
        <v>45978</v>
      </c>
      <c r="B37" s="54" t="s">
        <v>448</v>
      </c>
      <c r="D37" s="41" t="s">
        <v>65</v>
      </c>
      <c r="E37" s="78">
        <v>1</v>
      </c>
      <c r="F37" s="53">
        <v>55000</v>
      </c>
      <c r="G37" s="53">
        <f t="shared" si="3"/>
        <v>55000</v>
      </c>
      <c r="H37" s="41" t="str">
        <f>+H36</f>
        <v>ALPIN</v>
      </c>
      <c r="J37" s="44" t="s">
        <v>71</v>
      </c>
      <c r="K37" s="44" t="s">
        <v>72</v>
      </c>
    </row>
    <row r="38" spans="1:11" ht="16.5" customHeight="1">
      <c r="A38" s="55">
        <v>45978</v>
      </c>
      <c r="B38" s="54" t="s">
        <v>446</v>
      </c>
      <c r="D38" s="41" t="s">
        <v>84</v>
      </c>
      <c r="E38" s="78">
        <v>-0.1</v>
      </c>
      <c r="F38" s="53">
        <v>90000</v>
      </c>
      <c r="G38" s="53">
        <f t="shared" si="3"/>
        <v>-9000</v>
      </c>
      <c r="H38" s="41" t="str">
        <f>+H37</f>
        <v>ALPIN</v>
      </c>
      <c r="J38" s="44" t="s">
        <v>71</v>
      </c>
      <c r="K38" s="44" t="s">
        <v>97</v>
      </c>
    </row>
    <row r="39" spans="1:11" ht="16.5" customHeight="1">
      <c r="A39" s="55">
        <v>45978</v>
      </c>
      <c r="B39" s="54" t="s">
        <v>452</v>
      </c>
      <c r="D39" s="41" t="s">
        <v>65</v>
      </c>
      <c r="E39" s="78">
        <v>1</v>
      </c>
      <c r="F39" s="53">
        <v>15000</v>
      </c>
      <c r="G39" s="53">
        <f t="shared" ref="G39:G58" si="4">+E39*F39</f>
        <v>15000</v>
      </c>
      <c r="H39" s="41" t="str">
        <f>+H36</f>
        <v>ALPIN</v>
      </c>
      <c r="J39" s="44" t="s">
        <v>66</v>
      </c>
      <c r="K39" s="44" t="s">
        <v>103</v>
      </c>
    </row>
    <row r="40" spans="1:11" ht="16.5" customHeight="1">
      <c r="A40" s="55"/>
      <c r="B40" s="86"/>
      <c r="D40" s="156"/>
      <c r="F40" s="53"/>
      <c r="G40" s="53"/>
      <c r="H40" s="41"/>
    </row>
    <row r="41" spans="1:11" ht="16.5" customHeight="1">
      <c r="A41" s="55"/>
      <c r="B41" s="86"/>
      <c r="F41" s="53"/>
      <c r="G41" s="53"/>
      <c r="H41" s="41"/>
    </row>
    <row r="42" spans="1:11" ht="16.5" customHeight="1">
      <c r="A42" s="55"/>
      <c r="B42" s="54"/>
      <c r="F42" s="53"/>
      <c r="G42" s="53"/>
      <c r="H42" s="41"/>
    </row>
    <row r="43" spans="1:11" ht="16.5" customHeight="1">
      <c r="A43" s="55"/>
      <c r="B43" s="54"/>
      <c r="F43" s="53"/>
      <c r="G43" s="53"/>
      <c r="H43" s="41"/>
    </row>
    <row r="44" spans="1:11" ht="16.5" customHeight="1">
      <c r="A44" s="55"/>
      <c r="B44" s="54"/>
      <c r="F44" s="53"/>
      <c r="G44" s="53"/>
      <c r="H44" s="41"/>
    </row>
    <row r="45" spans="1:11" ht="16.5" customHeight="1">
      <c r="A45" s="55"/>
      <c r="B45" s="54"/>
      <c r="F45" s="53"/>
      <c r="G45" s="53"/>
      <c r="H45" s="41"/>
    </row>
    <row r="46" spans="1:11" ht="16.5" customHeight="1">
      <c r="A46" s="55"/>
      <c r="B46" s="71"/>
      <c r="F46" s="53"/>
      <c r="G46" s="53"/>
      <c r="H46" s="41"/>
    </row>
    <row r="47" spans="1:11" ht="16.5" customHeight="1">
      <c r="B47" s="71"/>
      <c r="D47" s="58"/>
      <c r="E47" s="365"/>
      <c r="F47" s="53"/>
      <c r="G47" s="53"/>
      <c r="H47" s="41"/>
      <c r="K47" s="87"/>
    </row>
    <row r="48" spans="1:11" ht="15.6" customHeight="1">
      <c r="B48" s="86"/>
      <c r="E48" s="366"/>
      <c r="F48" s="53"/>
      <c r="G48" s="53"/>
      <c r="H48" s="41"/>
    </row>
    <row r="49" spans="1:8" ht="16.5" customHeight="1">
      <c r="B49" s="54"/>
      <c r="E49" s="365"/>
      <c r="F49" s="53"/>
      <c r="G49" s="53"/>
      <c r="H49" s="41"/>
    </row>
    <row r="50" spans="1:8" ht="16.5" customHeight="1">
      <c r="B50" s="86"/>
      <c r="E50" s="366"/>
      <c r="F50" s="53"/>
      <c r="G50" s="53"/>
      <c r="H50" s="41"/>
    </row>
    <row r="51" spans="1:8" ht="16.5" customHeight="1">
      <c r="B51" s="71"/>
      <c r="E51" s="365"/>
      <c r="F51" s="53"/>
      <c r="G51" s="53"/>
      <c r="H51" s="41"/>
    </row>
    <row r="52" spans="1:8" ht="16.5" customHeight="1">
      <c r="B52" s="86"/>
      <c r="E52" s="366"/>
      <c r="F52" s="53"/>
      <c r="G52" s="53"/>
      <c r="H52" s="41"/>
    </row>
    <row r="53" spans="1:8" ht="16.5" customHeight="1">
      <c r="B53" s="71"/>
      <c r="E53" s="365"/>
      <c r="F53" s="53"/>
      <c r="G53" s="53"/>
      <c r="H53" s="41"/>
    </row>
    <row r="54" spans="1:8" ht="16.5" customHeight="1">
      <c r="B54" s="86"/>
      <c r="E54" s="366"/>
      <c r="F54" s="53"/>
      <c r="G54" s="53"/>
      <c r="H54" s="41"/>
    </row>
    <row r="55" spans="1:8" ht="16.5" customHeight="1">
      <c r="B55" s="54"/>
      <c r="E55" s="366"/>
      <c r="F55" s="53"/>
      <c r="G55" s="53"/>
      <c r="H55" s="41"/>
    </row>
    <row r="56" spans="1:8" ht="16.5" customHeight="1">
      <c r="B56" s="54"/>
      <c r="E56" s="366"/>
      <c r="F56" s="53"/>
      <c r="G56" s="53"/>
      <c r="H56" s="41"/>
    </row>
    <row r="57" spans="1:8" ht="16.5" customHeight="1">
      <c r="A57" s="55"/>
      <c r="B57" s="54"/>
      <c r="F57" s="53"/>
      <c r="G57" s="53"/>
      <c r="H57" s="41"/>
    </row>
    <row r="58" spans="1:8" ht="16.5" customHeight="1">
      <c r="B58" s="54"/>
      <c r="E58" s="365"/>
      <c r="F58" s="53"/>
      <c r="G58" s="53"/>
      <c r="H58" s="41"/>
    </row>
    <row r="59" spans="1:8" ht="16.5" customHeight="1">
      <c r="A59" s="55"/>
      <c r="B59" s="54"/>
      <c r="F59" s="53"/>
      <c r="G59" s="53"/>
      <c r="H59" s="41"/>
    </row>
    <row r="60" spans="1:8" ht="16.5" customHeight="1">
      <c r="A60" s="55"/>
      <c r="B60" s="236"/>
      <c r="F60" s="53"/>
      <c r="G60" s="53"/>
      <c r="H60" s="41"/>
    </row>
    <row r="61" spans="1:8" ht="16.5" customHeight="1">
      <c r="A61" s="55"/>
      <c r="B61" s="236"/>
      <c r="F61" s="53"/>
      <c r="G61" s="53"/>
      <c r="H61" s="41"/>
    </row>
    <row r="62" spans="1:8" ht="16.5" customHeight="1">
      <c r="A62" s="55"/>
      <c r="B62" s="236"/>
      <c r="F62" s="53"/>
      <c r="G62" s="53"/>
      <c r="H62" s="41"/>
    </row>
    <row r="63" spans="1:8" ht="16.5" customHeight="1">
      <c r="A63" s="55"/>
      <c r="B63" s="236"/>
      <c r="F63" s="53"/>
      <c r="G63" s="53"/>
      <c r="H63" s="41"/>
    </row>
    <row r="64" spans="1:8" ht="16.5" customHeight="1">
      <c r="A64" s="369"/>
      <c r="B64" s="236"/>
      <c r="F64" s="53"/>
      <c r="G64" s="53"/>
      <c r="H64" s="41"/>
    </row>
    <row r="65" spans="1:10" ht="16.5" customHeight="1">
      <c r="A65" s="55"/>
      <c r="B65" s="236"/>
      <c r="F65" s="53"/>
      <c r="G65" s="53"/>
      <c r="H65" s="41"/>
    </row>
    <row r="66" spans="1:10" ht="16.5" customHeight="1">
      <c r="A66" s="369"/>
      <c r="B66" s="236"/>
      <c r="F66" s="53"/>
      <c r="G66" s="53"/>
      <c r="H66" s="41"/>
    </row>
    <row r="67" spans="1:10" ht="16.5" customHeight="1">
      <c r="A67" s="369"/>
      <c r="B67" s="236"/>
      <c r="F67" s="53"/>
      <c r="G67" s="53"/>
      <c r="H67" s="41"/>
      <c r="J67" s="87"/>
    </row>
    <row r="68" spans="1:10" ht="16.5" customHeight="1">
      <c r="A68" s="55"/>
      <c r="B68" s="54"/>
      <c r="F68" s="53"/>
      <c r="G68" s="53"/>
      <c r="H68" s="41"/>
    </row>
    <row r="69" spans="1:10" ht="16.5" customHeight="1">
      <c r="B69" s="54"/>
      <c r="E69" s="365"/>
      <c r="F69" s="53"/>
      <c r="G69" s="53"/>
      <c r="H69" s="41"/>
    </row>
    <row r="70" spans="1:10" ht="16.5" customHeight="1">
      <c r="B70" s="86"/>
      <c r="E70" s="366"/>
      <c r="F70" s="53"/>
      <c r="G70" s="53"/>
      <c r="H70" s="41"/>
    </row>
    <row r="71" spans="1:10" ht="16.5" customHeight="1">
      <c r="B71" s="86"/>
      <c r="E71" s="365"/>
      <c r="F71" s="53"/>
      <c r="G71" s="53"/>
      <c r="H71" s="41"/>
    </row>
    <row r="72" spans="1:10" ht="16.5" customHeight="1">
      <c r="B72" s="54"/>
      <c r="F72" s="53"/>
      <c r="G72" s="53"/>
      <c r="H72" s="41"/>
    </row>
    <row r="73" spans="1:10" ht="16.5" customHeight="1">
      <c r="B73" s="54"/>
      <c r="F73" s="53"/>
      <c r="G73" s="53"/>
      <c r="H73" s="41"/>
    </row>
    <row r="74" spans="1:10" ht="16.5" customHeight="1">
      <c r="B74" s="71"/>
      <c r="F74" s="53"/>
      <c r="G74" s="53"/>
      <c r="H74" s="41"/>
    </row>
    <row r="75" spans="1:10" ht="16.5" customHeight="1">
      <c r="B75" s="54"/>
      <c r="F75" s="53"/>
      <c r="G75" s="53"/>
      <c r="H75" s="41"/>
    </row>
    <row r="76" spans="1:10" ht="16.5" customHeight="1">
      <c r="B76" s="86"/>
      <c r="F76" s="53"/>
      <c r="G76" s="53"/>
      <c r="H76" s="41"/>
    </row>
    <row r="77" spans="1:10" ht="16.5" customHeight="1">
      <c r="B77" s="86"/>
      <c r="E77" s="366"/>
      <c r="F77" s="53"/>
      <c r="G77" s="53"/>
      <c r="H77" s="41"/>
    </row>
    <row r="78" spans="1:10" ht="16.5" customHeight="1">
      <c r="B78" s="54"/>
      <c r="E78" s="365"/>
      <c r="F78" s="53"/>
      <c r="G78" s="53"/>
      <c r="H78" s="41"/>
    </row>
    <row r="79" spans="1:10" ht="16.5" customHeight="1">
      <c r="B79" s="54"/>
      <c r="E79" s="365"/>
      <c r="F79" s="53"/>
      <c r="G79" s="53"/>
      <c r="H79" s="41"/>
    </row>
    <row r="80" spans="1:10" ht="16.5" customHeight="1">
      <c r="B80" s="54"/>
      <c r="E80" s="365"/>
      <c r="F80" s="53"/>
      <c r="G80" s="53"/>
      <c r="H80" s="41"/>
    </row>
    <row r="81" spans="1:8" ht="16.5" customHeight="1">
      <c r="B81" s="54"/>
      <c r="E81" s="365"/>
      <c r="F81" s="53"/>
      <c r="G81" s="53"/>
      <c r="H81" s="41"/>
    </row>
    <row r="82" spans="1:8" ht="16.5" customHeight="1">
      <c r="B82" s="54"/>
      <c r="E82" s="365"/>
      <c r="F82" s="53"/>
      <c r="G82" s="53"/>
      <c r="H82" s="41"/>
    </row>
    <row r="83" spans="1:8" ht="16.5" customHeight="1">
      <c r="B83" s="54"/>
      <c r="E83" s="365"/>
      <c r="F83" s="53"/>
      <c r="G83" s="53"/>
      <c r="H83" s="41"/>
    </row>
    <row r="84" spans="1:8" ht="16.5" customHeight="1">
      <c r="B84" s="54"/>
      <c r="E84" s="365"/>
      <c r="F84" s="53"/>
      <c r="G84" s="53"/>
      <c r="H84" s="41"/>
    </row>
    <row r="85" spans="1:8" ht="16.5" customHeight="1">
      <c r="B85" s="54"/>
      <c r="E85" s="365"/>
      <c r="F85" s="53"/>
      <c r="G85" s="53"/>
      <c r="H85" s="41"/>
    </row>
    <row r="86" spans="1:8" ht="16.5" customHeight="1">
      <c r="B86" s="54"/>
      <c r="E86" s="365"/>
      <c r="F86" s="53"/>
      <c r="G86" s="53"/>
      <c r="H86" s="41"/>
    </row>
    <row r="87" spans="1:8" ht="16.5" customHeight="1">
      <c r="B87" s="71"/>
      <c r="D87" s="156"/>
      <c r="F87" s="53"/>
      <c r="G87" s="53"/>
      <c r="H87" s="41"/>
    </row>
    <row r="88" spans="1:8" ht="16.5" customHeight="1">
      <c r="B88" s="71"/>
      <c r="F88" s="53"/>
      <c r="G88" s="53"/>
      <c r="H88" s="41"/>
    </row>
    <row r="89" spans="1:8" ht="16.5" customHeight="1">
      <c r="B89" s="54"/>
      <c r="F89" s="53"/>
      <c r="G89" s="53"/>
      <c r="H89" s="41"/>
    </row>
    <row r="90" spans="1:8" ht="16.5" customHeight="1">
      <c r="B90" s="54"/>
      <c r="F90" s="53"/>
      <c r="G90" s="53"/>
      <c r="H90" s="41"/>
    </row>
    <row r="91" spans="1:8" ht="16.5" customHeight="1">
      <c r="B91" s="54"/>
      <c r="F91" s="53"/>
      <c r="G91" s="53"/>
      <c r="H91" s="41"/>
    </row>
    <row r="92" spans="1:8" ht="16.5" customHeight="1">
      <c r="A92" s="55"/>
      <c r="B92" s="236"/>
      <c r="F92" s="53"/>
      <c r="G92" s="53"/>
      <c r="H92" s="41"/>
    </row>
    <row r="93" spans="1:8" ht="16.5" customHeight="1">
      <c r="A93" s="55"/>
      <c r="B93" s="236"/>
      <c r="F93" s="53"/>
      <c r="G93" s="53"/>
      <c r="H93" s="41"/>
    </row>
    <row r="94" spans="1:8" ht="16.5" customHeight="1">
      <c r="A94" s="55"/>
      <c r="B94" s="236"/>
      <c r="F94" s="53"/>
      <c r="G94" s="53"/>
      <c r="H94" s="41"/>
    </row>
    <row r="95" spans="1:8" ht="16.5" customHeight="1">
      <c r="A95" s="55"/>
      <c r="B95" s="236"/>
      <c r="F95" s="53"/>
      <c r="G95" s="53"/>
      <c r="H95" s="41"/>
    </row>
    <row r="96" spans="1:8" ht="16.5" customHeight="1">
      <c r="B96" s="54"/>
      <c r="F96" s="53"/>
      <c r="G96" s="53"/>
      <c r="H96" s="41"/>
    </row>
    <row r="97" spans="2:8" ht="16.5" customHeight="1">
      <c r="B97" s="86"/>
      <c r="E97" s="366"/>
      <c r="F97" s="53"/>
      <c r="G97" s="53"/>
      <c r="H97" s="41"/>
    </row>
    <row r="98" spans="2:8" ht="16.5" customHeight="1">
      <c r="B98" s="86"/>
      <c r="E98" s="366"/>
      <c r="F98" s="53"/>
      <c r="G98" s="53"/>
      <c r="H98" s="41"/>
    </row>
    <row r="99" spans="2:8" ht="16.5" customHeight="1">
      <c r="B99" s="71"/>
      <c r="E99" s="365"/>
      <c r="F99" s="53"/>
      <c r="G99" s="53"/>
      <c r="H99" s="41"/>
    </row>
    <row r="100" spans="2:8" ht="16.5" customHeight="1">
      <c r="B100" s="86"/>
      <c r="F100" s="53"/>
      <c r="G100" s="53"/>
      <c r="H100" s="41"/>
    </row>
    <row r="101" spans="2:8" ht="16.5" customHeight="1">
      <c r="F101" s="53"/>
      <c r="G101" s="53"/>
      <c r="H101" s="41"/>
    </row>
    <row r="102" spans="2:8" ht="16.5" customHeight="1">
      <c r="F102" s="53"/>
      <c r="G102" s="53"/>
      <c r="H102" s="41"/>
    </row>
    <row r="103" spans="2:8" ht="16.5" customHeight="1">
      <c r="F103" s="53"/>
      <c r="G103" s="53"/>
      <c r="H103" s="41"/>
    </row>
    <row r="104" spans="2:8" ht="16.5" customHeight="1">
      <c r="F104" s="53"/>
      <c r="G104" s="53"/>
      <c r="H104" s="41"/>
    </row>
    <row r="105" spans="2:8" ht="16.5" customHeight="1">
      <c r="F105" s="53"/>
      <c r="G105" s="53"/>
      <c r="H105" s="41"/>
    </row>
    <row r="106" spans="2:8" ht="16.5" customHeight="1">
      <c r="F106" s="53"/>
      <c r="G106" s="53"/>
      <c r="H106" s="41"/>
    </row>
    <row r="107" spans="2:8" ht="16.5" customHeight="1">
      <c r="F107" s="53"/>
      <c r="G107" s="53"/>
      <c r="H107" s="41"/>
    </row>
    <row r="108" spans="2:8" ht="16.5" customHeight="1">
      <c r="F108" s="53"/>
      <c r="G108" s="53"/>
      <c r="H108" s="41"/>
    </row>
    <row r="109" spans="2:8" ht="16.5" customHeight="1">
      <c r="F109" s="53"/>
      <c r="G109" s="53"/>
      <c r="H109" s="41"/>
    </row>
    <row r="110" spans="2:8" ht="16.5" customHeight="1">
      <c r="D110" s="40"/>
      <c r="F110" s="53"/>
      <c r="G110" s="53"/>
      <c r="H110" s="41"/>
    </row>
    <row r="111" spans="2:8" ht="16.5" customHeight="1">
      <c r="D111" s="40"/>
      <c r="F111" s="53"/>
      <c r="G111" s="53"/>
      <c r="H111" s="41"/>
    </row>
    <row r="112" spans="2:8" ht="16.5" customHeight="1">
      <c r="D112" s="40"/>
      <c r="F112" s="53"/>
      <c r="G112" s="53"/>
      <c r="H112" s="41"/>
    </row>
    <row r="113" spans="2:8" ht="16.5" customHeight="1">
      <c r="D113" s="40"/>
      <c r="F113" s="53"/>
      <c r="G113" s="53"/>
      <c r="H113" s="41"/>
    </row>
    <row r="114" spans="2:8" ht="16.5" customHeight="1">
      <c r="D114" s="40"/>
      <c r="F114" s="53"/>
      <c r="G114" s="53"/>
      <c r="H114" s="41"/>
    </row>
    <row r="115" spans="2:8" ht="16.5" customHeight="1">
      <c r="D115" s="40"/>
      <c r="F115" s="53"/>
      <c r="G115" s="53"/>
      <c r="H115" s="41"/>
    </row>
    <row r="116" spans="2:8" ht="16.5" customHeight="1">
      <c r="B116" s="56"/>
      <c r="F116" s="53"/>
      <c r="G116" s="53"/>
      <c r="H116" s="41"/>
    </row>
    <row r="117" spans="2:8" ht="16.5" customHeight="1">
      <c r="B117" s="57"/>
      <c r="F117" s="53"/>
      <c r="G117" s="53"/>
      <c r="H117" s="41"/>
    </row>
    <row r="118" spans="2:8" ht="16.5" customHeight="1">
      <c r="B118" s="57"/>
      <c r="F118" s="53"/>
      <c r="G118" s="53"/>
      <c r="H118" s="41"/>
    </row>
    <row r="119" spans="2:8" ht="16.5" customHeight="1">
      <c r="D119" s="40"/>
      <c r="F119" s="53"/>
      <c r="G119" s="53"/>
      <c r="H119" s="41"/>
    </row>
    <row r="120" spans="2:8" ht="16.5" customHeight="1">
      <c r="D120" s="40"/>
      <c r="F120" s="53"/>
      <c r="G120" s="53"/>
      <c r="H120" s="41"/>
    </row>
    <row r="121" spans="2:8" ht="16.5" customHeight="1">
      <c r="D121" s="40"/>
      <c r="F121" s="53"/>
      <c r="G121" s="53"/>
      <c r="H121" s="41"/>
    </row>
    <row r="122" spans="2:8" ht="16.5" customHeight="1">
      <c r="D122" s="40"/>
      <c r="F122" s="53"/>
      <c r="G122" s="53"/>
      <c r="H122" s="41"/>
    </row>
    <row r="123" spans="2:8" ht="16.5" customHeight="1">
      <c r="D123" s="40"/>
      <c r="F123" s="53"/>
      <c r="G123" s="53"/>
      <c r="H123" s="41"/>
    </row>
    <row r="124" spans="2:8" ht="16.5" customHeight="1">
      <c r="D124" s="40"/>
      <c r="F124" s="53"/>
      <c r="G124" s="53"/>
      <c r="H124" s="41"/>
    </row>
    <row r="125" spans="2:8" ht="16.5" customHeight="1">
      <c r="D125" s="40"/>
      <c r="F125" s="53"/>
      <c r="G125" s="53"/>
      <c r="H125" s="41"/>
    </row>
    <row r="126" spans="2:8" ht="16.5" customHeight="1">
      <c r="D126" s="40"/>
      <c r="F126" s="53"/>
      <c r="G126" s="53"/>
      <c r="H126" s="41"/>
    </row>
    <row r="127" spans="2:8" ht="16.5" customHeight="1">
      <c r="D127" s="40"/>
      <c r="F127" s="53"/>
      <c r="G127" s="53"/>
      <c r="H127" s="41"/>
    </row>
    <row r="128" spans="2:8" ht="16.5" customHeight="1">
      <c r="D128" s="40"/>
      <c r="F128" s="53"/>
      <c r="G128" s="53"/>
      <c r="H128" s="41"/>
    </row>
    <row r="129" spans="4:8" ht="16.5" customHeight="1">
      <c r="D129" s="40"/>
      <c r="F129" s="53"/>
      <c r="G129" s="53"/>
      <c r="H129" s="41"/>
    </row>
    <row r="130" spans="4:8" ht="16.5" customHeight="1">
      <c r="D130" s="40"/>
      <c r="F130" s="53"/>
      <c r="G130" s="53"/>
      <c r="H130" s="41"/>
    </row>
    <row r="131" spans="4:8" ht="16.5" customHeight="1">
      <c r="D131" s="40"/>
      <c r="F131" s="53"/>
      <c r="G131" s="53"/>
      <c r="H131" s="41"/>
    </row>
    <row r="132" spans="4:8" ht="16.5" customHeight="1">
      <c r="D132" s="40"/>
      <c r="F132" s="53"/>
      <c r="G132" s="53"/>
      <c r="H132" s="41"/>
    </row>
    <row r="133" spans="4:8" ht="16.5" customHeight="1">
      <c r="D133" s="40"/>
      <c r="F133" s="53"/>
      <c r="G133" s="53"/>
      <c r="H133" s="41"/>
    </row>
    <row r="134" spans="4:8" ht="16.5" customHeight="1">
      <c r="D134" s="40"/>
      <c r="F134" s="53"/>
      <c r="G134" s="53"/>
      <c r="H134" s="41"/>
    </row>
    <row r="135" spans="4:8" ht="16.5" customHeight="1">
      <c r="D135" s="40"/>
      <c r="F135" s="53"/>
      <c r="G135" s="53"/>
      <c r="H135" s="41"/>
    </row>
    <row r="136" spans="4:8" ht="16.5" customHeight="1">
      <c r="D136" s="40"/>
      <c r="F136" s="53"/>
      <c r="G136" s="53"/>
      <c r="H136" s="41"/>
    </row>
    <row r="137" spans="4:8" ht="16.5" customHeight="1">
      <c r="D137" s="40"/>
      <c r="F137" s="53"/>
      <c r="G137" s="53"/>
      <c r="H137" s="41"/>
    </row>
    <row r="138" spans="4:8" ht="16.5" customHeight="1">
      <c r="D138" s="40"/>
      <c r="F138" s="53"/>
      <c r="G138" s="53"/>
      <c r="H138" s="41"/>
    </row>
    <row r="139" spans="4:8" ht="16.5" customHeight="1">
      <c r="D139" s="40"/>
      <c r="F139" s="53"/>
      <c r="G139" s="53"/>
      <c r="H139" s="41"/>
    </row>
    <row r="140" spans="4:8" ht="16.5" customHeight="1">
      <c r="D140" s="40"/>
      <c r="F140" s="53"/>
      <c r="G140" s="53"/>
      <c r="H140" s="41"/>
    </row>
    <row r="141" spans="4:8" ht="16.5" customHeight="1">
      <c r="D141" s="40"/>
      <c r="F141" s="53"/>
      <c r="G141" s="53"/>
      <c r="H141" s="41"/>
    </row>
    <row r="142" spans="4:8" ht="16.5" customHeight="1">
      <c r="D142" s="40"/>
      <c r="F142" s="53"/>
      <c r="G142" s="53"/>
      <c r="H142" s="41"/>
    </row>
    <row r="143" spans="4:8" ht="16.5" customHeight="1">
      <c r="D143" s="40"/>
      <c r="F143" s="53"/>
      <c r="G143" s="53"/>
      <c r="H143" s="41"/>
    </row>
    <row r="144" spans="4:8" ht="16.5" customHeight="1">
      <c r="D144" s="40"/>
      <c r="F144" s="53"/>
      <c r="G144" s="53"/>
      <c r="H144" s="41"/>
    </row>
    <row r="145" spans="2:13" ht="16.5" customHeight="1">
      <c r="D145" s="40"/>
      <c r="F145" s="53"/>
      <c r="G145" s="53"/>
      <c r="H145" s="41"/>
    </row>
    <row r="146" spans="2:13" ht="16.5" customHeight="1">
      <c r="D146" s="40"/>
      <c r="F146" s="53"/>
      <c r="G146" s="53"/>
      <c r="H146" s="41"/>
    </row>
    <row r="147" spans="2:13" ht="16.5" customHeight="1">
      <c r="D147" s="40"/>
      <c r="F147" s="53"/>
      <c r="G147" s="53"/>
      <c r="H147" s="41"/>
    </row>
    <row r="148" spans="2:13" ht="16.5" customHeight="1">
      <c r="D148" s="40"/>
      <c r="F148" s="53"/>
      <c r="G148" s="53"/>
      <c r="H148" s="41"/>
    </row>
    <row r="149" spans="2:13" ht="16.5" customHeight="1">
      <c r="D149" s="40"/>
      <c r="F149" s="53"/>
      <c r="G149" s="53"/>
      <c r="H149" s="41"/>
    </row>
    <row r="150" spans="2:13" ht="16.5" customHeight="1">
      <c r="D150" s="40"/>
      <c r="F150" s="53"/>
      <c r="G150" s="53"/>
      <c r="H150" s="41"/>
    </row>
    <row r="151" spans="2:13" ht="16.5" customHeight="1">
      <c r="D151" s="40"/>
      <c r="F151" s="53"/>
      <c r="G151" s="53"/>
      <c r="H151" s="41"/>
    </row>
    <row r="152" spans="2:13" ht="16.5" customHeight="1">
      <c r="D152" s="59"/>
      <c r="F152" s="53"/>
      <c r="G152" s="53"/>
      <c r="H152" s="41"/>
    </row>
    <row r="153" spans="2:13" ht="16.5" customHeight="1">
      <c r="B153" s="60"/>
      <c r="D153" s="40"/>
      <c r="F153" s="53"/>
      <c r="G153" s="53"/>
      <c r="H153" s="41"/>
    </row>
    <row r="154" spans="2:13" ht="16.5" customHeight="1">
      <c r="B154" s="57"/>
      <c r="E154" s="365"/>
      <c r="F154" s="61"/>
      <c r="G154" s="53"/>
      <c r="H154" s="41"/>
    </row>
    <row r="155" spans="2:13" ht="16.5" customHeight="1">
      <c r="B155" s="318"/>
      <c r="F155" s="314"/>
      <c r="G155" s="53"/>
      <c r="H155" s="41"/>
      <c r="M155" s="67"/>
    </row>
    <row r="156" spans="2:13" ht="16.5" customHeight="1">
      <c r="B156" s="54"/>
      <c r="F156" s="53"/>
      <c r="G156" s="53"/>
      <c r="H156" s="41"/>
    </row>
    <row r="157" spans="2:13" ht="16.5" customHeight="1">
      <c r="F157" s="53"/>
      <c r="G157" s="53"/>
      <c r="H157" s="41"/>
    </row>
    <row r="158" spans="2:13" ht="16.5" customHeight="1">
      <c r="F158" s="53"/>
      <c r="G158" s="53"/>
      <c r="H158" s="41"/>
    </row>
    <row r="159" spans="2:13" ht="16.5" customHeight="1">
      <c r="F159" s="53"/>
      <c r="G159" s="53"/>
      <c r="H159" s="41"/>
    </row>
    <row r="160" spans="2:13" ht="16.5" customHeight="1">
      <c r="F160" s="53"/>
      <c r="G160" s="53"/>
      <c r="H160" s="41"/>
    </row>
    <row r="161" spans="2:8" ht="16.5" customHeight="1">
      <c r="F161" s="53"/>
      <c r="G161" s="53"/>
      <c r="H161" s="41"/>
    </row>
    <row r="162" spans="2:8" ht="16.5" customHeight="1">
      <c r="F162" s="53"/>
      <c r="G162" s="53"/>
      <c r="H162" s="41"/>
    </row>
    <row r="163" spans="2:8" ht="16.5" customHeight="1">
      <c r="F163" s="53"/>
      <c r="G163" s="53"/>
      <c r="H163" s="41"/>
    </row>
    <row r="164" spans="2:8" ht="16.5" customHeight="1">
      <c r="F164" s="53"/>
      <c r="G164" s="53"/>
      <c r="H164" s="41"/>
    </row>
    <row r="165" spans="2:8" ht="16.5" customHeight="1">
      <c r="F165" s="53"/>
      <c r="G165" s="53"/>
      <c r="H165" s="41"/>
    </row>
    <row r="166" spans="2:8" ht="16.5" customHeight="1">
      <c r="F166" s="53"/>
      <c r="G166" s="53"/>
      <c r="H166" s="41"/>
    </row>
    <row r="167" spans="2:8" ht="16.5" customHeight="1">
      <c r="F167" s="53"/>
      <c r="G167" s="53"/>
      <c r="H167" s="41"/>
    </row>
    <row r="168" spans="2:8" ht="16.5" customHeight="1">
      <c r="F168" s="53"/>
      <c r="G168" s="53"/>
      <c r="H168" s="41"/>
    </row>
    <row r="169" spans="2:8" ht="16.5" customHeight="1">
      <c r="F169" s="53"/>
      <c r="G169" s="53"/>
      <c r="H169" s="41"/>
    </row>
    <row r="170" spans="2:8" ht="16.5" customHeight="1">
      <c r="F170" s="53"/>
      <c r="G170" s="53"/>
      <c r="H170" s="41"/>
    </row>
    <row r="171" spans="2:8" ht="16.5" customHeight="1">
      <c r="F171" s="53"/>
      <c r="G171" s="53"/>
      <c r="H171" s="41"/>
    </row>
    <row r="172" spans="2:8" ht="16.5" customHeight="1">
      <c r="F172" s="53"/>
      <c r="G172" s="53"/>
      <c r="H172" s="41"/>
    </row>
    <row r="173" spans="2:8" ht="16.5" customHeight="1">
      <c r="F173" s="53"/>
      <c r="G173" s="53"/>
      <c r="H173" s="41"/>
    </row>
    <row r="174" spans="2:8" ht="16.5" customHeight="1">
      <c r="F174" s="53"/>
      <c r="G174" s="53"/>
      <c r="H174" s="41"/>
    </row>
    <row r="175" spans="2:8" ht="16.5" customHeight="1">
      <c r="B175" s="62"/>
      <c r="F175" s="53"/>
      <c r="G175" s="53"/>
      <c r="H175" s="41"/>
    </row>
    <row r="176" spans="2:8" ht="16.5" customHeight="1">
      <c r="F176" s="53"/>
      <c r="G176" s="53"/>
      <c r="H176" s="41"/>
    </row>
    <row r="177" spans="2:8" ht="16.5" customHeight="1">
      <c r="F177" s="53"/>
      <c r="G177" s="53"/>
      <c r="H177" s="41"/>
    </row>
    <row r="178" spans="2:8" ht="16.5" customHeight="1">
      <c r="F178" s="53"/>
      <c r="G178" s="53"/>
      <c r="H178" s="41"/>
    </row>
    <row r="179" spans="2:8" ht="16.5" customHeight="1">
      <c r="F179" s="53"/>
      <c r="G179" s="53"/>
      <c r="H179" s="41"/>
    </row>
    <row r="180" spans="2:8" ht="16.5" customHeight="1">
      <c r="F180" s="53"/>
      <c r="G180" s="53"/>
      <c r="H180" s="41"/>
    </row>
    <row r="181" spans="2:8" ht="16.5" customHeight="1">
      <c r="F181" s="53"/>
      <c r="G181" s="53"/>
      <c r="H181" s="41"/>
    </row>
    <row r="182" spans="2:8" ht="16.5" customHeight="1">
      <c r="F182" s="53"/>
      <c r="G182" s="53"/>
      <c r="H182" s="41"/>
    </row>
    <row r="183" spans="2:8" ht="16.5" customHeight="1">
      <c r="F183" s="53"/>
      <c r="G183" s="53"/>
      <c r="H183" s="41"/>
    </row>
    <row r="184" spans="2:8" ht="16.5" customHeight="1">
      <c r="B184" s="54"/>
      <c r="F184" s="53"/>
      <c r="G184" s="53"/>
      <c r="H184" s="41"/>
    </row>
    <row r="185" spans="2:8" ht="16.5" customHeight="1">
      <c r="F185" s="53"/>
      <c r="G185" s="53"/>
      <c r="H185" s="41"/>
    </row>
    <row r="186" spans="2:8" ht="16.5" customHeight="1">
      <c r="F186" s="53"/>
      <c r="G186" s="53"/>
      <c r="H186" s="41"/>
    </row>
    <row r="187" spans="2:8" ht="16.5" customHeight="1">
      <c r="F187" s="53"/>
      <c r="G187" s="53"/>
      <c r="H187" s="41"/>
    </row>
    <row r="188" spans="2:8" ht="16.5" customHeight="1">
      <c r="F188" s="53"/>
      <c r="G188" s="53"/>
      <c r="H188" s="41"/>
    </row>
    <row r="189" spans="2:8" ht="16.5" customHeight="1">
      <c r="B189" s="54"/>
      <c r="F189" s="53"/>
      <c r="G189" s="53"/>
      <c r="H189" s="41"/>
    </row>
    <row r="190" spans="2:8" ht="16.5" customHeight="1">
      <c r="F190" s="53"/>
      <c r="G190" s="53"/>
      <c r="H190" s="41"/>
    </row>
    <row r="191" spans="2:8" ht="16.5" customHeight="1">
      <c r="F191" s="53"/>
      <c r="G191" s="53"/>
      <c r="H191" s="41"/>
    </row>
    <row r="192" spans="2:8" ht="16.5" customHeight="1">
      <c r="B192" s="54"/>
      <c r="F192" s="53"/>
      <c r="G192" s="53"/>
      <c r="H192" s="41"/>
    </row>
    <row r="193" spans="2:8" ht="16.5" customHeight="1">
      <c r="B193" s="56"/>
      <c r="F193" s="53"/>
      <c r="G193" s="53"/>
      <c r="H193" s="41"/>
    </row>
    <row r="194" spans="2:8" ht="16.5" customHeight="1">
      <c r="B194" s="57"/>
      <c r="F194" s="53"/>
      <c r="G194" s="53"/>
      <c r="H194" s="41"/>
    </row>
    <row r="195" spans="2:8" ht="16.5" customHeight="1">
      <c r="B195" s="57"/>
      <c r="F195" s="53"/>
      <c r="G195" s="53"/>
      <c r="H195" s="41"/>
    </row>
    <row r="196" spans="2:8" ht="16.5" customHeight="1">
      <c r="B196" s="57"/>
      <c r="F196" s="53"/>
      <c r="G196" s="53"/>
      <c r="H196" s="41"/>
    </row>
    <row r="197" spans="2:8" ht="16.5" customHeight="1">
      <c r="B197" s="57"/>
      <c r="F197" s="53"/>
      <c r="G197" s="53"/>
      <c r="H197" s="41"/>
    </row>
    <row r="198" spans="2:8" ht="16.5" customHeight="1">
      <c r="B198" s="54"/>
      <c r="F198" s="53"/>
      <c r="G198" s="53"/>
      <c r="H198" s="41"/>
    </row>
    <row r="199" spans="2:8" ht="16.5" customHeight="1">
      <c r="F199" s="53"/>
      <c r="G199" s="53"/>
      <c r="H199" s="41"/>
    </row>
    <row r="200" spans="2:8" ht="16.5" customHeight="1">
      <c r="B200" s="54"/>
      <c r="F200" s="53"/>
      <c r="G200" s="53"/>
      <c r="H200" s="41"/>
    </row>
    <row r="201" spans="2:8" ht="16.5" customHeight="1">
      <c r="F201" s="53"/>
      <c r="G201" s="53"/>
      <c r="H201" s="41"/>
    </row>
    <row r="202" spans="2:8" ht="16.5" customHeight="1">
      <c r="F202" s="53"/>
      <c r="G202" s="53"/>
      <c r="H202" s="41"/>
    </row>
    <row r="203" spans="2:8" ht="16.5" customHeight="1">
      <c r="F203" s="53"/>
      <c r="G203" s="53"/>
      <c r="H203" s="41"/>
    </row>
    <row r="204" spans="2:8" ht="16.5" customHeight="1">
      <c r="F204" s="53"/>
      <c r="G204" s="53"/>
      <c r="H204" s="41"/>
    </row>
    <row r="205" spans="2:8" ht="16.5" customHeight="1">
      <c r="F205" s="53"/>
      <c r="G205" s="53"/>
      <c r="H205" s="41"/>
    </row>
    <row r="206" spans="2:8" ht="16.5" customHeight="1">
      <c r="F206" s="53"/>
      <c r="G206" s="53"/>
      <c r="H206" s="41"/>
    </row>
    <row r="207" spans="2:8" ht="16.5" customHeight="1">
      <c r="F207" s="53"/>
      <c r="G207" s="53"/>
      <c r="H207" s="41"/>
    </row>
    <row r="208" spans="2:8" ht="16.5" customHeight="1">
      <c r="F208" s="53"/>
      <c r="G208" s="53"/>
      <c r="H208" s="41"/>
    </row>
    <row r="209" spans="2:8" ht="16.5" customHeight="1">
      <c r="F209" s="53"/>
      <c r="G209" s="53"/>
      <c r="H209" s="41"/>
    </row>
    <row r="210" spans="2:8" ht="16.5" customHeight="1">
      <c r="F210" s="53"/>
      <c r="G210" s="53"/>
      <c r="H210" s="41"/>
    </row>
    <row r="211" spans="2:8" ht="16.5" customHeight="1">
      <c r="F211" s="53"/>
      <c r="G211" s="53"/>
      <c r="H211" s="41"/>
    </row>
    <row r="212" spans="2:8" ht="16.5" customHeight="1">
      <c r="F212" s="53"/>
      <c r="G212" s="53"/>
      <c r="H212" s="41"/>
    </row>
    <row r="213" spans="2:8" ht="16.5" customHeight="1">
      <c r="F213" s="53"/>
      <c r="G213" s="53"/>
      <c r="H213" s="41"/>
    </row>
    <row r="214" spans="2:8" ht="16.5" customHeight="1">
      <c r="D214" s="58"/>
      <c r="E214" s="365"/>
      <c r="F214" s="53"/>
      <c r="G214" s="53"/>
      <c r="H214" s="41"/>
    </row>
    <row r="215" spans="2:8" ht="16.5" customHeight="1">
      <c r="B215" s="54"/>
      <c r="F215" s="53"/>
      <c r="G215" s="53"/>
      <c r="H215" s="41"/>
    </row>
    <row r="216" spans="2:8" ht="16.5" customHeight="1">
      <c r="B216" s="54"/>
      <c r="F216" s="53"/>
      <c r="G216" s="53"/>
      <c r="H216" s="41"/>
    </row>
    <row r="217" spans="2:8" ht="16.5" customHeight="1">
      <c r="F217" s="53"/>
      <c r="G217" s="53"/>
      <c r="H217" s="41"/>
    </row>
    <row r="218" spans="2:8" ht="16.5" customHeight="1">
      <c r="B218" s="54"/>
      <c r="F218" s="53"/>
      <c r="G218" s="53"/>
      <c r="H218" s="41"/>
    </row>
    <row r="219" spans="2:8" ht="16.5" customHeight="1">
      <c r="B219" s="54"/>
      <c r="F219" s="53"/>
      <c r="G219" s="53"/>
      <c r="H219" s="41"/>
    </row>
    <row r="220" spans="2:8" ht="16.5" customHeight="1">
      <c r="F220" s="53"/>
      <c r="G220" s="53"/>
      <c r="H220" s="41"/>
    </row>
    <row r="221" spans="2:8" ht="16.5" customHeight="1">
      <c r="B221" s="54"/>
      <c r="F221" s="53"/>
      <c r="G221" s="53"/>
      <c r="H221" s="41"/>
    </row>
    <row r="222" spans="2:8" ht="16.5" customHeight="1">
      <c r="B222" s="54"/>
      <c r="F222" s="53"/>
      <c r="G222" s="53"/>
      <c r="H222" s="41"/>
    </row>
    <row r="223" spans="2:8" ht="16.5" customHeight="1">
      <c r="B223" s="54"/>
      <c r="F223" s="53"/>
      <c r="G223" s="53"/>
      <c r="H223" s="41"/>
    </row>
    <row r="224" spans="2:8" ht="16.5" customHeight="1">
      <c r="F224" s="53"/>
      <c r="G224" s="53"/>
      <c r="H224" s="41"/>
    </row>
    <row r="225" spans="2:8" ht="16.5" customHeight="1">
      <c r="B225" s="56"/>
      <c r="F225" s="53"/>
      <c r="G225" s="53"/>
      <c r="H225" s="41"/>
    </row>
    <row r="226" spans="2:8" ht="16.5" customHeight="1">
      <c r="B226" s="57"/>
      <c r="F226" s="53"/>
      <c r="G226" s="53"/>
      <c r="H226" s="41"/>
    </row>
    <row r="227" spans="2:8" ht="16.5" customHeight="1">
      <c r="B227" s="57"/>
      <c r="F227" s="53"/>
      <c r="G227" s="53"/>
      <c r="H227" s="41"/>
    </row>
    <row r="228" spans="2:8" ht="16.5" customHeight="1">
      <c r="B228" s="57"/>
      <c r="F228" s="53"/>
      <c r="G228" s="53"/>
      <c r="H228" s="41"/>
    </row>
    <row r="229" spans="2:8" ht="16.5" customHeight="1">
      <c r="B229" s="57"/>
      <c r="F229" s="53"/>
      <c r="G229" s="53"/>
      <c r="H229" s="41"/>
    </row>
    <row r="230" spans="2:8" ht="16.5" customHeight="1">
      <c r="F230" s="53"/>
      <c r="G230" s="53"/>
      <c r="H230" s="41"/>
    </row>
    <row r="231" spans="2:8" ht="16.5" customHeight="1">
      <c r="D231" s="58"/>
      <c r="F231" s="53"/>
      <c r="G231" s="53"/>
      <c r="H231" s="41"/>
    </row>
    <row r="232" spans="2:8" ht="16.5" customHeight="1">
      <c r="B232" s="54"/>
      <c r="D232" s="58"/>
      <c r="F232" s="53"/>
      <c r="G232" s="53"/>
      <c r="H232" s="41"/>
    </row>
    <row r="233" spans="2:8" ht="16.5" customHeight="1">
      <c r="B233" s="54"/>
      <c r="D233" s="58"/>
      <c r="F233" s="53"/>
      <c r="G233" s="53"/>
      <c r="H233" s="41"/>
    </row>
    <row r="234" spans="2:8" ht="16.5" customHeight="1">
      <c r="B234" s="54"/>
      <c r="D234" s="58"/>
      <c r="F234" s="53"/>
      <c r="G234" s="53"/>
      <c r="H234" s="41"/>
    </row>
    <row r="235" spans="2:8" ht="16.5" customHeight="1">
      <c r="B235" s="54"/>
      <c r="D235" s="58"/>
      <c r="F235" s="53"/>
      <c r="G235" s="53"/>
      <c r="H235" s="41"/>
    </row>
    <row r="236" spans="2:8" ht="16.5" customHeight="1">
      <c r="F236" s="53"/>
      <c r="G236" s="53"/>
      <c r="H236" s="41"/>
    </row>
    <row r="237" spans="2:8" ht="16.5" customHeight="1">
      <c r="F237" s="53"/>
      <c r="G237" s="53"/>
      <c r="H237" s="41"/>
    </row>
    <row r="238" spans="2:8" ht="16.5" customHeight="1">
      <c r="F238" s="53"/>
      <c r="G238" s="53"/>
      <c r="H238" s="41"/>
    </row>
    <row r="239" spans="2:8" ht="16.5" customHeight="1">
      <c r="F239" s="53"/>
      <c r="G239" s="53"/>
      <c r="H239" s="41"/>
    </row>
    <row r="240" spans="2:8" ht="16.5" customHeight="1">
      <c r="F240" s="53"/>
      <c r="G240" s="53"/>
      <c r="H240" s="41"/>
    </row>
    <row r="241" spans="2:8" ht="16.5" customHeight="1">
      <c r="B241" s="63"/>
      <c r="F241" s="53"/>
      <c r="G241" s="53"/>
      <c r="H241" s="41"/>
    </row>
    <row r="242" spans="2:8" ht="16.5" customHeight="1">
      <c r="F242" s="53"/>
      <c r="G242" s="53"/>
      <c r="H242" s="41"/>
    </row>
    <row r="243" spans="2:8" ht="16.5" customHeight="1">
      <c r="F243" s="53"/>
      <c r="G243" s="53"/>
      <c r="H243" s="41"/>
    </row>
    <row r="244" spans="2:8" ht="16.5" customHeight="1">
      <c r="F244" s="53"/>
      <c r="G244" s="53"/>
      <c r="H244" s="41"/>
    </row>
    <row r="245" spans="2:8" ht="16.5" customHeight="1">
      <c r="F245" s="53"/>
      <c r="G245" s="53"/>
      <c r="H245" s="41"/>
    </row>
    <row r="246" spans="2:8" ht="16.5" customHeight="1">
      <c r="F246" s="53"/>
      <c r="G246" s="53"/>
      <c r="H246" s="41"/>
    </row>
    <row r="247" spans="2:8" ht="16.5" customHeight="1">
      <c r="F247" s="53"/>
      <c r="G247" s="53"/>
      <c r="H247" s="41"/>
    </row>
    <row r="248" spans="2:8" ht="16.5" customHeight="1">
      <c r="F248" s="53"/>
      <c r="G248" s="53"/>
      <c r="H248" s="41"/>
    </row>
    <row r="249" spans="2:8" ht="16.5" customHeight="1">
      <c r="B249" s="54"/>
      <c r="F249" s="53"/>
      <c r="G249" s="53"/>
      <c r="H249" s="41"/>
    </row>
    <row r="250" spans="2:8" ht="16.5" customHeight="1">
      <c r="B250" s="54"/>
      <c r="F250" s="53"/>
      <c r="G250" s="53"/>
      <c r="H250" s="41"/>
    </row>
    <row r="251" spans="2:8" ht="16.5" customHeight="1">
      <c r="F251" s="53"/>
      <c r="G251" s="53"/>
      <c r="H251" s="41"/>
    </row>
    <row r="252" spans="2:8" ht="16.5" customHeight="1">
      <c r="B252" s="54"/>
      <c r="F252" s="53"/>
      <c r="G252" s="53"/>
      <c r="H252" s="41"/>
    </row>
    <row r="253" spans="2:8" ht="16.5" customHeight="1">
      <c r="B253" s="54"/>
      <c r="F253" s="53"/>
      <c r="G253" s="53"/>
      <c r="H253" s="41"/>
    </row>
    <row r="254" spans="2:8" ht="16.5" customHeight="1">
      <c r="F254" s="53"/>
      <c r="G254" s="53"/>
      <c r="H254" s="41"/>
    </row>
    <row r="255" spans="2:8" ht="16.5" customHeight="1">
      <c r="B255" s="54"/>
      <c r="F255" s="53"/>
      <c r="G255" s="53"/>
      <c r="H255" s="41"/>
    </row>
    <row r="256" spans="2:8" ht="16.5" customHeight="1">
      <c r="F256" s="53"/>
      <c r="G256" s="53"/>
      <c r="H256" s="41"/>
    </row>
    <row r="257" spans="1:11" ht="16.5" customHeight="1">
      <c r="B257" s="54"/>
      <c r="F257" s="53"/>
      <c r="G257" s="53"/>
      <c r="H257" s="41"/>
    </row>
    <row r="258" spans="1:11" ht="16.5" customHeight="1">
      <c r="F258" s="53"/>
      <c r="G258" s="53"/>
      <c r="H258" s="41"/>
    </row>
    <row r="259" spans="1:11" ht="16.5" customHeight="1">
      <c r="F259" s="53"/>
      <c r="G259" s="53"/>
      <c r="H259" s="41"/>
    </row>
    <row r="260" spans="1:11" ht="16.5" customHeight="1">
      <c r="B260" s="54"/>
      <c r="F260" s="53"/>
      <c r="G260" s="53"/>
      <c r="H260" s="41"/>
    </row>
    <row r="261" spans="1:11" ht="16.5" customHeight="1">
      <c r="F261" s="53"/>
      <c r="G261" s="53"/>
      <c r="H261" s="41"/>
    </row>
    <row r="262" spans="1:11" ht="16.5" customHeight="1">
      <c r="F262" s="53"/>
      <c r="G262" s="53"/>
      <c r="H262" s="41"/>
    </row>
    <row r="263" spans="1:11" ht="16.5" customHeight="1">
      <c r="F263" s="53"/>
      <c r="G263" s="53"/>
      <c r="H263" s="41"/>
    </row>
    <row r="264" spans="1:11" ht="16.5" customHeight="1">
      <c r="B264" s="54"/>
      <c r="C264" s="59"/>
      <c r="D264" s="58"/>
      <c r="F264" s="53"/>
      <c r="G264" s="53"/>
      <c r="H264" s="41"/>
    </row>
    <row r="265" spans="1:11" ht="16.5" customHeight="1">
      <c r="B265" s="54"/>
      <c r="C265" s="59"/>
      <c r="F265" s="53"/>
      <c r="G265" s="53"/>
      <c r="H265" s="41"/>
    </row>
    <row r="266" spans="1:11" ht="16.5" customHeight="1">
      <c r="B266" s="57"/>
      <c r="F266" s="64"/>
      <c r="G266" s="53"/>
      <c r="H266" s="41"/>
    </row>
    <row r="267" spans="1:11" ht="16.5" customHeight="1">
      <c r="B267" s="57"/>
      <c r="F267" s="53"/>
      <c r="G267" s="53"/>
      <c r="H267" s="41"/>
    </row>
    <row r="268" spans="1:11" ht="16.5" customHeight="1">
      <c r="B268" s="57"/>
      <c r="F268" s="53"/>
      <c r="G268" s="53"/>
      <c r="H268" s="41"/>
    </row>
    <row r="269" spans="1:11" ht="16.5" customHeight="1">
      <c r="B269" s="54"/>
      <c r="F269" s="53"/>
      <c r="G269" s="53"/>
      <c r="H269" s="41"/>
    </row>
    <row r="270" spans="1:11" ht="16.5" customHeight="1">
      <c r="B270" s="54"/>
      <c r="F270" s="53"/>
      <c r="G270" s="53"/>
      <c r="H270" s="41"/>
    </row>
    <row r="271" spans="1:11" ht="16.5" customHeight="1">
      <c r="B271" s="57"/>
      <c r="F271" s="53"/>
      <c r="G271" s="53"/>
      <c r="H271" s="41"/>
    </row>
    <row r="272" spans="1:11" s="67" customFormat="1" ht="16.5" customHeight="1">
      <c r="A272" s="65"/>
      <c r="B272" s="56"/>
      <c r="C272" s="59"/>
      <c r="D272" s="41"/>
      <c r="E272" s="78"/>
      <c r="F272" s="53"/>
      <c r="G272" s="53"/>
      <c r="H272" s="41"/>
      <c r="I272" s="59"/>
      <c r="J272" s="66"/>
      <c r="K272" s="66"/>
    </row>
    <row r="273" spans="2:8" ht="16.5" customHeight="1">
      <c r="B273" s="56"/>
      <c r="F273" s="53"/>
      <c r="G273" s="53"/>
      <c r="H273" s="41"/>
    </row>
    <row r="274" spans="2:8" ht="16.5" customHeight="1">
      <c r="B274" s="54"/>
      <c r="F274" s="53"/>
      <c r="G274" s="53"/>
      <c r="H274" s="41"/>
    </row>
    <row r="275" spans="2:8" ht="16.5" customHeight="1">
      <c r="B275" s="54"/>
      <c r="F275" s="53"/>
      <c r="G275" s="53"/>
      <c r="H275" s="41"/>
    </row>
    <row r="276" spans="2:8" ht="16.5" customHeight="1">
      <c r="B276" s="54"/>
      <c r="F276" s="53"/>
      <c r="G276" s="53"/>
      <c r="H276" s="41"/>
    </row>
    <row r="277" spans="2:8" ht="16.5" customHeight="1">
      <c r="B277" s="54"/>
      <c r="F277" s="53"/>
      <c r="G277" s="53"/>
      <c r="H277" s="41"/>
    </row>
    <row r="278" spans="2:8" ht="16.5" customHeight="1">
      <c r="B278" s="54"/>
      <c r="F278" s="53"/>
      <c r="G278" s="53"/>
      <c r="H278" s="41"/>
    </row>
    <row r="279" spans="2:8" ht="16.5" customHeight="1">
      <c r="F279" s="53"/>
      <c r="G279" s="53"/>
      <c r="H279" s="41"/>
    </row>
    <row r="280" spans="2:8" ht="16.5" customHeight="1">
      <c r="F280" s="53"/>
      <c r="G280" s="53"/>
      <c r="H280" s="41"/>
    </row>
    <row r="281" spans="2:8" ht="16.5" customHeight="1">
      <c r="F281" s="53"/>
      <c r="G281" s="53"/>
      <c r="H281" s="41"/>
    </row>
    <row r="282" spans="2:8" ht="16.5" customHeight="1">
      <c r="B282" s="54"/>
      <c r="F282" s="53"/>
      <c r="G282" s="53"/>
      <c r="H282" s="41"/>
    </row>
    <row r="283" spans="2:8" ht="16.5" customHeight="1">
      <c r="B283" s="54"/>
      <c r="F283" s="53"/>
      <c r="G283" s="53"/>
      <c r="H283" s="41"/>
    </row>
    <row r="284" spans="2:8" ht="16.5" customHeight="1">
      <c r="B284" s="54"/>
      <c r="F284" s="53"/>
      <c r="G284" s="53"/>
      <c r="H284" s="41"/>
    </row>
    <row r="285" spans="2:8" ht="16.5" customHeight="1">
      <c r="B285" s="60"/>
      <c r="F285" s="53"/>
      <c r="G285" s="53"/>
      <c r="H285" s="41"/>
    </row>
    <row r="286" spans="2:8" ht="16.5" customHeight="1">
      <c r="B286" s="57"/>
      <c r="F286" s="53"/>
      <c r="G286" s="53"/>
      <c r="H286" s="41"/>
    </row>
    <row r="287" spans="2:8" ht="16.5" customHeight="1">
      <c r="B287" s="57"/>
      <c r="F287" s="53"/>
      <c r="G287" s="53"/>
      <c r="H287" s="41"/>
    </row>
    <row r="288" spans="2:8" ht="16.5" customHeight="1">
      <c r="B288" s="317"/>
      <c r="F288" s="53"/>
      <c r="G288" s="53"/>
      <c r="H288" s="41"/>
    </row>
    <row r="289" spans="1:13" ht="16.5" customHeight="1">
      <c r="B289" s="57"/>
      <c r="F289" s="53"/>
      <c r="G289" s="53"/>
      <c r="H289" s="41"/>
    </row>
    <row r="290" spans="1:13" ht="16.5" customHeight="1">
      <c r="B290" s="342"/>
      <c r="F290" s="53"/>
      <c r="G290" s="53"/>
      <c r="H290" s="41"/>
      <c r="M290" s="67"/>
    </row>
    <row r="291" spans="1:13" ht="16.5" customHeight="1">
      <c r="A291" s="65"/>
      <c r="B291" s="54"/>
      <c r="F291" s="53"/>
      <c r="G291" s="53"/>
      <c r="H291" s="41"/>
    </row>
    <row r="292" spans="1:13" ht="16.5" customHeight="1">
      <c r="B292" s="54"/>
      <c r="F292" s="53"/>
      <c r="G292" s="53"/>
      <c r="H292" s="41"/>
    </row>
    <row r="293" spans="1:13" ht="16.5" customHeight="1">
      <c r="B293" s="54"/>
      <c r="D293" s="58"/>
      <c r="F293" s="53"/>
      <c r="G293" s="53"/>
      <c r="H293" s="41"/>
    </row>
    <row r="294" spans="1:13" ht="16.5" customHeight="1">
      <c r="B294" s="54"/>
      <c r="C294" s="68"/>
      <c r="D294" s="58"/>
      <c r="F294" s="53"/>
      <c r="G294" s="53"/>
      <c r="H294" s="41"/>
    </row>
    <row r="295" spans="1:13" ht="16.5" customHeight="1">
      <c r="B295" s="69"/>
      <c r="C295" s="68"/>
      <c r="D295" s="58"/>
      <c r="F295" s="53"/>
      <c r="G295" s="53"/>
      <c r="H295" s="41"/>
    </row>
    <row r="296" spans="1:13" ht="16.5" customHeight="1">
      <c r="B296" s="57"/>
      <c r="C296" s="68"/>
      <c r="D296" s="58"/>
      <c r="F296" s="53"/>
      <c r="G296" s="53"/>
      <c r="H296" s="41"/>
    </row>
    <row r="297" spans="1:13" ht="16.5" customHeight="1">
      <c r="B297" s="57"/>
      <c r="C297" s="68"/>
      <c r="D297" s="58"/>
      <c r="F297" s="53"/>
      <c r="G297" s="53"/>
      <c r="H297" s="41"/>
    </row>
    <row r="298" spans="1:13" ht="16.5" customHeight="1">
      <c r="B298" s="57"/>
      <c r="C298" s="68"/>
      <c r="D298" s="58"/>
      <c r="F298" s="53"/>
      <c r="G298" s="53"/>
      <c r="H298" s="41"/>
    </row>
    <row r="299" spans="1:13" ht="16.5" customHeight="1">
      <c r="B299" s="57"/>
      <c r="C299" s="68"/>
      <c r="D299" s="58"/>
      <c r="F299" s="53"/>
      <c r="G299" s="53"/>
      <c r="H299" s="41"/>
    </row>
    <row r="300" spans="1:13" ht="16.5" customHeight="1">
      <c r="B300" s="57"/>
      <c r="C300" s="68"/>
      <c r="D300" s="58"/>
      <c r="F300" s="53"/>
      <c r="G300" s="53"/>
      <c r="H300" s="41"/>
    </row>
    <row r="301" spans="1:13" ht="16.5" customHeight="1">
      <c r="B301" s="54"/>
      <c r="D301" s="58"/>
      <c r="F301" s="53"/>
      <c r="G301" s="53"/>
      <c r="H301" s="41"/>
    </row>
    <row r="302" spans="1:13" ht="16.5" customHeight="1">
      <c r="B302" s="54"/>
      <c r="D302" s="58"/>
      <c r="F302" s="53"/>
      <c r="G302" s="53"/>
      <c r="H302" s="41"/>
    </row>
    <row r="303" spans="1:13" ht="16.5" customHeight="1">
      <c r="B303" s="54"/>
      <c r="D303" s="58"/>
      <c r="F303" s="53"/>
      <c r="G303" s="53"/>
      <c r="H303" s="41"/>
    </row>
    <row r="304" spans="1:13" ht="16.5" customHeight="1">
      <c r="F304" s="53"/>
      <c r="G304" s="53"/>
      <c r="H304" s="41"/>
    </row>
    <row r="305" spans="2:8" ht="16.5" customHeight="1">
      <c r="F305" s="53"/>
      <c r="G305" s="53"/>
      <c r="H305" s="41"/>
    </row>
    <row r="306" spans="2:8" ht="16.5" customHeight="1">
      <c r="F306" s="53"/>
      <c r="G306" s="53"/>
      <c r="H306" s="41"/>
    </row>
    <row r="307" spans="2:8" ht="16.5" customHeight="1">
      <c r="F307" s="53"/>
      <c r="G307" s="53"/>
      <c r="H307" s="41"/>
    </row>
    <row r="308" spans="2:8" ht="16.5" customHeight="1">
      <c r="F308" s="53"/>
      <c r="G308" s="53"/>
      <c r="H308" s="41"/>
    </row>
    <row r="309" spans="2:8" ht="16.5" customHeight="1">
      <c r="B309" s="57"/>
      <c r="F309" s="53"/>
      <c r="G309" s="53"/>
      <c r="H309" s="41"/>
    </row>
    <row r="310" spans="2:8" ht="16.5" customHeight="1">
      <c r="B310" s="54"/>
      <c r="F310" s="53"/>
      <c r="G310" s="53"/>
      <c r="H310" s="41"/>
    </row>
    <row r="311" spans="2:8" ht="16.5" customHeight="1">
      <c r="B311" s="54"/>
      <c r="F311" s="53"/>
      <c r="G311" s="53"/>
      <c r="H311" s="41"/>
    </row>
    <row r="312" spans="2:8" ht="16.5" customHeight="1">
      <c r="B312" s="57"/>
      <c r="F312" s="53"/>
      <c r="G312" s="53"/>
      <c r="H312" s="41"/>
    </row>
    <row r="313" spans="2:8" ht="16.5" customHeight="1">
      <c r="B313" s="57"/>
      <c r="F313" s="53"/>
      <c r="G313" s="53"/>
      <c r="H313" s="41"/>
    </row>
    <row r="314" spans="2:8" ht="16.5" customHeight="1">
      <c r="B314" s="57"/>
      <c r="F314" s="53"/>
      <c r="G314" s="53"/>
      <c r="H314" s="41"/>
    </row>
    <row r="315" spans="2:8" ht="16.5" customHeight="1">
      <c r="B315" s="57"/>
      <c r="F315" s="53"/>
      <c r="G315" s="53"/>
      <c r="H315" s="41"/>
    </row>
    <row r="316" spans="2:8" ht="16.5" customHeight="1">
      <c r="B316" s="57"/>
      <c r="F316" s="53"/>
      <c r="G316" s="53"/>
      <c r="H316" s="41"/>
    </row>
    <row r="317" spans="2:8" ht="16.5" customHeight="1">
      <c r="B317" s="54"/>
      <c r="F317" s="53"/>
      <c r="G317" s="53"/>
      <c r="H317" s="41"/>
    </row>
    <row r="318" spans="2:8" ht="16.5" customHeight="1">
      <c r="B318" s="54"/>
      <c r="F318" s="53"/>
      <c r="G318" s="53"/>
      <c r="H318" s="41"/>
    </row>
    <row r="319" spans="2:8" ht="16.5" customHeight="1">
      <c r="B319" s="54"/>
      <c r="F319" s="53"/>
      <c r="G319" s="53"/>
      <c r="H319" s="41"/>
    </row>
    <row r="320" spans="2:8" ht="16.5" customHeight="1">
      <c r="B320" s="54"/>
      <c r="F320" s="53"/>
      <c r="G320" s="53"/>
      <c r="H320" s="41"/>
    </row>
    <row r="321" spans="2:8" ht="16.5" customHeight="1">
      <c r="B321" s="54"/>
      <c r="F321" s="53"/>
      <c r="G321" s="53"/>
      <c r="H321" s="41"/>
    </row>
    <row r="322" spans="2:8" ht="16.5" customHeight="1">
      <c r="B322" s="54"/>
      <c r="F322" s="53"/>
      <c r="G322" s="53"/>
      <c r="H322" s="41"/>
    </row>
    <row r="323" spans="2:8" ht="16.5" customHeight="1">
      <c r="B323" s="70"/>
      <c r="F323" s="53"/>
      <c r="G323" s="53"/>
      <c r="H323" s="41"/>
    </row>
    <row r="324" spans="2:8" ht="16.5" customHeight="1">
      <c r="B324" s="54"/>
      <c r="F324" s="53"/>
      <c r="G324" s="53"/>
      <c r="H324" s="41"/>
    </row>
    <row r="325" spans="2:8" ht="16.5" customHeight="1">
      <c r="B325" s="54"/>
      <c r="F325" s="53"/>
      <c r="G325" s="53"/>
      <c r="H325" s="41"/>
    </row>
    <row r="326" spans="2:8" ht="16.5" customHeight="1">
      <c r="B326" s="54"/>
      <c r="F326" s="53"/>
      <c r="G326" s="53"/>
      <c r="H326" s="41"/>
    </row>
    <row r="327" spans="2:8" ht="16.5" customHeight="1">
      <c r="B327" s="54"/>
      <c r="F327" s="53"/>
      <c r="G327" s="53"/>
      <c r="H327" s="41"/>
    </row>
    <row r="328" spans="2:8" ht="16.5" customHeight="1">
      <c r="B328" s="54"/>
      <c r="F328" s="53"/>
      <c r="G328" s="53"/>
      <c r="H328" s="41"/>
    </row>
    <row r="329" spans="2:8" ht="16.5" customHeight="1">
      <c r="B329" s="54"/>
      <c r="F329" s="53"/>
      <c r="G329" s="53"/>
      <c r="H329" s="41"/>
    </row>
    <row r="330" spans="2:8" ht="16.5" customHeight="1">
      <c r="B330" s="54"/>
      <c r="F330" s="53"/>
      <c r="G330" s="53"/>
      <c r="H330" s="41"/>
    </row>
    <row r="331" spans="2:8" ht="16.5" customHeight="1">
      <c r="B331" s="54"/>
      <c r="F331" s="53"/>
      <c r="G331" s="53"/>
      <c r="H331" s="41"/>
    </row>
    <row r="332" spans="2:8" ht="16.5" customHeight="1">
      <c r="B332" s="54"/>
      <c r="F332" s="64"/>
      <c r="G332" s="53"/>
      <c r="H332" s="41"/>
    </row>
    <row r="333" spans="2:8" ht="16.5" customHeight="1">
      <c r="B333" s="54"/>
      <c r="F333" s="53"/>
      <c r="G333" s="53"/>
      <c r="H333" s="41"/>
    </row>
    <row r="334" spans="2:8" ht="16.5" customHeight="1">
      <c r="B334" s="54"/>
      <c r="F334" s="53"/>
      <c r="G334" s="64"/>
      <c r="H334" s="41"/>
    </row>
    <row r="335" spans="2:8" ht="16.5" customHeight="1">
      <c r="B335" s="54"/>
      <c r="F335" s="53"/>
      <c r="G335" s="53"/>
      <c r="H335" s="41"/>
    </row>
    <row r="336" spans="2:8" ht="16.5" customHeight="1">
      <c r="B336" s="54"/>
      <c r="F336" s="53"/>
      <c r="G336" s="53"/>
      <c r="H336" s="41"/>
    </row>
    <row r="337" spans="2:8" ht="16.5" customHeight="1">
      <c r="B337" s="54"/>
      <c r="F337" s="53"/>
      <c r="G337" s="53"/>
      <c r="H337" s="41"/>
    </row>
    <row r="338" spans="2:8" ht="16.5" customHeight="1">
      <c r="B338" s="54"/>
      <c r="F338" s="53"/>
      <c r="G338" s="53"/>
      <c r="H338" s="41"/>
    </row>
    <row r="339" spans="2:8" ht="16.5" customHeight="1">
      <c r="B339" s="54"/>
      <c r="F339" s="53"/>
      <c r="G339" s="53"/>
      <c r="H339" s="41"/>
    </row>
    <row r="340" spans="2:8" ht="16.5" customHeight="1">
      <c r="B340" s="54"/>
      <c r="F340" s="53"/>
      <c r="G340" s="53"/>
      <c r="H340" s="41"/>
    </row>
    <row r="341" spans="2:8" ht="16.5" customHeight="1">
      <c r="B341" s="54"/>
      <c r="F341" s="53"/>
      <c r="G341" s="53"/>
      <c r="H341" s="41"/>
    </row>
    <row r="342" spans="2:8" ht="16.5" customHeight="1">
      <c r="B342" s="54"/>
      <c r="F342" s="53"/>
      <c r="G342" s="53"/>
      <c r="H342" s="41"/>
    </row>
    <row r="343" spans="2:8" ht="16.5" customHeight="1">
      <c r="B343" s="54"/>
      <c r="F343" s="53"/>
      <c r="G343" s="53"/>
      <c r="H343" s="41"/>
    </row>
    <row r="344" spans="2:8" ht="16.5" customHeight="1">
      <c r="B344" s="71"/>
      <c r="F344" s="53"/>
      <c r="G344" s="53"/>
      <c r="H344" s="41"/>
    </row>
    <row r="345" spans="2:8" ht="16.5" customHeight="1">
      <c r="B345" s="54"/>
      <c r="F345" s="53"/>
      <c r="G345" s="53"/>
      <c r="H345" s="41"/>
    </row>
    <row r="346" spans="2:8" ht="16.5" customHeight="1">
      <c r="B346" s="54"/>
      <c r="F346" s="53"/>
      <c r="G346" s="53"/>
      <c r="H346" s="41"/>
    </row>
    <row r="347" spans="2:8" ht="16.5" customHeight="1">
      <c r="B347" s="54"/>
      <c r="F347" s="53"/>
      <c r="G347" s="53"/>
      <c r="H347" s="41"/>
    </row>
    <row r="348" spans="2:8" ht="16.5" customHeight="1">
      <c r="B348" s="54"/>
      <c r="F348" s="53"/>
      <c r="G348" s="53"/>
      <c r="H348" s="41"/>
    </row>
    <row r="349" spans="2:8" ht="16.5" customHeight="1">
      <c r="B349" s="54"/>
      <c r="D349" s="58"/>
      <c r="F349" s="53"/>
      <c r="G349" s="53"/>
      <c r="H349" s="41"/>
    </row>
    <row r="350" spans="2:8" ht="16.5" customHeight="1">
      <c r="B350" s="54"/>
      <c r="D350" s="58"/>
      <c r="F350" s="53"/>
      <c r="G350" s="53"/>
      <c r="H350" s="41"/>
    </row>
    <row r="351" spans="2:8" ht="16.5" customHeight="1">
      <c r="B351" s="54"/>
      <c r="D351" s="58"/>
      <c r="F351" s="53"/>
      <c r="G351" s="53"/>
      <c r="H351" s="41"/>
    </row>
    <row r="352" spans="2:8" ht="16.5" customHeight="1">
      <c r="B352" s="54"/>
      <c r="D352" s="58"/>
      <c r="F352" s="53"/>
      <c r="G352" s="53"/>
      <c r="H352" s="41"/>
    </row>
    <row r="353" spans="2:8" ht="16.5" customHeight="1">
      <c r="B353" s="54"/>
      <c r="D353" s="58"/>
      <c r="F353" s="53"/>
      <c r="G353" s="53"/>
      <c r="H353" s="41"/>
    </row>
    <row r="354" spans="2:8" ht="16.5" customHeight="1">
      <c r="B354" s="54"/>
      <c r="D354" s="58"/>
      <c r="F354" s="53"/>
      <c r="G354" s="53"/>
      <c r="H354" s="41"/>
    </row>
    <row r="355" spans="2:8" ht="16.5" customHeight="1">
      <c r="B355" s="54"/>
      <c r="D355" s="58"/>
      <c r="F355" s="64"/>
      <c r="G355" s="53"/>
      <c r="H355" s="41"/>
    </row>
    <row r="356" spans="2:8" ht="16.5" customHeight="1">
      <c r="B356" s="54"/>
      <c r="D356" s="58"/>
      <c r="F356" s="53"/>
      <c r="G356" s="53"/>
      <c r="H356" s="41"/>
    </row>
    <row r="357" spans="2:8" ht="16.5" customHeight="1">
      <c r="B357" s="54"/>
      <c r="D357" s="58"/>
      <c r="F357" s="53"/>
      <c r="G357" s="53"/>
      <c r="H357" s="41"/>
    </row>
    <row r="358" spans="2:8" ht="16.5" customHeight="1">
      <c r="B358" s="54"/>
      <c r="F358" s="53"/>
      <c r="G358" s="53"/>
      <c r="H358" s="41"/>
    </row>
    <row r="359" spans="2:8" ht="16.5" customHeight="1">
      <c r="B359" s="54"/>
      <c r="F359" s="53"/>
      <c r="G359" s="53"/>
      <c r="H359" s="41"/>
    </row>
    <row r="360" spans="2:8" ht="16.5" customHeight="1">
      <c r="B360" s="54"/>
      <c r="F360" s="53"/>
      <c r="G360" s="53"/>
      <c r="H360" s="41"/>
    </row>
    <row r="361" spans="2:8" ht="16.5" customHeight="1">
      <c r="B361" s="56"/>
      <c r="F361" s="53"/>
      <c r="G361" s="53"/>
      <c r="H361" s="41"/>
    </row>
    <row r="362" spans="2:8" ht="16.5" customHeight="1">
      <c r="B362" s="57"/>
      <c r="F362" s="53"/>
      <c r="G362" s="53"/>
      <c r="H362" s="41"/>
    </row>
    <row r="363" spans="2:8" ht="16.5" customHeight="1">
      <c r="B363" s="57"/>
      <c r="F363" s="53"/>
      <c r="G363" s="53"/>
      <c r="H363" s="41"/>
    </row>
    <row r="364" spans="2:8" ht="16.5" customHeight="1">
      <c r="B364" s="57"/>
      <c r="F364" s="53"/>
      <c r="G364" s="53"/>
      <c r="H364" s="41"/>
    </row>
    <row r="365" spans="2:8" ht="16.5" customHeight="1">
      <c r="B365" s="54"/>
      <c r="F365" s="53"/>
      <c r="G365" s="53"/>
      <c r="H365" s="41"/>
    </row>
    <row r="366" spans="2:8" ht="16.5" customHeight="1">
      <c r="B366" s="54"/>
      <c r="F366" s="53"/>
      <c r="G366" s="53"/>
      <c r="H366" s="58"/>
    </row>
    <row r="367" spans="2:8" ht="16.5" customHeight="1">
      <c r="B367" s="54"/>
      <c r="F367" s="53"/>
      <c r="G367" s="53"/>
      <c r="H367" s="58"/>
    </row>
    <row r="368" spans="2:8" ht="16.5" customHeight="1">
      <c r="B368" s="54"/>
      <c r="F368" s="53"/>
      <c r="G368" s="53"/>
      <c r="H368" s="58"/>
    </row>
    <row r="369" spans="2:8" ht="16.5" customHeight="1">
      <c r="B369" s="54"/>
      <c r="F369" s="53"/>
      <c r="G369" s="53"/>
      <c r="H369" s="58"/>
    </row>
    <row r="370" spans="2:8" ht="16.5" customHeight="1">
      <c r="B370" s="54"/>
      <c r="F370" s="53"/>
      <c r="G370" s="53"/>
      <c r="H370" s="58"/>
    </row>
    <row r="371" spans="2:8" ht="16.5" customHeight="1">
      <c r="B371" s="54"/>
      <c r="F371" s="53"/>
      <c r="G371" s="53"/>
      <c r="H371" s="58"/>
    </row>
    <row r="372" spans="2:8" ht="16.5" customHeight="1">
      <c r="B372" s="54"/>
      <c r="F372" s="53"/>
      <c r="G372" s="53"/>
      <c r="H372" s="41"/>
    </row>
    <row r="373" spans="2:8" ht="16.5" customHeight="1">
      <c r="B373" s="54"/>
      <c r="F373" s="53"/>
      <c r="G373" s="53"/>
      <c r="H373" s="41"/>
    </row>
    <row r="374" spans="2:8" ht="16.5" customHeight="1">
      <c r="B374" s="72"/>
      <c r="F374" s="53"/>
      <c r="G374" s="53"/>
      <c r="H374" s="41"/>
    </row>
    <row r="375" spans="2:8" ht="16.5" customHeight="1">
      <c r="B375" s="54"/>
      <c r="F375" s="53"/>
      <c r="G375" s="53"/>
      <c r="H375" s="41"/>
    </row>
    <row r="376" spans="2:8" ht="16.5" customHeight="1">
      <c r="B376" s="73"/>
      <c r="F376" s="74"/>
      <c r="G376" s="53"/>
      <c r="H376" s="75"/>
    </row>
    <row r="377" spans="2:8" ht="16.5" customHeight="1">
      <c r="B377" s="76"/>
      <c r="F377" s="53"/>
      <c r="G377" s="53"/>
      <c r="H377" s="41"/>
    </row>
    <row r="378" spans="2:8" ht="16.5" customHeight="1">
      <c r="B378" s="76"/>
      <c r="F378" s="53"/>
      <c r="G378" s="53"/>
      <c r="H378" s="41"/>
    </row>
    <row r="379" spans="2:8" ht="16.5" customHeight="1">
      <c r="B379" s="76"/>
      <c r="F379" s="53"/>
      <c r="G379" s="53"/>
      <c r="H379" s="41"/>
    </row>
    <row r="380" spans="2:8" ht="16.5" customHeight="1">
      <c r="B380" s="76"/>
      <c r="F380" s="53"/>
      <c r="G380" s="53"/>
      <c r="H380" s="41"/>
    </row>
    <row r="381" spans="2:8" ht="16.5" customHeight="1">
      <c r="B381" s="76"/>
      <c r="F381" s="53"/>
      <c r="G381" s="53"/>
      <c r="H381" s="41"/>
    </row>
    <row r="382" spans="2:8" ht="16.5" customHeight="1">
      <c r="B382" s="76"/>
      <c r="F382" s="53"/>
      <c r="G382" s="53"/>
      <c r="H382" s="41"/>
    </row>
    <row r="383" spans="2:8" ht="16.5" customHeight="1">
      <c r="B383" s="76"/>
      <c r="F383" s="53"/>
      <c r="G383" s="53"/>
      <c r="H383" s="41"/>
    </row>
    <row r="384" spans="2:8" ht="16.5" customHeight="1">
      <c r="B384" s="76"/>
      <c r="F384" s="53"/>
      <c r="G384" s="53"/>
      <c r="H384" s="41"/>
    </row>
    <row r="385" spans="1:13" ht="16.5" customHeight="1">
      <c r="B385" s="76"/>
      <c r="F385" s="53"/>
      <c r="G385" s="53"/>
      <c r="H385" s="41"/>
    </row>
    <row r="386" spans="1:13" ht="16.5" customHeight="1">
      <c r="B386" s="54"/>
      <c r="F386" s="53"/>
      <c r="G386" s="53"/>
      <c r="H386" s="41"/>
    </row>
    <row r="387" spans="1:13" ht="16.5" customHeight="1">
      <c r="B387" s="56"/>
      <c r="F387" s="53"/>
      <c r="G387" s="53"/>
      <c r="H387" s="41"/>
    </row>
    <row r="388" spans="1:13" ht="16.5" customHeight="1">
      <c r="B388" s="57"/>
      <c r="F388" s="53"/>
      <c r="G388" s="53"/>
      <c r="H388" s="41"/>
    </row>
    <row r="389" spans="1:13" ht="16.5" customHeight="1">
      <c r="B389" s="57"/>
      <c r="F389" s="53"/>
      <c r="G389" s="53"/>
      <c r="H389" s="41"/>
    </row>
    <row r="390" spans="1:13" ht="16.5" customHeight="1">
      <c r="B390" s="57"/>
      <c r="F390" s="53"/>
      <c r="G390" s="53"/>
      <c r="H390" s="41"/>
      <c r="J390" s="66"/>
    </row>
    <row r="391" spans="1:13" ht="16.5" customHeight="1">
      <c r="B391" s="57"/>
      <c r="F391" s="53"/>
      <c r="G391" s="53"/>
      <c r="H391" s="41"/>
    </row>
    <row r="392" spans="1:13" ht="16.5" customHeight="1">
      <c r="B392" s="60"/>
      <c r="F392" s="53"/>
      <c r="G392" s="53"/>
      <c r="H392" s="41"/>
    </row>
    <row r="393" spans="1:13" ht="16.5" customHeight="1">
      <c r="B393" s="57"/>
      <c r="F393" s="53"/>
      <c r="G393" s="53"/>
      <c r="H393" s="41"/>
    </row>
    <row r="394" spans="1:13" ht="16.5" customHeight="1">
      <c r="B394" s="57"/>
      <c r="F394" s="53"/>
      <c r="G394" s="53"/>
      <c r="H394" s="41"/>
      <c r="I394" s="59"/>
    </row>
    <row r="395" spans="1:13" ht="16.5" customHeight="1">
      <c r="B395" s="236"/>
      <c r="F395" s="53"/>
      <c r="G395" s="53"/>
      <c r="H395" s="41"/>
    </row>
    <row r="396" spans="1:13" ht="16.5" customHeight="1">
      <c r="B396" s="318"/>
      <c r="F396" s="53"/>
      <c r="G396" s="53"/>
      <c r="H396" s="41"/>
      <c r="M396" s="67"/>
    </row>
    <row r="397" spans="1:13" ht="16.5" customHeight="1">
      <c r="B397" s="54"/>
      <c r="E397" s="367"/>
      <c r="F397" s="53"/>
      <c r="G397" s="53"/>
      <c r="H397" s="41"/>
    </row>
    <row r="398" spans="1:13" ht="16.5" customHeight="1">
      <c r="A398" s="65"/>
      <c r="B398" s="77"/>
      <c r="F398" s="53"/>
      <c r="G398" s="53"/>
      <c r="H398" s="41"/>
    </row>
    <row r="399" spans="1:13" ht="16.5" customHeight="1">
      <c r="B399" s="54"/>
      <c r="F399" s="53"/>
      <c r="G399" s="53"/>
      <c r="H399" s="41"/>
    </row>
    <row r="400" spans="1:13" ht="16.5" customHeight="1">
      <c r="B400" s="54"/>
      <c r="F400" s="53"/>
      <c r="G400" s="53"/>
      <c r="H400" s="41"/>
    </row>
    <row r="401" spans="2:8" ht="16.5" customHeight="1">
      <c r="F401" s="53"/>
      <c r="G401" s="53"/>
      <c r="H401" s="41"/>
    </row>
    <row r="402" spans="2:8" ht="16.5" customHeight="1">
      <c r="B402" s="54"/>
      <c r="F402" s="53"/>
      <c r="G402" s="53"/>
      <c r="H402" s="41"/>
    </row>
    <row r="403" spans="2:8" ht="16.5" customHeight="1">
      <c r="B403" s="54"/>
      <c r="D403" s="58"/>
      <c r="F403" s="53"/>
      <c r="G403" s="53"/>
      <c r="H403" s="41"/>
    </row>
    <row r="404" spans="2:8" ht="16.5" customHeight="1">
      <c r="B404" s="54"/>
      <c r="D404" s="58"/>
      <c r="F404" s="53"/>
      <c r="G404" s="53"/>
      <c r="H404" s="41"/>
    </row>
    <row r="405" spans="2:8" ht="16.5" customHeight="1">
      <c r="B405" s="54"/>
      <c r="D405" s="58"/>
      <c r="F405" s="53"/>
      <c r="G405" s="53"/>
      <c r="H405" s="41"/>
    </row>
    <row r="406" spans="2:8" ht="16.5" customHeight="1">
      <c r="F406" s="53"/>
      <c r="G406" s="53"/>
      <c r="H406" s="41"/>
    </row>
    <row r="407" spans="2:8" ht="16.5" customHeight="1">
      <c r="B407" s="54"/>
      <c r="F407" s="53"/>
      <c r="G407" s="53"/>
      <c r="H407" s="41"/>
    </row>
    <row r="408" spans="2:8" ht="16.5" customHeight="1">
      <c r="B408" s="54"/>
      <c r="F408" s="53"/>
      <c r="G408" s="53"/>
      <c r="H408" s="41"/>
    </row>
    <row r="409" spans="2:8" ht="16.5" customHeight="1">
      <c r="B409" s="54"/>
      <c r="F409" s="53"/>
      <c r="G409" s="53"/>
      <c r="H409" s="41"/>
    </row>
    <row r="410" spans="2:8" ht="16.5" customHeight="1">
      <c r="B410" s="54"/>
      <c r="F410" s="53"/>
      <c r="G410" s="53"/>
      <c r="H410" s="41"/>
    </row>
    <row r="411" spans="2:8" ht="16.5" customHeight="1">
      <c r="B411" s="54"/>
      <c r="F411" s="53"/>
      <c r="G411" s="53"/>
      <c r="H411" s="41"/>
    </row>
    <row r="412" spans="2:8" ht="16.5" customHeight="1">
      <c r="B412" s="54"/>
      <c r="F412" s="53"/>
      <c r="G412" s="53"/>
      <c r="H412" s="41"/>
    </row>
    <row r="413" spans="2:8" ht="16.5" customHeight="1">
      <c r="B413" s="54"/>
      <c r="F413" s="53"/>
      <c r="G413" s="53"/>
      <c r="H413" s="41"/>
    </row>
    <row r="414" spans="2:8" ht="16.5" customHeight="1">
      <c r="F414" s="53"/>
      <c r="G414" s="53"/>
      <c r="H414" s="41"/>
    </row>
    <row r="415" spans="2:8" ht="16.5" customHeight="1">
      <c r="F415" s="53"/>
      <c r="G415" s="53"/>
      <c r="H415" s="41"/>
    </row>
    <row r="416" spans="2:8" ht="16.5" customHeight="1">
      <c r="F416" s="53"/>
      <c r="G416" s="53"/>
      <c r="H416" s="41"/>
    </row>
    <row r="417" spans="2:8" ht="16.5" customHeight="1">
      <c r="F417" s="53"/>
      <c r="G417" s="53"/>
      <c r="H417" s="41"/>
    </row>
    <row r="418" spans="2:8" ht="16.5" customHeight="1">
      <c r="F418" s="53"/>
      <c r="G418" s="53"/>
      <c r="H418" s="41"/>
    </row>
    <row r="419" spans="2:8" ht="16.5" customHeight="1">
      <c r="B419" s="57"/>
      <c r="F419" s="53"/>
      <c r="G419" s="53"/>
      <c r="H419" s="41"/>
    </row>
    <row r="420" spans="2:8" ht="16.5" customHeight="1">
      <c r="B420" s="54"/>
      <c r="F420" s="53"/>
      <c r="G420" s="53"/>
      <c r="H420" s="41"/>
    </row>
    <row r="421" spans="2:8" ht="16.5" customHeight="1">
      <c r="B421" s="54"/>
      <c r="F421" s="53"/>
      <c r="G421" s="53"/>
      <c r="H421" s="41"/>
    </row>
    <row r="422" spans="2:8" ht="16.5" customHeight="1">
      <c r="B422" s="54"/>
      <c r="F422" s="53"/>
      <c r="G422" s="53"/>
      <c r="H422" s="41"/>
    </row>
    <row r="423" spans="2:8" ht="16.5" customHeight="1">
      <c r="B423" s="54"/>
      <c r="F423" s="53"/>
      <c r="G423" s="53"/>
      <c r="H423" s="41"/>
    </row>
    <row r="424" spans="2:8" ht="16.5" customHeight="1">
      <c r="F424" s="53"/>
      <c r="G424" s="53"/>
      <c r="H424" s="41"/>
    </row>
    <row r="425" spans="2:8" ht="16.5" customHeight="1">
      <c r="F425" s="53"/>
      <c r="G425" s="53"/>
      <c r="H425" s="41"/>
    </row>
    <row r="426" spans="2:8" ht="16.5" customHeight="1">
      <c r="B426" s="54"/>
      <c r="F426" s="53"/>
      <c r="G426" s="53"/>
      <c r="H426" s="41"/>
    </row>
    <row r="427" spans="2:8" ht="16.5" customHeight="1">
      <c r="B427" s="54"/>
      <c r="F427" s="53"/>
      <c r="G427" s="53"/>
      <c r="H427" s="41"/>
    </row>
    <row r="428" spans="2:8" ht="16.5" customHeight="1">
      <c r="B428" s="72"/>
      <c r="F428" s="53"/>
      <c r="G428" s="53"/>
      <c r="H428" s="41"/>
    </row>
    <row r="429" spans="2:8" ht="16.5" customHeight="1">
      <c r="F429" s="53"/>
      <c r="G429" s="53"/>
      <c r="H429" s="41"/>
    </row>
    <row r="430" spans="2:8" ht="16.5" customHeight="1">
      <c r="B430" s="54"/>
      <c r="F430" s="53"/>
      <c r="G430" s="53"/>
      <c r="H430" s="41"/>
    </row>
    <row r="431" spans="2:8" ht="16.5" customHeight="1">
      <c r="F431" s="53"/>
      <c r="G431" s="53"/>
      <c r="H431" s="41"/>
    </row>
    <row r="432" spans="2:8" ht="16.5" customHeight="1">
      <c r="B432" s="54"/>
      <c r="F432" s="53"/>
      <c r="G432" s="53"/>
      <c r="H432" s="41"/>
    </row>
    <row r="433" spans="2:8" ht="16.5" customHeight="1">
      <c r="B433" s="54"/>
      <c r="F433" s="53"/>
      <c r="G433" s="53"/>
      <c r="H433" s="41"/>
    </row>
    <row r="434" spans="2:8" ht="16.5" customHeight="1">
      <c r="B434" s="54"/>
      <c r="F434" s="53"/>
      <c r="G434" s="53"/>
      <c r="H434" s="41"/>
    </row>
    <row r="435" spans="2:8" ht="16.5" customHeight="1">
      <c r="B435" s="54"/>
      <c r="F435" s="53"/>
      <c r="G435" s="53"/>
      <c r="H435" s="41"/>
    </row>
    <row r="436" spans="2:8" ht="16.5" customHeight="1">
      <c r="B436" s="54"/>
      <c r="F436" s="53"/>
      <c r="G436" s="53"/>
      <c r="H436" s="41"/>
    </row>
    <row r="437" spans="2:8" ht="16.5" customHeight="1">
      <c r="B437" s="54"/>
      <c r="F437" s="53"/>
      <c r="G437" s="53"/>
      <c r="H437" s="41"/>
    </row>
    <row r="438" spans="2:8" ht="16.5" customHeight="1">
      <c r="F438" s="53"/>
      <c r="G438" s="53"/>
      <c r="H438" s="41"/>
    </row>
    <row r="439" spans="2:8" ht="16.5" customHeight="1">
      <c r="F439" s="53"/>
      <c r="G439" s="53"/>
      <c r="H439" s="41"/>
    </row>
    <row r="440" spans="2:8" ht="16.5" customHeight="1">
      <c r="F440" s="53"/>
      <c r="G440" s="53"/>
      <c r="H440" s="41"/>
    </row>
    <row r="441" spans="2:8" ht="16.5" customHeight="1">
      <c r="B441" s="54"/>
      <c r="F441" s="53"/>
      <c r="G441" s="53"/>
      <c r="H441" s="41"/>
    </row>
    <row r="442" spans="2:8" ht="16.5" customHeight="1">
      <c r="B442" s="56"/>
      <c r="F442" s="53"/>
      <c r="G442" s="53"/>
      <c r="H442" s="41"/>
    </row>
    <row r="443" spans="2:8" ht="16.5" customHeight="1">
      <c r="B443" s="57"/>
      <c r="F443" s="53"/>
      <c r="G443" s="53"/>
      <c r="H443" s="41"/>
    </row>
    <row r="444" spans="2:8" ht="16.5" customHeight="1">
      <c r="B444" s="57"/>
      <c r="F444" s="53"/>
      <c r="G444" s="53"/>
      <c r="H444" s="41"/>
    </row>
    <row r="445" spans="2:8" ht="16.5" customHeight="1">
      <c r="B445" s="57"/>
      <c r="F445" s="53"/>
      <c r="G445" s="53"/>
      <c r="H445" s="41"/>
    </row>
    <row r="446" spans="2:8" ht="16.5" customHeight="1">
      <c r="F446" s="53"/>
      <c r="G446" s="53"/>
      <c r="H446" s="41"/>
    </row>
    <row r="447" spans="2:8" ht="16.5" customHeight="1">
      <c r="B447" s="54"/>
      <c r="D447" s="58"/>
      <c r="F447" s="53"/>
      <c r="G447" s="53"/>
      <c r="H447" s="41"/>
    </row>
    <row r="448" spans="2:8" ht="16.5" customHeight="1">
      <c r="F448" s="53"/>
      <c r="G448" s="53"/>
      <c r="H448" s="41"/>
    </row>
    <row r="449" spans="2:8" ht="16.5" customHeight="1">
      <c r="B449" s="54"/>
      <c r="F449" s="53"/>
      <c r="G449" s="53"/>
      <c r="H449" s="41"/>
    </row>
    <row r="450" spans="2:8" ht="16.5" customHeight="1">
      <c r="B450" s="54"/>
      <c r="E450" s="365"/>
      <c r="F450" s="53"/>
      <c r="G450" s="53"/>
      <c r="H450" s="41"/>
    </row>
    <row r="451" spans="2:8" ht="16.5" customHeight="1">
      <c r="B451" s="54"/>
      <c r="F451" s="53"/>
      <c r="G451" s="53"/>
      <c r="H451" s="41"/>
    </row>
    <row r="452" spans="2:8" ht="16.5" customHeight="1">
      <c r="B452" s="54"/>
      <c r="F452" s="53"/>
      <c r="G452" s="53"/>
      <c r="H452" s="41"/>
    </row>
    <row r="453" spans="2:8" ht="16.5" customHeight="1">
      <c r="B453" s="54"/>
      <c r="F453" s="53"/>
      <c r="G453" s="53"/>
      <c r="H453" s="41"/>
    </row>
    <row r="454" spans="2:8" ht="16.5" customHeight="1">
      <c r="B454" s="54"/>
      <c r="F454" s="53"/>
      <c r="G454" s="53"/>
      <c r="H454" s="41"/>
    </row>
    <row r="455" spans="2:8" ht="16.5" customHeight="1">
      <c r="B455" s="54"/>
      <c r="F455" s="53"/>
      <c r="G455" s="53"/>
      <c r="H455" s="41"/>
    </row>
    <row r="456" spans="2:8" ht="16.5" customHeight="1">
      <c r="B456" s="54"/>
      <c r="F456" s="53"/>
      <c r="G456" s="53"/>
      <c r="H456" s="41"/>
    </row>
    <row r="457" spans="2:8" ht="16.5" customHeight="1">
      <c r="B457" s="54"/>
      <c r="F457" s="53"/>
      <c r="G457" s="53"/>
      <c r="H457" s="41"/>
    </row>
    <row r="458" spans="2:8" ht="16.5" customHeight="1">
      <c r="B458" s="54"/>
      <c r="F458" s="53"/>
      <c r="G458" s="53"/>
      <c r="H458" s="41"/>
    </row>
    <row r="459" spans="2:8" ht="16.5" customHeight="1">
      <c r="B459" s="54"/>
      <c r="F459" s="53"/>
      <c r="G459" s="53"/>
      <c r="H459" s="41"/>
    </row>
    <row r="460" spans="2:8" ht="16.5" customHeight="1">
      <c r="B460" s="54"/>
      <c r="F460" s="53"/>
      <c r="G460" s="53"/>
      <c r="H460" s="41"/>
    </row>
    <row r="461" spans="2:8" ht="16.5" customHeight="1">
      <c r="B461" s="54"/>
      <c r="F461" s="53"/>
      <c r="G461" s="53"/>
      <c r="H461" s="41"/>
    </row>
    <row r="462" spans="2:8" ht="16.5" customHeight="1">
      <c r="F462" s="53"/>
      <c r="G462" s="53"/>
      <c r="H462" s="41"/>
    </row>
    <row r="463" spans="2:8" ht="16.5" customHeight="1">
      <c r="F463" s="53"/>
      <c r="G463" s="53"/>
      <c r="H463" s="41"/>
    </row>
    <row r="464" spans="2:8" ht="16.5" customHeight="1">
      <c r="F464" s="53"/>
      <c r="G464" s="53"/>
      <c r="H464" s="41"/>
    </row>
    <row r="465" spans="2:8" ht="16.5" customHeight="1">
      <c r="F465" s="53"/>
      <c r="G465" s="53"/>
      <c r="H465" s="41"/>
    </row>
    <row r="466" spans="2:8" ht="16.5" customHeight="1">
      <c r="F466" s="53"/>
      <c r="G466" s="53"/>
      <c r="H466" s="41"/>
    </row>
    <row r="467" spans="2:8" ht="16.5" customHeight="1">
      <c r="F467" s="53"/>
      <c r="G467" s="53"/>
      <c r="H467" s="41"/>
    </row>
    <row r="468" spans="2:8" ht="16.5" customHeight="1">
      <c r="F468" s="53"/>
      <c r="G468" s="53"/>
      <c r="H468" s="41"/>
    </row>
    <row r="469" spans="2:8" ht="16.5" customHeight="1">
      <c r="B469" s="54"/>
      <c r="F469" s="53"/>
      <c r="G469" s="53"/>
      <c r="H469" s="41"/>
    </row>
    <row r="470" spans="2:8" ht="16.5" customHeight="1">
      <c r="F470" s="53"/>
      <c r="G470" s="53"/>
      <c r="H470" s="41"/>
    </row>
    <row r="471" spans="2:8" ht="16.5" customHeight="1">
      <c r="F471" s="53"/>
      <c r="G471" s="53"/>
      <c r="H471" s="41"/>
    </row>
    <row r="472" spans="2:8" ht="16.5" customHeight="1">
      <c r="F472" s="53"/>
      <c r="G472" s="53"/>
      <c r="H472" s="41"/>
    </row>
    <row r="473" spans="2:8" ht="16.5" customHeight="1">
      <c r="F473" s="53"/>
      <c r="G473" s="53"/>
      <c r="H473" s="41"/>
    </row>
    <row r="474" spans="2:8" ht="16.5" customHeight="1">
      <c r="F474" s="53"/>
      <c r="G474" s="53"/>
      <c r="H474" s="41"/>
    </row>
    <row r="475" spans="2:8" ht="16.5" customHeight="1">
      <c r="F475" s="53"/>
      <c r="G475" s="53"/>
      <c r="H475" s="41"/>
    </row>
    <row r="476" spans="2:8" ht="16.5" customHeight="1">
      <c r="B476" s="54"/>
      <c r="F476" s="53"/>
      <c r="G476" s="53"/>
      <c r="H476" s="41"/>
    </row>
    <row r="477" spans="2:8" ht="16.5" customHeight="1">
      <c r="F477" s="53"/>
      <c r="G477" s="53"/>
      <c r="H477" s="41"/>
    </row>
    <row r="478" spans="2:8" ht="16.5" customHeight="1">
      <c r="B478" s="56"/>
      <c r="F478" s="53"/>
      <c r="G478" s="53"/>
      <c r="H478" s="41"/>
    </row>
    <row r="479" spans="2:8" ht="16.5" customHeight="1">
      <c r="B479" s="57"/>
      <c r="F479" s="53"/>
      <c r="G479" s="53"/>
      <c r="H479" s="41"/>
    </row>
    <row r="480" spans="2:8" ht="16.5" customHeight="1">
      <c r="B480" s="57"/>
      <c r="F480" s="53"/>
      <c r="G480" s="53"/>
      <c r="H480" s="41"/>
    </row>
    <row r="481" spans="2:8" ht="16.5" customHeight="1">
      <c r="B481" s="57"/>
      <c r="F481" s="53"/>
      <c r="G481" s="53"/>
      <c r="H481" s="41"/>
    </row>
    <row r="482" spans="2:8" ht="16.5" customHeight="1">
      <c r="F482" s="53"/>
      <c r="G482" s="53"/>
      <c r="H482" s="41"/>
    </row>
    <row r="483" spans="2:8" ht="16.5" customHeight="1">
      <c r="B483" s="86"/>
      <c r="F483" s="53"/>
      <c r="G483" s="53"/>
      <c r="H483" s="41"/>
    </row>
    <row r="484" spans="2:8" ht="16.5" customHeight="1">
      <c r="B484" s="86"/>
      <c r="F484" s="53"/>
      <c r="G484" s="53"/>
      <c r="H484" s="41"/>
    </row>
    <row r="485" spans="2:8" ht="16.5" customHeight="1">
      <c r="B485" s="86"/>
      <c r="F485" s="53"/>
      <c r="G485" s="53"/>
      <c r="H485" s="41"/>
    </row>
    <row r="486" spans="2:8" ht="16.5" customHeight="1">
      <c r="B486" s="86"/>
      <c r="F486" s="53"/>
      <c r="G486" s="53"/>
      <c r="H486" s="41"/>
    </row>
    <row r="487" spans="2:8" ht="16.5" customHeight="1">
      <c r="F487" s="53"/>
      <c r="G487" s="53"/>
      <c r="H487" s="41"/>
    </row>
    <row r="488" spans="2:8" ht="16.5" customHeight="1">
      <c r="F488" s="53"/>
      <c r="G488" s="53"/>
      <c r="H488" s="41"/>
    </row>
    <row r="489" spans="2:8" ht="16.5" customHeight="1">
      <c r="F489" s="53"/>
      <c r="G489" s="53"/>
      <c r="H489" s="41"/>
    </row>
    <row r="490" spans="2:8" ht="16.5" customHeight="1">
      <c r="B490" s="54"/>
      <c r="F490" s="53"/>
      <c r="G490" s="53"/>
      <c r="H490" s="41"/>
    </row>
    <row r="491" spans="2:8" ht="16.5" customHeight="1">
      <c r="F491" s="53"/>
      <c r="G491" s="53"/>
      <c r="H491" s="41"/>
    </row>
    <row r="492" spans="2:8" ht="16.5" customHeight="1">
      <c r="F492" s="53"/>
      <c r="G492" s="53"/>
      <c r="H492" s="41"/>
    </row>
    <row r="493" spans="2:8" ht="16.5" customHeight="1">
      <c r="F493" s="53"/>
      <c r="G493" s="53"/>
      <c r="H493" s="41"/>
    </row>
    <row r="494" spans="2:8" ht="16.5" customHeight="1">
      <c r="B494" s="54"/>
      <c r="F494" s="53"/>
      <c r="G494" s="53"/>
      <c r="H494" s="41"/>
    </row>
    <row r="495" spans="2:8" ht="16.5" customHeight="1">
      <c r="F495" s="53"/>
      <c r="G495" s="53"/>
      <c r="H495" s="41"/>
    </row>
    <row r="496" spans="2:8" ht="16.5" customHeight="1">
      <c r="F496" s="53"/>
      <c r="G496" s="53"/>
      <c r="H496" s="41"/>
    </row>
    <row r="497" spans="2:13" ht="16.5" customHeight="1">
      <c r="F497" s="53"/>
      <c r="G497" s="53"/>
      <c r="H497" s="41"/>
    </row>
    <row r="498" spans="2:13" ht="16.5" customHeight="1">
      <c r="F498" s="53"/>
      <c r="G498" s="53"/>
      <c r="H498" s="41"/>
    </row>
    <row r="499" spans="2:13" ht="16.5" customHeight="1">
      <c r="F499" s="53"/>
      <c r="G499" s="53"/>
      <c r="H499" s="41"/>
    </row>
    <row r="500" spans="2:13" ht="16.5" customHeight="1">
      <c r="B500" s="80"/>
      <c r="F500" s="53"/>
      <c r="G500" s="53"/>
      <c r="H500" s="41"/>
    </row>
    <row r="501" spans="2:13" ht="16.5" customHeight="1">
      <c r="B501" s="60"/>
      <c r="F501" s="53"/>
      <c r="G501" s="53"/>
      <c r="H501" s="41"/>
    </row>
    <row r="502" spans="2:13" ht="16.5" customHeight="1">
      <c r="B502" s="57"/>
      <c r="F502" s="53"/>
      <c r="G502" s="53"/>
      <c r="H502" s="41"/>
    </row>
    <row r="503" spans="2:13" ht="16.5" customHeight="1">
      <c r="B503" s="57"/>
      <c r="F503" s="53"/>
      <c r="G503" s="53"/>
      <c r="H503" s="41"/>
    </row>
    <row r="504" spans="2:13" ht="16.5" customHeight="1">
      <c r="B504" s="57"/>
      <c r="F504" s="53"/>
      <c r="G504" s="53"/>
      <c r="H504" s="41"/>
    </row>
    <row r="505" spans="2:13" ht="16.5" customHeight="1">
      <c r="B505" s="57"/>
      <c r="F505" s="53"/>
      <c r="G505" s="53"/>
      <c r="H505" s="41"/>
    </row>
    <row r="506" spans="2:13" ht="16.5" customHeight="1">
      <c r="B506" s="57"/>
      <c r="F506" s="53"/>
      <c r="G506" s="53"/>
      <c r="H506" s="41"/>
    </row>
    <row r="507" spans="2:13" ht="16.5" customHeight="1">
      <c r="B507" s="342"/>
      <c r="F507" s="53"/>
      <c r="G507" s="53"/>
      <c r="H507" s="41"/>
      <c r="M507" s="67"/>
    </row>
    <row r="508" spans="2:13" ht="16.5" customHeight="1">
      <c r="F508" s="53"/>
      <c r="G508" s="53"/>
      <c r="H508" s="41"/>
    </row>
    <row r="509" spans="2:13" ht="16.5" customHeight="1">
      <c r="F509" s="53"/>
      <c r="G509" s="53"/>
      <c r="H509" s="41"/>
    </row>
    <row r="510" spans="2:13" ht="16.5" customHeight="1">
      <c r="F510" s="53"/>
      <c r="G510" s="53"/>
      <c r="H510" s="41"/>
    </row>
    <row r="511" spans="2:13" ht="16.5" customHeight="1">
      <c r="F511" s="53"/>
      <c r="G511" s="53"/>
      <c r="H511" s="41"/>
    </row>
    <row r="512" spans="2:13" ht="16.5" customHeight="1">
      <c r="F512" s="53"/>
      <c r="G512" s="53"/>
      <c r="H512" s="41"/>
    </row>
    <row r="513" spans="2:8" ht="16.5" customHeight="1">
      <c r="F513" s="53"/>
      <c r="G513" s="53"/>
      <c r="H513" s="41"/>
    </row>
    <row r="514" spans="2:8" ht="16.5" customHeight="1">
      <c r="F514" s="53"/>
      <c r="G514" s="53"/>
      <c r="H514" s="41"/>
    </row>
    <row r="515" spans="2:8" ht="16.5" customHeight="1">
      <c r="F515" s="53"/>
      <c r="G515" s="53"/>
      <c r="H515" s="41"/>
    </row>
    <row r="516" spans="2:8" ht="16.5" customHeight="1">
      <c r="F516" s="53"/>
      <c r="G516" s="53"/>
      <c r="H516" s="41"/>
    </row>
    <row r="517" spans="2:8" ht="16.5" customHeight="1">
      <c r="F517" s="53"/>
      <c r="G517" s="53"/>
      <c r="H517" s="41"/>
    </row>
    <row r="518" spans="2:8" ht="16.5" customHeight="1">
      <c r="F518" s="53"/>
      <c r="G518" s="53"/>
      <c r="H518" s="41"/>
    </row>
    <row r="519" spans="2:8" ht="16.5" customHeight="1">
      <c r="B519" s="54"/>
      <c r="F519" s="53"/>
      <c r="G519" s="53"/>
      <c r="H519" s="41"/>
    </row>
    <row r="520" spans="2:8" ht="16.5" customHeight="1">
      <c r="F520" s="53"/>
      <c r="G520" s="53"/>
      <c r="H520" s="41"/>
    </row>
    <row r="521" spans="2:8" ht="16.5" customHeight="1">
      <c r="F521" s="53"/>
      <c r="G521" s="53"/>
      <c r="H521" s="41"/>
    </row>
    <row r="522" spans="2:8" ht="16.5" customHeight="1">
      <c r="F522" s="53"/>
      <c r="G522" s="53"/>
      <c r="H522" s="41"/>
    </row>
    <row r="523" spans="2:8" ht="16.5" customHeight="1">
      <c r="B523" s="54"/>
      <c r="F523" s="53"/>
      <c r="G523" s="53"/>
      <c r="H523" s="41"/>
    </row>
    <row r="524" spans="2:8" ht="16.5" customHeight="1">
      <c r="B524" s="71"/>
      <c r="F524" s="53"/>
      <c r="G524" s="53"/>
      <c r="H524" s="41"/>
    </row>
    <row r="525" spans="2:8" ht="16.5" customHeight="1">
      <c r="B525" s="54"/>
      <c r="F525" s="53"/>
      <c r="G525" s="53"/>
      <c r="H525" s="41"/>
    </row>
    <row r="526" spans="2:8" ht="16.5" customHeight="1">
      <c r="B526" s="54"/>
      <c r="F526" s="53"/>
      <c r="G526" s="53"/>
      <c r="H526" s="41"/>
    </row>
    <row r="527" spans="2:8" ht="16.5" customHeight="1">
      <c r="B527" s="54"/>
      <c r="F527" s="53"/>
      <c r="G527" s="53"/>
      <c r="H527" s="41"/>
    </row>
    <row r="528" spans="2:8" ht="16.5" customHeight="1">
      <c r="B528" s="54"/>
      <c r="F528" s="53"/>
      <c r="G528" s="53"/>
      <c r="H528" s="41"/>
    </row>
    <row r="529" spans="2:8" ht="16.5" customHeight="1">
      <c r="F529" s="53"/>
      <c r="G529" s="53"/>
      <c r="H529" s="41"/>
    </row>
    <row r="530" spans="2:8" ht="16.5" customHeight="1">
      <c r="F530" s="53"/>
      <c r="G530" s="53"/>
      <c r="H530" s="41"/>
    </row>
    <row r="531" spans="2:8" ht="16.5" customHeight="1">
      <c r="F531" s="53"/>
      <c r="G531" s="53"/>
      <c r="H531" s="41"/>
    </row>
    <row r="532" spans="2:8" ht="16.5" customHeight="1">
      <c r="B532" s="54"/>
      <c r="F532" s="53"/>
      <c r="G532" s="53"/>
      <c r="H532" s="41"/>
    </row>
    <row r="533" spans="2:8" ht="16.5" customHeight="1">
      <c r="B533" s="71"/>
      <c r="F533" s="53"/>
      <c r="G533" s="53"/>
      <c r="H533" s="41"/>
    </row>
    <row r="534" spans="2:8" ht="16.5" customHeight="1">
      <c r="F534" s="53"/>
      <c r="G534" s="53"/>
      <c r="H534" s="41"/>
    </row>
    <row r="535" spans="2:8" ht="16.5" customHeight="1">
      <c r="B535" s="56"/>
      <c r="F535" s="53"/>
      <c r="G535" s="53"/>
      <c r="H535" s="41"/>
    </row>
    <row r="536" spans="2:8" ht="16.5" customHeight="1">
      <c r="B536" s="57"/>
      <c r="F536" s="53"/>
      <c r="G536" s="53"/>
      <c r="H536" s="41"/>
    </row>
    <row r="537" spans="2:8" ht="16.5" customHeight="1">
      <c r="B537" s="57"/>
      <c r="F537" s="53"/>
      <c r="G537" s="53"/>
      <c r="H537" s="41"/>
    </row>
    <row r="538" spans="2:8" ht="16.5" customHeight="1">
      <c r="B538" s="57"/>
      <c r="F538" s="53"/>
      <c r="G538" s="53"/>
      <c r="H538" s="41"/>
    </row>
    <row r="539" spans="2:8" ht="16.5" customHeight="1">
      <c r="F539" s="53"/>
      <c r="G539" s="53"/>
      <c r="H539" s="41"/>
    </row>
    <row r="540" spans="2:8" ht="16.5" customHeight="1">
      <c r="F540" s="53"/>
      <c r="G540" s="53"/>
      <c r="H540" s="41"/>
    </row>
    <row r="541" spans="2:8" ht="16.5" customHeight="1">
      <c r="F541" s="53"/>
      <c r="G541" s="53"/>
      <c r="H541" s="41"/>
    </row>
    <row r="542" spans="2:8" ht="16.5" customHeight="1">
      <c r="F542" s="53"/>
      <c r="G542" s="53"/>
      <c r="H542" s="41"/>
    </row>
    <row r="543" spans="2:8" ht="16.5" customHeight="1">
      <c r="F543" s="53"/>
      <c r="G543" s="53"/>
      <c r="H543" s="41"/>
    </row>
    <row r="544" spans="2:8" ht="16.5" customHeight="1">
      <c r="F544" s="53"/>
      <c r="G544" s="53"/>
      <c r="H544" s="41"/>
    </row>
    <row r="545" spans="2:8" ht="16.5" customHeight="1">
      <c r="F545" s="53"/>
      <c r="G545" s="53"/>
      <c r="H545" s="41"/>
    </row>
    <row r="546" spans="2:8" ht="16.5" customHeight="1">
      <c r="F546" s="53"/>
      <c r="G546" s="53"/>
      <c r="H546" s="41"/>
    </row>
    <row r="547" spans="2:8" ht="16.5" customHeight="1">
      <c r="F547" s="53"/>
      <c r="G547" s="53"/>
      <c r="H547" s="41"/>
    </row>
    <row r="548" spans="2:8" ht="16.5" customHeight="1">
      <c r="F548" s="53"/>
      <c r="G548" s="53"/>
      <c r="H548" s="41"/>
    </row>
    <row r="549" spans="2:8" ht="16.5" customHeight="1">
      <c r="B549" s="57"/>
      <c r="F549" s="53"/>
      <c r="G549" s="53"/>
      <c r="H549" s="41"/>
    </row>
    <row r="550" spans="2:8" ht="16.5" customHeight="1">
      <c r="B550" s="54"/>
      <c r="F550" s="53"/>
      <c r="G550" s="53"/>
      <c r="H550" s="41"/>
    </row>
    <row r="551" spans="2:8" ht="16.5" customHeight="1">
      <c r="B551" s="72"/>
      <c r="C551" s="155"/>
      <c r="F551" s="53"/>
      <c r="G551" s="53"/>
      <c r="H551" s="41"/>
    </row>
    <row r="552" spans="2:8" ht="16.5" customHeight="1">
      <c r="B552" s="72"/>
      <c r="C552" s="155"/>
      <c r="F552" s="53"/>
      <c r="G552" s="53"/>
      <c r="H552" s="41"/>
    </row>
    <row r="553" spans="2:8" ht="16.5" customHeight="1">
      <c r="F553" s="53"/>
      <c r="G553" s="53"/>
      <c r="H553" s="41"/>
    </row>
    <row r="554" spans="2:8" ht="16.5" customHeight="1">
      <c r="B554" s="71"/>
      <c r="F554" s="53"/>
      <c r="G554" s="53"/>
      <c r="H554" s="41"/>
    </row>
    <row r="555" spans="2:8" ht="16.5" customHeight="1">
      <c r="B555" s="71"/>
      <c r="F555" s="53"/>
      <c r="G555" s="53"/>
      <c r="H555" s="41"/>
    </row>
    <row r="556" spans="2:8" ht="16.5" customHeight="1">
      <c r="B556" s="54"/>
      <c r="F556" s="53"/>
      <c r="G556" s="53"/>
      <c r="H556" s="41"/>
    </row>
    <row r="557" spans="2:8" ht="16.5" customHeight="1">
      <c r="B557" s="71"/>
      <c r="F557" s="53"/>
      <c r="G557" s="53"/>
      <c r="H557" s="41"/>
    </row>
    <row r="558" spans="2:8" ht="16.5" customHeight="1">
      <c r="B558" s="54"/>
      <c r="F558" s="53"/>
      <c r="G558" s="53"/>
      <c r="H558" s="41"/>
    </row>
    <row r="559" spans="2:8" ht="16.5" customHeight="1">
      <c r="B559" s="54"/>
      <c r="F559" s="53"/>
      <c r="G559" s="53"/>
      <c r="H559" s="41"/>
    </row>
    <row r="560" spans="2:8" ht="16.5" customHeight="1">
      <c r="F560" s="53"/>
      <c r="G560" s="53"/>
      <c r="H560" s="41"/>
    </row>
    <row r="561" spans="2:8" ht="16.5" customHeight="1">
      <c r="B561" s="56"/>
      <c r="F561" s="53"/>
      <c r="G561" s="53"/>
      <c r="H561" s="41"/>
    </row>
    <row r="562" spans="2:8" ht="16.5" customHeight="1">
      <c r="B562" s="57"/>
      <c r="F562" s="53"/>
      <c r="G562" s="53"/>
      <c r="H562" s="41"/>
    </row>
    <row r="563" spans="2:8" ht="16.5" customHeight="1">
      <c r="B563" s="57"/>
      <c r="F563" s="53"/>
      <c r="G563" s="53"/>
      <c r="H563" s="41"/>
    </row>
    <row r="564" spans="2:8" ht="16.5" customHeight="1">
      <c r="B564" s="57"/>
      <c r="F564" s="53"/>
      <c r="G564" s="53"/>
      <c r="H564" s="41"/>
    </row>
    <row r="565" spans="2:8" ht="16.5" customHeight="1">
      <c r="B565" s="57"/>
      <c r="C565" s="59"/>
      <c r="D565" s="58"/>
      <c r="F565" s="53"/>
      <c r="G565" s="53"/>
      <c r="H565" s="41"/>
    </row>
    <row r="566" spans="2:8" ht="16.5" customHeight="1">
      <c r="D566" s="58"/>
      <c r="F566" s="53"/>
      <c r="G566" s="53"/>
      <c r="H566" s="41"/>
    </row>
    <row r="567" spans="2:8" ht="16.5" customHeight="1">
      <c r="B567" s="80"/>
      <c r="D567" s="58"/>
      <c r="F567" s="53"/>
      <c r="G567" s="53"/>
      <c r="H567" s="41"/>
    </row>
    <row r="568" spans="2:8" ht="16.5" customHeight="1">
      <c r="F568" s="53"/>
      <c r="G568" s="53"/>
      <c r="H568" s="41"/>
    </row>
    <row r="569" spans="2:8" ht="16.5" customHeight="1">
      <c r="F569" s="53"/>
      <c r="G569" s="53"/>
      <c r="H569" s="41"/>
    </row>
    <row r="570" spans="2:8" ht="16.5" customHeight="1">
      <c r="B570" s="81"/>
      <c r="F570" s="53"/>
      <c r="G570" s="53"/>
      <c r="H570" s="41"/>
    </row>
    <row r="571" spans="2:8" ht="16.5" customHeight="1">
      <c r="B571" s="54"/>
      <c r="F571" s="53"/>
      <c r="G571" s="53"/>
      <c r="H571" s="41"/>
    </row>
    <row r="572" spans="2:8" ht="16.5" customHeight="1">
      <c r="F572" s="53"/>
      <c r="G572" s="53"/>
      <c r="H572" s="41"/>
    </row>
    <row r="573" spans="2:8" ht="16.5" customHeight="1">
      <c r="F573" s="53"/>
      <c r="G573" s="53"/>
      <c r="H573" s="41"/>
    </row>
    <row r="574" spans="2:8" ht="16.5" customHeight="1">
      <c r="B574" s="60"/>
      <c r="F574" s="53"/>
      <c r="G574" s="53"/>
      <c r="H574" s="41"/>
    </row>
    <row r="575" spans="2:8" ht="16.5" customHeight="1">
      <c r="B575" s="57"/>
      <c r="F575" s="53"/>
      <c r="G575" s="53"/>
      <c r="H575" s="41"/>
    </row>
    <row r="576" spans="2:8" ht="16.5" customHeight="1">
      <c r="B576" s="57"/>
      <c r="F576" s="53"/>
      <c r="G576" s="53"/>
      <c r="H576" s="41"/>
    </row>
    <row r="577" spans="2:13" ht="16.5" customHeight="1">
      <c r="B577" s="57"/>
      <c r="F577" s="53"/>
      <c r="G577" s="53"/>
      <c r="H577" s="41"/>
    </row>
    <row r="578" spans="2:13" ht="16.5" customHeight="1">
      <c r="B578" s="57"/>
      <c r="F578" s="53"/>
      <c r="G578" s="53"/>
      <c r="H578" s="41"/>
    </row>
    <row r="579" spans="2:13" ht="16.5" customHeight="1">
      <c r="B579" s="57"/>
      <c r="F579" s="53"/>
      <c r="G579" s="53"/>
      <c r="H579" s="41"/>
    </row>
    <row r="580" spans="2:13" ht="16.5" customHeight="1">
      <c r="B580" s="318"/>
      <c r="F580" s="53"/>
      <c r="G580" s="53"/>
      <c r="H580" s="41"/>
      <c r="M580" s="67"/>
    </row>
    <row r="581" spans="2:13" ht="15.75" customHeight="1">
      <c r="F581" s="53"/>
      <c r="G581" s="53"/>
      <c r="H581" s="41"/>
    </row>
    <row r="582" spans="2:13" ht="16.5" customHeight="1">
      <c r="F582" s="53"/>
      <c r="G582" s="53"/>
      <c r="H582" s="41"/>
    </row>
    <row r="583" spans="2:13" ht="16.5" customHeight="1">
      <c r="F583" s="53"/>
      <c r="G583" s="53"/>
      <c r="H583" s="41"/>
    </row>
    <row r="584" spans="2:13" ht="16.5" customHeight="1">
      <c r="F584" s="53"/>
      <c r="G584" s="53"/>
      <c r="H584" s="41"/>
    </row>
    <row r="585" spans="2:13" ht="16.5" customHeight="1">
      <c r="F585" s="53"/>
      <c r="G585" s="53"/>
      <c r="H585" s="41"/>
    </row>
    <row r="586" spans="2:13" ht="16.5" customHeight="1">
      <c r="F586" s="53"/>
      <c r="G586" s="53"/>
      <c r="H586" s="41"/>
    </row>
    <row r="587" spans="2:13" ht="16.5" customHeight="1">
      <c r="F587" s="53"/>
      <c r="G587" s="53"/>
      <c r="H587" s="41"/>
    </row>
    <row r="588" spans="2:13" ht="16.5" customHeight="1">
      <c r="F588" s="53"/>
      <c r="G588" s="53"/>
      <c r="H588" s="41"/>
    </row>
    <row r="589" spans="2:13" ht="16.899999999999999" customHeight="1">
      <c r="F589" s="53"/>
      <c r="G589" s="53"/>
      <c r="H589" s="41"/>
    </row>
    <row r="590" spans="2:13" ht="16.5" customHeight="1">
      <c r="F590" s="53"/>
      <c r="G590" s="53"/>
      <c r="H590" s="41"/>
    </row>
    <row r="591" spans="2:13" ht="16.5" customHeight="1">
      <c r="B591" s="54"/>
      <c r="F591" s="53"/>
      <c r="G591" s="53"/>
      <c r="H591" s="41"/>
    </row>
    <row r="592" spans="2:13" ht="16.5" customHeight="1">
      <c r="B592" s="56"/>
      <c r="F592" s="53"/>
      <c r="G592" s="53"/>
      <c r="H592" s="41"/>
    </row>
    <row r="593" spans="2:8" ht="16.5" customHeight="1">
      <c r="B593" s="57"/>
      <c r="D593" s="58"/>
      <c r="F593" s="53"/>
      <c r="G593" s="53"/>
      <c r="H593" s="41"/>
    </row>
    <row r="594" spans="2:8" ht="16.5" customHeight="1">
      <c r="B594" s="57"/>
      <c r="D594" s="58"/>
      <c r="F594" s="53"/>
      <c r="G594" s="53"/>
      <c r="H594" s="41"/>
    </row>
    <row r="595" spans="2:8" ht="16.5" customHeight="1">
      <c r="B595" s="57"/>
      <c r="D595" s="58"/>
      <c r="F595" s="53"/>
      <c r="G595" s="53"/>
      <c r="H595" s="41"/>
    </row>
    <row r="596" spans="2:8" ht="16.5" customHeight="1">
      <c r="B596" s="57"/>
      <c r="D596" s="58"/>
      <c r="F596" s="53"/>
      <c r="G596" s="53"/>
      <c r="H596" s="41"/>
    </row>
    <row r="597" spans="2:8" ht="16.5" customHeight="1">
      <c r="B597" s="54"/>
      <c r="F597" s="53"/>
      <c r="G597" s="53"/>
      <c r="H597" s="41"/>
    </row>
    <row r="598" spans="2:8" ht="16.5" customHeight="1">
      <c r="F598" s="53"/>
      <c r="G598" s="53"/>
      <c r="H598" s="41"/>
    </row>
    <row r="599" spans="2:8" ht="16.5" customHeight="1">
      <c r="F599" s="53"/>
      <c r="G599" s="53"/>
      <c r="H599" s="41"/>
    </row>
    <row r="600" spans="2:8" ht="16.5" customHeight="1">
      <c r="B600" s="80"/>
      <c r="D600" s="58"/>
      <c r="F600" s="53"/>
      <c r="G600" s="53"/>
      <c r="H600" s="41"/>
    </row>
    <row r="601" spans="2:8" ht="16.5" customHeight="1">
      <c r="F601" s="53"/>
      <c r="G601" s="53"/>
      <c r="H601" s="41"/>
    </row>
    <row r="602" spans="2:8" ht="16.5" customHeight="1">
      <c r="B602" s="70"/>
      <c r="F602" s="53"/>
      <c r="G602" s="53"/>
      <c r="H602" s="41"/>
    </row>
    <row r="603" spans="2:8" ht="16.5" customHeight="1">
      <c r="F603" s="53"/>
      <c r="G603" s="53"/>
      <c r="H603" s="41"/>
    </row>
    <row r="604" spans="2:8" ht="16.5" customHeight="1">
      <c r="F604" s="53"/>
      <c r="G604" s="53"/>
      <c r="H604" s="41"/>
    </row>
    <row r="605" spans="2:8" ht="16.5" customHeight="1">
      <c r="F605" s="53"/>
      <c r="G605" s="53"/>
      <c r="H605" s="41"/>
    </row>
    <row r="606" spans="2:8" ht="16.5" customHeight="1">
      <c r="F606" s="53"/>
      <c r="G606" s="53"/>
      <c r="H606" s="41"/>
    </row>
    <row r="607" spans="2:8" ht="16.5" customHeight="1">
      <c r="F607" s="53"/>
      <c r="G607" s="53"/>
      <c r="H607" s="41"/>
    </row>
    <row r="608" spans="2:8" ht="16.5" customHeight="1">
      <c r="F608" s="53"/>
      <c r="G608" s="53"/>
      <c r="H608" s="41"/>
    </row>
    <row r="609" spans="2:8" ht="16.5" customHeight="1">
      <c r="F609" s="53"/>
      <c r="G609" s="53"/>
      <c r="H609" s="41"/>
    </row>
    <row r="610" spans="2:8" ht="16.5" customHeight="1">
      <c r="B610" s="54"/>
      <c r="F610" s="53"/>
      <c r="G610" s="53"/>
      <c r="H610" s="41"/>
    </row>
    <row r="611" spans="2:8" ht="16.5" customHeight="1">
      <c r="B611" s="54"/>
      <c r="F611" s="53"/>
      <c r="G611" s="53"/>
      <c r="H611" s="41"/>
    </row>
    <row r="612" spans="2:8" ht="16.5" customHeight="1">
      <c r="B612" s="54"/>
      <c r="F612" s="53"/>
      <c r="G612" s="53"/>
      <c r="H612" s="41"/>
    </row>
    <row r="613" spans="2:8" ht="16.5" customHeight="1">
      <c r="B613" s="54"/>
      <c r="F613" s="53"/>
      <c r="G613" s="53"/>
      <c r="H613" s="41"/>
    </row>
    <row r="614" spans="2:8" ht="16.5" customHeight="1">
      <c r="B614" s="54"/>
      <c r="F614" s="53"/>
      <c r="G614" s="53"/>
      <c r="H614" s="41"/>
    </row>
    <row r="615" spans="2:8" ht="16.5" customHeight="1">
      <c r="B615" s="54"/>
      <c r="F615" s="53"/>
      <c r="G615" s="53"/>
      <c r="H615" s="41"/>
    </row>
    <row r="616" spans="2:8" ht="16.5" customHeight="1">
      <c r="B616" s="54"/>
      <c r="F616" s="53"/>
      <c r="G616" s="53"/>
      <c r="H616" s="41"/>
    </row>
    <row r="617" spans="2:8" ht="16.5" customHeight="1">
      <c r="B617" s="54"/>
      <c r="F617" s="53"/>
      <c r="G617" s="53"/>
      <c r="H617" s="41"/>
    </row>
    <row r="618" spans="2:8" ht="16.5" customHeight="1">
      <c r="B618" s="54"/>
      <c r="F618" s="53"/>
      <c r="G618" s="53"/>
      <c r="H618" s="41"/>
    </row>
    <row r="619" spans="2:8" ht="16.5" customHeight="1">
      <c r="B619" s="54"/>
      <c r="F619" s="53"/>
      <c r="G619" s="53"/>
      <c r="H619" s="41"/>
    </row>
    <row r="620" spans="2:8" ht="16.5" customHeight="1">
      <c r="B620" s="54"/>
      <c r="F620" s="53"/>
      <c r="G620" s="53"/>
      <c r="H620" s="41"/>
    </row>
    <row r="621" spans="2:8" ht="16.5" customHeight="1">
      <c r="B621" s="54"/>
      <c r="F621" s="53"/>
      <c r="G621" s="53"/>
      <c r="H621" s="41"/>
    </row>
    <row r="622" spans="2:8" ht="16.5" customHeight="1">
      <c r="B622" s="54"/>
      <c r="F622" s="53"/>
      <c r="G622" s="53"/>
      <c r="H622" s="41"/>
    </row>
    <row r="623" spans="2:8" ht="16.5" customHeight="1">
      <c r="B623" s="54"/>
      <c r="F623" s="53"/>
      <c r="G623" s="53"/>
      <c r="H623" s="41"/>
    </row>
    <row r="624" spans="2:8" ht="16.5" customHeight="1">
      <c r="B624" s="54"/>
      <c r="F624" s="53"/>
      <c r="G624" s="53"/>
      <c r="H624" s="41"/>
    </row>
    <row r="625" spans="1:8" ht="16.5" customHeight="1">
      <c r="B625" s="54"/>
      <c r="F625" s="53"/>
      <c r="G625" s="53"/>
      <c r="H625" s="41"/>
    </row>
    <row r="626" spans="1:8" ht="16.5" customHeight="1">
      <c r="B626" s="54"/>
      <c r="F626" s="53"/>
      <c r="G626" s="53"/>
      <c r="H626" s="41"/>
    </row>
    <row r="627" spans="1:8" ht="16.5" customHeight="1">
      <c r="B627" s="54"/>
      <c r="F627" s="53"/>
      <c r="G627" s="53"/>
      <c r="H627" s="41"/>
    </row>
    <row r="628" spans="1:8" ht="16.5" customHeight="1">
      <c r="B628" s="54"/>
      <c r="F628" s="53"/>
      <c r="G628" s="53"/>
      <c r="H628" s="41"/>
    </row>
    <row r="629" spans="1:8" ht="16.5" customHeight="1">
      <c r="A629" s="65"/>
      <c r="B629" s="54"/>
      <c r="F629" s="53"/>
      <c r="G629" s="53"/>
      <c r="H629" s="41"/>
    </row>
    <row r="630" spans="1:8" ht="16.5" customHeight="1">
      <c r="B630" s="54"/>
      <c r="F630" s="53"/>
      <c r="G630" s="53"/>
      <c r="H630" s="41"/>
    </row>
    <row r="631" spans="1:8" ht="16.5" customHeight="1">
      <c r="B631" s="54"/>
      <c r="F631" s="53"/>
      <c r="G631" s="53"/>
      <c r="H631" s="41"/>
    </row>
    <row r="632" spans="1:8" ht="16.5" customHeight="1">
      <c r="B632" s="54"/>
      <c r="F632" s="53"/>
      <c r="G632" s="53"/>
      <c r="H632" s="41"/>
    </row>
    <row r="633" spans="1:8" ht="16.5" customHeight="1">
      <c r="B633" s="56"/>
      <c r="F633" s="53"/>
      <c r="G633" s="53"/>
      <c r="H633" s="41"/>
    </row>
    <row r="634" spans="1:8" ht="16.5" customHeight="1">
      <c r="B634" s="57"/>
      <c r="D634" s="58"/>
      <c r="F634" s="53"/>
      <c r="G634" s="53"/>
      <c r="H634" s="41"/>
    </row>
    <row r="635" spans="1:8" ht="16.5" customHeight="1">
      <c r="B635" s="57"/>
      <c r="D635" s="58"/>
      <c r="F635" s="53"/>
      <c r="G635" s="53"/>
      <c r="H635" s="41"/>
    </row>
    <row r="636" spans="1:8" ht="16.5" customHeight="1">
      <c r="B636" s="57"/>
      <c r="D636" s="58"/>
      <c r="F636" s="53"/>
      <c r="G636" s="53"/>
      <c r="H636" s="41"/>
    </row>
    <row r="637" spans="1:8" ht="16.5" customHeight="1">
      <c r="B637" s="57"/>
      <c r="D637" s="58"/>
      <c r="F637" s="53"/>
      <c r="G637" s="53"/>
      <c r="H637" s="41"/>
    </row>
    <row r="638" spans="1:8" ht="16.5" customHeight="1">
      <c r="B638" s="57"/>
      <c r="D638" s="58"/>
      <c r="F638" s="53"/>
      <c r="G638" s="53"/>
      <c r="H638" s="41"/>
    </row>
    <row r="639" spans="1:8" ht="16.5" customHeight="1">
      <c r="B639" s="54"/>
      <c r="F639" s="53"/>
      <c r="G639" s="53"/>
      <c r="H639" s="41"/>
    </row>
    <row r="640" spans="1:8" ht="16.5" customHeight="1">
      <c r="B640" s="54"/>
      <c r="F640" s="53"/>
      <c r="G640" s="53"/>
      <c r="H640" s="41"/>
    </row>
    <row r="641" spans="2:13" ht="16.5" customHeight="1">
      <c r="B641" s="54"/>
      <c r="F641" s="53"/>
      <c r="G641" s="53"/>
      <c r="H641" s="41"/>
    </row>
    <row r="642" spans="2:13" ht="16.5" customHeight="1">
      <c r="B642" s="54"/>
      <c r="F642" s="53"/>
      <c r="G642" s="53"/>
      <c r="H642" s="41"/>
    </row>
    <row r="643" spans="2:13" ht="16.5" customHeight="1">
      <c r="B643" s="54"/>
      <c r="F643" s="53"/>
      <c r="G643" s="53"/>
      <c r="H643" s="41"/>
    </row>
    <row r="644" spans="2:13" ht="16.5" customHeight="1">
      <c r="B644" s="54"/>
      <c r="F644" s="53"/>
      <c r="G644" s="53"/>
      <c r="H644" s="41"/>
    </row>
    <row r="645" spans="2:13" ht="16.5" customHeight="1">
      <c r="B645" s="54"/>
      <c r="F645" s="53"/>
      <c r="G645" s="53"/>
      <c r="H645" s="41"/>
    </row>
    <row r="646" spans="2:13" ht="16.5" customHeight="1">
      <c r="B646" s="72"/>
      <c r="F646" s="53"/>
      <c r="G646" s="53"/>
      <c r="H646" s="41"/>
    </row>
    <row r="647" spans="2:13" ht="16.5" customHeight="1">
      <c r="B647" s="54"/>
      <c r="F647" s="53"/>
      <c r="G647" s="53"/>
      <c r="H647" s="41"/>
    </row>
    <row r="648" spans="2:13" ht="16.5" customHeight="1">
      <c r="B648" s="60"/>
      <c r="F648" s="53"/>
      <c r="G648" s="53"/>
      <c r="H648" s="41"/>
    </row>
    <row r="649" spans="2:13" ht="16.5" customHeight="1">
      <c r="B649" s="57"/>
      <c r="F649" s="53"/>
      <c r="G649" s="53"/>
      <c r="H649" s="41"/>
    </row>
    <row r="650" spans="2:13" ht="16.5" customHeight="1">
      <c r="B650" s="57"/>
      <c r="F650" s="53"/>
      <c r="G650" s="53"/>
      <c r="H650" s="41"/>
    </row>
    <row r="651" spans="2:13" ht="16.5" customHeight="1">
      <c r="B651" s="57"/>
      <c r="F651" s="53"/>
      <c r="G651" s="53"/>
      <c r="H651" s="41"/>
    </row>
    <row r="652" spans="2:13" ht="16.5" customHeight="1">
      <c r="B652" s="57"/>
      <c r="F652" s="53"/>
      <c r="G652" s="53"/>
      <c r="H652" s="41"/>
    </row>
    <row r="653" spans="2:13" ht="16.5" customHeight="1">
      <c r="B653" s="342"/>
      <c r="F653" s="53"/>
      <c r="G653" s="53"/>
      <c r="H653" s="41"/>
      <c r="M653" s="67"/>
    </row>
    <row r="654" spans="2:13" ht="16.5" customHeight="1">
      <c r="B654" s="54"/>
      <c r="F654" s="53"/>
      <c r="G654" s="53"/>
      <c r="H654" s="41"/>
    </row>
    <row r="655" spans="2:13" ht="16.5" customHeight="1">
      <c r="B655" s="54"/>
      <c r="F655" s="53"/>
      <c r="G655" s="53"/>
      <c r="H655" s="41"/>
    </row>
    <row r="656" spans="2:13" ht="16.5" customHeight="1">
      <c r="B656" s="71"/>
      <c r="F656" s="53"/>
      <c r="G656" s="53"/>
      <c r="H656" s="41"/>
    </row>
    <row r="657" spans="2:8" ht="16.5" customHeight="1">
      <c r="B657" s="54"/>
      <c r="F657" s="53"/>
      <c r="G657" s="53"/>
      <c r="H657" s="41"/>
    </row>
    <row r="658" spans="2:8" ht="16.5" customHeight="1">
      <c r="B658" s="56"/>
      <c r="F658" s="53"/>
      <c r="G658" s="53"/>
      <c r="H658" s="41"/>
    </row>
    <row r="659" spans="2:8" ht="16.5" customHeight="1">
      <c r="B659" s="57"/>
      <c r="D659" s="58"/>
      <c r="F659" s="53"/>
      <c r="G659" s="53"/>
      <c r="H659" s="41"/>
    </row>
    <row r="660" spans="2:8" ht="16.5" customHeight="1">
      <c r="B660" s="57"/>
      <c r="D660" s="58"/>
      <c r="F660" s="53"/>
      <c r="G660" s="53"/>
      <c r="H660" s="41"/>
    </row>
    <row r="661" spans="2:8" ht="16.5" customHeight="1">
      <c r="B661" s="57"/>
      <c r="D661" s="58"/>
      <c r="F661" s="53"/>
      <c r="G661" s="53"/>
      <c r="H661" s="41"/>
    </row>
    <row r="662" spans="2:8" ht="16.5" customHeight="1">
      <c r="B662" s="57"/>
      <c r="D662" s="58"/>
      <c r="F662" s="53"/>
      <c r="G662" s="53"/>
      <c r="H662" s="41"/>
    </row>
    <row r="663" spans="2:8" ht="16.5" customHeight="1">
      <c r="B663" s="57"/>
      <c r="D663" s="58"/>
      <c r="F663" s="53"/>
      <c r="G663" s="53"/>
      <c r="H663" s="41"/>
    </row>
    <row r="664" spans="2:8" ht="16.5" customHeight="1">
      <c r="B664" s="54"/>
      <c r="F664" s="53"/>
      <c r="G664" s="53"/>
      <c r="H664" s="41"/>
    </row>
    <row r="665" spans="2:8" ht="16.5" customHeight="1">
      <c r="B665" s="54"/>
      <c r="F665" s="53"/>
      <c r="G665" s="53"/>
      <c r="H665" s="41"/>
    </row>
    <row r="666" spans="2:8" ht="16.5" customHeight="1">
      <c r="B666" s="54"/>
      <c r="F666" s="53"/>
      <c r="G666" s="53"/>
      <c r="H666" s="41"/>
    </row>
    <row r="667" spans="2:8" ht="16.5" customHeight="1">
      <c r="B667" s="54"/>
      <c r="F667" s="53"/>
      <c r="G667" s="53"/>
      <c r="H667" s="41"/>
    </row>
    <row r="668" spans="2:8" ht="16.5" customHeight="1">
      <c r="B668" s="54"/>
      <c r="F668" s="53"/>
      <c r="G668" s="53"/>
      <c r="H668" s="41"/>
    </row>
    <row r="669" spans="2:8" ht="16.5" customHeight="1">
      <c r="B669" s="54"/>
      <c r="F669" s="53"/>
      <c r="G669" s="53"/>
      <c r="H669" s="41"/>
    </row>
    <row r="670" spans="2:8" ht="16.5" customHeight="1">
      <c r="B670" s="54"/>
      <c r="F670" s="53"/>
      <c r="G670" s="53"/>
      <c r="H670" s="41"/>
    </row>
    <row r="671" spans="2:8" ht="16.5" customHeight="1">
      <c r="B671" s="54"/>
      <c r="F671" s="53"/>
      <c r="G671" s="53"/>
      <c r="H671" s="41"/>
    </row>
    <row r="672" spans="2:8" ht="16.5" customHeight="1">
      <c r="B672" s="54"/>
      <c r="F672" s="53"/>
      <c r="G672" s="53"/>
      <c r="H672" s="41"/>
    </row>
    <row r="673" spans="2:8" ht="16.5" customHeight="1">
      <c r="B673" s="54"/>
      <c r="F673" s="53"/>
      <c r="G673" s="53"/>
      <c r="H673" s="41"/>
    </row>
    <row r="674" spans="2:8" ht="16.5" customHeight="1">
      <c r="B674" s="54"/>
      <c r="F674" s="53"/>
      <c r="G674" s="53"/>
      <c r="H674" s="41"/>
    </row>
    <row r="675" spans="2:8" ht="16.5" customHeight="1">
      <c r="B675" s="54"/>
      <c r="F675" s="53"/>
      <c r="G675" s="53"/>
      <c r="H675" s="41"/>
    </row>
    <row r="676" spans="2:8" ht="16.5" customHeight="1">
      <c r="B676" s="54"/>
      <c r="F676" s="53"/>
      <c r="G676" s="53"/>
      <c r="H676" s="41"/>
    </row>
    <row r="677" spans="2:8" ht="16.5" customHeight="1">
      <c r="B677" s="54"/>
      <c r="F677" s="53"/>
      <c r="G677" s="53"/>
      <c r="H677" s="41"/>
    </row>
    <row r="678" spans="2:8" ht="16.5" customHeight="1">
      <c r="B678" s="54"/>
      <c r="F678" s="53"/>
      <c r="G678" s="53"/>
      <c r="H678" s="41"/>
    </row>
    <row r="679" spans="2:8" ht="16.5" customHeight="1">
      <c r="B679" s="54"/>
      <c r="F679" s="53"/>
      <c r="G679" s="53"/>
      <c r="H679" s="41"/>
    </row>
    <row r="680" spans="2:8" ht="16.5" customHeight="1">
      <c r="B680" s="54"/>
      <c r="F680" s="53"/>
      <c r="G680" s="53"/>
      <c r="H680" s="41"/>
    </row>
    <row r="681" spans="2:8" ht="16.5" customHeight="1">
      <c r="B681" s="56"/>
      <c r="F681" s="53"/>
      <c r="G681" s="53"/>
      <c r="H681" s="41"/>
    </row>
    <row r="682" spans="2:8" ht="16.5" customHeight="1">
      <c r="B682" s="57"/>
      <c r="D682" s="58"/>
      <c r="F682" s="53"/>
      <c r="G682" s="53"/>
      <c r="H682" s="41"/>
    </row>
    <row r="683" spans="2:8" ht="16.5" customHeight="1">
      <c r="B683" s="57"/>
      <c r="D683" s="58"/>
      <c r="F683" s="53"/>
      <c r="G683" s="53"/>
      <c r="H683" s="41"/>
    </row>
    <row r="684" spans="2:8" ht="16.5" customHeight="1">
      <c r="B684" s="57"/>
      <c r="D684" s="58"/>
      <c r="F684" s="53"/>
      <c r="G684" s="53"/>
      <c r="H684" s="41"/>
    </row>
    <row r="685" spans="2:8" ht="16.5" customHeight="1">
      <c r="B685" s="57"/>
      <c r="D685" s="58"/>
      <c r="F685" s="53"/>
      <c r="G685" s="53"/>
      <c r="H685" s="41"/>
    </row>
    <row r="686" spans="2:8" ht="16.5" customHeight="1">
      <c r="B686" s="54"/>
      <c r="F686" s="53"/>
      <c r="G686" s="53"/>
      <c r="H686" s="41"/>
    </row>
    <row r="687" spans="2:8" ht="16.5" customHeight="1">
      <c r="B687" s="54"/>
      <c r="F687" s="53"/>
      <c r="G687" s="53"/>
      <c r="H687" s="41"/>
    </row>
    <row r="688" spans="2:8" ht="16.5" customHeight="1">
      <c r="B688" s="54"/>
      <c r="F688" s="53"/>
      <c r="G688" s="53"/>
      <c r="H688" s="41"/>
    </row>
    <row r="689" spans="2:8" ht="16.5" customHeight="1">
      <c r="B689" s="54"/>
      <c r="F689" s="53"/>
      <c r="G689" s="53"/>
      <c r="H689" s="41"/>
    </row>
    <row r="690" spans="2:8" ht="16.5" customHeight="1">
      <c r="B690" s="54"/>
      <c r="F690" s="53"/>
      <c r="G690" s="53"/>
      <c r="H690" s="41"/>
    </row>
    <row r="691" spans="2:8" ht="16.5" customHeight="1">
      <c r="B691" s="54"/>
      <c r="F691" s="53"/>
      <c r="G691" s="53"/>
      <c r="H691" s="41"/>
    </row>
    <row r="692" spans="2:8" ht="16.5" customHeight="1">
      <c r="B692" s="54"/>
      <c r="F692" s="53"/>
      <c r="G692" s="53"/>
      <c r="H692" s="41"/>
    </row>
    <row r="693" spans="2:8" ht="16.5" customHeight="1">
      <c r="B693" s="54"/>
      <c r="F693" s="53"/>
      <c r="G693" s="53"/>
      <c r="H693" s="41"/>
    </row>
    <row r="694" spans="2:8" ht="16.5" customHeight="1">
      <c r="B694" s="54"/>
      <c r="F694" s="53"/>
      <c r="G694" s="53"/>
      <c r="H694" s="41"/>
    </row>
    <row r="695" spans="2:8" ht="16.5" customHeight="1">
      <c r="B695" s="54"/>
      <c r="F695" s="53"/>
      <c r="G695" s="53"/>
      <c r="H695" s="41"/>
    </row>
    <row r="696" spans="2:8" ht="16.5" customHeight="1">
      <c r="B696" s="54"/>
      <c r="F696" s="53"/>
      <c r="G696" s="53"/>
      <c r="H696" s="41"/>
    </row>
    <row r="697" spans="2:8" ht="16.5" customHeight="1">
      <c r="B697" s="54"/>
      <c r="F697" s="53"/>
      <c r="G697" s="53"/>
      <c r="H697" s="41"/>
    </row>
    <row r="698" spans="2:8" ht="16.5" customHeight="1">
      <c r="B698" s="54"/>
      <c r="F698" s="53"/>
      <c r="G698" s="53"/>
      <c r="H698" s="41"/>
    </row>
    <row r="699" spans="2:8" ht="16.5" customHeight="1">
      <c r="B699" s="54"/>
      <c r="F699" s="53"/>
      <c r="G699" s="53"/>
      <c r="H699" s="41"/>
    </row>
    <row r="700" spans="2:8" ht="16.5" customHeight="1">
      <c r="B700" s="54"/>
      <c r="F700" s="53"/>
      <c r="G700" s="53"/>
      <c r="H700" s="41"/>
    </row>
    <row r="701" spans="2:8" ht="16.5" customHeight="1">
      <c r="B701" s="54"/>
      <c r="F701" s="53"/>
      <c r="G701" s="53"/>
      <c r="H701" s="41"/>
    </row>
    <row r="702" spans="2:8" ht="16.5" customHeight="1">
      <c r="B702" s="54"/>
      <c r="F702" s="53"/>
      <c r="G702" s="53"/>
      <c r="H702" s="41"/>
    </row>
    <row r="703" spans="2:8" ht="16.5" customHeight="1">
      <c r="B703" s="54"/>
      <c r="F703" s="53"/>
      <c r="G703" s="53"/>
      <c r="H703" s="41"/>
    </row>
    <row r="704" spans="2:8" ht="16.5" customHeight="1">
      <c r="B704" s="54"/>
      <c r="F704" s="53"/>
      <c r="G704" s="53"/>
      <c r="H704" s="41"/>
    </row>
    <row r="705" spans="1:13" ht="16.5" customHeight="1">
      <c r="B705" s="54"/>
      <c r="F705" s="53"/>
      <c r="G705" s="53"/>
      <c r="H705" s="41"/>
    </row>
    <row r="706" spans="1:13" ht="16.5" customHeight="1">
      <c r="B706" s="54"/>
      <c r="F706" s="53"/>
      <c r="G706" s="53"/>
      <c r="H706" s="41"/>
    </row>
    <row r="707" spans="1:13" ht="16.5" customHeight="1">
      <c r="B707" s="56"/>
      <c r="F707" s="53"/>
      <c r="G707" s="53"/>
      <c r="H707" s="41"/>
    </row>
    <row r="708" spans="1:13" ht="16.5" customHeight="1">
      <c r="B708" s="57"/>
      <c r="D708" s="58"/>
      <c r="F708" s="53"/>
      <c r="G708" s="53"/>
      <c r="H708" s="41"/>
    </row>
    <row r="709" spans="1:13" ht="16.5" customHeight="1">
      <c r="B709" s="57"/>
      <c r="D709" s="58"/>
      <c r="F709" s="53"/>
      <c r="G709" s="53"/>
      <c r="H709" s="41"/>
    </row>
    <row r="710" spans="1:13" ht="16.5" customHeight="1">
      <c r="B710" s="57"/>
      <c r="D710" s="58"/>
      <c r="F710" s="53"/>
      <c r="G710" s="53"/>
      <c r="H710" s="41"/>
    </row>
    <row r="711" spans="1:13" ht="16.5" customHeight="1">
      <c r="B711" s="57"/>
      <c r="D711" s="58"/>
      <c r="F711" s="53"/>
      <c r="G711" s="53"/>
      <c r="H711" s="41"/>
    </row>
    <row r="712" spans="1:13" s="67" customFormat="1" ht="15.75" customHeight="1">
      <c r="A712" s="65"/>
      <c r="B712" s="56"/>
      <c r="C712" s="59"/>
      <c r="D712" s="41"/>
      <c r="E712" s="78"/>
      <c r="F712" s="53"/>
      <c r="G712" s="53"/>
      <c r="H712" s="41"/>
      <c r="I712" s="59"/>
      <c r="J712" s="66"/>
      <c r="K712" s="66"/>
    </row>
    <row r="713" spans="1:13" ht="16.5" customHeight="1">
      <c r="B713" s="60"/>
      <c r="F713" s="53"/>
      <c r="G713" s="53"/>
      <c r="H713" s="41"/>
    </row>
    <row r="714" spans="1:13" ht="16.5" customHeight="1">
      <c r="B714" s="57"/>
      <c r="F714" s="53"/>
      <c r="G714" s="53"/>
      <c r="H714" s="41"/>
    </row>
    <row r="715" spans="1:13" ht="16.5" customHeight="1">
      <c r="B715" s="57"/>
      <c r="F715" s="53"/>
      <c r="G715" s="53"/>
      <c r="H715" s="41"/>
    </row>
    <row r="716" spans="1:13" ht="16.5" customHeight="1">
      <c r="B716" s="57"/>
      <c r="F716" s="53"/>
      <c r="G716" s="53"/>
      <c r="H716" s="41"/>
    </row>
    <row r="717" spans="1:13" ht="16.5" customHeight="1">
      <c r="B717" s="57"/>
      <c r="F717" s="53"/>
      <c r="G717" s="53"/>
      <c r="H717" s="41"/>
    </row>
    <row r="718" spans="1:13" ht="16.5" customHeight="1">
      <c r="B718" s="57"/>
      <c r="F718" s="53"/>
      <c r="G718" s="53"/>
      <c r="H718" s="41"/>
    </row>
    <row r="719" spans="1:13" s="67" customFormat="1" ht="15.75" customHeight="1">
      <c r="A719" s="65"/>
      <c r="B719" s="237"/>
      <c r="C719" s="59"/>
      <c r="D719" s="41"/>
      <c r="E719" s="78"/>
      <c r="F719" s="53"/>
      <c r="G719" s="53"/>
      <c r="H719" s="41"/>
      <c r="I719" s="59"/>
      <c r="J719" s="44"/>
      <c r="K719" s="44"/>
    </row>
    <row r="720" spans="1:13" ht="16.5" customHeight="1">
      <c r="B720" s="342"/>
      <c r="F720" s="53"/>
      <c r="G720" s="53"/>
      <c r="H720" s="41"/>
      <c r="M720" s="67"/>
    </row>
    <row r="721" spans="2:8" ht="16.5" customHeight="1">
      <c r="B721" s="54"/>
      <c r="F721" s="53"/>
      <c r="G721" s="53"/>
      <c r="H721" s="41"/>
    </row>
    <row r="722" spans="2:8" ht="16.5" customHeight="1">
      <c r="B722" s="54"/>
      <c r="F722" s="53"/>
      <c r="G722" s="53"/>
      <c r="H722" s="41"/>
    </row>
    <row r="723" spans="2:8" ht="16.5" customHeight="1">
      <c r="B723" s="54"/>
      <c r="F723" s="53"/>
      <c r="G723" s="53"/>
      <c r="H723" s="41"/>
    </row>
    <row r="724" spans="2:8" ht="16.5" customHeight="1">
      <c r="B724" s="54"/>
      <c r="F724" s="53"/>
      <c r="G724" s="53"/>
      <c r="H724" s="41"/>
    </row>
    <row r="725" spans="2:8" ht="16.5" customHeight="1">
      <c r="B725" s="54"/>
      <c r="F725" s="53"/>
      <c r="G725" s="53"/>
      <c r="H725" s="41"/>
    </row>
    <row r="726" spans="2:8" ht="16.5" customHeight="1">
      <c r="B726" s="54"/>
      <c r="F726" s="53"/>
      <c r="G726" s="53"/>
      <c r="H726" s="41"/>
    </row>
    <row r="727" spans="2:8" ht="16.5" customHeight="1">
      <c r="B727" s="54"/>
      <c r="F727" s="53"/>
      <c r="G727" s="53"/>
      <c r="H727" s="41"/>
    </row>
    <row r="728" spans="2:8" ht="16.5" customHeight="1">
      <c r="B728" s="54"/>
      <c r="F728" s="53"/>
      <c r="G728" s="53"/>
      <c r="H728" s="41"/>
    </row>
    <row r="729" spans="2:8" ht="16.5" customHeight="1">
      <c r="B729" s="54"/>
      <c r="F729" s="53"/>
      <c r="G729" s="53"/>
      <c r="H729" s="41"/>
    </row>
    <row r="730" spans="2:8" ht="16.5" customHeight="1">
      <c r="B730" s="54"/>
      <c r="F730" s="53"/>
      <c r="G730" s="53"/>
      <c r="H730" s="41"/>
    </row>
    <row r="731" spans="2:8" ht="16.5" customHeight="1">
      <c r="B731" s="54"/>
      <c r="F731" s="53"/>
      <c r="G731" s="53"/>
      <c r="H731" s="41"/>
    </row>
    <row r="732" spans="2:8" ht="16.5" customHeight="1">
      <c r="B732" s="54"/>
      <c r="F732" s="53"/>
      <c r="G732" s="53"/>
      <c r="H732" s="41"/>
    </row>
    <row r="733" spans="2:8" ht="16.5" customHeight="1">
      <c r="B733" s="54"/>
      <c r="F733" s="53"/>
      <c r="G733" s="53"/>
      <c r="H733" s="41"/>
    </row>
    <row r="734" spans="2:8" ht="16.5" customHeight="1">
      <c r="B734" s="54"/>
      <c r="F734" s="53"/>
      <c r="G734" s="53"/>
      <c r="H734" s="41"/>
    </row>
    <row r="735" spans="2:8" ht="16.5" customHeight="1">
      <c r="B735" s="54"/>
      <c r="F735" s="53"/>
      <c r="G735" s="53"/>
      <c r="H735" s="41"/>
    </row>
    <row r="736" spans="2:8" ht="16.5" customHeight="1">
      <c r="B736" s="54"/>
      <c r="F736" s="53"/>
      <c r="G736" s="53"/>
      <c r="H736" s="41"/>
    </row>
    <row r="737" spans="2:8" ht="16.5" customHeight="1">
      <c r="B737" s="54"/>
      <c r="F737" s="53"/>
      <c r="G737" s="53"/>
      <c r="H737" s="41"/>
    </row>
    <row r="738" spans="2:8" ht="16.5" customHeight="1">
      <c r="B738" s="54"/>
      <c r="F738" s="53"/>
      <c r="G738" s="53"/>
      <c r="H738" s="41"/>
    </row>
    <row r="739" spans="2:8" ht="16.5" customHeight="1">
      <c r="B739" s="54"/>
      <c r="F739" s="53"/>
      <c r="G739" s="53"/>
      <c r="H739" s="41"/>
    </row>
    <row r="740" spans="2:8" ht="16.5" customHeight="1">
      <c r="B740" s="54"/>
      <c r="F740" s="53"/>
      <c r="G740" s="53"/>
      <c r="H740" s="41"/>
    </row>
    <row r="741" spans="2:8" ht="16.5" customHeight="1">
      <c r="B741" s="54"/>
      <c r="F741" s="53"/>
      <c r="G741" s="53"/>
      <c r="H741" s="41"/>
    </row>
    <row r="742" spans="2:8" ht="16.5" customHeight="1">
      <c r="B742" s="54"/>
      <c r="F742" s="53"/>
      <c r="G742" s="53"/>
      <c r="H742" s="41"/>
    </row>
    <row r="743" spans="2:8" ht="16.5" customHeight="1">
      <c r="B743" s="54"/>
      <c r="F743" s="53"/>
      <c r="G743" s="53"/>
      <c r="H743" s="41"/>
    </row>
    <row r="744" spans="2:8" ht="16.5" customHeight="1">
      <c r="B744" s="54"/>
      <c r="F744" s="53"/>
      <c r="G744" s="53"/>
      <c r="H744" s="41"/>
    </row>
    <row r="745" spans="2:8" ht="16.5" customHeight="1">
      <c r="B745" s="72"/>
      <c r="F745" s="53"/>
      <c r="G745" s="53"/>
      <c r="H745" s="41"/>
    </row>
    <row r="746" spans="2:8" ht="16.5" customHeight="1">
      <c r="B746" s="54"/>
      <c r="F746" s="53"/>
      <c r="G746" s="53"/>
      <c r="H746" s="41"/>
    </row>
    <row r="747" spans="2:8" ht="16.5" customHeight="1">
      <c r="B747" s="54"/>
      <c r="F747" s="53"/>
      <c r="G747" s="53"/>
      <c r="H747" s="41"/>
    </row>
    <row r="748" spans="2:8" ht="16.5" customHeight="1">
      <c r="B748" s="54"/>
      <c r="F748" s="53"/>
      <c r="G748" s="53"/>
      <c r="H748" s="41"/>
    </row>
    <row r="749" spans="2:8" ht="16.5" customHeight="1">
      <c r="B749" s="54"/>
      <c r="F749" s="53"/>
      <c r="G749" s="53"/>
      <c r="H749" s="41"/>
    </row>
    <row r="750" spans="2:8" ht="16.5" customHeight="1">
      <c r="B750" s="54"/>
      <c r="F750" s="53"/>
      <c r="G750" s="53"/>
      <c r="H750" s="41"/>
    </row>
    <row r="751" spans="2:8" ht="16.5" customHeight="1">
      <c r="B751" s="54"/>
      <c r="F751" s="53"/>
      <c r="G751" s="53"/>
      <c r="H751" s="41"/>
    </row>
    <row r="752" spans="2:8" ht="16.5" customHeight="1">
      <c r="B752" s="54"/>
      <c r="F752" s="53"/>
      <c r="G752" s="53"/>
      <c r="H752" s="41"/>
    </row>
    <row r="753" spans="2:8" ht="16.5" customHeight="1">
      <c r="B753" s="54"/>
      <c r="F753" s="53"/>
      <c r="G753" s="53"/>
      <c r="H753" s="41"/>
    </row>
    <row r="754" spans="2:8" ht="16.5" customHeight="1">
      <c r="B754" s="54"/>
      <c r="F754" s="53"/>
      <c r="G754" s="53"/>
      <c r="H754" s="41"/>
    </row>
    <row r="755" spans="2:8" ht="16.5" customHeight="1">
      <c r="B755" s="54"/>
      <c r="F755" s="53"/>
      <c r="G755" s="53"/>
      <c r="H755" s="41"/>
    </row>
    <row r="756" spans="2:8" ht="16.5" customHeight="1">
      <c r="B756" s="80"/>
      <c r="D756" s="58"/>
      <c r="F756" s="53"/>
      <c r="G756" s="53"/>
      <c r="H756" s="41"/>
    </row>
    <row r="757" spans="2:8" ht="16.5" customHeight="1">
      <c r="B757" s="54"/>
      <c r="F757" s="53"/>
      <c r="G757" s="53"/>
      <c r="H757" s="41"/>
    </row>
    <row r="758" spans="2:8" ht="16.5" customHeight="1">
      <c r="B758" s="54"/>
      <c r="F758" s="53"/>
      <c r="G758" s="53"/>
      <c r="H758" s="41"/>
    </row>
    <row r="759" spans="2:8" ht="16.5" customHeight="1">
      <c r="B759" s="54"/>
      <c r="F759" s="53"/>
      <c r="G759" s="53"/>
      <c r="H759" s="41"/>
    </row>
    <row r="760" spans="2:8" ht="16.5" customHeight="1">
      <c r="B760" s="54"/>
      <c r="F760" s="53"/>
      <c r="G760" s="53"/>
      <c r="H760" s="41"/>
    </row>
    <row r="761" spans="2:8" ht="16.5" customHeight="1">
      <c r="B761" s="56"/>
      <c r="F761" s="53"/>
      <c r="G761" s="53"/>
      <c r="H761" s="41"/>
    </row>
    <row r="762" spans="2:8" ht="16.5" customHeight="1">
      <c r="B762" s="57"/>
      <c r="D762" s="58"/>
      <c r="F762" s="53"/>
      <c r="G762" s="53"/>
      <c r="H762" s="41"/>
    </row>
    <row r="763" spans="2:8" ht="16.5" customHeight="1">
      <c r="B763" s="57"/>
      <c r="D763" s="58"/>
      <c r="F763" s="53"/>
      <c r="G763" s="53"/>
      <c r="H763" s="41"/>
    </row>
    <row r="764" spans="2:8" ht="16.5" customHeight="1">
      <c r="B764" s="57"/>
      <c r="D764" s="58"/>
      <c r="F764" s="53"/>
      <c r="G764" s="53"/>
      <c r="H764" s="41"/>
    </row>
    <row r="765" spans="2:8" ht="16.5" customHeight="1">
      <c r="B765" s="57"/>
      <c r="D765" s="58"/>
      <c r="F765" s="53"/>
      <c r="G765" s="53"/>
      <c r="H765" s="41"/>
    </row>
    <row r="766" spans="2:8" ht="16.5" customHeight="1">
      <c r="B766" s="57"/>
      <c r="D766" s="58"/>
      <c r="F766" s="53"/>
      <c r="G766" s="53"/>
      <c r="H766" s="41"/>
    </row>
    <row r="767" spans="2:8" ht="16.5" customHeight="1">
      <c r="B767" s="54"/>
      <c r="F767" s="53"/>
      <c r="G767" s="53"/>
      <c r="H767" s="41"/>
    </row>
    <row r="768" spans="2:8" ht="16.5" customHeight="1">
      <c r="B768" s="54"/>
      <c r="F768" s="53"/>
      <c r="G768" s="53"/>
      <c r="H768" s="41"/>
    </row>
    <row r="769" spans="2:8" ht="16.5" customHeight="1">
      <c r="B769" s="54"/>
      <c r="F769" s="53"/>
      <c r="G769" s="53"/>
      <c r="H769" s="41"/>
    </row>
    <row r="770" spans="2:8" ht="16.5" customHeight="1">
      <c r="B770" s="54"/>
      <c r="F770" s="53"/>
      <c r="G770" s="53"/>
      <c r="H770" s="41"/>
    </row>
    <row r="771" spans="2:8" ht="16.5" customHeight="1">
      <c r="B771" s="54"/>
      <c r="F771" s="53"/>
      <c r="G771" s="53"/>
      <c r="H771" s="41"/>
    </row>
    <row r="772" spans="2:8" ht="16.5" customHeight="1">
      <c r="B772" s="54"/>
      <c r="F772" s="53"/>
      <c r="G772" s="53"/>
      <c r="H772" s="41"/>
    </row>
    <row r="773" spans="2:8" ht="16.5" customHeight="1">
      <c r="B773" s="54"/>
      <c r="F773" s="53"/>
      <c r="G773" s="53"/>
      <c r="H773" s="41"/>
    </row>
    <row r="774" spans="2:8" ht="16.5" customHeight="1">
      <c r="B774" s="54"/>
      <c r="F774" s="53"/>
      <c r="G774" s="53"/>
      <c r="H774" s="41"/>
    </row>
    <row r="775" spans="2:8" ht="16.5" customHeight="1">
      <c r="B775" s="54"/>
      <c r="F775" s="53"/>
      <c r="G775" s="53"/>
      <c r="H775" s="41"/>
    </row>
    <row r="776" spans="2:8" ht="16.5" customHeight="1">
      <c r="B776" s="54"/>
      <c r="F776" s="53"/>
      <c r="G776" s="53"/>
      <c r="H776" s="41"/>
    </row>
    <row r="777" spans="2:8" ht="16.5" customHeight="1">
      <c r="B777" s="54"/>
      <c r="F777" s="53"/>
      <c r="G777" s="53"/>
      <c r="H777" s="41"/>
    </row>
    <row r="778" spans="2:8" ht="16.5" customHeight="1">
      <c r="B778" s="54"/>
      <c r="F778" s="53"/>
      <c r="G778" s="53"/>
      <c r="H778" s="41"/>
    </row>
    <row r="779" spans="2:8" ht="16.5" customHeight="1">
      <c r="B779" s="54"/>
      <c r="F779" s="53"/>
      <c r="G779" s="53"/>
      <c r="H779" s="41"/>
    </row>
    <row r="780" spans="2:8" ht="16.5" customHeight="1">
      <c r="B780" s="54"/>
      <c r="F780" s="53"/>
      <c r="G780" s="53"/>
      <c r="H780" s="41"/>
    </row>
    <row r="781" spans="2:8" ht="16.5" customHeight="1">
      <c r="B781" s="54"/>
      <c r="F781" s="53"/>
      <c r="G781" s="53"/>
      <c r="H781" s="41"/>
    </row>
    <row r="782" spans="2:8" ht="16.5" customHeight="1">
      <c r="B782" s="54"/>
      <c r="F782" s="53"/>
      <c r="G782" s="53"/>
      <c r="H782" s="41"/>
    </row>
    <row r="783" spans="2:8" ht="16.5" customHeight="1">
      <c r="B783" s="54"/>
      <c r="F783" s="53"/>
      <c r="G783" s="53"/>
      <c r="H783" s="41"/>
    </row>
    <row r="784" spans="2:8" ht="16.5" customHeight="1">
      <c r="B784" s="54"/>
      <c r="F784" s="53"/>
      <c r="G784" s="53"/>
      <c r="H784" s="41"/>
    </row>
    <row r="785" spans="2:8" ht="16.5" customHeight="1">
      <c r="B785" s="54"/>
      <c r="F785" s="53"/>
      <c r="G785" s="53"/>
      <c r="H785" s="41"/>
    </row>
    <row r="786" spans="2:8" ht="16.5" customHeight="1">
      <c r="B786" s="54"/>
      <c r="F786" s="53"/>
      <c r="G786" s="53"/>
      <c r="H786" s="41"/>
    </row>
    <row r="787" spans="2:8" ht="16.5" customHeight="1">
      <c r="B787" s="54"/>
      <c r="F787" s="53"/>
      <c r="G787" s="53"/>
      <c r="H787" s="41"/>
    </row>
    <row r="788" spans="2:8" ht="16.5" customHeight="1">
      <c r="B788" s="54"/>
      <c r="F788" s="53"/>
      <c r="G788" s="53"/>
      <c r="H788" s="41"/>
    </row>
    <row r="789" spans="2:8" ht="16.5" customHeight="1">
      <c r="B789" s="54"/>
      <c r="F789" s="53"/>
      <c r="G789" s="53"/>
      <c r="H789" s="41"/>
    </row>
    <row r="790" spans="2:8" ht="16.5" customHeight="1">
      <c r="B790" s="54"/>
      <c r="F790" s="53"/>
      <c r="G790" s="53"/>
      <c r="H790" s="41"/>
    </row>
    <row r="791" spans="2:8" ht="16.5" customHeight="1">
      <c r="B791" s="54"/>
      <c r="F791" s="53"/>
      <c r="G791" s="53"/>
      <c r="H791" s="41"/>
    </row>
    <row r="792" spans="2:8" ht="16.5" customHeight="1">
      <c r="B792" s="54"/>
      <c r="F792" s="53"/>
      <c r="G792" s="53"/>
      <c r="H792" s="41"/>
    </row>
    <row r="793" spans="2:8" ht="16.5" customHeight="1">
      <c r="B793" s="54"/>
      <c r="F793" s="53"/>
      <c r="G793" s="53"/>
      <c r="H793" s="41"/>
    </row>
    <row r="794" spans="2:8" ht="16.5" customHeight="1">
      <c r="B794" s="54"/>
      <c r="F794" s="53"/>
      <c r="G794" s="53"/>
      <c r="H794" s="41"/>
    </row>
    <row r="795" spans="2:8" ht="16.5" customHeight="1">
      <c r="B795" s="54"/>
      <c r="F795" s="53"/>
      <c r="G795" s="53"/>
      <c r="H795" s="41"/>
    </row>
    <row r="796" spans="2:8" ht="16.5" customHeight="1">
      <c r="B796" s="54"/>
      <c r="F796" s="53"/>
      <c r="G796" s="53"/>
      <c r="H796" s="41"/>
    </row>
    <row r="797" spans="2:8" ht="16.5" customHeight="1">
      <c r="B797" s="54"/>
      <c r="F797" s="53"/>
      <c r="G797" s="53"/>
      <c r="H797" s="41"/>
    </row>
    <row r="798" spans="2:8" ht="16.5" customHeight="1">
      <c r="B798" s="54"/>
      <c r="F798" s="53"/>
      <c r="G798" s="53"/>
      <c r="H798" s="41"/>
    </row>
    <row r="799" spans="2:8" ht="16.5" customHeight="1">
      <c r="B799" s="54"/>
      <c r="F799" s="53"/>
      <c r="G799" s="53"/>
      <c r="H799" s="41"/>
    </row>
    <row r="800" spans="2:8" ht="16.5" customHeight="1">
      <c r="B800" s="54"/>
      <c r="F800" s="53"/>
      <c r="G800" s="53"/>
      <c r="H800" s="41"/>
    </row>
    <row r="801" spans="1:11" ht="16.5" customHeight="1">
      <c r="B801" s="54"/>
      <c r="F801" s="53"/>
      <c r="G801" s="53"/>
      <c r="H801" s="41"/>
    </row>
    <row r="802" spans="1:11" ht="16.5" customHeight="1">
      <c r="B802" s="54"/>
      <c r="F802" s="53"/>
      <c r="G802" s="53"/>
      <c r="H802" s="41"/>
    </row>
    <row r="803" spans="1:11" ht="16.5" customHeight="1">
      <c r="B803" s="54"/>
      <c r="F803" s="53"/>
      <c r="G803" s="53"/>
      <c r="H803" s="41"/>
    </row>
    <row r="804" spans="1:11" ht="16.5" customHeight="1">
      <c r="B804" s="54"/>
      <c r="F804" s="53"/>
      <c r="G804" s="53"/>
      <c r="H804" s="41"/>
    </row>
    <row r="805" spans="1:11" ht="16.5" customHeight="1">
      <c r="B805" s="54"/>
      <c r="F805" s="53"/>
      <c r="G805" s="53"/>
      <c r="H805" s="41"/>
    </row>
    <row r="806" spans="1:11" ht="16.5" customHeight="1">
      <c r="B806" s="54"/>
      <c r="F806" s="53"/>
      <c r="G806" s="53"/>
      <c r="H806" s="41"/>
    </row>
    <row r="807" spans="1:11" ht="16.5" customHeight="1">
      <c r="B807" s="54"/>
      <c r="F807" s="53"/>
      <c r="G807" s="53"/>
      <c r="H807" s="41"/>
    </row>
    <row r="808" spans="1:11" ht="16.5" customHeight="1">
      <c r="B808" s="54"/>
      <c r="F808" s="53"/>
      <c r="G808" s="53"/>
      <c r="H808" s="41"/>
    </row>
    <row r="809" spans="1:11" ht="16.5" customHeight="1">
      <c r="B809" s="54"/>
      <c r="F809" s="53"/>
      <c r="G809" s="53"/>
      <c r="H809" s="41"/>
    </row>
    <row r="810" spans="1:11" ht="16.5" customHeight="1">
      <c r="B810" s="54"/>
      <c r="F810" s="53"/>
      <c r="G810" s="53"/>
      <c r="H810" s="41"/>
    </row>
    <row r="811" spans="1:11" ht="16.5" customHeight="1">
      <c r="B811" s="54"/>
      <c r="F811" s="53"/>
      <c r="G811" s="53"/>
      <c r="H811" s="41"/>
    </row>
    <row r="812" spans="1:11" ht="16.5" customHeight="1">
      <c r="B812" s="54"/>
      <c r="F812" s="53"/>
      <c r="G812" s="53"/>
      <c r="H812" s="41"/>
    </row>
    <row r="813" spans="1:11" s="67" customFormat="1" ht="16.5" customHeight="1">
      <c r="A813" s="65"/>
      <c r="B813" s="56"/>
      <c r="C813" s="59"/>
      <c r="D813" s="41"/>
      <c r="E813" s="78"/>
      <c r="F813" s="53"/>
      <c r="G813" s="53"/>
      <c r="H813" s="41"/>
      <c r="I813" s="59"/>
      <c r="J813" s="66"/>
      <c r="K813" s="66"/>
    </row>
    <row r="814" spans="1:11" ht="16.5" customHeight="1">
      <c r="B814" s="72"/>
      <c r="F814" s="53"/>
      <c r="G814" s="53"/>
      <c r="H814" s="41"/>
    </row>
    <row r="815" spans="1:11" ht="16.5" customHeight="1">
      <c r="B815" s="54"/>
      <c r="F815" s="53"/>
      <c r="G815" s="53"/>
      <c r="H815" s="41"/>
    </row>
    <row r="816" spans="1:11" ht="16.5" customHeight="1">
      <c r="B816" s="54"/>
      <c r="F816" s="53"/>
      <c r="G816" s="53"/>
      <c r="H816" s="41"/>
    </row>
    <row r="817" spans="1:11" ht="16.5" customHeight="1">
      <c r="B817" s="54"/>
      <c r="F817" s="53"/>
      <c r="G817" s="53"/>
      <c r="H817" s="41"/>
    </row>
    <row r="818" spans="1:11" ht="16.5" customHeight="1">
      <c r="B818" s="54"/>
      <c r="F818" s="53"/>
      <c r="G818" s="53"/>
      <c r="H818" s="41"/>
    </row>
    <row r="819" spans="1:11" ht="16.5" customHeight="1">
      <c r="B819" s="54"/>
      <c r="F819" s="53"/>
      <c r="G819" s="53"/>
      <c r="H819" s="41"/>
    </row>
    <row r="820" spans="1:11" ht="16.5" customHeight="1">
      <c r="B820" s="54"/>
      <c r="F820" s="53"/>
      <c r="G820" s="53"/>
      <c r="H820" s="41"/>
    </row>
    <row r="821" spans="1:11" ht="16.5" customHeight="1">
      <c r="B821" s="56"/>
      <c r="F821" s="53"/>
      <c r="G821" s="53"/>
      <c r="H821" s="41"/>
    </row>
    <row r="822" spans="1:11" ht="16.5" customHeight="1">
      <c r="B822" s="57"/>
      <c r="D822" s="58"/>
      <c r="F822" s="53"/>
      <c r="G822" s="53"/>
      <c r="H822" s="41"/>
    </row>
    <row r="823" spans="1:11" ht="16.5" customHeight="1">
      <c r="B823" s="57"/>
      <c r="D823" s="58"/>
      <c r="F823" s="53"/>
      <c r="G823" s="53"/>
      <c r="H823" s="41"/>
    </row>
    <row r="824" spans="1:11" ht="16.5" customHeight="1">
      <c r="B824" s="57"/>
      <c r="D824" s="58"/>
      <c r="F824" s="53"/>
      <c r="G824" s="53"/>
      <c r="H824" s="41"/>
    </row>
    <row r="825" spans="1:11" ht="16.5" customHeight="1">
      <c r="B825" s="57"/>
      <c r="D825" s="58"/>
      <c r="F825" s="53"/>
      <c r="G825" s="53"/>
      <c r="H825" s="41"/>
    </row>
    <row r="826" spans="1:11" ht="16.5" customHeight="1">
      <c r="B826" s="60"/>
      <c r="F826" s="53"/>
      <c r="G826" s="53"/>
      <c r="H826" s="41"/>
    </row>
    <row r="827" spans="1:11" ht="16.5" customHeight="1">
      <c r="B827" s="57"/>
      <c r="F827" s="53"/>
      <c r="G827" s="53"/>
      <c r="H827" s="41"/>
    </row>
    <row r="828" spans="1:11" ht="16.5" customHeight="1">
      <c r="B828" s="57"/>
      <c r="F828" s="53"/>
      <c r="G828" s="53"/>
      <c r="H828" s="41"/>
    </row>
    <row r="829" spans="1:11" ht="16.5" customHeight="1">
      <c r="B829" s="57"/>
      <c r="F829" s="53"/>
      <c r="G829" s="53"/>
      <c r="H829" s="41"/>
    </row>
    <row r="830" spans="1:11" ht="16.5" customHeight="1">
      <c r="B830" s="57"/>
      <c r="F830" s="53"/>
      <c r="G830" s="53"/>
      <c r="H830" s="41"/>
    </row>
    <row r="831" spans="1:11" ht="16.5" customHeight="1">
      <c r="B831" s="57"/>
      <c r="F831" s="53"/>
      <c r="G831" s="53"/>
      <c r="H831" s="41"/>
    </row>
    <row r="832" spans="1:11" s="67" customFormat="1" ht="15.75" customHeight="1">
      <c r="A832" s="65"/>
      <c r="B832" s="72"/>
      <c r="C832" s="59"/>
      <c r="D832" s="41"/>
      <c r="E832" s="78"/>
      <c r="F832" s="53"/>
      <c r="G832" s="53"/>
      <c r="H832" s="41"/>
      <c r="I832" s="59"/>
      <c r="J832" s="44"/>
      <c r="K832" s="44"/>
    </row>
    <row r="833" spans="1:13" s="67" customFormat="1" ht="15.75" customHeight="1">
      <c r="A833" s="65"/>
      <c r="B833" s="72"/>
      <c r="C833" s="59"/>
      <c r="D833" s="41"/>
      <c r="E833" s="78"/>
      <c r="F833" s="53"/>
      <c r="G833" s="53"/>
      <c r="H833" s="41"/>
      <c r="I833" s="59"/>
      <c r="J833" s="44"/>
      <c r="K833" s="44"/>
    </row>
    <row r="834" spans="1:13" s="67" customFormat="1" ht="15.75" customHeight="1">
      <c r="A834" s="65"/>
      <c r="B834" s="343"/>
      <c r="C834" s="59"/>
      <c r="D834" s="41"/>
      <c r="E834" s="78"/>
      <c r="F834" s="53"/>
      <c r="G834" s="53"/>
      <c r="H834" s="41"/>
      <c r="I834" s="59"/>
      <c r="J834" s="44"/>
      <c r="K834" s="44"/>
    </row>
    <row r="835" spans="1:13" ht="16.5" customHeight="1">
      <c r="B835" s="342"/>
      <c r="F835" s="53"/>
      <c r="G835" s="53"/>
      <c r="H835" s="41"/>
      <c r="M835" s="67"/>
    </row>
    <row r="836" spans="1:13" ht="16.5" customHeight="1">
      <c r="B836" s="54"/>
      <c r="F836" s="53"/>
      <c r="G836" s="53"/>
      <c r="H836" s="41"/>
    </row>
    <row r="837" spans="1:13" ht="16.5" customHeight="1">
      <c r="B837" s="54"/>
      <c r="F837" s="53"/>
      <c r="G837" s="53"/>
      <c r="H837" s="41"/>
    </row>
    <row r="838" spans="1:13" ht="16.5" customHeight="1">
      <c r="B838" s="54"/>
      <c r="F838" s="53"/>
      <c r="G838" s="53"/>
      <c r="H838" s="41"/>
    </row>
    <row r="839" spans="1:13" ht="16.5" customHeight="1">
      <c r="B839" s="54"/>
      <c r="F839" s="53"/>
      <c r="G839" s="53"/>
      <c r="H839" s="41"/>
    </row>
    <row r="840" spans="1:13" ht="16.5" customHeight="1">
      <c r="B840" s="54"/>
      <c r="F840" s="53"/>
      <c r="G840" s="53"/>
      <c r="H840" s="41"/>
    </row>
    <row r="841" spans="1:13" ht="16.5" customHeight="1">
      <c r="B841" s="54"/>
      <c r="F841" s="53"/>
      <c r="G841" s="53"/>
      <c r="H841" s="41"/>
    </row>
    <row r="842" spans="1:13" ht="16.5" customHeight="1">
      <c r="B842" s="54"/>
      <c r="F842" s="53"/>
      <c r="G842" s="53"/>
      <c r="H842" s="41"/>
    </row>
    <row r="843" spans="1:13" ht="16.5" customHeight="1">
      <c r="B843" s="54"/>
      <c r="F843" s="53"/>
      <c r="G843" s="53"/>
      <c r="H843" s="41"/>
    </row>
    <row r="844" spans="1:13" ht="16.5" customHeight="1">
      <c r="B844" s="54"/>
      <c r="F844" s="53"/>
      <c r="G844" s="53"/>
      <c r="H844" s="41"/>
    </row>
    <row r="845" spans="1:13" ht="16.5" customHeight="1">
      <c r="B845" s="54"/>
      <c r="F845" s="53"/>
      <c r="G845" s="53"/>
      <c r="H845" s="41"/>
    </row>
    <row r="846" spans="1:13" ht="16.5" customHeight="1">
      <c r="B846" s="56"/>
      <c r="F846" s="53"/>
      <c r="G846" s="53"/>
      <c r="H846" s="41"/>
    </row>
    <row r="847" spans="1:13" ht="16.5" customHeight="1">
      <c r="B847" s="57"/>
      <c r="D847" s="58"/>
      <c r="F847" s="53"/>
      <c r="G847" s="53"/>
      <c r="H847" s="41"/>
    </row>
    <row r="848" spans="1:13" ht="16.5" customHeight="1">
      <c r="B848" s="57"/>
      <c r="D848" s="58"/>
      <c r="F848" s="53"/>
      <c r="G848" s="53"/>
      <c r="H848" s="41"/>
    </row>
    <row r="849" spans="2:11" ht="16.5" customHeight="1">
      <c r="B849" s="57"/>
      <c r="D849" s="58"/>
      <c r="F849" s="53"/>
      <c r="G849" s="53"/>
      <c r="H849" s="41"/>
    </row>
    <row r="850" spans="2:11" ht="16.5" customHeight="1">
      <c r="B850" s="57"/>
      <c r="D850" s="58"/>
      <c r="F850" s="53"/>
      <c r="G850" s="53"/>
      <c r="H850" s="41"/>
    </row>
    <row r="851" spans="2:11" ht="16.5" customHeight="1">
      <c r="B851" s="57"/>
      <c r="D851" s="58"/>
      <c r="F851" s="53"/>
      <c r="G851" s="53"/>
      <c r="H851" s="41"/>
    </row>
    <row r="852" spans="2:11" ht="16.5" customHeight="1">
      <c r="B852" s="57"/>
      <c r="D852" s="58"/>
      <c r="F852" s="53"/>
      <c r="G852" s="53"/>
      <c r="H852" s="41"/>
      <c r="J852" s="87"/>
      <c r="K852" s="87"/>
    </row>
    <row r="853" spans="2:11" ht="16.5" customHeight="1">
      <c r="B853" s="62"/>
      <c r="D853" s="58"/>
      <c r="F853" s="53"/>
      <c r="G853" s="53"/>
      <c r="H853" s="41"/>
    </row>
    <row r="854" spans="2:11" ht="16.5" customHeight="1">
      <c r="B854" s="57"/>
      <c r="D854" s="58"/>
      <c r="F854" s="53"/>
      <c r="G854" s="53"/>
      <c r="H854" s="41"/>
    </row>
    <row r="855" spans="2:11" ht="16.5" customHeight="1">
      <c r="B855" s="57"/>
      <c r="D855" s="58"/>
      <c r="F855" s="64"/>
      <c r="G855" s="53"/>
      <c r="H855" s="41"/>
    </row>
    <row r="856" spans="2:11" ht="16.5" customHeight="1">
      <c r="B856" s="57"/>
      <c r="D856" s="58"/>
      <c r="F856" s="53"/>
      <c r="G856" s="53"/>
      <c r="H856" s="41"/>
    </row>
    <row r="857" spans="2:11" ht="16.5" customHeight="1">
      <c r="B857" s="57"/>
      <c r="D857" s="58"/>
      <c r="F857" s="53"/>
      <c r="G857" s="53"/>
      <c r="H857" s="41"/>
    </row>
    <row r="858" spans="2:11" ht="16.5" customHeight="1">
      <c r="B858" s="57"/>
      <c r="D858" s="58"/>
      <c r="F858" s="53"/>
      <c r="G858" s="53"/>
      <c r="H858" s="41"/>
    </row>
    <row r="859" spans="2:11" ht="16.5" customHeight="1">
      <c r="B859" s="236"/>
      <c r="F859" s="53"/>
      <c r="G859" s="53"/>
      <c r="H859" s="41"/>
    </row>
    <row r="860" spans="2:11" ht="16.5" customHeight="1">
      <c r="B860" s="54"/>
      <c r="F860" s="53"/>
      <c r="G860" s="53"/>
      <c r="H860" s="156"/>
    </row>
    <row r="861" spans="2:11" ht="16.5" customHeight="1">
      <c r="B861" s="54"/>
      <c r="F861" s="53"/>
      <c r="G861" s="53"/>
      <c r="H861" s="41"/>
    </row>
    <row r="862" spans="2:11" ht="16.5" customHeight="1">
      <c r="B862" s="54"/>
      <c r="F862" s="53"/>
      <c r="G862" s="53"/>
      <c r="H862" s="41"/>
    </row>
    <row r="863" spans="2:11" ht="16.5" customHeight="1">
      <c r="B863" s="54"/>
      <c r="F863" s="53"/>
      <c r="G863" s="53"/>
      <c r="H863" s="41"/>
    </row>
    <row r="864" spans="2:11" ht="16.5" customHeight="1">
      <c r="B864" s="54"/>
      <c r="F864" s="53"/>
      <c r="G864" s="53"/>
      <c r="H864" s="41"/>
    </row>
    <row r="865" spans="2:8" ht="16.5" customHeight="1">
      <c r="B865" s="54"/>
      <c r="F865" s="53"/>
      <c r="G865" s="53"/>
      <c r="H865" s="41"/>
    </row>
    <row r="866" spans="2:8" ht="16.5" customHeight="1">
      <c r="B866" s="71"/>
      <c r="F866" s="53"/>
      <c r="G866" s="53"/>
      <c r="H866" s="41"/>
    </row>
    <row r="867" spans="2:8" ht="16.5" customHeight="1">
      <c r="B867" s="54"/>
      <c r="F867" s="53"/>
      <c r="G867" s="53"/>
      <c r="H867" s="41"/>
    </row>
    <row r="868" spans="2:8" ht="16.5" customHeight="1">
      <c r="B868" s="54"/>
      <c r="F868" s="53"/>
      <c r="G868" s="53"/>
      <c r="H868" s="41"/>
    </row>
    <row r="869" spans="2:8" ht="16.5" customHeight="1">
      <c r="B869" s="54"/>
      <c r="F869" s="53"/>
      <c r="G869" s="53"/>
      <c r="H869" s="41"/>
    </row>
    <row r="870" spans="2:8" ht="16.5" customHeight="1">
      <c r="B870" s="54"/>
      <c r="F870" s="53"/>
      <c r="G870" s="53"/>
      <c r="H870" s="41"/>
    </row>
    <row r="871" spans="2:8" ht="16.5" customHeight="1">
      <c r="B871" s="54"/>
      <c r="F871" s="53"/>
      <c r="G871" s="53"/>
      <c r="H871" s="41"/>
    </row>
    <row r="872" spans="2:8" ht="16.5" customHeight="1">
      <c r="B872" s="54"/>
      <c r="F872" s="53"/>
      <c r="G872" s="53"/>
      <c r="H872" s="41"/>
    </row>
    <row r="873" spans="2:8" ht="16.5" customHeight="1">
      <c r="B873" s="54"/>
      <c r="F873" s="53"/>
      <c r="G873" s="53"/>
      <c r="H873" s="41"/>
    </row>
    <row r="874" spans="2:8" ht="16.5" customHeight="1">
      <c r="B874" s="54"/>
      <c r="F874" s="53"/>
      <c r="G874" s="53"/>
      <c r="H874" s="41"/>
    </row>
    <row r="875" spans="2:8" ht="16.5" customHeight="1">
      <c r="B875" s="54"/>
      <c r="F875" s="53"/>
      <c r="G875" s="53"/>
      <c r="H875" s="41"/>
    </row>
    <row r="876" spans="2:8" ht="16.5" customHeight="1">
      <c r="B876" s="54"/>
      <c r="F876" s="53"/>
      <c r="G876" s="53"/>
      <c r="H876" s="41"/>
    </row>
    <row r="877" spans="2:8" ht="15.6" customHeight="1">
      <c r="B877" s="54"/>
      <c r="F877" s="53"/>
      <c r="G877" s="53"/>
      <c r="H877" s="41"/>
    </row>
    <row r="878" spans="2:8" ht="16.5" customHeight="1">
      <c r="B878" s="54"/>
      <c r="F878" s="53"/>
      <c r="G878" s="53"/>
      <c r="H878" s="41"/>
    </row>
    <row r="879" spans="2:8" ht="16.5" customHeight="1">
      <c r="B879" s="80"/>
      <c r="D879" s="58"/>
      <c r="F879" s="53"/>
      <c r="G879" s="53"/>
      <c r="H879" s="41"/>
    </row>
    <row r="880" spans="2:8" ht="16.5" customHeight="1">
      <c r="B880" s="54"/>
      <c r="F880" s="53"/>
      <c r="G880" s="53"/>
      <c r="H880" s="41"/>
    </row>
    <row r="881" spans="2:8" ht="16.5" customHeight="1">
      <c r="B881" s="54"/>
      <c r="C881" s="155"/>
      <c r="F881" s="53"/>
      <c r="G881" s="53"/>
      <c r="H881" s="41"/>
    </row>
    <row r="882" spans="2:8" ht="16.5" customHeight="1">
      <c r="B882" s="54"/>
      <c r="F882" s="53"/>
      <c r="G882" s="53"/>
      <c r="H882" s="41"/>
    </row>
    <row r="883" spans="2:8" ht="16.5" customHeight="1">
      <c r="B883" s="54"/>
      <c r="F883" s="53"/>
      <c r="G883" s="53"/>
      <c r="H883" s="41"/>
    </row>
    <row r="884" spans="2:8" ht="16.5" customHeight="1">
      <c r="B884" s="54"/>
      <c r="F884" s="53"/>
      <c r="G884" s="53"/>
      <c r="H884" s="41"/>
    </row>
    <row r="885" spans="2:8" ht="16.5" customHeight="1">
      <c r="B885" s="54"/>
      <c r="F885" s="53"/>
      <c r="G885" s="53"/>
      <c r="H885" s="41"/>
    </row>
    <row r="886" spans="2:8" ht="16.5" customHeight="1">
      <c r="B886" s="54"/>
      <c r="F886" s="53"/>
      <c r="G886" s="53"/>
      <c r="H886" s="41"/>
    </row>
    <row r="887" spans="2:8" ht="16.5" customHeight="1">
      <c r="B887" s="54"/>
      <c r="F887" s="53"/>
      <c r="G887" s="53"/>
      <c r="H887" s="41"/>
    </row>
    <row r="888" spans="2:8" ht="16.5" customHeight="1">
      <c r="B888" s="54"/>
      <c r="F888" s="53"/>
      <c r="G888" s="53"/>
      <c r="H888" s="41"/>
    </row>
    <row r="889" spans="2:8" ht="16.5" customHeight="1">
      <c r="B889" s="54"/>
      <c r="F889" s="53"/>
      <c r="G889" s="53"/>
      <c r="H889" s="41"/>
    </row>
    <row r="890" spans="2:8" ht="16.5" customHeight="1">
      <c r="B890" s="54"/>
      <c r="F890" s="53"/>
      <c r="G890" s="53"/>
      <c r="H890" s="41"/>
    </row>
    <row r="891" spans="2:8" ht="16.5" customHeight="1">
      <c r="B891" s="54"/>
      <c r="F891" s="53"/>
      <c r="G891" s="53"/>
      <c r="H891" s="41"/>
    </row>
    <row r="892" spans="2:8" ht="16.5" customHeight="1">
      <c r="B892" s="54"/>
      <c r="F892" s="53"/>
      <c r="G892" s="53"/>
      <c r="H892" s="41"/>
    </row>
    <row r="893" spans="2:8" ht="16.5" customHeight="1">
      <c r="B893" s="54"/>
      <c r="F893" s="53"/>
      <c r="G893" s="53"/>
      <c r="H893" s="41"/>
    </row>
    <row r="894" spans="2:8" ht="16.5" customHeight="1">
      <c r="B894" s="54"/>
      <c r="F894" s="53"/>
      <c r="G894" s="53"/>
      <c r="H894" s="41"/>
    </row>
    <row r="895" spans="2:8" ht="16.5" customHeight="1">
      <c r="B895" s="54"/>
      <c r="F895" s="53"/>
      <c r="G895" s="53"/>
      <c r="H895" s="41"/>
    </row>
    <row r="896" spans="2:8" ht="16.5" customHeight="1">
      <c r="B896" s="54"/>
      <c r="F896" s="53"/>
      <c r="G896" s="53"/>
      <c r="H896" s="41"/>
    </row>
    <row r="897" spans="2:8" ht="16.5" customHeight="1">
      <c r="B897" s="54"/>
      <c r="F897" s="53"/>
      <c r="G897" s="53"/>
      <c r="H897" s="41"/>
    </row>
    <row r="898" spans="2:8" ht="16.5" customHeight="1">
      <c r="B898" s="70"/>
      <c r="F898" s="53"/>
      <c r="G898" s="53"/>
      <c r="H898" s="41"/>
    </row>
    <row r="899" spans="2:8" ht="16.5" customHeight="1">
      <c r="B899" s="54"/>
      <c r="F899" s="53"/>
      <c r="G899" s="53"/>
      <c r="H899" s="41"/>
    </row>
    <row r="900" spans="2:8" ht="16.5" customHeight="1">
      <c r="B900" s="54"/>
      <c r="F900" s="53"/>
      <c r="G900" s="53"/>
      <c r="H900" s="41"/>
    </row>
    <row r="901" spans="2:8" ht="16.5" customHeight="1">
      <c r="B901" s="54"/>
      <c r="F901" s="53"/>
      <c r="G901" s="53"/>
      <c r="H901" s="41"/>
    </row>
    <row r="902" spans="2:8" ht="16.5" customHeight="1">
      <c r="B902" s="54"/>
      <c r="F902" s="53"/>
      <c r="G902" s="53"/>
      <c r="H902" s="41"/>
    </row>
    <row r="903" spans="2:8" ht="16.5" customHeight="1">
      <c r="B903" s="54"/>
      <c r="F903" s="53"/>
      <c r="G903" s="53"/>
      <c r="H903" s="41"/>
    </row>
    <row r="904" spans="2:8" ht="16.5" customHeight="1">
      <c r="B904" s="54"/>
      <c r="F904" s="53"/>
      <c r="G904" s="53"/>
      <c r="H904" s="41"/>
    </row>
    <row r="905" spans="2:8" ht="16.5" customHeight="1">
      <c r="B905" s="54"/>
      <c r="F905" s="53"/>
      <c r="G905" s="53"/>
      <c r="H905" s="41"/>
    </row>
    <row r="906" spans="2:8" ht="16.5" customHeight="1">
      <c r="B906" s="54"/>
      <c r="F906" s="53"/>
      <c r="G906" s="53"/>
      <c r="H906" s="41"/>
    </row>
    <row r="907" spans="2:8" ht="16.5" customHeight="1">
      <c r="B907" s="56"/>
      <c r="F907" s="53"/>
      <c r="G907" s="53"/>
      <c r="H907" s="41"/>
    </row>
    <row r="908" spans="2:8" ht="16.5" customHeight="1">
      <c r="B908" s="57"/>
      <c r="D908" s="58"/>
      <c r="F908" s="53"/>
      <c r="G908" s="53"/>
      <c r="H908" s="41"/>
    </row>
    <row r="909" spans="2:8" ht="16.5" customHeight="1">
      <c r="B909" s="57"/>
      <c r="D909" s="58"/>
      <c r="F909" s="53"/>
      <c r="G909" s="53"/>
      <c r="H909" s="41"/>
    </row>
    <row r="910" spans="2:8" ht="16.5" customHeight="1">
      <c r="B910" s="57"/>
      <c r="D910" s="58"/>
      <c r="F910" s="53"/>
      <c r="G910" s="53"/>
      <c r="H910" s="41"/>
    </row>
    <row r="911" spans="2:8" ht="16.5" customHeight="1">
      <c r="B911" s="57"/>
      <c r="D911" s="58"/>
      <c r="F911" s="53"/>
      <c r="G911" s="53"/>
      <c r="H911" s="41"/>
    </row>
    <row r="912" spans="2:8" ht="16.5" customHeight="1">
      <c r="B912" s="57"/>
      <c r="D912" s="58"/>
      <c r="F912" s="53"/>
      <c r="G912" s="53"/>
      <c r="H912" s="41"/>
    </row>
    <row r="913" spans="1:13" ht="16.5" customHeight="1">
      <c r="B913" s="57"/>
      <c r="D913" s="58"/>
      <c r="F913" s="53"/>
      <c r="G913" s="53"/>
      <c r="H913" s="41"/>
    </row>
    <row r="914" spans="1:13" ht="16.5" customHeight="1">
      <c r="B914" s="57"/>
      <c r="D914" s="58"/>
      <c r="F914" s="53"/>
      <c r="G914" s="53"/>
      <c r="H914" s="41"/>
    </row>
    <row r="915" spans="1:13" ht="16.5" customHeight="1">
      <c r="B915" s="57"/>
      <c r="D915" s="58"/>
      <c r="F915" s="53"/>
      <c r="G915" s="53"/>
      <c r="H915" s="41"/>
    </row>
    <row r="916" spans="1:13" ht="16.5" customHeight="1">
      <c r="F916" s="53"/>
      <c r="G916" s="53"/>
      <c r="H916" s="41"/>
    </row>
    <row r="917" spans="1:13" ht="16.5" customHeight="1">
      <c r="F917" s="53"/>
      <c r="G917" s="53"/>
      <c r="H917" s="41"/>
    </row>
    <row r="918" spans="1:13" ht="16.5" customHeight="1">
      <c r="F918" s="53"/>
      <c r="G918" s="53"/>
      <c r="H918" s="41"/>
    </row>
    <row r="919" spans="1:13" ht="16.5" customHeight="1">
      <c r="F919" s="53"/>
      <c r="G919" s="53"/>
      <c r="H919" s="41"/>
    </row>
    <row r="920" spans="1:13" ht="16.5" customHeight="1">
      <c r="B920" s="60"/>
      <c r="F920" s="53"/>
      <c r="G920" s="53"/>
      <c r="H920" s="41"/>
    </row>
    <row r="921" spans="1:13" ht="16.5" customHeight="1">
      <c r="B921" s="57"/>
      <c r="F921" s="42"/>
      <c r="G921" s="53"/>
      <c r="H921" s="41"/>
    </row>
    <row r="922" spans="1:13" ht="16.5" customHeight="1">
      <c r="B922" s="57"/>
      <c r="F922" s="42"/>
      <c r="G922" s="53"/>
      <c r="H922" s="41"/>
    </row>
    <row r="923" spans="1:13" ht="16.5" customHeight="1">
      <c r="B923" s="57"/>
      <c r="F923" s="42"/>
      <c r="G923" s="53"/>
      <c r="H923" s="41"/>
    </row>
    <row r="924" spans="1:13" ht="16.5" customHeight="1">
      <c r="B924" s="57"/>
      <c r="F924" s="42"/>
      <c r="G924" s="53"/>
      <c r="H924" s="41"/>
    </row>
    <row r="925" spans="1:13" ht="16.5" customHeight="1">
      <c r="B925" s="57"/>
      <c r="F925" s="42"/>
      <c r="G925" s="53"/>
      <c r="H925" s="41"/>
    </row>
    <row r="926" spans="1:13" s="67" customFormat="1" ht="15.75" customHeight="1">
      <c r="A926" s="65"/>
      <c r="B926" s="72"/>
      <c r="C926" s="59"/>
      <c r="D926" s="41"/>
      <c r="E926" s="78"/>
      <c r="F926" s="79"/>
      <c r="G926" s="53"/>
      <c r="H926" s="41"/>
      <c r="I926" s="59"/>
      <c r="J926" s="44"/>
      <c r="K926" s="44"/>
    </row>
    <row r="927" spans="1:13" ht="16.5" customHeight="1">
      <c r="B927" s="342"/>
      <c r="F927" s="42"/>
      <c r="G927" s="53"/>
      <c r="H927" s="41"/>
      <c r="M927" s="67"/>
    </row>
    <row r="928" spans="1:13" ht="16.5" customHeight="1">
      <c r="B928" s="239"/>
      <c r="F928" s="240"/>
      <c r="G928" s="53"/>
      <c r="H928" s="41"/>
    </row>
    <row r="929" spans="2:8" ht="16.5" customHeight="1">
      <c r="B929" s="239"/>
      <c r="F929" s="240"/>
      <c r="G929" s="53"/>
      <c r="H929" s="41"/>
    </row>
    <row r="930" spans="2:8" ht="16.5" customHeight="1">
      <c r="F930" s="53"/>
      <c r="G930" s="53"/>
      <c r="H930" s="41"/>
    </row>
    <row r="931" spans="2:8" ht="16.5" customHeight="1">
      <c r="B931" s="236"/>
      <c r="F931" s="53"/>
      <c r="G931" s="53"/>
      <c r="H931" s="41"/>
    </row>
    <row r="932" spans="2:8" ht="16.5" customHeight="1">
      <c r="B932" s="236"/>
      <c r="F932" s="53"/>
      <c r="G932" s="53"/>
      <c r="H932" s="41"/>
    </row>
    <row r="933" spans="2:8" ht="16.5" customHeight="1">
      <c r="F933" s="53"/>
      <c r="G933" s="53"/>
      <c r="H933" s="41"/>
    </row>
    <row r="934" spans="2:8" ht="16.5" customHeight="1">
      <c r="F934" s="53"/>
      <c r="G934" s="53"/>
      <c r="H934" s="41"/>
    </row>
    <row r="935" spans="2:8" ht="16.5" customHeight="1">
      <c r="B935" s="54"/>
      <c r="F935" s="53"/>
      <c r="G935" s="53"/>
      <c r="H935" s="41"/>
    </row>
    <row r="936" spans="2:8" ht="16.5" customHeight="1">
      <c r="B936" s="56"/>
      <c r="F936" s="53"/>
      <c r="G936" s="53"/>
      <c r="H936" s="41"/>
    </row>
    <row r="937" spans="2:8" ht="16.5" customHeight="1">
      <c r="B937" s="57"/>
      <c r="D937" s="58"/>
      <c r="F937" s="53"/>
      <c r="G937" s="53"/>
      <c r="H937" s="41"/>
    </row>
    <row r="938" spans="2:8" ht="16.5" customHeight="1">
      <c r="B938" s="57"/>
      <c r="D938" s="58"/>
      <c r="F938" s="53"/>
      <c r="G938" s="53"/>
      <c r="H938" s="41"/>
    </row>
    <row r="939" spans="2:8" ht="16.5" customHeight="1">
      <c r="B939" s="57"/>
      <c r="D939" s="58"/>
      <c r="F939" s="53"/>
      <c r="G939" s="53"/>
      <c r="H939" s="41"/>
    </row>
    <row r="940" spans="2:8" ht="16.5" customHeight="1">
      <c r="B940" s="57"/>
      <c r="D940" s="58"/>
      <c r="F940" s="53"/>
      <c r="G940" s="53"/>
      <c r="H940" s="41"/>
    </row>
    <row r="941" spans="2:8" ht="16.5" customHeight="1">
      <c r="B941" s="57"/>
      <c r="D941" s="58"/>
      <c r="F941" s="53"/>
      <c r="G941" s="53"/>
      <c r="H941" s="41"/>
    </row>
    <row r="942" spans="2:8" ht="16.5" customHeight="1">
      <c r="B942" s="236"/>
      <c r="D942" s="156"/>
      <c r="F942" s="53"/>
      <c r="G942" s="53"/>
      <c r="H942" s="41"/>
    </row>
    <row r="943" spans="2:8" ht="16.5" customHeight="1">
      <c r="B943" s="236"/>
      <c r="D943" s="58"/>
      <c r="F943" s="53"/>
      <c r="G943" s="53"/>
      <c r="H943" s="41"/>
    </row>
    <row r="944" spans="2:8" ht="16.5" customHeight="1">
      <c r="B944" s="54"/>
      <c r="F944" s="53"/>
      <c r="G944" s="53"/>
      <c r="H944" s="41"/>
    </row>
    <row r="945" spans="2:10" ht="16.5" customHeight="1">
      <c r="B945" s="57"/>
      <c r="D945" s="58"/>
      <c r="F945" s="53"/>
      <c r="G945" s="53"/>
      <c r="H945" s="41"/>
    </row>
    <row r="946" spans="2:10" ht="16.5" customHeight="1">
      <c r="B946" s="54"/>
      <c r="F946" s="53"/>
      <c r="G946" s="53"/>
      <c r="H946" s="41"/>
    </row>
    <row r="947" spans="2:10" ht="16.5" customHeight="1">
      <c r="B947" s="54"/>
      <c r="F947" s="53"/>
      <c r="G947" s="53"/>
      <c r="H947" s="41"/>
    </row>
    <row r="948" spans="2:10" ht="16.5" customHeight="1">
      <c r="B948" s="54"/>
      <c r="F948" s="53"/>
      <c r="G948" s="53"/>
      <c r="H948" s="41"/>
    </row>
    <row r="949" spans="2:10" ht="16.5" customHeight="1">
      <c r="B949" s="54"/>
      <c r="F949" s="53"/>
      <c r="G949" s="53"/>
      <c r="H949" s="41"/>
    </row>
    <row r="950" spans="2:10" ht="16.5" customHeight="1">
      <c r="B950" s="54"/>
      <c r="F950" s="53"/>
      <c r="G950" s="53"/>
      <c r="H950" s="41"/>
    </row>
    <row r="951" spans="2:10" ht="16.5" customHeight="1">
      <c r="B951" s="54"/>
      <c r="F951" s="53"/>
      <c r="G951" s="53"/>
      <c r="H951" s="41"/>
    </row>
    <row r="952" spans="2:10" ht="16.5" customHeight="1">
      <c r="B952" s="54"/>
      <c r="F952" s="53"/>
      <c r="G952" s="53"/>
      <c r="H952" s="41"/>
    </row>
    <row r="953" spans="2:10" ht="16.5" customHeight="1">
      <c r="B953" s="54"/>
      <c r="F953" s="53"/>
      <c r="G953" s="53"/>
      <c r="H953" s="41"/>
      <c r="J953" s="66"/>
    </row>
    <row r="954" spans="2:10" ht="16.5" customHeight="1">
      <c r="B954" s="54"/>
      <c r="F954" s="53"/>
      <c r="G954" s="53"/>
      <c r="H954" s="41"/>
    </row>
    <row r="955" spans="2:10" ht="16.5" customHeight="1">
      <c r="B955" s="54"/>
      <c r="F955" s="53"/>
      <c r="G955" s="53"/>
      <c r="H955" s="41"/>
    </row>
    <row r="956" spans="2:10" ht="16.5" customHeight="1">
      <c r="B956" s="54"/>
      <c r="F956" s="53"/>
      <c r="G956" s="53"/>
      <c r="H956" s="41"/>
    </row>
    <row r="957" spans="2:10" ht="16.5" customHeight="1">
      <c r="B957" s="54"/>
      <c r="F957" s="53"/>
      <c r="G957" s="53"/>
      <c r="H957" s="41"/>
    </row>
    <row r="958" spans="2:10" ht="16.5" customHeight="1">
      <c r="B958" s="253"/>
      <c r="F958" s="53"/>
      <c r="G958" s="53"/>
      <c r="H958" s="41"/>
    </row>
    <row r="959" spans="2:10" ht="16.5" customHeight="1">
      <c r="B959" s="56"/>
      <c r="F959" s="53"/>
      <c r="G959" s="53"/>
      <c r="H959" s="41"/>
    </row>
    <row r="960" spans="2:10" ht="16.5" customHeight="1">
      <c r="B960" s="57"/>
      <c r="D960" s="58"/>
      <c r="F960" s="53"/>
      <c r="G960" s="53"/>
      <c r="H960" s="41"/>
    </row>
    <row r="961" spans="2:8" ht="16.5" customHeight="1">
      <c r="B961" s="57"/>
      <c r="D961" s="58"/>
      <c r="F961" s="53"/>
      <c r="G961" s="53"/>
      <c r="H961" s="41"/>
    </row>
    <row r="962" spans="2:8" ht="16.5" customHeight="1">
      <c r="B962" s="57"/>
      <c r="D962" s="58"/>
      <c r="F962" s="53"/>
      <c r="G962" s="53"/>
      <c r="H962" s="41"/>
    </row>
    <row r="963" spans="2:8" ht="16.5" customHeight="1">
      <c r="B963" s="57"/>
      <c r="D963" s="58"/>
      <c r="F963" s="53"/>
      <c r="G963" s="53"/>
      <c r="H963" s="41"/>
    </row>
    <row r="964" spans="2:8" ht="16.5" customHeight="1">
      <c r="B964" s="57"/>
      <c r="D964" s="58"/>
      <c r="F964" s="53"/>
      <c r="G964" s="53"/>
      <c r="H964" s="41"/>
    </row>
    <row r="965" spans="2:8" ht="16.5" customHeight="1">
      <c r="B965" s="57"/>
      <c r="D965" s="58"/>
      <c r="F965" s="53"/>
      <c r="G965" s="53"/>
      <c r="H965" s="41"/>
    </row>
    <row r="966" spans="2:8" ht="16.5" customHeight="1">
      <c r="B966" s="57"/>
      <c r="D966" s="58"/>
      <c r="F966" s="53"/>
      <c r="G966" s="53"/>
      <c r="H966" s="41"/>
    </row>
    <row r="967" spans="2:8" ht="16.5" customHeight="1">
      <c r="B967" s="57"/>
      <c r="D967" s="58"/>
      <c r="F967" s="53"/>
      <c r="G967" s="53"/>
      <c r="H967" s="41"/>
    </row>
    <row r="968" spans="2:8" ht="16.5" customHeight="1">
      <c r="B968" s="54"/>
      <c r="F968" s="53"/>
      <c r="G968" s="53"/>
      <c r="H968" s="41"/>
    </row>
    <row r="969" spans="2:8" ht="16.5" customHeight="1">
      <c r="B969" s="86"/>
      <c r="F969" s="53"/>
      <c r="G969" s="53"/>
      <c r="H969" s="41"/>
    </row>
    <row r="970" spans="2:8" ht="16.5" customHeight="1">
      <c r="B970" s="54"/>
      <c r="D970" s="58"/>
      <c r="F970" s="53"/>
      <c r="G970" s="53"/>
      <c r="H970" s="41"/>
    </row>
    <row r="971" spans="2:8" ht="16.5" customHeight="1">
      <c r="B971" s="86"/>
      <c r="F971" s="53"/>
      <c r="G971" s="53"/>
      <c r="H971" s="41"/>
    </row>
    <row r="972" spans="2:8" ht="16.5" customHeight="1">
      <c r="B972" s="54"/>
      <c r="E972" s="366"/>
      <c r="F972" s="53"/>
      <c r="G972" s="53"/>
      <c r="H972" s="41"/>
    </row>
    <row r="973" spans="2:8" ht="16.5" customHeight="1">
      <c r="B973" s="86"/>
      <c r="F973" s="53"/>
      <c r="G973" s="53"/>
      <c r="H973" s="41"/>
    </row>
    <row r="974" spans="2:8" ht="16.5" customHeight="1">
      <c r="B974" s="54"/>
      <c r="F974" s="53"/>
      <c r="G974" s="53"/>
      <c r="H974" s="41"/>
    </row>
    <row r="975" spans="2:8" ht="16.5" customHeight="1">
      <c r="B975" s="86"/>
      <c r="F975" s="53"/>
      <c r="G975" s="53"/>
      <c r="H975" s="41"/>
    </row>
    <row r="976" spans="2:8" ht="16.5" customHeight="1">
      <c r="B976" s="86"/>
      <c r="F976" s="53"/>
      <c r="G976" s="53"/>
      <c r="H976" s="41"/>
    </row>
    <row r="977" spans="1:13" ht="16.5" customHeight="1">
      <c r="B977" s="86"/>
      <c r="C977" s="59"/>
      <c r="F977" s="53"/>
      <c r="G977" s="53"/>
      <c r="H977" s="41"/>
    </row>
    <row r="978" spans="1:13" ht="16.5" customHeight="1">
      <c r="B978" s="86"/>
      <c r="F978" s="53"/>
      <c r="G978" s="53"/>
      <c r="H978" s="41"/>
    </row>
    <row r="979" spans="1:13" ht="16.5" customHeight="1">
      <c r="B979" s="60"/>
      <c r="F979" s="53"/>
      <c r="G979" s="53"/>
      <c r="H979" s="41"/>
    </row>
    <row r="980" spans="1:13" ht="16.5" customHeight="1">
      <c r="B980" s="57"/>
      <c r="F980" s="42"/>
      <c r="G980" s="53"/>
      <c r="H980" s="41"/>
    </row>
    <row r="981" spans="1:13" ht="16.5" customHeight="1">
      <c r="B981" s="57"/>
      <c r="F981" s="42"/>
      <c r="G981" s="53"/>
      <c r="H981" s="41"/>
    </row>
    <row r="982" spans="1:13" ht="16.5" customHeight="1">
      <c r="B982" s="57"/>
      <c r="F982" s="42"/>
      <c r="G982" s="53"/>
      <c r="H982" s="41"/>
    </row>
    <row r="983" spans="1:13" ht="16.5" customHeight="1">
      <c r="B983" s="57"/>
      <c r="F983" s="42"/>
      <c r="G983" s="53"/>
      <c r="H983" s="41"/>
    </row>
    <row r="984" spans="1:13" ht="16.5" customHeight="1">
      <c r="B984" s="57"/>
      <c r="F984" s="42"/>
      <c r="G984" s="53"/>
      <c r="H984" s="41"/>
    </row>
    <row r="985" spans="1:13" s="67" customFormat="1" ht="15.75" customHeight="1">
      <c r="A985" s="65"/>
      <c r="B985" s="72"/>
      <c r="C985" s="59"/>
      <c r="D985" s="41"/>
      <c r="E985" s="78"/>
      <c r="F985" s="79"/>
      <c r="G985" s="53"/>
      <c r="H985" s="41"/>
      <c r="I985" s="59"/>
      <c r="J985" s="44"/>
      <c r="K985" s="44"/>
    </row>
    <row r="986" spans="1:13" s="67" customFormat="1" ht="15.75" customHeight="1">
      <c r="A986" s="65"/>
      <c r="B986" s="72"/>
      <c r="C986" s="59"/>
      <c r="D986" s="41"/>
      <c r="E986" s="78"/>
      <c r="F986" s="79"/>
      <c r="G986" s="53"/>
      <c r="H986" s="41"/>
      <c r="I986" s="59"/>
      <c r="J986" s="66"/>
      <c r="K986" s="44"/>
    </row>
    <row r="987" spans="1:13" s="67" customFormat="1" ht="15.75" customHeight="1">
      <c r="A987" s="65"/>
      <c r="B987" s="343"/>
      <c r="C987" s="59"/>
      <c r="D987" s="41"/>
      <c r="E987" s="78"/>
      <c r="F987" s="240"/>
      <c r="G987" s="53"/>
      <c r="H987" s="41"/>
      <c r="I987" s="59"/>
      <c r="J987" s="87"/>
      <c r="K987" s="87"/>
    </row>
    <row r="988" spans="1:13" ht="16.5" customHeight="1">
      <c r="B988" s="342"/>
      <c r="F988" s="240"/>
      <c r="G988" s="53"/>
      <c r="H988" s="41"/>
      <c r="M988" s="67"/>
    </row>
    <row r="989" spans="1:13" ht="16.5" customHeight="1">
      <c r="B989" s="86"/>
      <c r="C989" s="59"/>
      <c r="F989" s="53"/>
      <c r="G989" s="53"/>
      <c r="H989" s="41"/>
    </row>
    <row r="990" spans="1:13" ht="16.5" customHeight="1">
      <c r="B990" s="54"/>
      <c r="F990" s="53"/>
      <c r="G990" s="53"/>
      <c r="H990" s="41"/>
    </row>
    <row r="991" spans="1:13" ht="16.5" customHeight="1">
      <c r="B991" s="86"/>
      <c r="F991" s="53"/>
      <c r="G991" s="53"/>
      <c r="H991" s="41"/>
    </row>
    <row r="992" spans="1:13" ht="16.5" customHeight="1">
      <c r="B992" s="54"/>
      <c r="F992" s="53"/>
      <c r="G992" s="53"/>
      <c r="H992" s="41"/>
    </row>
    <row r="993" spans="2:8" ht="16.5" customHeight="1">
      <c r="B993" s="86"/>
      <c r="F993" s="53"/>
      <c r="G993" s="53"/>
      <c r="H993" s="41"/>
    </row>
    <row r="994" spans="2:8" ht="16.5" customHeight="1">
      <c r="B994" s="54"/>
      <c r="F994" s="53"/>
      <c r="G994" s="53"/>
      <c r="H994" s="41"/>
    </row>
    <row r="995" spans="2:8" ht="16.5" customHeight="1">
      <c r="B995" s="86"/>
      <c r="F995" s="53"/>
      <c r="G995" s="53"/>
      <c r="H995" s="41"/>
    </row>
    <row r="996" spans="2:8" ht="16.5" customHeight="1">
      <c r="B996" s="54"/>
      <c r="F996" s="53"/>
      <c r="G996" s="53"/>
      <c r="H996" s="41"/>
    </row>
    <row r="997" spans="2:8" ht="16.5" customHeight="1">
      <c r="B997" s="54"/>
      <c r="F997" s="53"/>
      <c r="G997" s="53"/>
      <c r="H997" s="41"/>
    </row>
    <row r="998" spans="2:8" ht="16.5" customHeight="1">
      <c r="B998" s="54"/>
      <c r="F998" s="53"/>
      <c r="G998" s="53"/>
      <c r="H998" s="58"/>
    </row>
    <row r="999" spans="2:8" ht="16.5" customHeight="1">
      <c r="B999" s="54"/>
      <c r="F999" s="53"/>
      <c r="G999" s="53"/>
      <c r="H999" s="41"/>
    </row>
    <row r="1000" spans="2:8" ht="16.5" customHeight="1">
      <c r="B1000" s="54"/>
      <c r="F1000" s="53"/>
      <c r="G1000" s="53"/>
      <c r="H1000" s="41"/>
    </row>
    <row r="1001" spans="2:8" ht="16.5" customHeight="1">
      <c r="B1001" s="86"/>
      <c r="F1001" s="53"/>
      <c r="G1001" s="53"/>
      <c r="H1001" s="41"/>
    </row>
    <row r="1002" spans="2:8" ht="16.5" customHeight="1">
      <c r="B1002" s="54"/>
      <c r="F1002" s="53"/>
      <c r="G1002" s="53"/>
      <c r="H1002" s="41"/>
    </row>
    <row r="1003" spans="2:8" ht="16.5" customHeight="1">
      <c r="B1003" s="86"/>
      <c r="F1003" s="53"/>
      <c r="G1003" s="53"/>
      <c r="H1003" s="41"/>
    </row>
    <row r="1004" spans="2:8" ht="16.5" customHeight="1">
      <c r="B1004" s="86"/>
      <c r="F1004" s="53"/>
      <c r="G1004" s="53"/>
      <c r="H1004" s="41"/>
    </row>
    <row r="1005" spans="2:8" ht="16.5" customHeight="1">
      <c r="B1005" s="54"/>
      <c r="F1005" s="53"/>
      <c r="G1005" s="53"/>
      <c r="H1005" s="41"/>
    </row>
    <row r="1006" spans="2:8" ht="16.5" customHeight="1">
      <c r="B1006" s="54"/>
      <c r="F1006" s="53"/>
      <c r="G1006" s="53"/>
      <c r="H1006" s="41"/>
    </row>
    <row r="1007" spans="2:8" ht="16.5" customHeight="1">
      <c r="B1007" s="54"/>
      <c r="F1007" s="53"/>
      <c r="G1007" s="53"/>
      <c r="H1007" s="41"/>
    </row>
    <row r="1008" spans="2:8" ht="16.5" customHeight="1">
      <c r="B1008" s="56"/>
      <c r="F1008" s="53"/>
      <c r="G1008" s="53"/>
      <c r="H1008" s="41"/>
    </row>
    <row r="1009" spans="2:10" ht="16.5" customHeight="1">
      <c r="B1009" s="57"/>
      <c r="D1009" s="58"/>
      <c r="F1009" s="53"/>
      <c r="G1009" s="53"/>
      <c r="H1009" s="41"/>
    </row>
    <row r="1010" spans="2:10" ht="16.5" customHeight="1">
      <c r="B1010" s="57"/>
      <c r="D1010" s="58"/>
      <c r="F1010" s="53"/>
      <c r="G1010" s="53"/>
      <c r="H1010" s="41"/>
    </row>
    <row r="1011" spans="2:10" ht="16.5" customHeight="1">
      <c r="B1011" s="57"/>
      <c r="D1011" s="58"/>
      <c r="F1011" s="53"/>
      <c r="G1011" s="53"/>
      <c r="H1011" s="41"/>
    </row>
    <row r="1012" spans="2:10" ht="16.5" customHeight="1">
      <c r="B1012" s="57"/>
      <c r="D1012" s="58"/>
      <c r="F1012" s="53"/>
      <c r="G1012" s="53"/>
      <c r="H1012" s="41"/>
    </row>
    <row r="1013" spans="2:10" ht="16.5" customHeight="1">
      <c r="B1013" s="57"/>
      <c r="D1013" s="58"/>
      <c r="F1013" s="53"/>
      <c r="G1013" s="53"/>
      <c r="H1013" s="41"/>
    </row>
    <row r="1014" spans="2:10" ht="16.5" customHeight="1">
      <c r="B1014" s="57"/>
      <c r="D1014" s="58"/>
      <c r="F1014" s="53"/>
      <c r="G1014" s="53"/>
      <c r="H1014" s="41"/>
      <c r="J1014" s="66"/>
    </row>
    <row r="1015" spans="2:10" ht="16.5" customHeight="1">
      <c r="B1015" s="57"/>
      <c r="D1015" s="58"/>
      <c r="F1015" s="53"/>
      <c r="G1015" s="53"/>
      <c r="H1015" s="41"/>
    </row>
    <row r="1016" spans="2:10" ht="16.5" customHeight="1">
      <c r="B1016" s="236"/>
      <c r="D1016" s="58"/>
      <c r="F1016" s="53"/>
      <c r="G1016" s="53"/>
      <c r="H1016" s="41"/>
    </row>
    <row r="1017" spans="2:10" ht="16.5" customHeight="1">
      <c r="B1017" s="236"/>
      <c r="D1017" s="58"/>
      <c r="F1017" s="53"/>
      <c r="G1017" s="53"/>
      <c r="H1017" s="41"/>
      <c r="J1017" s="87"/>
    </row>
    <row r="1018" spans="2:10" ht="16.5" customHeight="1">
      <c r="B1018" s="236"/>
      <c r="D1018" s="58"/>
      <c r="F1018" s="53"/>
      <c r="G1018" s="53"/>
      <c r="H1018" s="41"/>
    </row>
    <row r="1019" spans="2:10" ht="16.5" customHeight="1">
      <c r="B1019" s="236"/>
      <c r="D1019" s="58"/>
      <c r="F1019" s="53"/>
      <c r="G1019" s="53"/>
      <c r="H1019" s="41"/>
    </row>
    <row r="1020" spans="2:10" ht="16.5" customHeight="1">
      <c r="B1020" s="236"/>
      <c r="D1020" s="58"/>
      <c r="F1020" s="53"/>
      <c r="G1020" s="53"/>
      <c r="H1020" s="41"/>
      <c r="J1020" s="66"/>
    </row>
    <row r="1021" spans="2:10" ht="16.5" customHeight="1">
      <c r="B1021" s="236"/>
      <c r="D1021" s="58"/>
      <c r="F1021" s="53"/>
      <c r="G1021" s="53"/>
      <c r="H1021" s="41"/>
      <c r="J1021" s="66"/>
    </row>
    <row r="1022" spans="2:10" ht="16.5" customHeight="1">
      <c r="B1022" s="236"/>
      <c r="D1022" s="58"/>
      <c r="F1022" s="53"/>
      <c r="G1022" s="53"/>
      <c r="H1022" s="41"/>
      <c r="J1022" s="66"/>
    </row>
    <row r="1023" spans="2:10" ht="16.5" customHeight="1">
      <c r="B1023" s="236"/>
      <c r="D1023" s="58"/>
      <c r="F1023" s="53"/>
      <c r="G1023" s="53"/>
      <c r="H1023" s="41"/>
      <c r="J1023" s="66"/>
    </row>
    <row r="1024" spans="2:10" ht="16.5" customHeight="1">
      <c r="B1024" s="236"/>
      <c r="D1024" s="58"/>
      <c r="F1024" s="53"/>
      <c r="G1024" s="53"/>
      <c r="H1024" s="41"/>
      <c r="J1024" s="66"/>
    </row>
    <row r="1025" spans="2:10" ht="16.149999999999999" customHeight="1">
      <c r="B1025" s="54"/>
      <c r="E1025" s="366"/>
      <c r="F1025" s="53"/>
      <c r="G1025" s="53"/>
      <c r="H1025" s="41"/>
    </row>
    <row r="1026" spans="2:10" ht="16.5" customHeight="1">
      <c r="B1026" s="54"/>
      <c r="E1026" s="366"/>
      <c r="F1026" s="53"/>
      <c r="G1026" s="53"/>
      <c r="H1026" s="41"/>
      <c r="J1026" s="87"/>
    </row>
    <row r="1027" spans="2:10" ht="16.5" customHeight="1">
      <c r="B1027" s="54"/>
      <c r="E1027" s="366"/>
      <c r="F1027" s="53"/>
      <c r="G1027" s="53"/>
      <c r="H1027" s="41"/>
    </row>
    <row r="1028" spans="2:10" ht="16.5" customHeight="1">
      <c r="B1028" s="54"/>
      <c r="E1028" s="366"/>
      <c r="F1028" s="53"/>
      <c r="G1028" s="53"/>
      <c r="H1028" s="41"/>
    </row>
    <row r="1029" spans="2:10" ht="16.5" customHeight="1">
      <c r="B1029" s="54"/>
      <c r="E1029" s="366"/>
      <c r="F1029" s="53"/>
      <c r="G1029" s="53"/>
      <c r="H1029" s="41"/>
    </row>
    <row r="1030" spans="2:10" ht="16.5" customHeight="1">
      <c r="B1030" s="54"/>
      <c r="F1030" s="53"/>
      <c r="G1030" s="53"/>
      <c r="H1030" s="41"/>
    </row>
    <row r="1031" spans="2:10" ht="16.5" customHeight="1">
      <c r="B1031" s="71"/>
      <c r="F1031" s="53"/>
      <c r="G1031" s="53"/>
      <c r="H1031" s="41"/>
    </row>
    <row r="1032" spans="2:10" ht="16.5" customHeight="1">
      <c r="B1032" s="71"/>
      <c r="F1032" s="53"/>
      <c r="G1032" s="53"/>
      <c r="H1032" s="41"/>
    </row>
    <row r="1033" spans="2:10" ht="16.5" customHeight="1">
      <c r="B1033" s="54"/>
      <c r="F1033" s="53"/>
      <c r="G1033" s="53"/>
      <c r="H1033" s="41"/>
    </row>
    <row r="1034" spans="2:10" ht="16.5" customHeight="1">
      <c r="B1034" s="54"/>
      <c r="F1034" s="53"/>
      <c r="G1034" s="53"/>
      <c r="H1034" s="41"/>
    </row>
    <row r="1035" spans="2:10" ht="16.5" customHeight="1">
      <c r="B1035" s="86"/>
      <c r="F1035" s="53"/>
      <c r="G1035" s="53"/>
      <c r="H1035" s="41"/>
    </row>
    <row r="1036" spans="2:10" ht="16.5" customHeight="1">
      <c r="B1036" s="54"/>
      <c r="F1036" s="53"/>
      <c r="G1036" s="53"/>
      <c r="H1036" s="41"/>
    </row>
    <row r="1037" spans="2:10" ht="16.5" customHeight="1">
      <c r="B1037" s="86"/>
      <c r="F1037" s="53"/>
      <c r="G1037" s="53"/>
      <c r="H1037" s="41"/>
    </row>
    <row r="1038" spans="2:10" ht="16.5" customHeight="1">
      <c r="B1038" s="86"/>
      <c r="F1038" s="53"/>
      <c r="G1038" s="53"/>
      <c r="H1038" s="41"/>
    </row>
    <row r="1039" spans="2:10" ht="16.5" customHeight="1">
      <c r="B1039" s="86"/>
      <c r="F1039" s="53"/>
      <c r="G1039" s="53"/>
      <c r="H1039" s="41"/>
    </row>
    <row r="1040" spans="2:10" ht="16.5" customHeight="1">
      <c r="B1040" s="54"/>
      <c r="F1040" s="53"/>
      <c r="G1040" s="53"/>
      <c r="H1040" s="41"/>
    </row>
    <row r="1041" spans="1:11" ht="16.5" customHeight="1">
      <c r="B1041" s="86"/>
      <c r="F1041" s="53"/>
      <c r="G1041" s="53"/>
      <c r="H1041" s="41"/>
    </row>
    <row r="1042" spans="1:11" ht="16.5" customHeight="1">
      <c r="B1042" s="86"/>
      <c r="F1042" s="53"/>
      <c r="G1042" s="53"/>
      <c r="H1042" s="58"/>
      <c r="K1042" s="66"/>
    </row>
    <row r="1043" spans="1:11" ht="16.5" customHeight="1">
      <c r="B1043" s="86"/>
      <c r="F1043" s="53"/>
      <c r="G1043" s="53"/>
      <c r="H1043" s="58"/>
      <c r="K1043" s="66"/>
    </row>
    <row r="1044" spans="1:11" ht="16.5" customHeight="1">
      <c r="B1044" s="54"/>
      <c r="F1044" s="53"/>
      <c r="G1044" s="53"/>
      <c r="H1044" s="41"/>
    </row>
    <row r="1045" spans="1:11" ht="16.5" customHeight="1">
      <c r="B1045" s="54"/>
      <c r="F1045" s="53"/>
      <c r="G1045" s="53"/>
      <c r="H1045" s="41"/>
    </row>
    <row r="1046" spans="1:11" ht="16.5" customHeight="1">
      <c r="B1046" s="86"/>
      <c r="F1046" s="53"/>
      <c r="G1046" s="53"/>
      <c r="H1046" s="156"/>
    </row>
    <row r="1047" spans="1:11" ht="16.5" customHeight="1">
      <c r="A1047" s="65"/>
      <c r="B1047" s="86"/>
      <c r="F1047" s="53"/>
      <c r="G1047" s="53"/>
      <c r="H1047" s="156"/>
    </row>
    <row r="1048" spans="1:11" ht="16.5" customHeight="1">
      <c r="A1048" s="65"/>
      <c r="B1048" s="86"/>
      <c r="F1048" s="53"/>
      <c r="G1048" s="53"/>
      <c r="H1048" s="156"/>
    </row>
    <row r="1049" spans="1:11" ht="16.5" customHeight="1">
      <c r="A1049" s="65"/>
      <c r="B1049" s="86"/>
      <c r="F1049" s="53"/>
      <c r="G1049" s="53"/>
      <c r="H1049" s="156"/>
    </row>
    <row r="1050" spans="1:11" ht="16.5" customHeight="1">
      <c r="A1050" s="65"/>
      <c r="B1050" s="86"/>
      <c r="F1050" s="53"/>
      <c r="G1050" s="53"/>
      <c r="H1050" s="156"/>
    </row>
    <row r="1051" spans="1:11" ht="16.5" customHeight="1">
      <c r="A1051" s="65"/>
      <c r="B1051" s="86"/>
      <c r="D1051" s="58"/>
      <c r="F1051" s="53"/>
      <c r="G1051" s="53"/>
      <c r="H1051" s="156"/>
    </row>
    <row r="1052" spans="1:11" ht="16.5" customHeight="1">
      <c r="B1052" s="86"/>
      <c r="F1052" s="53"/>
      <c r="G1052" s="53"/>
      <c r="H1052" s="41"/>
    </row>
    <row r="1053" spans="1:11" ht="16.5" customHeight="1">
      <c r="A1053" s="65"/>
      <c r="B1053" s="86"/>
      <c r="F1053" s="53"/>
      <c r="G1053" s="53"/>
      <c r="H1053" s="156"/>
    </row>
    <row r="1054" spans="1:11" ht="16.5" customHeight="1">
      <c r="B1054" s="86"/>
      <c r="F1054" s="53"/>
      <c r="G1054" s="53"/>
      <c r="H1054" s="41"/>
    </row>
    <row r="1055" spans="1:11" ht="16.5" customHeight="1">
      <c r="B1055" s="86"/>
      <c r="F1055" s="53"/>
      <c r="G1055" s="53"/>
      <c r="H1055" s="41"/>
    </row>
    <row r="1056" spans="1:11" ht="16.5" customHeight="1">
      <c r="B1056" s="86"/>
      <c r="D1056" s="58"/>
      <c r="F1056" s="53"/>
      <c r="G1056" s="53"/>
      <c r="H1056" s="41"/>
    </row>
    <row r="1057" spans="2:10" ht="16.5" customHeight="1">
      <c r="B1057" s="86"/>
      <c r="F1057" s="53"/>
      <c r="G1057" s="53"/>
      <c r="H1057" s="41"/>
      <c r="J1057" s="87"/>
    </row>
    <row r="1058" spans="2:10" ht="16.5" customHeight="1">
      <c r="B1058" s="86"/>
      <c r="F1058" s="53"/>
      <c r="G1058" s="53"/>
      <c r="H1058" s="41"/>
    </row>
    <row r="1059" spans="2:10" ht="16.5" customHeight="1">
      <c r="B1059" s="86"/>
      <c r="F1059" s="53"/>
      <c r="G1059" s="53"/>
      <c r="H1059" s="41"/>
    </row>
    <row r="1060" spans="2:10" ht="16.5" customHeight="1">
      <c r="B1060" s="86"/>
      <c r="F1060" s="53"/>
      <c r="G1060" s="53"/>
      <c r="H1060" s="41"/>
    </row>
    <row r="1061" spans="2:10" ht="16.5" customHeight="1">
      <c r="B1061" s="86"/>
      <c r="F1061" s="53"/>
      <c r="G1061" s="53"/>
      <c r="H1061" s="41"/>
    </row>
    <row r="1062" spans="2:10" ht="16.5" customHeight="1">
      <c r="B1062" s="86"/>
      <c r="F1062" s="53"/>
      <c r="G1062" s="53"/>
      <c r="H1062" s="41"/>
    </row>
    <row r="1063" spans="2:10" ht="16.5" customHeight="1">
      <c r="B1063" s="56"/>
      <c r="F1063" s="53"/>
      <c r="G1063" s="53"/>
      <c r="H1063" s="41"/>
    </row>
    <row r="1064" spans="2:10" ht="16.5" customHeight="1">
      <c r="B1064" s="57"/>
      <c r="D1064" s="58"/>
      <c r="F1064" s="53"/>
      <c r="G1064" s="53"/>
      <c r="H1064" s="41"/>
    </row>
    <row r="1065" spans="2:10" ht="16.5" customHeight="1">
      <c r="B1065" s="57"/>
      <c r="D1065" s="58"/>
      <c r="F1065" s="53"/>
      <c r="G1065" s="53"/>
      <c r="H1065" s="41"/>
    </row>
    <row r="1066" spans="2:10" ht="16.5" customHeight="1">
      <c r="B1066" s="57"/>
      <c r="D1066" s="58"/>
      <c r="F1066" s="53"/>
      <c r="G1066" s="53"/>
      <c r="H1066" s="41"/>
    </row>
    <row r="1067" spans="2:10" ht="16.5" customHeight="1">
      <c r="B1067" s="57"/>
      <c r="D1067" s="58"/>
      <c r="F1067" s="53"/>
      <c r="G1067" s="53"/>
      <c r="H1067" s="41"/>
    </row>
    <row r="1068" spans="2:10" ht="16.5" customHeight="1">
      <c r="B1068" s="57"/>
      <c r="D1068" s="58"/>
      <c r="F1068" s="53"/>
      <c r="G1068" s="53"/>
      <c r="H1068" s="41"/>
    </row>
    <row r="1069" spans="2:10" ht="16.5" customHeight="1">
      <c r="B1069" s="57"/>
      <c r="D1069" s="58"/>
      <c r="F1069" s="53"/>
      <c r="G1069" s="53"/>
      <c r="H1069" s="41"/>
      <c r="J1069" s="66"/>
    </row>
    <row r="1070" spans="2:10" ht="16.5" customHeight="1">
      <c r="B1070" s="57"/>
      <c r="D1070" s="58"/>
      <c r="F1070" s="53"/>
      <c r="G1070" s="53"/>
      <c r="H1070" s="41"/>
      <c r="J1070" s="66"/>
    </row>
    <row r="1071" spans="2:10" ht="16.5" customHeight="1">
      <c r="B1071" s="57"/>
      <c r="D1071" s="58"/>
      <c r="F1071" s="53"/>
      <c r="G1071" s="53"/>
      <c r="H1071" s="41"/>
    </row>
    <row r="1072" spans="2:10" ht="16.5" customHeight="1">
      <c r="B1072" s="236"/>
      <c r="D1072" s="58"/>
      <c r="F1072" s="53"/>
      <c r="G1072" s="53"/>
      <c r="H1072" s="41"/>
    </row>
    <row r="1073" spans="2:10" ht="16.5" customHeight="1">
      <c r="B1073" s="236"/>
      <c r="D1073" s="58"/>
      <c r="F1073" s="53"/>
      <c r="G1073" s="53"/>
      <c r="H1073" s="41"/>
      <c r="J1073" s="66"/>
    </row>
    <row r="1074" spans="2:10" ht="16.5" customHeight="1">
      <c r="B1074" s="86"/>
      <c r="F1074" s="53"/>
      <c r="G1074" s="53"/>
      <c r="H1074" s="41"/>
    </row>
    <row r="1075" spans="2:10" ht="16.5" customHeight="1">
      <c r="B1075" s="86"/>
      <c r="F1075" s="53"/>
      <c r="G1075" s="53"/>
      <c r="H1075" s="41"/>
    </row>
    <row r="1076" spans="2:10" ht="16.5" customHeight="1">
      <c r="B1076" s="54"/>
      <c r="F1076" s="53"/>
      <c r="G1076" s="53"/>
      <c r="H1076" s="41"/>
    </row>
    <row r="1077" spans="2:10" ht="16.5" customHeight="1">
      <c r="B1077" s="86"/>
      <c r="F1077" s="53"/>
      <c r="G1077" s="53"/>
      <c r="H1077" s="41"/>
    </row>
    <row r="1078" spans="2:10" ht="16.5" customHeight="1">
      <c r="B1078" s="54"/>
      <c r="F1078" s="53"/>
      <c r="G1078" s="53"/>
      <c r="H1078" s="41"/>
    </row>
    <row r="1079" spans="2:10" ht="16.5" customHeight="1">
      <c r="B1079" s="86"/>
      <c r="F1079" s="53"/>
      <c r="G1079" s="53"/>
      <c r="H1079" s="41"/>
    </row>
    <row r="1080" spans="2:10" ht="16.5" customHeight="1">
      <c r="B1080" s="86"/>
      <c r="F1080" s="53"/>
      <c r="G1080" s="53"/>
      <c r="H1080" s="41"/>
    </row>
    <row r="1081" spans="2:10" ht="16.5" customHeight="1">
      <c r="B1081" s="86"/>
      <c r="F1081" s="53"/>
      <c r="G1081" s="53"/>
      <c r="H1081" s="41"/>
    </row>
    <row r="1082" spans="2:10" ht="16.5" customHeight="1">
      <c r="B1082" s="252"/>
      <c r="F1082" s="53"/>
      <c r="G1082" s="53"/>
      <c r="H1082" s="41"/>
    </row>
    <row r="1083" spans="2:10" ht="16.5" customHeight="1">
      <c r="B1083" s="252"/>
      <c r="F1083" s="53"/>
      <c r="G1083" s="53"/>
      <c r="H1083" s="41"/>
    </row>
    <row r="1084" spans="2:10" ht="16.5" customHeight="1">
      <c r="B1084" s="86"/>
      <c r="F1084" s="53"/>
      <c r="G1084" s="53"/>
      <c r="H1084" s="41"/>
    </row>
    <row r="1085" spans="2:10" ht="16.5" customHeight="1">
      <c r="B1085" s="86"/>
      <c r="F1085" s="53"/>
      <c r="G1085" s="53"/>
      <c r="H1085" s="41"/>
    </row>
    <row r="1086" spans="2:10" ht="16.5" customHeight="1">
      <c r="B1086" s="54"/>
      <c r="F1086" s="53"/>
      <c r="G1086" s="53"/>
      <c r="H1086" s="41"/>
    </row>
    <row r="1087" spans="2:10" ht="16.5" customHeight="1">
      <c r="B1087" s="54"/>
      <c r="F1087" s="53"/>
      <c r="G1087" s="53"/>
      <c r="H1087" s="58"/>
    </row>
    <row r="1088" spans="2:10" ht="16.5" customHeight="1">
      <c r="B1088" s="56"/>
      <c r="F1088" s="53"/>
      <c r="G1088" s="53"/>
      <c r="H1088" s="41"/>
    </row>
    <row r="1089" spans="1:11" ht="16.5" customHeight="1">
      <c r="B1089" s="57"/>
      <c r="D1089" s="58"/>
      <c r="F1089" s="53"/>
      <c r="G1089" s="53"/>
      <c r="H1089" s="41"/>
    </row>
    <row r="1090" spans="1:11" ht="16.5" customHeight="1">
      <c r="B1090" s="57"/>
      <c r="D1090" s="58"/>
      <c r="F1090" s="53"/>
      <c r="G1090" s="53"/>
      <c r="H1090" s="41"/>
    </row>
    <row r="1091" spans="1:11" ht="16.5" customHeight="1">
      <c r="D1091" s="156"/>
      <c r="F1091" s="53"/>
      <c r="G1091" s="53"/>
      <c r="H1091" s="41"/>
    </row>
    <row r="1092" spans="1:11" ht="16.5" customHeight="1">
      <c r="B1092" s="57"/>
      <c r="D1092" s="58"/>
      <c r="F1092" s="53"/>
      <c r="G1092" s="53"/>
      <c r="H1092" s="41"/>
    </row>
    <row r="1093" spans="1:11" ht="16.5" customHeight="1">
      <c r="B1093" s="57"/>
      <c r="D1093" s="58"/>
      <c r="F1093" s="53"/>
      <c r="G1093" s="53"/>
      <c r="H1093" s="41"/>
    </row>
    <row r="1094" spans="1:11" ht="16.5" customHeight="1">
      <c r="B1094" s="57"/>
      <c r="D1094" s="58"/>
      <c r="F1094" s="53"/>
      <c r="G1094" s="53"/>
      <c r="H1094" s="41"/>
    </row>
    <row r="1095" spans="1:11" ht="16.5" customHeight="1">
      <c r="B1095" s="57"/>
      <c r="D1095" s="58"/>
      <c r="F1095" s="53"/>
      <c r="G1095" s="53"/>
      <c r="H1095" s="41"/>
    </row>
    <row r="1096" spans="1:11" ht="16.5" customHeight="1">
      <c r="B1096" s="57"/>
      <c r="D1096" s="58"/>
      <c r="F1096" s="53"/>
      <c r="G1096" s="53"/>
      <c r="H1096" s="41"/>
    </row>
    <row r="1097" spans="1:11" ht="16.5" customHeight="1">
      <c r="B1097" s="236"/>
      <c r="D1097" s="58"/>
      <c r="F1097" s="53"/>
      <c r="G1097" s="53"/>
      <c r="H1097" s="41"/>
    </row>
    <row r="1098" spans="1:11" ht="16.5" customHeight="1">
      <c r="B1098" s="236"/>
      <c r="D1098" s="58"/>
      <c r="F1098" s="53"/>
      <c r="G1098" s="53"/>
      <c r="H1098" s="41"/>
    </row>
    <row r="1099" spans="1:11" ht="16.5" customHeight="1">
      <c r="B1099" s="54"/>
      <c r="D1099" s="58"/>
      <c r="F1099" s="53"/>
      <c r="G1099" s="53"/>
      <c r="H1099" s="41"/>
    </row>
    <row r="1100" spans="1:11" ht="16.5" customHeight="1">
      <c r="B1100" s="60"/>
      <c r="F1100" s="53"/>
      <c r="G1100" s="53"/>
      <c r="H1100" s="41"/>
    </row>
    <row r="1101" spans="1:11" ht="16.5" customHeight="1">
      <c r="B1101" s="57"/>
      <c r="F1101" s="42"/>
      <c r="G1101" s="53"/>
      <c r="H1101" s="41"/>
    </row>
    <row r="1102" spans="1:11" ht="16.5" customHeight="1">
      <c r="B1102" s="57"/>
      <c r="F1102" s="42"/>
      <c r="G1102" s="53"/>
      <c r="H1102" s="41"/>
    </row>
    <row r="1103" spans="1:11" s="316" customFormat="1" ht="16.5" customHeight="1">
      <c r="A1103" s="311"/>
      <c r="B1103" s="236"/>
      <c r="C1103" s="312"/>
      <c r="D1103" s="313"/>
      <c r="E1103" s="368"/>
      <c r="F1103" s="255"/>
      <c r="G1103" s="314"/>
      <c r="H1103" s="313"/>
      <c r="I1103" s="312"/>
      <c r="J1103" s="44"/>
      <c r="K1103" s="315"/>
    </row>
    <row r="1104" spans="1:11" ht="16.5" customHeight="1">
      <c r="B1104" s="57"/>
      <c r="F1104" s="42"/>
      <c r="G1104" s="53"/>
      <c r="H1104" s="41"/>
    </row>
    <row r="1105" spans="1:13" ht="16.5" customHeight="1">
      <c r="B1105" s="57"/>
      <c r="F1105" s="42"/>
      <c r="G1105" s="53"/>
      <c r="H1105" s="41"/>
    </row>
    <row r="1106" spans="1:13" s="67" customFormat="1" ht="15.75" customHeight="1">
      <c r="A1106" s="65"/>
      <c r="B1106" s="72"/>
      <c r="C1106" s="59"/>
      <c r="D1106" s="41"/>
      <c r="E1106" s="78"/>
      <c r="F1106" s="79"/>
      <c r="G1106" s="53"/>
      <c r="H1106" s="41"/>
      <c r="I1106" s="59"/>
      <c r="J1106" s="44"/>
      <c r="K1106" s="44"/>
    </row>
    <row r="1107" spans="1:13" ht="16.5" customHeight="1">
      <c r="B1107" s="342"/>
      <c r="F1107" s="240"/>
      <c r="G1107" s="53"/>
      <c r="H1107" s="41"/>
      <c r="M1107" s="67"/>
    </row>
    <row r="1108" spans="1:13" ht="16.5" customHeight="1">
      <c r="B1108" s="57"/>
      <c r="D1108" s="156"/>
      <c r="F1108" s="53"/>
      <c r="G1108" s="53"/>
      <c r="H1108" s="41"/>
      <c r="M1108" s="67"/>
    </row>
    <row r="1109" spans="1:13" ht="16.5" customHeight="1">
      <c r="B1109" s="236"/>
      <c r="F1109" s="53"/>
      <c r="G1109" s="53"/>
      <c r="H1109" s="41"/>
    </row>
    <row r="1110" spans="1:13" ht="16.5" customHeight="1">
      <c r="B1110" s="236"/>
      <c r="F1110" s="53"/>
      <c r="G1110" s="53"/>
      <c r="H1110" s="41"/>
    </row>
    <row r="1111" spans="1:13" ht="16.5" customHeight="1">
      <c r="B1111" s="236"/>
      <c r="D1111" s="156"/>
      <c r="F1111" s="53"/>
      <c r="G1111" s="53"/>
      <c r="H1111" s="41"/>
    </row>
    <row r="1112" spans="1:13" ht="16.5" customHeight="1">
      <c r="B1112" s="54"/>
      <c r="D1112" s="58"/>
      <c r="F1112" s="53"/>
      <c r="G1112" s="53"/>
      <c r="H1112" s="41"/>
    </row>
    <row r="1113" spans="1:13" ht="16.5" customHeight="1">
      <c r="A1113" s="159"/>
      <c r="B1113" s="342"/>
      <c r="F1113" s="53"/>
      <c r="G1113" s="53"/>
      <c r="H1113" s="58"/>
    </row>
    <row r="1114" spans="1:13" ht="16.5" customHeight="1">
      <c r="A1114" s="159"/>
      <c r="B1114" s="54"/>
      <c r="F1114" s="53"/>
      <c r="G1114" s="53"/>
      <c r="H1114" s="156"/>
    </row>
    <row r="1115" spans="1:13" ht="16.5" customHeight="1">
      <c r="A1115" s="159"/>
      <c r="B1115" s="54"/>
      <c r="F1115" s="53"/>
      <c r="G1115" s="53"/>
      <c r="H1115" s="156"/>
    </row>
    <row r="1116" spans="1:13" ht="16.5" customHeight="1">
      <c r="A1116" s="159"/>
      <c r="B1116" s="54"/>
      <c r="F1116" s="53"/>
      <c r="G1116" s="53"/>
      <c r="H1116" s="41"/>
      <c r="J1116" s="66"/>
    </row>
    <row r="1117" spans="1:13" ht="16.5" customHeight="1">
      <c r="A1117" s="159"/>
      <c r="B1117" s="54"/>
      <c r="F1117" s="53"/>
      <c r="G1117" s="53"/>
      <c r="H1117" s="41"/>
      <c r="J1117" s="66"/>
    </row>
    <row r="1118" spans="1:13" ht="16.5" customHeight="1">
      <c r="A1118" s="159"/>
      <c r="B1118" s="54"/>
      <c r="F1118" s="53"/>
      <c r="G1118" s="53"/>
      <c r="H1118" s="41"/>
    </row>
    <row r="1119" spans="1:13" ht="16.5" customHeight="1">
      <c r="A1119" s="159"/>
      <c r="B1119" s="54"/>
      <c r="F1119" s="53"/>
      <c r="G1119" s="53"/>
      <c r="H1119" s="41"/>
    </row>
    <row r="1120" spans="1:13" ht="16.5" customHeight="1">
      <c r="B1120" s="86"/>
      <c r="F1120" s="53"/>
      <c r="G1120" s="53"/>
      <c r="H1120" s="41"/>
    </row>
    <row r="1121" spans="2:10" ht="16.5" customHeight="1">
      <c r="B1121" s="252"/>
      <c r="F1121" s="53"/>
      <c r="G1121" s="53"/>
      <c r="H1121" s="41"/>
    </row>
    <row r="1122" spans="2:10" ht="16.5" customHeight="1">
      <c r="B1122" s="86"/>
      <c r="F1122" s="53"/>
      <c r="G1122" s="53"/>
      <c r="H1122" s="41"/>
    </row>
    <row r="1123" spans="2:10" ht="16.5" customHeight="1">
      <c r="B1123" s="54"/>
      <c r="F1123" s="53"/>
      <c r="G1123" s="53"/>
      <c r="H1123" s="41"/>
    </row>
    <row r="1124" spans="2:10" ht="16.5" customHeight="1">
      <c r="B1124" s="86"/>
      <c r="F1124" s="53"/>
      <c r="G1124" s="53"/>
      <c r="H1124" s="41"/>
    </row>
    <row r="1125" spans="2:10" ht="16.5" customHeight="1">
      <c r="B1125" s="252"/>
      <c r="F1125" s="53"/>
      <c r="G1125" s="53"/>
      <c r="H1125" s="41"/>
    </row>
    <row r="1126" spans="2:10" ht="16.5" customHeight="1">
      <c r="B1126" s="86"/>
      <c r="F1126" s="53"/>
      <c r="G1126" s="53"/>
      <c r="H1126" s="41"/>
    </row>
    <row r="1127" spans="2:10" ht="16.5" customHeight="1">
      <c r="B1127" s="86"/>
      <c r="F1127" s="53"/>
      <c r="G1127" s="53"/>
      <c r="H1127" s="41"/>
    </row>
    <row r="1128" spans="2:10" ht="16.5" customHeight="1">
      <c r="B1128" s="86"/>
      <c r="F1128" s="53"/>
      <c r="G1128" s="53"/>
      <c r="H1128" s="41"/>
    </row>
    <row r="1129" spans="2:10" ht="16.5" customHeight="1">
      <c r="B1129" s="86"/>
      <c r="F1129" s="53"/>
      <c r="G1129" s="53"/>
      <c r="H1129" s="58"/>
      <c r="J1129" s="87"/>
    </row>
    <row r="1130" spans="2:10" ht="16.5" customHeight="1">
      <c r="B1130" s="86"/>
      <c r="F1130" s="53"/>
      <c r="G1130" s="53"/>
      <c r="H1130" s="41"/>
    </row>
    <row r="1131" spans="2:10" ht="16.5" customHeight="1">
      <c r="B1131" s="86"/>
      <c r="F1131" s="53"/>
      <c r="G1131" s="53"/>
      <c r="H1131" s="41"/>
    </row>
    <row r="1132" spans="2:10" ht="16.5" customHeight="1">
      <c r="B1132" s="86"/>
      <c r="F1132" s="53"/>
      <c r="G1132" s="53"/>
      <c r="H1132" s="41"/>
    </row>
    <row r="1133" spans="2:10" ht="16.5" customHeight="1">
      <c r="B1133" s="86"/>
      <c r="F1133" s="53"/>
      <c r="G1133" s="53"/>
      <c r="H1133" s="41"/>
    </row>
    <row r="1134" spans="2:10" ht="16.5" customHeight="1">
      <c r="B1134" s="252"/>
      <c r="F1134" s="53"/>
      <c r="G1134" s="53"/>
      <c r="H1134" s="156"/>
    </row>
    <row r="1135" spans="2:10" ht="16.5" customHeight="1">
      <c r="B1135" s="86"/>
      <c r="F1135" s="53"/>
      <c r="G1135" s="53"/>
      <c r="H1135" s="58"/>
    </row>
    <row r="1136" spans="2:10" ht="16.5" customHeight="1">
      <c r="B1136" s="86"/>
      <c r="F1136" s="53"/>
      <c r="G1136" s="53"/>
      <c r="H1136" s="156"/>
    </row>
    <row r="1137" spans="2:10" ht="16.5" customHeight="1">
      <c r="B1137" s="86"/>
      <c r="F1137" s="53"/>
      <c r="G1137" s="53"/>
      <c r="H1137" s="41"/>
    </row>
    <row r="1138" spans="2:10" ht="16.5" customHeight="1">
      <c r="B1138" s="86"/>
      <c r="F1138" s="53"/>
      <c r="G1138" s="53"/>
      <c r="H1138" s="41"/>
    </row>
    <row r="1139" spans="2:10" ht="16.5" customHeight="1">
      <c r="B1139" s="86"/>
      <c r="F1139" s="53"/>
      <c r="G1139" s="53"/>
      <c r="H1139" s="41"/>
    </row>
    <row r="1140" spans="2:10" ht="16.5" customHeight="1">
      <c r="B1140" s="86"/>
      <c r="F1140" s="53"/>
      <c r="G1140" s="53"/>
      <c r="H1140" s="41"/>
    </row>
    <row r="1141" spans="2:10" ht="16.5" customHeight="1">
      <c r="B1141" s="86"/>
      <c r="F1141" s="53"/>
      <c r="G1141" s="53"/>
      <c r="H1141" s="41"/>
    </row>
    <row r="1142" spans="2:10" ht="16.5" customHeight="1">
      <c r="B1142" s="86"/>
      <c r="F1142" s="53"/>
      <c r="G1142" s="53"/>
      <c r="H1142" s="156"/>
    </row>
    <row r="1143" spans="2:10" ht="16.5" customHeight="1">
      <c r="B1143" s="236"/>
      <c r="F1143" s="53"/>
      <c r="G1143" s="53"/>
      <c r="H1143" s="58"/>
    </row>
    <row r="1144" spans="2:10" ht="16.5" customHeight="1">
      <c r="B1144" s="54"/>
      <c r="F1144" s="53"/>
      <c r="G1144" s="53"/>
      <c r="H1144" s="58"/>
    </row>
    <row r="1145" spans="2:10" ht="16.5" customHeight="1">
      <c r="B1145" s="56"/>
      <c r="F1145" s="53"/>
      <c r="G1145" s="53"/>
      <c r="H1145" s="41"/>
    </row>
    <row r="1146" spans="2:10" ht="16.5" customHeight="1">
      <c r="B1146" s="57"/>
      <c r="D1146" s="58"/>
      <c r="F1146" s="53"/>
      <c r="G1146" s="53"/>
      <c r="H1146" s="41"/>
      <c r="J1146" s="87"/>
    </row>
    <row r="1147" spans="2:10" ht="16.5" customHeight="1">
      <c r="B1147" s="57"/>
      <c r="D1147" s="58"/>
      <c r="F1147" s="53"/>
      <c r="G1147" s="53"/>
      <c r="H1147" s="41"/>
      <c r="J1147" s="87"/>
    </row>
    <row r="1148" spans="2:10" ht="16.5" customHeight="1">
      <c r="B1148" s="57"/>
      <c r="D1148" s="58"/>
      <c r="F1148" s="53"/>
      <c r="G1148" s="53"/>
      <c r="H1148" s="41"/>
      <c r="J1148" s="87"/>
    </row>
    <row r="1149" spans="2:10" ht="16.5" customHeight="1">
      <c r="B1149" s="236"/>
      <c r="D1149" s="156"/>
      <c r="F1149" s="53"/>
      <c r="G1149" s="53"/>
      <c r="H1149" s="41"/>
    </row>
    <row r="1150" spans="2:10" ht="16.5" customHeight="1">
      <c r="B1150" s="236"/>
      <c r="D1150" s="156"/>
      <c r="F1150" s="53"/>
      <c r="G1150" s="53"/>
      <c r="H1150" s="41"/>
    </row>
    <row r="1151" spans="2:10" ht="16.5" customHeight="1">
      <c r="B1151" s="57"/>
      <c r="D1151" s="58"/>
      <c r="F1151" s="53"/>
      <c r="G1151" s="53"/>
      <c r="H1151" s="41"/>
    </row>
    <row r="1152" spans="2:10" ht="16.5" customHeight="1">
      <c r="B1152" s="57"/>
      <c r="D1152" s="58"/>
      <c r="F1152" s="53"/>
      <c r="G1152" s="53"/>
      <c r="H1152" s="41"/>
    </row>
    <row r="1153" spans="1:10" ht="16.5" customHeight="1">
      <c r="B1153" s="57"/>
      <c r="D1153" s="58"/>
      <c r="F1153" s="53"/>
      <c r="G1153" s="53"/>
      <c r="H1153" s="41"/>
    </row>
    <row r="1154" spans="1:10" ht="16.5" customHeight="1">
      <c r="B1154" s="57"/>
      <c r="D1154" s="58"/>
      <c r="F1154" s="53"/>
      <c r="G1154" s="53"/>
      <c r="H1154" s="41"/>
    </row>
    <row r="1155" spans="1:10" ht="16.5" customHeight="1">
      <c r="B1155" s="57"/>
      <c r="D1155" s="58"/>
      <c r="F1155" s="53"/>
      <c r="G1155" s="53"/>
      <c r="H1155" s="41"/>
    </row>
    <row r="1156" spans="1:10" ht="16.5" customHeight="1">
      <c r="B1156" s="236"/>
      <c r="D1156" s="58"/>
      <c r="F1156" s="53"/>
      <c r="G1156" s="53"/>
      <c r="H1156" s="41"/>
    </row>
    <row r="1157" spans="1:10" ht="16.5" customHeight="1">
      <c r="B1157" s="236"/>
      <c r="D1157" s="58"/>
      <c r="F1157" s="53"/>
      <c r="G1157" s="53"/>
      <c r="H1157" s="41"/>
    </row>
    <row r="1158" spans="1:10" ht="16.5" customHeight="1">
      <c r="B1158" s="54"/>
      <c r="F1158" s="53"/>
      <c r="G1158" s="53"/>
      <c r="H1158" s="58"/>
    </row>
    <row r="1159" spans="1:10" ht="16.5" customHeight="1">
      <c r="B1159" s="54"/>
      <c r="F1159" s="53"/>
      <c r="G1159" s="53"/>
      <c r="H1159" s="41"/>
    </row>
    <row r="1160" spans="1:10" ht="16.5" customHeight="1">
      <c r="B1160" s="86"/>
      <c r="F1160" s="53"/>
      <c r="G1160" s="53"/>
      <c r="H1160" s="41"/>
    </row>
    <row r="1161" spans="1:10" ht="16.5" customHeight="1">
      <c r="B1161" s="86"/>
      <c r="C1161" s="59"/>
      <c r="F1161" s="53"/>
      <c r="G1161" s="53"/>
      <c r="H1161" s="58"/>
    </row>
    <row r="1162" spans="1:10" ht="16.5" customHeight="1">
      <c r="B1162" s="86"/>
      <c r="F1162" s="53"/>
      <c r="G1162" s="53"/>
      <c r="H1162" s="41"/>
    </row>
    <row r="1163" spans="1:10" ht="16.149999999999999" customHeight="1">
      <c r="B1163" s="86"/>
      <c r="F1163" s="53"/>
      <c r="G1163" s="53"/>
      <c r="H1163" s="41"/>
    </row>
    <row r="1164" spans="1:10" ht="16.5" customHeight="1">
      <c r="F1164" s="53"/>
      <c r="G1164" s="53"/>
      <c r="H1164" s="41"/>
    </row>
    <row r="1165" spans="1:10" ht="16.5" customHeight="1">
      <c r="A1165" s="159"/>
      <c r="B1165" s="86"/>
      <c r="F1165" s="53"/>
      <c r="G1165" s="53"/>
      <c r="H1165" s="58"/>
    </row>
    <row r="1166" spans="1:10" ht="16.5" customHeight="1">
      <c r="B1166" s="86"/>
      <c r="F1166" s="53"/>
      <c r="G1166" s="53"/>
      <c r="H1166" s="41"/>
    </row>
    <row r="1167" spans="1:10" ht="16.5" customHeight="1">
      <c r="B1167" s="86"/>
      <c r="F1167" s="53"/>
      <c r="G1167" s="53"/>
      <c r="H1167" s="41"/>
    </row>
    <row r="1168" spans="1:10" ht="16.5" customHeight="1">
      <c r="B1168" s="86"/>
      <c r="F1168" s="53"/>
      <c r="G1168" s="53"/>
      <c r="H1168" s="58"/>
      <c r="J1168" s="87"/>
    </row>
    <row r="1169" spans="1:8" ht="16.5" customHeight="1">
      <c r="B1169" s="86"/>
      <c r="F1169" s="53"/>
      <c r="G1169" s="53"/>
      <c r="H1169" s="41"/>
    </row>
    <row r="1170" spans="1:8" ht="16.5" customHeight="1">
      <c r="B1170" s="86"/>
      <c r="F1170" s="53"/>
      <c r="G1170" s="53"/>
      <c r="H1170" s="41"/>
    </row>
    <row r="1171" spans="1:8" ht="16.5" customHeight="1">
      <c r="B1171" s="86"/>
      <c r="F1171" s="53"/>
      <c r="G1171" s="53"/>
      <c r="H1171" s="41"/>
    </row>
    <row r="1172" spans="1:8" ht="16.5" customHeight="1">
      <c r="B1172" s="86"/>
      <c r="F1172" s="53"/>
      <c r="G1172" s="53"/>
      <c r="H1172" s="41"/>
    </row>
    <row r="1173" spans="1:8" ht="16.5" customHeight="1">
      <c r="B1173" s="54"/>
      <c r="F1173" s="53"/>
      <c r="G1173" s="53"/>
      <c r="H1173" s="41"/>
    </row>
    <row r="1174" spans="1:8" ht="16.5" customHeight="1">
      <c r="B1174" s="54"/>
      <c r="F1174" s="53"/>
      <c r="G1174" s="53"/>
      <c r="H1174" s="41"/>
    </row>
    <row r="1175" spans="1:8" ht="16.5" customHeight="1">
      <c r="B1175" s="54"/>
      <c r="F1175" s="53"/>
      <c r="G1175" s="53"/>
      <c r="H1175" s="41"/>
    </row>
    <row r="1176" spans="1:8" ht="16.5" customHeight="1">
      <c r="B1176" s="54"/>
      <c r="F1176" s="53"/>
      <c r="G1176" s="53"/>
      <c r="H1176" s="41"/>
    </row>
    <row r="1177" spans="1:8" ht="16.5" customHeight="1">
      <c r="B1177" s="54"/>
      <c r="F1177" s="53"/>
      <c r="G1177" s="53"/>
      <c r="H1177" s="41"/>
    </row>
    <row r="1178" spans="1:8" ht="16.5" customHeight="1">
      <c r="B1178" s="54"/>
      <c r="F1178" s="53"/>
      <c r="G1178" s="53"/>
      <c r="H1178" s="41"/>
    </row>
    <row r="1179" spans="1:8" ht="16.5" customHeight="1">
      <c r="A1179" s="65"/>
      <c r="B1179" s="71"/>
      <c r="F1179" s="53"/>
      <c r="G1179" s="53"/>
      <c r="H1179" s="41"/>
    </row>
    <row r="1180" spans="1:8" ht="16.5" customHeight="1">
      <c r="A1180" s="65"/>
      <c r="B1180" s="54"/>
      <c r="F1180" s="53"/>
      <c r="G1180" s="53"/>
      <c r="H1180" s="41"/>
    </row>
    <row r="1181" spans="1:8" ht="16.5" customHeight="1">
      <c r="A1181" s="65"/>
      <c r="B1181" s="71"/>
      <c r="F1181" s="53"/>
      <c r="G1181" s="53"/>
      <c r="H1181" s="41"/>
    </row>
    <row r="1182" spans="1:8" ht="16.5" customHeight="1">
      <c r="B1182" s="54"/>
      <c r="F1182" s="53"/>
      <c r="G1182" s="53"/>
      <c r="H1182" s="41"/>
    </row>
    <row r="1183" spans="1:8" ht="16.5" customHeight="1">
      <c r="B1183" s="344"/>
      <c r="F1183" s="53"/>
      <c r="G1183" s="53"/>
      <c r="H1183" s="41"/>
    </row>
    <row r="1184" spans="1:8" ht="16.5" customHeight="1">
      <c r="B1184" s="54"/>
      <c r="F1184" s="53"/>
      <c r="G1184" s="53"/>
      <c r="H1184" s="41"/>
    </row>
    <row r="1185" spans="2:10" ht="16.5" customHeight="1">
      <c r="B1185" s="86"/>
      <c r="F1185" s="53"/>
      <c r="G1185" s="53"/>
      <c r="H1185" s="41"/>
    </row>
    <row r="1186" spans="2:10" ht="16.5" customHeight="1">
      <c r="B1186" s="86"/>
      <c r="F1186" s="53"/>
      <c r="G1186" s="53"/>
      <c r="H1186" s="41"/>
    </row>
    <row r="1187" spans="2:10" ht="16.5" customHeight="1">
      <c r="B1187" s="86"/>
      <c r="F1187" s="53"/>
      <c r="G1187" s="53"/>
      <c r="H1187" s="41"/>
    </row>
    <row r="1188" spans="2:10" ht="16.5" customHeight="1">
      <c r="B1188" s="86"/>
      <c r="F1188" s="53"/>
      <c r="G1188" s="53"/>
      <c r="H1188" s="41"/>
    </row>
    <row r="1189" spans="2:10" ht="16.5" customHeight="1">
      <c r="B1189" s="56"/>
      <c r="F1189" s="53"/>
      <c r="G1189" s="53"/>
      <c r="H1189" s="41"/>
    </row>
    <row r="1190" spans="2:10" ht="16.5" customHeight="1">
      <c r="B1190" s="57"/>
      <c r="D1190" s="58"/>
      <c r="F1190" s="53"/>
      <c r="G1190" s="53"/>
      <c r="H1190" s="41"/>
      <c r="I1190" s="155"/>
      <c r="J1190" s="87"/>
    </row>
    <row r="1191" spans="2:10" ht="16.5" customHeight="1">
      <c r="B1191" s="57"/>
      <c r="D1191" s="58"/>
      <c r="F1191" s="53"/>
      <c r="G1191" s="53"/>
      <c r="H1191" s="41"/>
      <c r="J1191" s="87"/>
    </row>
    <row r="1192" spans="2:10" ht="16.5" customHeight="1">
      <c r="B1192" s="236"/>
      <c r="D1192" s="156"/>
      <c r="F1192" s="53"/>
      <c r="G1192" s="53"/>
      <c r="H1192" s="41"/>
    </row>
    <row r="1193" spans="2:10" ht="16.5" customHeight="1">
      <c r="B1193" s="236"/>
      <c r="D1193" s="156"/>
      <c r="F1193" s="53"/>
      <c r="G1193" s="53"/>
      <c r="H1193" s="41"/>
    </row>
    <row r="1194" spans="2:10" ht="16.5" customHeight="1">
      <c r="B1194" s="57"/>
      <c r="D1194" s="58"/>
      <c r="F1194" s="53"/>
      <c r="G1194" s="53"/>
      <c r="H1194" s="41"/>
    </row>
    <row r="1195" spans="2:10" ht="16.5" customHeight="1">
      <c r="B1195" s="57"/>
      <c r="D1195" s="58"/>
      <c r="F1195" s="53"/>
      <c r="G1195" s="53"/>
      <c r="H1195" s="41"/>
    </row>
    <row r="1196" spans="2:10" ht="16.5" customHeight="1">
      <c r="B1196" s="57"/>
      <c r="D1196" s="58"/>
      <c r="F1196" s="53"/>
      <c r="G1196" s="53"/>
      <c r="H1196" s="41"/>
    </row>
    <row r="1197" spans="2:10" ht="16.5" customHeight="1">
      <c r="B1197" s="57"/>
      <c r="D1197" s="58"/>
      <c r="F1197" s="53"/>
      <c r="G1197" s="53"/>
      <c r="H1197" s="41"/>
    </row>
    <row r="1198" spans="2:10" ht="16.5" customHeight="1">
      <c r="B1198" s="57"/>
      <c r="D1198" s="58"/>
      <c r="F1198" s="53"/>
      <c r="G1198" s="53"/>
      <c r="H1198" s="41"/>
    </row>
    <row r="1199" spans="2:10" ht="16.5" customHeight="1">
      <c r="B1199" s="236"/>
      <c r="D1199" s="58"/>
      <c r="F1199" s="53"/>
      <c r="G1199" s="53"/>
      <c r="H1199" s="41"/>
    </row>
    <row r="1200" spans="2:10" ht="16.5" customHeight="1">
      <c r="B1200" s="236"/>
      <c r="D1200" s="58"/>
      <c r="F1200" s="53"/>
      <c r="G1200" s="53"/>
      <c r="H1200" s="41"/>
    </row>
    <row r="1201" spans="1:13" ht="16.5" customHeight="1">
      <c r="B1201" s="236"/>
      <c r="F1201" s="53"/>
      <c r="G1201" s="53"/>
      <c r="H1201" s="41"/>
    </row>
    <row r="1202" spans="1:13" ht="16.5" customHeight="1">
      <c r="B1202" s="86"/>
      <c r="F1202" s="53"/>
      <c r="G1202" s="53"/>
      <c r="H1202" s="41"/>
    </row>
    <row r="1203" spans="1:13" ht="16.5" customHeight="1">
      <c r="B1203" s="86"/>
      <c r="F1203" s="53"/>
      <c r="G1203" s="53"/>
      <c r="H1203" s="41"/>
    </row>
    <row r="1204" spans="1:13" ht="16.5" customHeight="1">
      <c r="B1204" s="86"/>
      <c r="F1204" s="53"/>
      <c r="G1204" s="53"/>
      <c r="H1204" s="41"/>
    </row>
    <row r="1205" spans="1:13" ht="16.5" customHeight="1">
      <c r="B1205" s="86"/>
      <c r="F1205" s="53"/>
      <c r="G1205" s="53"/>
      <c r="H1205" s="41"/>
    </row>
    <row r="1206" spans="1:13" ht="16.5" customHeight="1">
      <c r="B1206" s="252"/>
      <c r="F1206" s="53"/>
      <c r="G1206" s="53"/>
      <c r="H1206" s="41"/>
    </row>
    <row r="1207" spans="1:13" ht="16.5" customHeight="1">
      <c r="B1207" s="86"/>
      <c r="F1207" s="53"/>
      <c r="G1207" s="53"/>
      <c r="H1207" s="41"/>
    </row>
    <row r="1208" spans="1:13" ht="16.5" customHeight="1">
      <c r="B1208" s="54"/>
      <c r="F1208" s="53"/>
      <c r="G1208" s="53"/>
      <c r="H1208" s="41"/>
    </row>
    <row r="1209" spans="1:13" ht="16.5" customHeight="1">
      <c r="B1209" s="86"/>
      <c r="F1209" s="53"/>
      <c r="G1209" s="53"/>
      <c r="H1209" s="41"/>
    </row>
    <row r="1210" spans="1:13" ht="16.5" customHeight="1">
      <c r="B1210" s="60"/>
      <c r="F1210" s="53"/>
      <c r="G1210" s="53"/>
      <c r="H1210" s="41"/>
    </row>
    <row r="1211" spans="1:13" ht="16.5" customHeight="1">
      <c r="B1211" s="57"/>
      <c r="F1211" s="42"/>
      <c r="G1211" s="53"/>
      <c r="H1211" s="41"/>
    </row>
    <row r="1212" spans="1:13" ht="16.5" customHeight="1">
      <c r="B1212" s="57"/>
      <c r="F1212" s="42"/>
      <c r="G1212" s="53"/>
      <c r="H1212" s="41"/>
    </row>
    <row r="1213" spans="1:13" s="316" customFormat="1" ht="16.5" customHeight="1">
      <c r="A1213" s="311"/>
      <c r="B1213" s="236"/>
      <c r="C1213" s="312"/>
      <c r="D1213" s="156"/>
      <c r="E1213" s="366"/>
      <c r="F1213" s="157"/>
      <c r="G1213" s="158"/>
      <c r="H1213" s="156"/>
      <c r="I1213" s="312"/>
      <c r="J1213" s="66"/>
      <c r="K1213" s="315"/>
    </row>
    <row r="1214" spans="1:13" ht="16.5" customHeight="1">
      <c r="B1214" s="57"/>
      <c r="F1214" s="42"/>
      <c r="G1214" s="53"/>
      <c r="H1214" s="41"/>
    </row>
    <row r="1215" spans="1:13" s="67" customFormat="1" ht="15.75" customHeight="1">
      <c r="A1215" s="65"/>
      <c r="B1215" s="72"/>
      <c r="C1215" s="59"/>
      <c r="D1215" s="41"/>
      <c r="E1215" s="78"/>
      <c r="F1215" s="79"/>
      <c r="G1215" s="53"/>
      <c r="H1215" s="41"/>
      <c r="I1215" s="59"/>
      <c r="J1215" s="44"/>
      <c r="K1215" s="44"/>
    </row>
    <row r="1216" spans="1:13" ht="16.5" customHeight="1">
      <c r="B1216" s="342"/>
      <c r="F1216" s="240"/>
      <c r="G1216" s="53"/>
      <c r="H1216" s="41"/>
      <c r="M1216" s="67"/>
    </row>
    <row r="1217" spans="1:13" ht="16.5" customHeight="1">
      <c r="B1217" s="57"/>
      <c r="D1217" s="156"/>
      <c r="F1217" s="53"/>
      <c r="G1217" s="53"/>
      <c r="H1217" s="41"/>
      <c r="M1217" s="67"/>
    </row>
    <row r="1218" spans="1:13" ht="16.5" customHeight="1">
      <c r="B1218" s="236"/>
      <c r="F1218" s="53"/>
      <c r="G1218" s="53"/>
      <c r="H1218" s="41"/>
    </row>
    <row r="1219" spans="1:13" ht="16.5" customHeight="1">
      <c r="B1219" s="236"/>
      <c r="F1219" s="53"/>
      <c r="G1219" s="53"/>
      <c r="H1219" s="41"/>
    </row>
    <row r="1220" spans="1:13" ht="16.5" customHeight="1">
      <c r="B1220" s="236"/>
      <c r="D1220" s="156"/>
      <c r="F1220" s="53"/>
      <c r="G1220" s="53"/>
      <c r="H1220" s="41"/>
    </row>
    <row r="1221" spans="1:13" ht="16.5" customHeight="1">
      <c r="B1221" s="54"/>
      <c r="D1221" s="156"/>
      <c r="F1221" s="53"/>
      <c r="G1221" s="53"/>
      <c r="H1221" s="41"/>
    </row>
    <row r="1222" spans="1:13" ht="16.5" customHeight="1">
      <c r="A1222" s="159"/>
      <c r="B1222" s="236"/>
      <c r="F1222" s="53"/>
      <c r="G1222" s="53"/>
      <c r="H1222" s="41"/>
    </row>
    <row r="1223" spans="1:13" ht="16.5" customHeight="1">
      <c r="B1223" s="86"/>
      <c r="F1223" s="53"/>
      <c r="G1223" s="53"/>
      <c r="H1223" s="41"/>
    </row>
    <row r="1224" spans="1:13" ht="16.5" customHeight="1">
      <c r="F1224" s="53"/>
      <c r="G1224" s="53"/>
      <c r="H1224" s="41"/>
    </row>
    <row r="1225" spans="1:13" ht="16.5" customHeight="1">
      <c r="B1225" s="252"/>
      <c r="F1225" s="53"/>
      <c r="G1225" s="53"/>
      <c r="H1225" s="41"/>
    </row>
    <row r="1226" spans="1:13" ht="16.5" customHeight="1">
      <c r="F1226" s="53"/>
      <c r="G1226" s="53"/>
      <c r="H1226" s="41"/>
    </row>
    <row r="1227" spans="1:13" ht="16.5" customHeight="1">
      <c r="B1227" s="56"/>
      <c r="F1227" s="53"/>
      <c r="G1227" s="53"/>
      <c r="H1227" s="41"/>
    </row>
    <row r="1228" spans="1:13" ht="16.5" customHeight="1">
      <c r="B1228" s="57"/>
      <c r="D1228" s="58"/>
      <c r="F1228" s="53"/>
      <c r="G1228" s="53"/>
      <c r="H1228" s="41"/>
      <c r="I1228" s="155"/>
      <c r="J1228" s="87"/>
    </row>
    <row r="1229" spans="1:13" ht="16.5" customHeight="1">
      <c r="B1229" s="57"/>
      <c r="D1229" s="58"/>
      <c r="F1229" s="53"/>
      <c r="G1229" s="53"/>
      <c r="H1229" s="41"/>
      <c r="J1229" s="87"/>
    </row>
    <row r="1230" spans="1:13" ht="16.5" customHeight="1">
      <c r="B1230" s="236"/>
      <c r="D1230" s="156"/>
      <c r="F1230" s="53"/>
      <c r="G1230" s="53"/>
      <c r="H1230" s="41"/>
    </row>
    <row r="1231" spans="1:13" ht="16.5" customHeight="1">
      <c r="B1231" s="236"/>
      <c r="D1231" s="156"/>
      <c r="F1231" s="53"/>
      <c r="G1231" s="53"/>
      <c r="H1231" s="41"/>
    </row>
    <row r="1232" spans="1:13" ht="16.5" customHeight="1">
      <c r="B1232" s="57"/>
      <c r="D1232" s="58"/>
      <c r="F1232" s="53"/>
      <c r="G1232" s="53"/>
      <c r="H1232" s="41"/>
    </row>
    <row r="1233" spans="2:8" ht="16.5" customHeight="1">
      <c r="B1233" s="57"/>
      <c r="D1233" s="58"/>
      <c r="F1233" s="53"/>
      <c r="G1233" s="53"/>
      <c r="H1233" s="41"/>
    </row>
    <row r="1234" spans="2:8" ht="16.5" customHeight="1">
      <c r="B1234" s="57"/>
      <c r="D1234" s="58"/>
      <c r="F1234" s="53"/>
      <c r="G1234" s="53"/>
      <c r="H1234" s="41"/>
    </row>
    <row r="1235" spans="2:8" ht="16.5" customHeight="1">
      <c r="B1235" s="57"/>
      <c r="D1235" s="58"/>
      <c r="F1235" s="53"/>
      <c r="G1235" s="53"/>
      <c r="H1235" s="41"/>
    </row>
    <row r="1236" spans="2:8" ht="16.5" customHeight="1">
      <c r="B1236" s="57"/>
      <c r="D1236" s="58"/>
      <c r="F1236" s="53"/>
      <c r="G1236" s="53"/>
      <c r="H1236" s="41"/>
    </row>
    <row r="1237" spans="2:8" ht="16.5" customHeight="1">
      <c r="B1237" s="236"/>
      <c r="D1237" s="58"/>
      <c r="F1237" s="53"/>
      <c r="G1237" s="53"/>
      <c r="H1237" s="41"/>
    </row>
    <row r="1238" spans="2:8" ht="16.5" customHeight="1">
      <c r="B1238" s="236"/>
      <c r="D1238" s="58"/>
      <c r="F1238" s="53"/>
      <c r="G1238" s="53"/>
      <c r="H1238" s="41"/>
    </row>
    <row r="1239" spans="2:8" ht="16.5" customHeight="1">
      <c r="F1239" s="53"/>
      <c r="G1239" s="53"/>
      <c r="H1239" s="41"/>
    </row>
    <row r="1240" spans="2:8" ht="16.5" customHeight="1">
      <c r="F1240" s="53"/>
      <c r="G1240" s="53"/>
      <c r="H1240" s="41"/>
    </row>
    <row r="1241" spans="2:8" ht="16.5" customHeight="1">
      <c r="F1241" s="53"/>
      <c r="G1241" s="53"/>
      <c r="H1241" s="41"/>
    </row>
    <row r="1242" spans="2:8" ht="16.5" customHeight="1">
      <c r="F1242" s="53"/>
      <c r="G1242" s="53"/>
      <c r="H1242" s="41"/>
    </row>
    <row r="1243" spans="2:8" ht="16.5" customHeight="1">
      <c r="F1243" s="53"/>
      <c r="G1243" s="53"/>
      <c r="H1243" s="41"/>
    </row>
    <row r="1244" spans="2:8" ht="16.5" customHeight="1">
      <c r="F1244" s="53"/>
      <c r="G1244" s="53"/>
      <c r="H1244" s="41"/>
    </row>
    <row r="1245" spans="2:8" ht="16.5" customHeight="1">
      <c r="F1245" s="53"/>
      <c r="G1245" s="53"/>
      <c r="H1245" s="41"/>
    </row>
    <row r="1246" spans="2:8" ht="16.5" customHeight="1">
      <c r="F1246" s="53"/>
      <c r="G1246" s="53"/>
      <c r="H1246" s="41"/>
    </row>
    <row r="1247" spans="2:8" ht="16.5" customHeight="1">
      <c r="B1247" s="86"/>
      <c r="F1247" s="53"/>
      <c r="G1247" s="53"/>
      <c r="H1247" s="41"/>
    </row>
    <row r="1248" spans="2:8" ht="16.5" customHeight="1">
      <c r="F1248" s="53"/>
      <c r="G1248" s="53"/>
      <c r="H1248" s="41"/>
    </row>
    <row r="1249" spans="2:10" ht="16.5" customHeight="1">
      <c r="F1249" s="53"/>
      <c r="G1249" s="53"/>
      <c r="H1249" s="41"/>
    </row>
    <row r="1250" spans="2:10" ht="16.5" customHeight="1">
      <c r="F1250" s="53"/>
      <c r="G1250" s="53"/>
      <c r="H1250" s="41"/>
    </row>
    <row r="1251" spans="2:10" ht="16.5" customHeight="1">
      <c r="F1251" s="53"/>
      <c r="G1251" s="53"/>
      <c r="H1251" s="41"/>
    </row>
    <row r="1252" spans="2:10" ht="16.5" customHeight="1">
      <c r="B1252" s="86"/>
      <c r="F1252" s="53"/>
      <c r="G1252" s="53"/>
      <c r="H1252" s="41"/>
    </row>
    <row r="1253" spans="2:10" ht="16.5" customHeight="1">
      <c r="B1253" s="54"/>
      <c r="F1253" s="53"/>
      <c r="G1253" s="53"/>
      <c r="H1253" s="41"/>
    </row>
    <row r="1254" spans="2:10" ht="16.5" customHeight="1">
      <c r="F1254" s="53"/>
      <c r="G1254" s="53"/>
      <c r="H1254" s="41"/>
    </row>
    <row r="1255" spans="2:10" ht="16.5" customHeight="1">
      <c r="B1255" s="236"/>
      <c r="D1255" s="58"/>
      <c r="F1255" s="53"/>
      <c r="G1255" s="53"/>
      <c r="H1255" s="41"/>
    </row>
    <row r="1256" spans="2:10" ht="16.5" customHeight="1">
      <c r="B1256" s="86"/>
      <c r="F1256" s="53"/>
      <c r="G1256" s="53"/>
      <c r="H1256" s="41"/>
    </row>
    <row r="1257" spans="2:10" ht="16.5" customHeight="1">
      <c r="B1257" s="236"/>
      <c r="F1257" s="53"/>
      <c r="G1257" s="53"/>
      <c r="H1257" s="41"/>
    </row>
    <row r="1258" spans="2:10" ht="16.5" customHeight="1">
      <c r="G1258" s="53"/>
      <c r="H1258" s="41"/>
    </row>
    <row r="1259" spans="2:10" ht="16.5" customHeight="1">
      <c r="B1259" s="252"/>
      <c r="F1259" s="53"/>
      <c r="G1259" s="53"/>
      <c r="H1259" s="41"/>
    </row>
    <row r="1260" spans="2:10" ht="16.5" customHeight="1">
      <c r="B1260" s="54"/>
      <c r="F1260" s="53"/>
      <c r="G1260" s="53"/>
      <c r="H1260" s="41"/>
    </row>
    <row r="1261" spans="2:10" ht="16.5" customHeight="1">
      <c r="B1261" s="86"/>
      <c r="F1261" s="53"/>
      <c r="G1261" s="53"/>
      <c r="H1261" s="41"/>
    </row>
    <row r="1262" spans="2:10" ht="16.5" customHeight="1">
      <c r="B1262" s="252"/>
      <c r="F1262" s="53"/>
      <c r="G1262" s="53"/>
      <c r="H1262" s="41"/>
    </row>
    <row r="1263" spans="2:10" ht="16.5" customHeight="1">
      <c r="B1263" s="56"/>
      <c r="F1263" s="53"/>
      <c r="G1263" s="53"/>
      <c r="H1263" s="41"/>
    </row>
    <row r="1264" spans="2:10" ht="16.5" customHeight="1">
      <c r="B1264" s="349"/>
      <c r="D1264" s="58"/>
      <c r="F1264" s="53"/>
      <c r="G1264" s="53"/>
      <c r="H1264" s="41"/>
      <c r="I1264" s="155"/>
      <c r="J1264" s="87"/>
    </row>
    <row r="1265" spans="2:10" ht="16.5" customHeight="1">
      <c r="B1265" s="57"/>
      <c r="D1265" s="58"/>
      <c r="F1265" s="53"/>
      <c r="G1265" s="53"/>
      <c r="H1265" s="41"/>
      <c r="J1265" s="87"/>
    </row>
    <row r="1266" spans="2:10" ht="16.5" customHeight="1">
      <c r="B1266" s="350"/>
      <c r="D1266" s="156"/>
      <c r="F1266" s="53"/>
      <c r="G1266" s="53"/>
      <c r="H1266" s="41"/>
    </row>
    <row r="1267" spans="2:10" ht="16.5" customHeight="1">
      <c r="B1267" s="236"/>
      <c r="D1267" s="156"/>
      <c r="F1267" s="53"/>
      <c r="G1267" s="53"/>
      <c r="H1267" s="41"/>
    </row>
    <row r="1268" spans="2:10" ht="16.5" customHeight="1">
      <c r="B1268" s="349"/>
      <c r="D1268" s="58"/>
      <c r="F1268" s="53"/>
      <c r="G1268" s="53"/>
      <c r="H1268" s="41"/>
    </row>
    <row r="1269" spans="2:10" ht="16.5" customHeight="1">
      <c r="B1269" s="57"/>
      <c r="D1269" s="58"/>
      <c r="F1269" s="53"/>
      <c r="G1269" s="53"/>
      <c r="H1269" s="41"/>
    </row>
    <row r="1270" spans="2:10" ht="16.5" customHeight="1">
      <c r="B1270" s="350"/>
      <c r="D1270" s="58"/>
      <c r="F1270" s="53"/>
      <c r="G1270" s="53"/>
      <c r="H1270" s="41"/>
    </row>
    <row r="1271" spans="2:10" ht="16.5" customHeight="1">
      <c r="B1271" s="236"/>
      <c r="D1271" s="58"/>
      <c r="F1271" s="53"/>
      <c r="G1271" s="53"/>
      <c r="H1271" s="41"/>
    </row>
    <row r="1272" spans="2:10" ht="16.5" customHeight="1">
      <c r="B1272" s="350"/>
      <c r="D1272" s="58"/>
      <c r="F1272" s="53"/>
      <c r="G1272" s="53"/>
      <c r="H1272" s="41"/>
    </row>
    <row r="1273" spans="2:10" ht="16.5" customHeight="1">
      <c r="B1273" s="236"/>
      <c r="D1273" s="58"/>
      <c r="F1273" s="53"/>
      <c r="G1273" s="53"/>
      <c r="H1273" s="41"/>
    </row>
    <row r="1274" spans="2:10" ht="16.5" customHeight="1">
      <c r="B1274" s="86"/>
      <c r="F1274" s="53"/>
      <c r="G1274" s="53"/>
      <c r="H1274" s="41"/>
    </row>
    <row r="1275" spans="2:10" ht="16.5" customHeight="1">
      <c r="B1275" s="54"/>
      <c r="F1275" s="53"/>
      <c r="G1275" s="53"/>
      <c r="H1275" s="41"/>
    </row>
    <row r="1276" spans="2:10" ht="16.5" customHeight="1">
      <c r="B1276" s="252"/>
      <c r="F1276" s="53"/>
      <c r="G1276" s="53"/>
      <c r="H1276" s="41"/>
    </row>
    <row r="1277" spans="2:10" ht="16.5" customHeight="1">
      <c r="B1277" s="252"/>
      <c r="F1277" s="53"/>
      <c r="G1277" s="53"/>
      <c r="H1277" s="41"/>
    </row>
    <row r="1278" spans="2:10" ht="16.5" customHeight="1">
      <c r="B1278" s="252"/>
      <c r="F1278" s="53"/>
      <c r="G1278" s="53"/>
      <c r="H1278" s="41"/>
    </row>
    <row r="1279" spans="2:10" ht="16.5" customHeight="1">
      <c r="B1279" s="252"/>
      <c r="F1279" s="53"/>
      <c r="G1279" s="53"/>
      <c r="H1279" s="41"/>
    </row>
    <row r="1280" spans="2:10" ht="16.5" customHeight="1">
      <c r="B1280" s="252"/>
      <c r="F1280" s="53"/>
      <c r="G1280" s="53"/>
      <c r="H1280" s="41"/>
    </row>
    <row r="1281" spans="2:8" ht="16.5" customHeight="1">
      <c r="B1281" s="252"/>
      <c r="F1281" s="53"/>
      <c r="G1281" s="53"/>
      <c r="H1281" s="41"/>
    </row>
    <row r="1282" spans="2:8" ht="16.5" customHeight="1">
      <c r="B1282" s="252"/>
      <c r="F1282" s="53"/>
      <c r="G1282" s="53"/>
      <c r="H1282" s="41"/>
    </row>
    <row r="1283" spans="2:8" ht="16.5" customHeight="1">
      <c r="B1283" s="252"/>
      <c r="F1283" s="53"/>
      <c r="G1283" s="53"/>
      <c r="H1283" s="41"/>
    </row>
    <row r="1284" spans="2:8" ht="16.5" customHeight="1">
      <c r="B1284" s="86"/>
      <c r="F1284" s="53"/>
      <c r="G1284" s="53"/>
      <c r="H1284" s="41"/>
    </row>
    <row r="1285" spans="2:8" ht="16.5" customHeight="1">
      <c r="B1285" s="236"/>
      <c r="D1285" s="58"/>
      <c r="F1285" s="53"/>
      <c r="G1285" s="53"/>
      <c r="H1285" s="41"/>
    </row>
    <row r="1286" spans="2:8" ht="16.5" customHeight="1">
      <c r="B1286" s="54"/>
      <c r="F1286" s="53"/>
      <c r="G1286" s="53"/>
      <c r="H1286" s="41"/>
    </row>
    <row r="1287" spans="2:8" ht="16.5" customHeight="1">
      <c r="B1287" s="86"/>
      <c r="F1287" s="53"/>
      <c r="G1287" s="53"/>
      <c r="H1287" s="41"/>
    </row>
    <row r="1288" spans="2:8" ht="16.5" customHeight="1">
      <c r="B1288" s="86"/>
      <c r="F1288" s="53"/>
      <c r="G1288" s="53"/>
      <c r="H1288" s="41"/>
    </row>
    <row r="1289" spans="2:8" ht="16.5" customHeight="1">
      <c r="B1289" s="54"/>
      <c r="F1289" s="53"/>
      <c r="G1289" s="53"/>
      <c r="H1289" s="41"/>
    </row>
    <row r="1290" spans="2:8" ht="16.5" customHeight="1">
      <c r="B1290" s="54"/>
      <c r="F1290" s="53"/>
      <c r="G1290" s="53"/>
      <c r="H1290" s="41"/>
    </row>
    <row r="1291" spans="2:8" ht="16.5" customHeight="1">
      <c r="B1291" s="54"/>
      <c r="F1291" s="53"/>
      <c r="G1291" s="53"/>
      <c r="H1291" s="41"/>
    </row>
    <row r="1292" spans="2:8" ht="16.5" customHeight="1">
      <c r="B1292" s="86"/>
      <c r="F1292" s="53"/>
      <c r="G1292" s="53"/>
      <c r="H1292" s="41"/>
    </row>
    <row r="1293" spans="2:8" ht="16.5" customHeight="1">
      <c r="B1293" s="54"/>
      <c r="F1293" s="53"/>
      <c r="G1293" s="53"/>
      <c r="H1293" s="41"/>
    </row>
    <row r="1294" spans="2:8" ht="16.5" customHeight="1">
      <c r="B1294" s="86"/>
      <c r="F1294" s="53"/>
      <c r="G1294" s="53"/>
      <c r="H1294" s="41"/>
    </row>
    <row r="1295" spans="2:8" ht="16.5" customHeight="1">
      <c r="B1295" s="54"/>
      <c r="F1295" s="53"/>
      <c r="G1295" s="53"/>
      <c r="H1295" s="41"/>
    </row>
    <row r="1296" spans="2:8" ht="16.5" customHeight="1">
      <c r="B1296" s="252"/>
      <c r="F1296" s="53"/>
      <c r="G1296" s="53"/>
      <c r="H1296" s="41"/>
    </row>
    <row r="1297" spans="2:10" ht="16.5" customHeight="1">
      <c r="B1297" s="71"/>
      <c r="F1297" s="53"/>
      <c r="G1297" s="53"/>
      <c r="H1297" s="41"/>
    </row>
    <row r="1298" spans="2:10" ht="16.5" customHeight="1">
      <c r="B1298" s="252"/>
      <c r="F1298" s="53"/>
      <c r="G1298" s="53"/>
      <c r="H1298" s="41"/>
    </row>
    <row r="1299" spans="2:10" ht="16.5" customHeight="1">
      <c r="B1299" s="236"/>
      <c r="D1299" s="58"/>
      <c r="F1299" s="53"/>
      <c r="G1299" s="53"/>
      <c r="H1299" s="41"/>
    </row>
    <row r="1300" spans="2:10" ht="16.5" customHeight="1">
      <c r="B1300" s="56"/>
      <c r="F1300" s="53"/>
      <c r="G1300" s="53"/>
      <c r="H1300" s="41"/>
    </row>
    <row r="1301" spans="2:10" ht="16.5" customHeight="1">
      <c r="B1301" s="57"/>
      <c r="D1301" s="58"/>
      <c r="F1301" s="53"/>
      <c r="G1301" s="53"/>
      <c r="H1301" s="41"/>
      <c r="I1301" s="155"/>
      <c r="J1301" s="87"/>
    </row>
    <row r="1302" spans="2:10" ht="16.5" customHeight="1">
      <c r="B1302" s="349"/>
      <c r="D1302" s="58"/>
      <c r="F1302" s="53"/>
      <c r="G1302" s="53"/>
      <c r="H1302" s="41"/>
      <c r="I1302" s="155"/>
      <c r="J1302" s="87"/>
    </row>
    <row r="1303" spans="2:10" ht="16.5" customHeight="1">
      <c r="B1303" s="57"/>
      <c r="D1303" s="58"/>
      <c r="F1303" s="53"/>
      <c r="G1303" s="53"/>
      <c r="H1303" s="41"/>
      <c r="J1303" s="87"/>
    </row>
    <row r="1304" spans="2:10" ht="16.5" customHeight="1">
      <c r="B1304" s="350"/>
      <c r="D1304" s="156"/>
      <c r="F1304" s="53"/>
      <c r="G1304" s="53"/>
      <c r="H1304" s="41"/>
    </row>
    <row r="1305" spans="2:10" ht="16.5" customHeight="1">
      <c r="B1305" s="236"/>
      <c r="D1305" s="156"/>
      <c r="F1305" s="53"/>
      <c r="G1305" s="53"/>
      <c r="H1305" s="41"/>
    </row>
    <row r="1306" spans="2:10" ht="16.5" customHeight="1">
      <c r="B1306" s="349"/>
      <c r="D1306" s="58"/>
      <c r="F1306" s="53"/>
      <c r="G1306" s="53"/>
      <c r="H1306" s="41"/>
    </row>
    <row r="1307" spans="2:10" ht="16.5" customHeight="1">
      <c r="B1307" s="57"/>
      <c r="D1307" s="58"/>
      <c r="F1307" s="53"/>
      <c r="G1307" s="53"/>
      <c r="H1307" s="41"/>
    </row>
    <row r="1308" spans="2:10" ht="16.5" customHeight="1">
      <c r="B1308" s="349"/>
      <c r="D1308" s="58"/>
      <c r="F1308" s="53"/>
      <c r="G1308" s="53"/>
      <c r="H1308" s="41"/>
    </row>
    <row r="1309" spans="2:10" ht="16.5" customHeight="1">
      <c r="B1309" s="236"/>
      <c r="D1309" s="58"/>
      <c r="F1309" s="53"/>
      <c r="G1309" s="53"/>
      <c r="H1309" s="41"/>
    </row>
    <row r="1310" spans="2:10" ht="16.5" customHeight="1">
      <c r="B1310" s="60"/>
      <c r="F1310" s="53"/>
      <c r="G1310" s="53"/>
      <c r="H1310" s="41"/>
    </row>
    <row r="1311" spans="2:10" ht="16.5" customHeight="1">
      <c r="B1311" s="57"/>
      <c r="F1311" s="42"/>
      <c r="G1311" s="53"/>
      <c r="H1311" s="41"/>
    </row>
    <row r="1312" spans="2:10" ht="16.5" customHeight="1">
      <c r="B1312" s="57"/>
      <c r="F1312" s="42"/>
      <c r="G1312" s="53"/>
      <c r="H1312" s="41"/>
    </row>
    <row r="1313" spans="1:15" ht="16.5" customHeight="1">
      <c r="B1313" s="57"/>
      <c r="F1313" s="42"/>
      <c r="G1313" s="53"/>
      <c r="H1313" s="41"/>
    </row>
    <row r="1314" spans="1:15" s="67" customFormat="1" ht="15.75" customHeight="1">
      <c r="A1314" s="65"/>
      <c r="B1314" s="72"/>
      <c r="C1314" s="59"/>
      <c r="D1314" s="41"/>
      <c r="E1314" s="78"/>
      <c r="F1314" s="79"/>
      <c r="G1314" s="53"/>
      <c r="H1314" s="41"/>
      <c r="I1314" s="59"/>
      <c r="J1314" s="44"/>
      <c r="K1314" s="44"/>
    </row>
    <row r="1315" spans="1:15" ht="16.5" customHeight="1">
      <c r="B1315" s="342"/>
      <c r="F1315" s="240"/>
      <c r="G1315" s="53"/>
      <c r="H1315" s="41"/>
      <c r="M1315" s="67"/>
    </row>
    <row r="1316" spans="1:15" ht="16.5" customHeight="1">
      <c r="B1316" s="57"/>
      <c r="D1316" s="156"/>
      <c r="F1316" s="53"/>
      <c r="G1316" s="53"/>
      <c r="H1316" s="41"/>
      <c r="M1316" s="67"/>
    </row>
    <row r="1317" spans="1:15" ht="16.5" customHeight="1">
      <c r="B1317" s="236"/>
      <c r="F1317" s="53"/>
      <c r="G1317" s="53"/>
      <c r="H1317" s="41"/>
    </row>
    <row r="1318" spans="1:15" ht="16.5" customHeight="1">
      <c r="B1318" s="236"/>
      <c r="F1318" s="53"/>
      <c r="G1318" s="53"/>
      <c r="H1318" s="41"/>
    </row>
    <row r="1319" spans="1:15" ht="16.5" customHeight="1">
      <c r="B1319" s="236"/>
      <c r="F1319" s="158"/>
      <c r="G1319" s="53"/>
      <c r="H1319" s="41"/>
    </row>
    <row r="1320" spans="1:15" ht="16.5" customHeight="1">
      <c r="B1320" s="236"/>
      <c r="D1320" s="156"/>
      <c r="F1320" s="53"/>
      <c r="G1320" s="53"/>
      <c r="H1320" s="41"/>
    </row>
    <row r="1321" spans="1:15" ht="16.5" customHeight="1">
      <c r="A1321" s="159"/>
      <c r="B1321" s="236"/>
      <c r="F1321" s="53"/>
      <c r="G1321" s="53"/>
      <c r="H1321" s="41"/>
    </row>
    <row r="1322" spans="1:15" ht="16.5" customHeight="1">
      <c r="A1322" s="159"/>
      <c r="B1322" s="236"/>
      <c r="F1322" s="53"/>
      <c r="G1322" s="53"/>
      <c r="H1322" s="41"/>
    </row>
    <row r="1323" spans="1:15" ht="16.5" customHeight="1">
      <c r="A1323" s="159"/>
      <c r="B1323" s="236"/>
      <c r="F1323" s="53"/>
      <c r="G1323" s="53"/>
      <c r="H1323" s="41"/>
    </row>
    <row r="1324" spans="1:15" ht="16.5" customHeight="1">
      <c r="B1324" s="54"/>
      <c r="F1324" s="53"/>
      <c r="G1324" s="53"/>
      <c r="H1324" s="41"/>
      <c r="O1324" s="363"/>
    </row>
    <row r="1325" spans="1:15" ht="16.5" customHeight="1">
      <c r="B1325" s="54"/>
      <c r="F1325" s="53"/>
      <c r="G1325" s="53"/>
      <c r="H1325" s="41"/>
      <c r="O1325" s="363"/>
    </row>
    <row r="1326" spans="1:15" ht="16.5" customHeight="1">
      <c r="B1326" s="54"/>
      <c r="F1326" s="53"/>
      <c r="G1326" s="53"/>
      <c r="H1326" s="41"/>
      <c r="O1326" s="363"/>
    </row>
    <row r="1327" spans="1:15" ht="16.5" customHeight="1">
      <c r="B1327" s="54"/>
      <c r="F1327" s="53"/>
      <c r="G1327" s="53"/>
      <c r="H1327" s="41"/>
      <c r="O1327" s="363"/>
    </row>
    <row r="1328" spans="1:15" ht="16.5" customHeight="1">
      <c r="B1328" s="54"/>
      <c r="F1328" s="53"/>
      <c r="G1328" s="53"/>
      <c r="H1328" s="41"/>
      <c r="O1328" s="363"/>
    </row>
    <row r="1329" spans="2:15" ht="16.5" customHeight="1">
      <c r="B1329" s="54"/>
      <c r="F1329" s="53"/>
      <c r="G1329" s="53"/>
      <c r="H1329" s="41"/>
      <c r="O1329" s="363"/>
    </row>
    <row r="1330" spans="2:15" ht="16.5" customHeight="1">
      <c r="B1330" s="54"/>
      <c r="F1330" s="53"/>
      <c r="G1330" s="53"/>
      <c r="H1330" s="41"/>
      <c r="O1330" s="363"/>
    </row>
    <row r="1331" spans="2:15" ht="16.5" customHeight="1">
      <c r="B1331" s="71"/>
      <c r="F1331" s="53"/>
      <c r="G1331" s="53"/>
      <c r="H1331" s="41"/>
      <c r="O1331" s="363"/>
    </row>
    <row r="1332" spans="2:15" ht="16.5" customHeight="1">
      <c r="B1332" s="54"/>
      <c r="F1332" s="53"/>
      <c r="G1332" s="53"/>
      <c r="H1332" s="41"/>
      <c r="K1332" s="66"/>
      <c r="O1332" s="363"/>
    </row>
    <row r="1333" spans="2:15" ht="16.5" customHeight="1">
      <c r="B1333" s="86"/>
      <c r="F1333" s="53"/>
      <c r="G1333" s="53"/>
      <c r="H1333" s="41"/>
      <c r="O1333" s="363"/>
    </row>
    <row r="1334" spans="2:15" ht="16.5" customHeight="1">
      <c r="B1334" s="54"/>
      <c r="F1334" s="53"/>
      <c r="G1334" s="53"/>
      <c r="H1334" s="41"/>
      <c r="O1334" s="363"/>
    </row>
    <row r="1335" spans="2:15" ht="16.5" customHeight="1">
      <c r="B1335" s="86"/>
      <c r="E1335" s="366"/>
      <c r="F1335" s="53"/>
      <c r="G1335" s="53"/>
      <c r="H1335" s="41"/>
      <c r="O1335" s="363"/>
    </row>
    <row r="1336" spans="2:15" ht="15" customHeight="1">
      <c r="B1336" s="252"/>
      <c r="F1336" s="53"/>
      <c r="G1336" s="53"/>
      <c r="H1336" s="41"/>
      <c r="O1336" s="363"/>
    </row>
    <row r="1337" spans="2:15" ht="16.5" customHeight="1">
      <c r="B1337" s="252"/>
      <c r="F1337" s="53"/>
      <c r="G1337" s="53"/>
      <c r="H1337" s="156"/>
      <c r="O1337" s="363"/>
    </row>
    <row r="1338" spans="2:15" ht="16.5" customHeight="1">
      <c r="B1338" s="252"/>
      <c r="F1338" s="53"/>
      <c r="G1338" s="53"/>
      <c r="H1338" s="41"/>
      <c r="O1338" s="363"/>
    </row>
    <row r="1339" spans="2:15" ht="16.5" customHeight="1">
      <c r="B1339" s="252"/>
      <c r="F1339" s="53"/>
      <c r="G1339" s="53"/>
      <c r="H1339" s="41"/>
      <c r="O1339" s="363"/>
    </row>
    <row r="1340" spans="2:15" ht="16.5" customHeight="1">
      <c r="B1340" s="252"/>
      <c r="F1340" s="53"/>
      <c r="G1340" s="53"/>
      <c r="H1340" s="41"/>
      <c r="O1340" s="363"/>
    </row>
    <row r="1341" spans="2:15" ht="16.5" customHeight="1">
      <c r="B1341" s="54"/>
      <c r="F1341" s="53"/>
      <c r="G1341" s="53"/>
      <c r="H1341" s="41"/>
      <c r="O1341" s="363"/>
    </row>
    <row r="1342" spans="2:15" ht="16.5" customHeight="1">
      <c r="B1342" s="86"/>
      <c r="F1342" s="53"/>
      <c r="G1342" s="53"/>
      <c r="H1342" s="41"/>
      <c r="O1342" s="363"/>
    </row>
    <row r="1343" spans="2:15" ht="16.5" customHeight="1">
      <c r="B1343" s="54"/>
      <c r="F1343" s="53"/>
      <c r="G1343" s="53"/>
      <c r="H1343" s="41"/>
      <c r="O1343" s="363"/>
    </row>
    <row r="1344" spans="2:15" ht="16.5" customHeight="1">
      <c r="B1344" s="86"/>
      <c r="F1344" s="53"/>
      <c r="G1344" s="53"/>
      <c r="H1344" s="41"/>
      <c r="O1344" s="363"/>
    </row>
    <row r="1345" spans="2:15" ht="16.5" customHeight="1">
      <c r="B1345" s="54"/>
      <c r="F1345" s="53"/>
      <c r="G1345" s="53"/>
      <c r="H1345" s="41"/>
      <c r="O1345" s="363"/>
    </row>
    <row r="1346" spans="2:15" ht="16.5" customHeight="1">
      <c r="B1346" s="86"/>
      <c r="F1346" s="53"/>
      <c r="G1346" s="53"/>
      <c r="H1346" s="41"/>
      <c r="O1346" s="363"/>
    </row>
    <row r="1347" spans="2:15" ht="16.5" customHeight="1">
      <c r="B1347" s="54"/>
      <c r="F1347" s="53"/>
      <c r="G1347" s="53"/>
      <c r="H1347" s="41"/>
      <c r="O1347" s="363"/>
    </row>
    <row r="1348" spans="2:15" ht="16.5" customHeight="1">
      <c r="B1348" s="86"/>
      <c r="F1348" s="53"/>
      <c r="G1348" s="53"/>
      <c r="H1348" s="41"/>
      <c r="O1348" s="363"/>
    </row>
    <row r="1349" spans="2:15" ht="16.5" customHeight="1">
      <c r="B1349" s="54"/>
      <c r="F1349" s="53"/>
      <c r="G1349" s="53"/>
      <c r="H1349" s="41"/>
      <c r="O1349" s="363"/>
    </row>
    <row r="1350" spans="2:15" ht="16.5" customHeight="1">
      <c r="B1350" s="86"/>
      <c r="F1350" s="53"/>
      <c r="G1350" s="53"/>
      <c r="H1350" s="41"/>
      <c r="O1350" s="363"/>
    </row>
    <row r="1351" spans="2:15" ht="16.5" customHeight="1">
      <c r="B1351" s="54"/>
      <c r="F1351" s="53"/>
      <c r="G1351" s="53"/>
      <c r="H1351" s="41"/>
      <c r="O1351" s="363"/>
    </row>
    <row r="1352" spans="2:15" ht="16.5" customHeight="1">
      <c r="B1352" s="54"/>
      <c r="F1352" s="53"/>
      <c r="G1352" s="53"/>
      <c r="H1352" s="41"/>
      <c r="O1352" s="363"/>
    </row>
    <row r="1353" spans="2:15" ht="16.5" customHeight="1">
      <c r="B1353" s="54"/>
      <c r="F1353" s="53"/>
      <c r="G1353" s="53"/>
      <c r="H1353" s="41"/>
      <c r="O1353" s="363"/>
    </row>
    <row r="1354" spans="2:15" ht="16.5" customHeight="1">
      <c r="B1354" s="54"/>
      <c r="F1354" s="53"/>
      <c r="G1354" s="53"/>
      <c r="H1354" s="41"/>
      <c r="O1354" s="363"/>
    </row>
    <row r="1355" spans="2:15" ht="16.5" customHeight="1">
      <c r="B1355" s="86"/>
      <c r="F1355" s="53"/>
      <c r="G1355" s="53"/>
      <c r="H1355" s="41"/>
      <c r="O1355" s="363"/>
    </row>
    <row r="1356" spans="2:15" ht="16.5" customHeight="1">
      <c r="B1356" s="54"/>
      <c r="F1356" s="53"/>
      <c r="G1356" s="53"/>
      <c r="H1356" s="41"/>
    </row>
    <row r="1357" spans="2:15" ht="16.5" customHeight="1">
      <c r="B1357" s="86"/>
      <c r="F1357" s="53"/>
      <c r="G1357" s="53"/>
      <c r="H1357" s="41"/>
    </row>
    <row r="1358" spans="2:15" ht="16.5" customHeight="1">
      <c r="B1358" s="54"/>
      <c r="F1358" s="53"/>
      <c r="G1358" s="53"/>
      <c r="H1358" s="41"/>
    </row>
    <row r="1359" spans="2:15" ht="16.5" customHeight="1">
      <c r="B1359" s="54"/>
      <c r="F1359" s="53"/>
      <c r="G1359" s="53"/>
      <c r="H1359" s="41"/>
      <c r="O1359" s="363"/>
    </row>
    <row r="1360" spans="2:15" ht="16.5" customHeight="1">
      <c r="B1360" s="54"/>
      <c r="F1360" s="53"/>
      <c r="G1360" s="53"/>
      <c r="H1360" s="41"/>
      <c r="O1360" s="363"/>
    </row>
    <row r="1361" spans="2:15" ht="16.5" customHeight="1">
      <c r="B1361" s="54"/>
      <c r="F1361" s="53"/>
      <c r="G1361" s="53"/>
      <c r="H1361" s="41"/>
      <c r="O1361" s="363"/>
    </row>
    <row r="1362" spans="2:15" ht="16.5" customHeight="1">
      <c r="F1362" s="53"/>
      <c r="G1362" s="53"/>
      <c r="H1362" s="41"/>
    </row>
    <row r="1363" spans="2:15" ht="16.5" customHeight="1">
      <c r="F1363" s="53"/>
      <c r="G1363" s="53"/>
      <c r="H1363" s="41"/>
    </row>
    <row r="1364" spans="2:15" ht="16.5" customHeight="1">
      <c r="F1364" s="53"/>
      <c r="G1364" s="53"/>
      <c r="H1364" s="41"/>
    </row>
    <row r="1365" spans="2:15" ht="16.5" customHeight="1">
      <c r="F1365" s="53"/>
      <c r="G1365" s="53"/>
      <c r="H1365" s="41"/>
    </row>
    <row r="1366" spans="2:15" ht="16.5" customHeight="1">
      <c r="F1366" s="53"/>
      <c r="G1366" s="53"/>
      <c r="H1366" s="41"/>
    </row>
    <row r="1367" spans="2:15" ht="16.5" customHeight="1">
      <c r="F1367" s="53"/>
      <c r="G1367" s="53"/>
      <c r="H1367" s="41"/>
    </row>
    <row r="1368" spans="2:15" ht="16.5" customHeight="1">
      <c r="F1368" s="53"/>
      <c r="G1368" s="53"/>
      <c r="H1368" s="41"/>
    </row>
    <row r="1369" spans="2:15" ht="16.5" customHeight="1">
      <c r="F1369" s="53"/>
      <c r="G1369" s="53"/>
      <c r="H1369" s="41"/>
    </row>
    <row r="1370" spans="2:15" ht="16.5" customHeight="1">
      <c r="F1370" s="53"/>
      <c r="G1370" s="53"/>
      <c r="H1370" s="41"/>
    </row>
    <row r="1371" spans="2:15" ht="16.5" customHeight="1">
      <c r="F1371" s="53"/>
      <c r="G1371" s="53"/>
      <c r="H1371" s="41"/>
    </row>
    <row r="1372" spans="2:15" ht="16.5" customHeight="1">
      <c r="F1372" s="53"/>
      <c r="G1372" s="53"/>
      <c r="H1372" s="41"/>
    </row>
    <row r="1373" spans="2:15" ht="16.5" customHeight="1">
      <c r="F1373" s="53"/>
      <c r="G1373" s="53"/>
      <c r="H1373" s="41"/>
    </row>
    <row r="1374" spans="2:15" ht="16.5" customHeight="1">
      <c r="F1374" s="53"/>
      <c r="G1374" s="53"/>
      <c r="H1374" s="41"/>
    </row>
    <row r="1375" spans="2:15" ht="16.5" customHeight="1">
      <c r="F1375" s="53"/>
      <c r="G1375" s="53"/>
      <c r="H1375" s="41"/>
    </row>
    <row r="1376" spans="2:15" ht="16.5" customHeight="1">
      <c r="F1376" s="53"/>
      <c r="G1376" s="53"/>
      <c r="H1376" s="41"/>
    </row>
    <row r="1377" spans="6:8" ht="16.5" customHeight="1">
      <c r="F1377" s="53"/>
      <c r="G1377" s="53"/>
      <c r="H1377" s="41"/>
    </row>
    <row r="1378" spans="6:8" ht="16.5" customHeight="1">
      <c r="F1378" s="53"/>
      <c r="G1378" s="53"/>
      <c r="H1378" s="41"/>
    </row>
    <row r="1379" spans="6:8" ht="16.5" customHeight="1">
      <c r="F1379" s="53"/>
      <c r="G1379" s="53"/>
      <c r="H1379" s="41"/>
    </row>
    <row r="1380" spans="6:8" ht="16.5" customHeight="1">
      <c r="F1380" s="53"/>
      <c r="G1380" s="53"/>
      <c r="H1380" s="41"/>
    </row>
    <row r="1381" spans="6:8" ht="16.5" customHeight="1">
      <c r="F1381" s="53"/>
      <c r="G1381" s="53"/>
      <c r="H1381" s="41"/>
    </row>
    <row r="1382" spans="6:8" ht="16.5" customHeight="1">
      <c r="F1382" s="53"/>
      <c r="G1382" s="53"/>
      <c r="H1382" s="41"/>
    </row>
    <row r="1383" spans="6:8" ht="16.5" customHeight="1">
      <c r="F1383" s="53"/>
      <c r="G1383" s="53"/>
      <c r="H1383" s="41"/>
    </row>
    <row r="1384" spans="6:8" ht="16.5" customHeight="1">
      <c r="F1384" s="53"/>
      <c r="G1384" s="53"/>
      <c r="H1384" s="41"/>
    </row>
    <row r="1385" spans="6:8" ht="16.5" customHeight="1">
      <c r="F1385" s="53"/>
      <c r="G1385" s="53"/>
      <c r="H1385" s="41"/>
    </row>
    <row r="1386" spans="6:8" ht="16.5" customHeight="1">
      <c r="F1386" s="53"/>
      <c r="G1386" s="53"/>
      <c r="H1386" s="41"/>
    </row>
    <row r="1387" spans="6:8" ht="16.5" customHeight="1">
      <c r="F1387" s="53"/>
      <c r="G1387" s="53"/>
      <c r="H1387" s="41"/>
    </row>
    <row r="1388" spans="6:8" ht="16.5" customHeight="1">
      <c r="F1388" s="53"/>
      <c r="G1388" s="53"/>
      <c r="H1388" s="41"/>
    </row>
    <row r="1389" spans="6:8" ht="16.5" customHeight="1">
      <c r="F1389" s="53"/>
      <c r="G1389" s="53"/>
      <c r="H1389" s="41"/>
    </row>
    <row r="1390" spans="6:8" ht="16.5" customHeight="1">
      <c r="F1390" s="53"/>
      <c r="G1390" s="53"/>
      <c r="H1390" s="41"/>
    </row>
    <row r="1391" spans="6:8" ht="16.5" customHeight="1">
      <c r="F1391" s="53"/>
      <c r="G1391" s="53"/>
      <c r="H1391" s="41"/>
    </row>
    <row r="1392" spans="6:8" ht="16.5" customHeight="1">
      <c r="F1392" s="53"/>
      <c r="G1392" s="53"/>
      <c r="H1392" s="41"/>
    </row>
    <row r="1393" spans="6:8" ht="16.5" customHeight="1">
      <c r="F1393" s="53"/>
      <c r="G1393" s="53"/>
      <c r="H1393" s="41"/>
    </row>
    <row r="1394" spans="6:8" ht="16.5" customHeight="1">
      <c r="F1394" s="53"/>
      <c r="G1394" s="53"/>
      <c r="H1394" s="41"/>
    </row>
    <row r="1395" spans="6:8" ht="16.5" customHeight="1">
      <c r="F1395" s="53"/>
      <c r="G1395" s="53"/>
      <c r="H1395" s="41"/>
    </row>
    <row r="1396" spans="6:8" ht="16.5" customHeight="1">
      <c r="F1396" s="53"/>
      <c r="G1396" s="53"/>
      <c r="H1396" s="41"/>
    </row>
    <row r="1397" spans="6:8" ht="16.5" customHeight="1">
      <c r="F1397" s="53"/>
      <c r="G1397" s="53"/>
      <c r="H1397" s="41"/>
    </row>
    <row r="1398" spans="6:8" ht="16.5" customHeight="1">
      <c r="F1398" s="53"/>
      <c r="G1398" s="53"/>
      <c r="H1398" s="41"/>
    </row>
    <row r="1399" spans="6:8" ht="16.5" customHeight="1">
      <c r="F1399" s="53"/>
      <c r="G1399" s="53"/>
      <c r="H1399" s="41"/>
    </row>
    <row r="1400" spans="6:8" ht="16.5" customHeight="1">
      <c r="F1400" s="53"/>
      <c r="G1400" s="53"/>
      <c r="H1400" s="41"/>
    </row>
    <row r="1401" spans="6:8" ht="16.5" customHeight="1">
      <c r="F1401" s="53"/>
      <c r="G1401" s="53"/>
      <c r="H1401" s="41"/>
    </row>
    <row r="1402" spans="6:8" ht="16.5" customHeight="1">
      <c r="F1402" s="53"/>
      <c r="G1402" s="53"/>
      <c r="H1402" s="41"/>
    </row>
    <row r="1403" spans="6:8" ht="16.5" customHeight="1">
      <c r="F1403" s="53"/>
      <c r="G1403" s="53"/>
      <c r="H1403" s="41"/>
    </row>
    <row r="1404" spans="6:8" ht="16.5" customHeight="1">
      <c r="F1404" s="53"/>
      <c r="G1404" s="53"/>
      <c r="H1404" s="41"/>
    </row>
    <row r="1405" spans="6:8" ht="16.5" customHeight="1">
      <c r="F1405" s="53"/>
      <c r="G1405" s="53"/>
      <c r="H1405" s="41"/>
    </row>
    <row r="1406" spans="6:8" ht="16.5" customHeight="1">
      <c r="F1406" s="53"/>
      <c r="G1406" s="53"/>
      <c r="H1406" s="41"/>
    </row>
    <row r="1407" spans="6:8" ht="16.5" customHeight="1">
      <c r="F1407" s="53"/>
      <c r="G1407" s="53"/>
      <c r="H1407" s="41"/>
    </row>
    <row r="1408" spans="6:8" ht="16.5" customHeight="1">
      <c r="F1408" s="53"/>
      <c r="G1408" s="53"/>
      <c r="H1408" s="41"/>
    </row>
    <row r="1409" spans="6:8" ht="16.5" customHeight="1">
      <c r="F1409" s="53"/>
      <c r="G1409" s="53"/>
      <c r="H1409" s="41"/>
    </row>
    <row r="1410" spans="6:8" ht="16.5" customHeight="1">
      <c r="F1410" s="53"/>
      <c r="G1410" s="53"/>
      <c r="H1410" s="41"/>
    </row>
    <row r="1411" spans="6:8" ht="16.5" customHeight="1">
      <c r="F1411" s="53"/>
      <c r="G1411" s="53"/>
      <c r="H1411" s="41"/>
    </row>
    <row r="1412" spans="6:8" ht="16.5" customHeight="1">
      <c r="F1412" s="53"/>
      <c r="G1412" s="53"/>
      <c r="H1412" s="41"/>
    </row>
    <row r="1413" spans="6:8" ht="16.5" customHeight="1">
      <c r="F1413" s="53"/>
      <c r="G1413" s="53"/>
      <c r="H1413" s="41"/>
    </row>
    <row r="1414" spans="6:8" ht="16.5" customHeight="1">
      <c r="F1414" s="53"/>
      <c r="G1414" s="53"/>
      <c r="H1414" s="41"/>
    </row>
    <row r="1415" spans="6:8" ht="16.5" customHeight="1">
      <c r="F1415" s="53"/>
      <c r="G1415" s="53"/>
      <c r="H1415" s="41"/>
    </row>
    <row r="1416" spans="6:8" ht="16.5" customHeight="1">
      <c r="F1416" s="53"/>
      <c r="G1416" s="53"/>
      <c r="H1416" s="41"/>
    </row>
    <row r="1417" spans="6:8" ht="16.5" customHeight="1">
      <c r="F1417" s="53"/>
      <c r="G1417" s="53"/>
      <c r="H1417" s="41"/>
    </row>
    <row r="1418" spans="6:8" ht="16.5" customHeight="1">
      <c r="F1418" s="53"/>
      <c r="G1418" s="53"/>
      <c r="H1418" s="41"/>
    </row>
    <row r="1419" spans="6:8" ht="16.5" customHeight="1">
      <c r="F1419" s="53"/>
      <c r="G1419" s="53"/>
      <c r="H1419" s="41"/>
    </row>
    <row r="1420" spans="6:8" ht="16.5" customHeight="1">
      <c r="F1420" s="53"/>
      <c r="G1420" s="53"/>
      <c r="H1420" s="41"/>
    </row>
    <row r="1421" spans="6:8" ht="16.5" customHeight="1">
      <c r="F1421" s="53"/>
      <c r="G1421" s="53"/>
      <c r="H1421" s="41"/>
    </row>
    <row r="1422" spans="6:8" ht="16.5" customHeight="1">
      <c r="F1422" s="53"/>
      <c r="G1422" s="53"/>
      <c r="H1422" s="41"/>
    </row>
    <row r="1423" spans="6:8" ht="16.5" customHeight="1">
      <c r="F1423" s="53"/>
      <c r="G1423" s="53"/>
      <c r="H1423" s="41"/>
    </row>
    <row r="1424" spans="6:8" ht="16.5" customHeight="1">
      <c r="F1424" s="53"/>
      <c r="G1424" s="53"/>
      <c r="H1424" s="41"/>
    </row>
    <row r="1425" spans="6:8" ht="16.5" customHeight="1">
      <c r="F1425" s="53"/>
      <c r="G1425" s="53"/>
      <c r="H1425" s="41"/>
    </row>
    <row r="1426" spans="6:8" ht="16.5" customHeight="1">
      <c r="F1426" s="53"/>
      <c r="G1426" s="53"/>
      <c r="H1426" s="41"/>
    </row>
    <row r="1427" spans="6:8" ht="16.5" customHeight="1">
      <c r="F1427" s="53"/>
      <c r="G1427" s="53"/>
      <c r="H1427" s="41"/>
    </row>
    <row r="1428" spans="6:8" ht="16.5" customHeight="1">
      <c r="F1428" s="53"/>
      <c r="G1428" s="53"/>
      <c r="H1428" s="41"/>
    </row>
    <row r="1429" spans="6:8" ht="16.5" customHeight="1">
      <c r="F1429" s="53"/>
      <c r="G1429" s="53"/>
      <c r="H1429" s="41"/>
    </row>
    <row r="1430" spans="6:8" ht="16.5" customHeight="1">
      <c r="F1430" s="53"/>
      <c r="G1430" s="53"/>
      <c r="H1430" s="41"/>
    </row>
    <row r="1431" spans="6:8" ht="16.5" customHeight="1">
      <c r="F1431" s="53"/>
      <c r="G1431" s="53"/>
      <c r="H1431" s="41"/>
    </row>
    <row r="1432" spans="6:8" ht="16.5" customHeight="1">
      <c r="F1432" s="53"/>
      <c r="G1432" s="53"/>
      <c r="H1432" s="41"/>
    </row>
    <row r="1433" spans="6:8" ht="16.5" customHeight="1">
      <c r="F1433" s="53"/>
      <c r="G1433" s="53"/>
      <c r="H1433" s="41"/>
    </row>
    <row r="1434" spans="6:8" ht="16.5" customHeight="1">
      <c r="F1434" s="53"/>
      <c r="G1434" s="53"/>
      <c r="H1434" s="41"/>
    </row>
    <row r="1435" spans="6:8" ht="16.5" customHeight="1">
      <c r="F1435" s="53"/>
      <c r="G1435" s="53"/>
      <c r="H1435" s="41"/>
    </row>
    <row r="1436" spans="6:8" ht="16.5" customHeight="1">
      <c r="F1436" s="53"/>
      <c r="G1436" s="53"/>
      <c r="H1436" s="41"/>
    </row>
    <row r="1437" spans="6:8" ht="16.5" customHeight="1">
      <c r="F1437" s="53"/>
      <c r="G1437" s="53"/>
      <c r="H1437" s="41"/>
    </row>
    <row r="1438" spans="6:8" ht="16.5" customHeight="1">
      <c r="F1438" s="53"/>
      <c r="G1438" s="53"/>
      <c r="H1438" s="41"/>
    </row>
    <row r="1439" spans="6:8" ht="16.5" customHeight="1">
      <c r="F1439" s="53"/>
      <c r="G1439" s="53"/>
      <c r="H1439" s="41"/>
    </row>
    <row r="1440" spans="6:8" ht="16.5" customHeight="1">
      <c r="F1440" s="53"/>
      <c r="G1440" s="53"/>
      <c r="H1440" s="41"/>
    </row>
    <row r="1441" spans="6:8" ht="16.5" customHeight="1">
      <c r="F1441" s="53"/>
      <c r="G1441" s="53"/>
      <c r="H1441" s="41"/>
    </row>
    <row r="1442" spans="6:8" ht="16.5" customHeight="1">
      <c r="F1442" s="53"/>
      <c r="G1442" s="53"/>
      <c r="H1442" s="41"/>
    </row>
    <row r="1443" spans="6:8" ht="16.5" customHeight="1">
      <c r="F1443" s="53"/>
      <c r="G1443" s="53"/>
      <c r="H1443" s="41"/>
    </row>
    <row r="1444" spans="6:8" ht="16.5" customHeight="1">
      <c r="F1444" s="53"/>
      <c r="G1444" s="53"/>
      <c r="H1444" s="41"/>
    </row>
    <row r="1445" spans="6:8" ht="16.5" customHeight="1">
      <c r="F1445" s="53"/>
      <c r="G1445" s="53"/>
      <c r="H1445" s="41"/>
    </row>
    <row r="1446" spans="6:8" ht="16.5" customHeight="1">
      <c r="F1446" s="53"/>
      <c r="G1446" s="53"/>
      <c r="H1446" s="41"/>
    </row>
    <row r="1447" spans="6:8" ht="16.5" customHeight="1">
      <c r="F1447" s="53"/>
      <c r="G1447" s="53"/>
      <c r="H1447" s="41"/>
    </row>
    <row r="1448" spans="6:8" ht="16.5" customHeight="1">
      <c r="F1448" s="53"/>
      <c r="G1448" s="53"/>
      <c r="H1448" s="41"/>
    </row>
    <row r="1449" spans="6:8" ht="16.5" customHeight="1">
      <c r="F1449" s="53"/>
      <c r="G1449" s="53"/>
      <c r="H1449" s="41"/>
    </row>
    <row r="1450" spans="6:8" ht="16.5" customHeight="1">
      <c r="F1450" s="53"/>
      <c r="G1450" s="53"/>
      <c r="H1450" s="41"/>
    </row>
    <row r="1451" spans="6:8" ht="16.5" customHeight="1">
      <c r="F1451" s="53"/>
      <c r="G1451" s="53"/>
      <c r="H1451" s="41"/>
    </row>
    <row r="1452" spans="6:8" ht="16.5" customHeight="1">
      <c r="F1452" s="53"/>
      <c r="G1452" s="53"/>
      <c r="H1452" s="41"/>
    </row>
    <row r="1453" spans="6:8" ht="16.5" customHeight="1">
      <c r="F1453" s="53"/>
      <c r="G1453" s="53"/>
      <c r="H1453" s="41"/>
    </row>
    <row r="1454" spans="6:8" ht="16.5" customHeight="1">
      <c r="F1454" s="53"/>
      <c r="G1454" s="53"/>
      <c r="H1454" s="41"/>
    </row>
    <row r="1455" spans="6:8" ht="16.5" customHeight="1">
      <c r="F1455" s="53"/>
      <c r="G1455" s="53"/>
      <c r="H1455" s="41"/>
    </row>
    <row r="1456" spans="6:8" ht="16.5" customHeight="1">
      <c r="F1456" s="53"/>
      <c r="G1456" s="53"/>
      <c r="H1456" s="41"/>
    </row>
    <row r="1457" spans="6:8" ht="16.5" customHeight="1">
      <c r="F1457" s="53"/>
      <c r="G1457" s="53"/>
      <c r="H1457" s="41"/>
    </row>
    <row r="1458" spans="6:8" ht="16.5" customHeight="1">
      <c r="F1458" s="53"/>
      <c r="G1458" s="53"/>
      <c r="H1458" s="41"/>
    </row>
    <row r="1459" spans="6:8" ht="16.5" customHeight="1">
      <c r="F1459" s="53"/>
      <c r="G1459" s="53"/>
      <c r="H1459" s="41"/>
    </row>
    <row r="1460" spans="6:8" ht="16.5" customHeight="1">
      <c r="F1460" s="53"/>
      <c r="G1460" s="53"/>
      <c r="H1460" s="41"/>
    </row>
    <row r="1461" spans="6:8" ht="16.5" customHeight="1">
      <c r="F1461" s="53"/>
      <c r="G1461" s="53"/>
      <c r="H1461" s="41"/>
    </row>
    <row r="1462" spans="6:8" ht="16.5" customHeight="1">
      <c r="F1462" s="53"/>
      <c r="G1462" s="53"/>
      <c r="H1462" s="41"/>
    </row>
    <row r="1463" spans="6:8" ht="16.5" customHeight="1">
      <c r="F1463" s="53"/>
      <c r="G1463" s="53"/>
      <c r="H1463" s="41"/>
    </row>
    <row r="1464" spans="6:8" ht="16.5" customHeight="1">
      <c r="F1464" s="53"/>
      <c r="G1464" s="53"/>
      <c r="H1464" s="41"/>
    </row>
    <row r="1465" spans="6:8" ht="16.5" customHeight="1">
      <c r="F1465" s="53"/>
      <c r="G1465" s="53"/>
      <c r="H1465" s="41"/>
    </row>
    <row r="1466" spans="6:8" ht="16.5" customHeight="1">
      <c r="F1466" s="53"/>
      <c r="G1466" s="53"/>
      <c r="H1466" s="41"/>
    </row>
    <row r="1467" spans="6:8" ht="16.5" customHeight="1">
      <c r="F1467" s="53"/>
      <c r="G1467" s="53"/>
      <c r="H1467" s="41"/>
    </row>
    <row r="1468" spans="6:8" ht="16.5" customHeight="1">
      <c r="F1468" s="53"/>
      <c r="G1468" s="53"/>
      <c r="H1468" s="41"/>
    </row>
    <row r="1469" spans="6:8" ht="16.5" customHeight="1">
      <c r="F1469" s="53"/>
      <c r="G1469" s="53"/>
      <c r="H1469" s="41"/>
    </row>
    <row r="1470" spans="6:8" ht="16.5" customHeight="1">
      <c r="F1470" s="53"/>
      <c r="G1470" s="53"/>
      <c r="H1470" s="41"/>
    </row>
    <row r="1471" spans="6:8" ht="16.5" customHeight="1">
      <c r="F1471" s="53"/>
      <c r="G1471" s="53"/>
      <c r="H1471" s="41"/>
    </row>
    <row r="1472" spans="6:8" ht="16.5" customHeight="1">
      <c r="F1472" s="53"/>
      <c r="G1472" s="53"/>
      <c r="H1472" s="41"/>
    </row>
    <row r="1473" spans="8:13" ht="16.5" customHeight="1">
      <c r="H1473" s="41"/>
      <c r="M1473" t="str">
        <f t="shared" ref="M1473:M1525" si="5">IF(OR(LEFT(B1473,2)=$L$1,LEFT(B1473,2)=$M$1),$N$1,"")</f>
        <v/>
      </c>
    </row>
    <row r="1474" spans="8:13" ht="16.5" customHeight="1">
      <c r="H1474" s="41"/>
      <c r="M1474" t="str">
        <f t="shared" si="5"/>
        <v/>
      </c>
    </row>
    <row r="1475" spans="8:13" ht="16.5" customHeight="1">
      <c r="H1475" s="41"/>
      <c r="M1475" t="str">
        <f t="shared" si="5"/>
        <v/>
      </c>
    </row>
    <row r="1476" spans="8:13" ht="16.5" customHeight="1">
      <c r="H1476" s="41"/>
      <c r="M1476" t="str">
        <f t="shared" si="5"/>
        <v/>
      </c>
    </row>
    <row r="1477" spans="8:13" ht="16.5" customHeight="1">
      <c r="H1477" s="41"/>
      <c r="M1477" t="str">
        <f t="shared" si="5"/>
        <v/>
      </c>
    </row>
    <row r="1478" spans="8:13" ht="16.5" customHeight="1">
      <c r="H1478" s="41"/>
      <c r="M1478" t="str">
        <f t="shared" si="5"/>
        <v/>
      </c>
    </row>
    <row r="1479" spans="8:13" ht="16.5" customHeight="1">
      <c r="H1479" s="41"/>
      <c r="M1479" t="str">
        <f t="shared" si="5"/>
        <v/>
      </c>
    </row>
    <row r="1480" spans="8:13" ht="16.5" customHeight="1">
      <c r="H1480" s="41"/>
      <c r="M1480" t="str">
        <f t="shared" si="5"/>
        <v/>
      </c>
    </row>
    <row r="1481" spans="8:13" ht="16.5" customHeight="1">
      <c r="H1481" s="41"/>
      <c r="M1481" t="str">
        <f t="shared" si="5"/>
        <v/>
      </c>
    </row>
    <row r="1482" spans="8:13" ht="16.5" customHeight="1">
      <c r="H1482" s="41"/>
      <c r="M1482" t="str">
        <f t="shared" si="5"/>
        <v/>
      </c>
    </row>
    <row r="1483" spans="8:13" ht="16.5" customHeight="1">
      <c r="H1483" s="41"/>
      <c r="M1483" t="str">
        <f t="shared" si="5"/>
        <v/>
      </c>
    </row>
    <row r="1484" spans="8:13" ht="16.5" customHeight="1">
      <c r="H1484" s="41"/>
      <c r="M1484" t="str">
        <f t="shared" si="5"/>
        <v/>
      </c>
    </row>
    <row r="1485" spans="8:13" ht="16.5" customHeight="1">
      <c r="H1485" s="41"/>
      <c r="M1485" t="str">
        <f t="shared" si="5"/>
        <v/>
      </c>
    </row>
    <row r="1486" spans="8:13" ht="16.5" customHeight="1">
      <c r="H1486" s="41"/>
      <c r="M1486" t="str">
        <f t="shared" si="5"/>
        <v/>
      </c>
    </row>
    <row r="1487" spans="8:13" ht="16.5" customHeight="1">
      <c r="H1487" s="41"/>
      <c r="M1487" t="str">
        <f t="shared" si="5"/>
        <v/>
      </c>
    </row>
    <row r="1488" spans="8:13" ht="16.5" customHeight="1">
      <c r="H1488" s="41"/>
      <c r="M1488" t="str">
        <f t="shared" si="5"/>
        <v/>
      </c>
    </row>
    <row r="1489" spans="8:13" ht="16.5" customHeight="1">
      <c r="H1489" s="41"/>
      <c r="M1489" t="str">
        <f t="shared" si="5"/>
        <v/>
      </c>
    </row>
    <row r="1490" spans="8:13" ht="16.5" customHeight="1">
      <c r="H1490" s="41"/>
      <c r="M1490" t="str">
        <f t="shared" si="5"/>
        <v/>
      </c>
    </row>
    <row r="1491" spans="8:13" ht="16.5" customHeight="1">
      <c r="H1491" s="41"/>
      <c r="M1491" t="str">
        <f t="shared" si="5"/>
        <v/>
      </c>
    </row>
    <row r="1492" spans="8:13" ht="16.5" customHeight="1">
      <c r="H1492" s="41"/>
      <c r="M1492" t="str">
        <f t="shared" si="5"/>
        <v/>
      </c>
    </row>
    <row r="1493" spans="8:13" ht="16.5" customHeight="1">
      <c r="H1493" s="41"/>
      <c r="M1493" t="str">
        <f t="shared" si="5"/>
        <v/>
      </c>
    </row>
    <row r="1494" spans="8:13" ht="16.5" customHeight="1">
      <c r="H1494" s="41"/>
      <c r="M1494" t="str">
        <f t="shared" si="5"/>
        <v/>
      </c>
    </row>
    <row r="1495" spans="8:13" ht="16.5" customHeight="1">
      <c r="H1495" s="41"/>
      <c r="M1495" t="str">
        <f t="shared" si="5"/>
        <v/>
      </c>
    </row>
    <row r="1496" spans="8:13" ht="16.5" customHeight="1">
      <c r="H1496" s="41"/>
      <c r="M1496" t="str">
        <f t="shared" si="5"/>
        <v/>
      </c>
    </row>
    <row r="1497" spans="8:13" ht="16.5" customHeight="1">
      <c r="H1497" s="41"/>
      <c r="M1497" t="str">
        <f t="shared" si="5"/>
        <v/>
      </c>
    </row>
    <row r="1498" spans="8:13" ht="16.5" customHeight="1">
      <c r="H1498" s="41"/>
      <c r="M1498" t="str">
        <f t="shared" si="5"/>
        <v/>
      </c>
    </row>
    <row r="1499" spans="8:13" ht="16.5" customHeight="1">
      <c r="H1499" s="41"/>
      <c r="M1499" t="str">
        <f t="shared" si="5"/>
        <v/>
      </c>
    </row>
    <row r="1500" spans="8:13" ht="16.5" customHeight="1">
      <c r="H1500" s="41"/>
      <c r="M1500" t="str">
        <f t="shared" si="5"/>
        <v/>
      </c>
    </row>
    <row r="1501" spans="8:13" ht="16.5" customHeight="1">
      <c r="H1501" s="41"/>
      <c r="M1501" t="str">
        <f t="shared" si="5"/>
        <v/>
      </c>
    </row>
    <row r="1502" spans="8:13" ht="16.5" customHeight="1">
      <c r="H1502" s="41"/>
      <c r="M1502" t="str">
        <f t="shared" si="5"/>
        <v/>
      </c>
    </row>
    <row r="1503" spans="8:13" ht="16.5" customHeight="1">
      <c r="H1503" s="41"/>
      <c r="M1503" t="str">
        <f t="shared" si="5"/>
        <v/>
      </c>
    </row>
    <row r="1504" spans="8:13" ht="16.5" customHeight="1">
      <c r="H1504" s="41"/>
      <c r="M1504" t="str">
        <f t="shared" si="5"/>
        <v/>
      </c>
    </row>
    <row r="1505" spans="8:13" ht="16.5" customHeight="1">
      <c r="H1505" s="41"/>
      <c r="M1505" t="str">
        <f t="shared" si="5"/>
        <v/>
      </c>
    </row>
    <row r="1506" spans="8:13" ht="16.5" customHeight="1">
      <c r="H1506" s="41"/>
      <c r="M1506" t="str">
        <f t="shared" si="5"/>
        <v/>
      </c>
    </row>
    <row r="1507" spans="8:13" ht="16.5" customHeight="1">
      <c r="H1507" s="41"/>
      <c r="M1507" t="str">
        <f t="shared" si="5"/>
        <v/>
      </c>
    </row>
    <row r="1508" spans="8:13" ht="16.5" customHeight="1">
      <c r="H1508" s="41"/>
      <c r="M1508" t="str">
        <f t="shared" si="5"/>
        <v/>
      </c>
    </row>
    <row r="1509" spans="8:13" ht="16.5" customHeight="1">
      <c r="H1509" s="41"/>
      <c r="M1509" t="str">
        <f t="shared" si="5"/>
        <v/>
      </c>
    </row>
    <row r="1510" spans="8:13" ht="16.5" customHeight="1">
      <c r="H1510" s="41"/>
      <c r="M1510" t="str">
        <f t="shared" si="5"/>
        <v/>
      </c>
    </row>
    <row r="1511" spans="8:13" ht="16.5" customHeight="1">
      <c r="H1511" s="41"/>
      <c r="M1511" t="str">
        <f t="shared" si="5"/>
        <v/>
      </c>
    </row>
    <row r="1512" spans="8:13" ht="16.5" customHeight="1">
      <c r="H1512" s="41"/>
      <c r="M1512" t="str">
        <f t="shared" si="5"/>
        <v/>
      </c>
    </row>
    <row r="1513" spans="8:13" ht="16.5" customHeight="1">
      <c r="H1513" s="41"/>
      <c r="M1513" t="str">
        <f t="shared" si="5"/>
        <v/>
      </c>
    </row>
    <row r="1514" spans="8:13" ht="16.5" customHeight="1">
      <c r="H1514" s="41"/>
      <c r="M1514" t="str">
        <f t="shared" si="5"/>
        <v/>
      </c>
    </row>
    <row r="1515" spans="8:13" ht="16.5" customHeight="1">
      <c r="H1515" s="41"/>
      <c r="M1515" t="str">
        <f t="shared" si="5"/>
        <v/>
      </c>
    </row>
    <row r="1516" spans="8:13" ht="16.5" customHeight="1">
      <c r="H1516" s="41"/>
      <c r="M1516" t="str">
        <f t="shared" si="5"/>
        <v/>
      </c>
    </row>
    <row r="1517" spans="8:13" ht="16.5" customHeight="1">
      <c r="H1517" s="41"/>
      <c r="M1517" t="str">
        <f t="shared" si="5"/>
        <v/>
      </c>
    </row>
    <row r="1518" spans="8:13" ht="16.5" customHeight="1">
      <c r="H1518" s="41"/>
      <c r="M1518" t="str">
        <f t="shared" si="5"/>
        <v/>
      </c>
    </row>
    <row r="1519" spans="8:13" ht="16.5" customHeight="1">
      <c r="H1519" s="41"/>
      <c r="M1519" t="str">
        <f t="shared" si="5"/>
        <v/>
      </c>
    </row>
    <row r="1520" spans="8:13" ht="16.5" customHeight="1">
      <c r="H1520" s="41"/>
      <c r="M1520" t="str">
        <f t="shared" si="5"/>
        <v/>
      </c>
    </row>
    <row r="1521" spans="8:13" ht="16.5" customHeight="1">
      <c r="H1521" s="41"/>
      <c r="M1521" t="str">
        <f t="shared" si="5"/>
        <v/>
      </c>
    </row>
    <row r="1522" spans="8:13" ht="16.5" customHeight="1">
      <c r="H1522" s="41"/>
      <c r="M1522" t="str">
        <f t="shared" si="5"/>
        <v/>
      </c>
    </row>
    <row r="1523" spans="8:13" ht="16.5" customHeight="1">
      <c r="H1523" s="41"/>
      <c r="M1523" t="str">
        <f t="shared" si="5"/>
        <v/>
      </c>
    </row>
    <row r="1524" spans="8:13" ht="16.5" customHeight="1">
      <c r="H1524" s="41"/>
      <c r="M1524" t="str">
        <f t="shared" si="5"/>
        <v/>
      </c>
    </row>
    <row r="1525" spans="8:13" ht="16.5" customHeight="1">
      <c r="H1525" s="41"/>
      <c r="M1525" t="str">
        <f t="shared" si="5"/>
        <v/>
      </c>
    </row>
    <row r="1526" spans="8:13" ht="16.5" customHeight="1">
      <c r="H1526" s="41"/>
      <c r="M1526" t="str">
        <f t="shared" ref="M1526:M1589" si="6">IF(OR(LEFT(B1526,2)=$L$1,LEFT(B1526,2)=$M$1),$N$1,"")</f>
        <v/>
      </c>
    </row>
    <row r="1527" spans="8:13" ht="16.5" customHeight="1">
      <c r="H1527" s="41"/>
      <c r="M1527" t="str">
        <f t="shared" si="6"/>
        <v/>
      </c>
    </row>
    <row r="1528" spans="8:13" ht="16.5" customHeight="1">
      <c r="H1528" s="41"/>
      <c r="M1528" t="str">
        <f t="shared" si="6"/>
        <v/>
      </c>
    </row>
    <row r="1529" spans="8:13" ht="16.5" customHeight="1">
      <c r="H1529" s="41"/>
      <c r="M1529" t="str">
        <f t="shared" si="6"/>
        <v/>
      </c>
    </row>
    <row r="1530" spans="8:13" ht="16.5" customHeight="1">
      <c r="H1530" s="41"/>
      <c r="M1530" t="str">
        <f t="shared" si="6"/>
        <v/>
      </c>
    </row>
    <row r="1531" spans="8:13" ht="16.5" customHeight="1">
      <c r="H1531" s="41"/>
      <c r="M1531" t="str">
        <f t="shared" si="6"/>
        <v/>
      </c>
    </row>
    <row r="1532" spans="8:13" ht="16.5" customHeight="1">
      <c r="H1532" s="41"/>
      <c r="M1532" t="str">
        <f t="shared" si="6"/>
        <v/>
      </c>
    </row>
    <row r="1533" spans="8:13" ht="16.5" customHeight="1">
      <c r="H1533" s="41"/>
      <c r="M1533" t="str">
        <f t="shared" si="6"/>
        <v/>
      </c>
    </row>
    <row r="1534" spans="8:13" ht="16.5" customHeight="1">
      <c r="H1534" s="41"/>
      <c r="M1534" t="str">
        <f t="shared" si="6"/>
        <v/>
      </c>
    </row>
    <row r="1535" spans="8:13" ht="16.5" customHeight="1">
      <c r="H1535" s="41"/>
      <c r="M1535" t="str">
        <f t="shared" si="6"/>
        <v/>
      </c>
    </row>
    <row r="1536" spans="8:13" ht="16.5" customHeight="1">
      <c r="H1536" s="41"/>
      <c r="M1536" t="str">
        <f t="shared" si="6"/>
        <v/>
      </c>
    </row>
    <row r="1537" spans="8:13" ht="16.5" customHeight="1">
      <c r="H1537" s="41"/>
      <c r="M1537" t="str">
        <f t="shared" si="6"/>
        <v/>
      </c>
    </row>
    <row r="1538" spans="8:13" ht="16.5" customHeight="1">
      <c r="H1538" s="41"/>
      <c r="M1538" t="str">
        <f t="shared" si="6"/>
        <v/>
      </c>
    </row>
    <row r="1539" spans="8:13" ht="16.5" customHeight="1">
      <c r="H1539" s="41"/>
      <c r="M1539" t="str">
        <f t="shared" si="6"/>
        <v/>
      </c>
    </row>
    <row r="1540" spans="8:13" ht="16.5" customHeight="1">
      <c r="H1540" s="41"/>
      <c r="M1540" t="str">
        <f t="shared" si="6"/>
        <v/>
      </c>
    </row>
    <row r="1541" spans="8:13" ht="16.5" customHeight="1">
      <c r="H1541" s="41"/>
      <c r="M1541" t="str">
        <f t="shared" si="6"/>
        <v/>
      </c>
    </row>
    <row r="1542" spans="8:13" ht="16.5" customHeight="1">
      <c r="H1542" s="41"/>
      <c r="M1542" t="str">
        <f t="shared" si="6"/>
        <v/>
      </c>
    </row>
    <row r="1543" spans="8:13" ht="16.5" customHeight="1">
      <c r="H1543" s="41"/>
      <c r="M1543" t="str">
        <f t="shared" si="6"/>
        <v/>
      </c>
    </row>
    <row r="1544" spans="8:13" ht="16.5" customHeight="1">
      <c r="H1544" s="41"/>
      <c r="M1544" t="str">
        <f t="shared" si="6"/>
        <v/>
      </c>
    </row>
    <row r="1545" spans="8:13" ht="16.5" customHeight="1">
      <c r="H1545" s="41"/>
      <c r="M1545" t="str">
        <f t="shared" si="6"/>
        <v/>
      </c>
    </row>
    <row r="1546" spans="8:13" ht="16.5" customHeight="1">
      <c r="H1546" s="41"/>
      <c r="M1546" t="str">
        <f t="shared" si="6"/>
        <v/>
      </c>
    </row>
    <row r="1547" spans="8:13" ht="16.5" customHeight="1">
      <c r="H1547" s="41"/>
      <c r="M1547" t="str">
        <f t="shared" si="6"/>
        <v/>
      </c>
    </row>
    <row r="1548" spans="8:13" ht="16.5" customHeight="1">
      <c r="H1548" s="41"/>
      <c r="M1548" t="str">
        <f t="shared" si="6"/>
        <v/>
      </c>
    </row>
    <row r="1549" spans="8:13" ht="16.5" customHeight="1">
      <c r="H1549" s="41"/>
      <c r="M1549" t="str">
        <f t="shared" si="6"/>
        <v/>
      </c>
    </row>
    <row r="1550" spans="8:13" ht="16.5" customHeight="1">
      <c r="H1550" s="41"/>
      <c r="M1550" t="str">
        <f t="shared" si="6"/>
        <v/>
      </c>
    </row>
    <row r="1551" spans="8:13" ht="16.5" customHeight="1">
      <c r="H1551" s="41"/>
      <c r="M1551" t="str">
        <f t="shared" si="6"/>
        <v/>
      </c>
    </row>
    <row r="1552" spans="8:13" ht="16.5" customHeight="1">
      <c r="H1552" s="41"/>
      <c r="M1552" t="str">
        <f t="shared" si="6"/>
        <v/>
      </c>
    </row>
    <row r="1553" spans="8:13" ht="16.5" customHeight="1">
      <c r="H1553" s="41"/>
      <c r="M1553" t="str">
        <f t="shared" si="6"/>
        <v/>
      </c>
    </row>
    <row r="1554" spans="8:13" ht="16.5" customHeight="1">
      <c r="H1554" s="41"/>
      <c r="M1554" t="str">
        <f t="shared" si="6"/>
        <v/>
      </c>
    </row>
    <row r="1555" spans="8:13" ht="16.5" customHeight="1">
      <c r="H1555" s="41"/>
      <c r="M1555" t="str">
        <f t="shared" si="6"/>
        <v/>
      </c>
    </row>
    <row r="1556" spans="8:13" ht="16.5" customHeight="1">
      <c r="H1556" s="41"/>
      <c r="M1556" t="str">
        <f t="shared" si="6"/>
        <v/>
      </c>
    </row>
    <row r="1557" spans="8:13" ht="16.5" customHeight="1">
      <c r="H1557" s="41"/>
      <c r="M1557" t="str">
        <f t="shared" si="6"/>
        <v/>
      </c>
    </row>
    <row r="1558" spans="8:13" ht="16.5" customHeight="1">
      <c r="H1558" s="41"/>
      <c r="M1558" t="str">
        <f t="shared" si="6"/>
        <v/>
      </c>
    </row>
    <row r="1559" spans="8:13" ht="16.5" customHeight="1">
      <c r="H1559" s="41"/>
      <c r="M1559" t="str">
        <f t="shared" si="6"/>
        <v/>
      </c>
    </row>
    <row r="1560" spans="8:13" ht="16.5" customHeight="1">
      <c r="H1560" s="41"/>
      <c r="M1560" t="str">
        <f t="shared" si="6"/>
        <v/>
      </c>
    </row>
    <row r="1561" spans="8:13" ht="16.5" customHeight="1">
      <c r="H1561" s="41"/>
      <c r="M1561" t="str">
        <f t="shared" si="6"/>
        <v/>
      </c>
    </row>
    <row r="1562" spans="8:13" ht="16.5" customHeight="1">
      <c r="H1562" s="41"/>
      <c r="M1562" t="str">
        <f t="shared" si="6"/>
        <v/>
      </c>
    </row>
    <row r="1563" spans="8:13" ht="16.5" customHeight="1">
      <c r="H1563" s="41"/>
      <c r="M1563" t="str">
        <f t="shared" si="6"/>
        <v/>
      </c>
    </row>
    <row r="1564" spans="8:13" ht="16.5" customHeight="1">
      <c r="H1564" s="41"/>
      <c r="M1564" t="str">
        <f t="shared" si="6"/>
        <v/>
      </c>
    </row>
    <row r="1565" spans="8:13" ht="16.5" customHeight="1">
      <c r="H1565" s="41"/>
      <c r="M1565" t="str">
        <f t="shared" si="6"/>
        <v/>
      </c>
    </row>
    <row r="1566" spans="8:13" ht="16.5" customHeight="1">
      <c r="H1566" s="41"/>
      <c r="M1566" t="str">
        <f t="shared" si="6"/>
        <v/>
      </c>
    </row>
    <row r="1567" spans="8:13" ht="16.5" customHeight="1">
      <c r="H1567" s="41"/>
      <c r="M1567" t="str">
        <f t="shared" si="6"/>
        <v/>
      </c>
    </row>
    <row r="1568" spans="8:13" ht="16.5" customHeight="1">
      <c r="H1568" s="41"/>
      <c r="M1568" t="str">
        <f t="shared" si="6"/>
        <v/>
      </c>
    </row>
    <row r="1569" spans="8:13" ht="16.5" customHeight="1">
      <c r="H1569" s="41"/>
      <c r="M1569" t="str">
        <f t="shared" si="6"/>
        <v/>
      </c>
    </row>
    <row r="1570" spans="8:13" ht="16.5" customHeight="1">
      <c r="H1570" s="41"/>
      <c r="M1570" t="str">
        <f t="shared" si="6"/>
        <v/>
      </c>
    </row>
    <row r="1571" spans="8:13" ht="16.5" customHeight="1">
      <c r="H1571" s="41"/>
      <c r="M1571" t="str">
        <f t="shared" si="6"/>
        <v/>
      </c>
    </row>
    <row r="1572" spans="8:13" ht="16.5" customHeight="1">
      <c r="H1572" s="41"/>
      <c r="M1572" t="str">
        <f t="shared" si="6"/>
        <v/>
      </c>
    </row>
    <row r="1573" spans="8:13" ht="16.5" customHeight="1">
      <c r="H1573" s="41"/>
      <c r="M1573" t="str">
        <f t="shared" si="6"/>
        <v/>
      </c>
    </row>
    <row r="1574" spans="8:13" ht="16.5" customHeight="1">
      <c r="H1574" s="41"/>
      <c r="M1574" t="str">
        <f t="shared" si="6"/>
        <v/>
      </c>
    </row>
    <row r="1575" spans="8:13" ht="16.5" customHeight="1">
      <c r="H1575" s="41"/>
      <c r="M1575" t="str">
        <f t="shared" si="6"/>
        <v/>
      </c>
    </row>
    <row r="1576" spans="8:13" ht="16.5" customHeight="1">
      <c r="H1576" s="41"/>
      <c r="M1576" t="str">
        <f t="shared" si="6"/>
        <v/>
      </c>
    </row>
    <row r="1577" spans="8:13" ht="16.5" customHeight="1">
      <c r="H1577" s="41"/>
      <c r="M1577" t="str">
        <f t="shared" si="6"/>
        <v/>
      </c>
    </row>
    <row r="1578" spans="8:13" ht="16.5" customHeight="1">
      <c r="H1578" s="41"/>
      <c r="M1578" t="str">
        <f t="shared" si="6"/>
        <v/>
      </c>
    </row>
    <row r="1579" spans="8:13" ht="16.5" customHeight="1">
      <c r="H1579" s="41"/>
      <c r="M1579" t="str">
        <f t="shared" si="6"/>
        <v/>
      </c>
    </row>
    <row r="1580" spans="8:13" ht="16.5" customHeight="1">
      <c r="H1580" s="41"/>
      <c r="M1580" t="str">
        <f t="shared" si="6"/>
        <v/>
      </c>
    </row>
    <row r="1581" spans="8:13" ht="16.5" customHeight="1">
      <c r="H1581" s="41"/>
      <c r="M1581" t="str">
        <f t="shared" si="6"/>
        <v/>
      </c>
    </row>
    <row r="1582" spans="8:13" ht="16.5" customHeight="1">
      <c r="H1582" s="41"/>
      <c r="M1582" t="str">
        <f t="shared" si="6"/>
        <v/>
      </c>
    </row>
    <row r="1583" spans="8:13" ht="16.5" customHeight="1">
      <c r="H1583" s="41"/>
      <c r="M1583" t="str">
        <f t="shared" si="6"/>
        <v/>
      </c>
    </row>
    <row r="1584" spans="8:13" ht="16.5" customHeight="1">
      <c r="H1584" s="41"/>
      <c r="M1584" t="str">
        <f t="shared" si="6"/>
        <v/>
      </c>
    </row>
    <row r="1585" spans="8:13" ht="16.5" customHeight="1">
      <c r="H1585" s="41"/>
      <c r="M1585" t="str">
        <f t="shared" si="6"/>
        <v/>
      </c>
    </row>
    <row r="1586" spans="8:13" ht="16.5" customHeight="1">
      <c r="H1586" s="41"/>
      <c r="M1586" t="str">
        <f t="shared" si="6"/>
        <v/>
      </c>
    </row>
    <row r="1587" spans="8:13" ht="16.5" customHeight="1">
      <c r="H1587" s="41"/>
      <c r="M1587" t="str">
        <f t="shared" si="6"/>
        <v/>
      </c>
    </row>
    <row r="1588" spans="8:13" ht="16.5" customHeight="1">
      <c r="H1588" s="41"/>
      <c r="M1588" t="str">
        <f t="shared" si="6"/>
        <v/>
      </c>
    </row>
    <row r="1589" spans="8:13" ht="16.5" customHeight="1">
      <c r="H1589" s="41"/>
      <c r="M1589" t="str">
        <f t="shared" si="6"/>
        <v/>
      </c>
    </row>
    <row r="1590" spans="8:13" ht="16.5" customHeight="1">
      <c r="H1590" s="41"/>
      <c r="M1590" t="str">
        <f t="shared" ref="M1590:M1610" si="7">IF(OR(LEFT(B1590,2)=$L$1,LEFT(B1590,2)=$M$1),$N$1,"")</f>
        <v/>
      </c>
    </row>
    <row r="1591" spans="8:13" ht="16.5" customHeight="1">
      <c r="H1591" s="41"/>
      <c r="M1591" t="str">
        <f t="shared" si="7"/>
        <v/>
      </c>
    </row>
    <row r="1592" spans="8:13" ht="16.5" customHeight="1">
      <c r="H1592" s="41"/>
      <c r="M1592" t="str">
        <f t="shared" si="7"/>
        <v/>
      </c>
    </row>
    <row r="1593" spans="8:13" ht="16.5" customHeight="1">
      <c r="H1593" s="41"/>
      <c r="M1593" t="str">
        <f t="shared" si="7"/>
        <v/>
      </c>
    </row>
    <row r="1594" spans="8:13" ht="16.5" customHeight="1">
      <c r="H1594" s="41"/>
      <c r="M1594" t="str">
        <f t="shared" si="7"/>
        <v/>
      </c>
    </row>
    <row r="1595" spans="8:13" ht="16.5" customHeight="1">
      <c r="H1595" s="41"/>
      <c r="M1595" t="str">
        <f t="shared" si="7"/>
        <v/>
      </c>
    </row>
    <row r="1596" spans="8:13" ht="16.5" customHeight="1">
      <c r="H1596" s="41"/>
      <c r="M1596" t="str">
        <f t="shared" si="7"/>
        <v/>
      </c>
    </row>
    <row r="1597" spans="8:13" ht="16.5" customHeight="1">
      <c r="H1597" s="41"/>
      <c r="M1597" t="str">
        <f t="shared" si="7"/>
        <v/>
      </c>
    </row>
    <row r="1598" spans="8:13" ht="16.5" customHeight="1">
      <c r="H1598" s="41"/>
      <c r="M1598" t="str">
        <f t="shared" si="7"/>
        <v/>
      </c>
    </row>
    <row r="1599" spans="8:13" ht="16.5" customHeight="1">
      <c r="H1599" s="41"/>
      <c r="M1599" t="str">
        <f t="shared" si="7"/>
        <v/>
      </c>
    </row>
    <row r="1600" spans="8:13" ht="16.5" customHeight="1">
      <c r="H1600" s="41"/>
      <c r="M1600" t="str">
        <f t="shared" si="7"/>
        <v/>
      </c>
    </row>
    <row r="1601" spans="8:13" ht="16.5" customHeight="1">
      <c r="H1601" s="41"/>
      <c r="M1601" t="str">
        <f t="shared" si="7"/>
        <v/>
      </c>
    </row>
    <row r="1602" spans="8:13" ht="16.5" customHeight="1">
      <c r="H1602" s="41"/>
      <c r="M1602" t="str">
        <f t="shared" si="7"/>
        <v/>
      </c>
    </row>
    <row r="1603" spans="8:13" ht="16.5" customHeight="1">
      <c r="H1603" s="41"/>
      <c r="M1603" t="str">
        <f t="shared" si="7"/>
        <v/>
      </c>
    </row>
    <row r="1604" spans="8:13" ht="16.5" customHeight="1">
      <c r="H1604" s="41"/>
      <c r="M1604" t="str">
        <f t="shared" si="7"/>
        <v/>
      </c>
    </row>
    <row r="1605" spans="8:13" ht="16.5" customHeight="1">
      <c r="H1605" s="41"/>
      <c r="M1605" t="str">
        <f t="shared" si="7"/>
        <v/>
      </c>
    </row>
    <row r="1606" spans="8:13" ht="16.5" customHeight="1">
      <c r="H1606" s="41"/>
      <c r="M1606" t="str">
        <f t="shared" si="7"/>
        <v/>
      </c>
    </row>
    <row r="1607" spans="8:13" ht="16.5" customHeight="1">
      <c r="H1607" s="41"/>
      <c r="M1607" t="str">
        <f t="shared" si="7"/>
        <v/>
      </c>
    </row>
    <row r="1608" spans="8:13" ht="16.5" customHeight="1">
      <c r="H1608" s="41"/>
      <c r="M1608" t="str">
        <f t="shared" si="7"/>
        <v/>
      </c>
    </row>
    <row r="1609" spans="8:13" ht="16.5" customHeight="1">
      <c r="H1609" s="41"/>
      <c r="M1609" t="str">
        <f t="shared" si="7"/>
        <v/>
      </c>
    </row>
    <row r="1610" spans="8:13" ht="16.5" customHeight="1">
      <c r="H1610" s="41"/>
      <c r="M1610" t="str">
        <f t="shared" si="7"/>
        <v/>
      </c>
    </row>
    <row r="1611" spans="8:13" ht="16.5" customHeight="1">
      <c r="H1611" s="41"/>
    </row>
    <row r="1612" spans="8:13" ht="16.5" customHeight="1">
      <c r="H1612" s="41"/>
    </row>
    <row r="1613" spans="8:13" ht="16.5" customHeight="1">
      <c r="H1613" s="41"/>
    </row>
    <row r="1614" spans="8:13" ht="16.5" customHeight="1">
      <c r="H1614" s="41"/>
    </row>
    <row r="1615" spans="8:13" ht="16.5" customHeight="1">
      <c r="H1615" s="41"/>
    </row>
    <row r="1616" spans="8:13" ht="16.5" customHeight="1">
      <c r="H1616" s="41"/>
    </row>
    <row r="1617" spans="8:8" ht="16.5" customHeight="1">
      <c r="H1617" s="41"/>
    </row>
    <row r="1618" spans="8:8" ht="16.5" customHeight="1">
      <c r="H1618" s="41"/>
    </row>
    <row r="1619" spans="8:8" ht="16.5" customHeight="1">
      <c r="H1619" s="41"/>
    </row>
    <row r="1620" spans="8:8" ht="16.5" customHeight="1">
      <c r="H1620" s="41"/>
    </row>
    <row r="1621" spans="8:8" ht="16.5" customHeight="1">
      <c r="H1621" s="41"/>
    </row>
    <row r="1622" spans="8:8" ht="16.5" customHeight="1">
      <c r="H1622" s="41"/>
    </row>
    <row r="1623" spans="8:8" ht="16.5" customHeight="1">
      <c r="H1623" s="41"/>
    </row>
    <row r="1624" spans="8:8" ht="16.5" customHeight="1">
      <c r="H1624" s="41"/>
    </row>
    <row r="1625" spans="8:8" ht="16.5" customHeight="1">
      <c r="H1625" s="41"/>
    </row>
    <row r="1626" spans="8:8" ht="16.5" customHeight="1">
      <c r="H1626" s="41"/>
    </row>
    <row r="1627" spans="8:8" ht="16.5" customHeight="1">
      <c r="H1627" s="41"/>
    </row>
    <row r="1628" spans="8:8" ht="16.5" customHeight="1">
      <c r="H1628" s="41"/>
    </row>
    <row r="1629" spans="8:8" ht="16.5" customHeight="1">
      <c r="H1629" s="41"/>
    </row>
    <row r="1630" spans="8:8" ht="16.5" customHeight="1">
      <c r="H1630" s="41"/>
    </row>
    <row r="1631" spans="8:8" ht="16.5" customHeight="1">
      <c r="H1631" s="41"/>
    </row>
    <row r="1632" spans="8:8" ht="16.5" customHeight="1">
      <c r="H1632" s="41"/>
    </row>
    <row r="1633" spans="8:8" ht="16.5" customHeight="1">
      <c r="H1633" s="41"/>
    </row>
    <row r="1634" spans="8:8" ht="16.5" customHeight="1">
      <c r="H1634" s="41"/>
    </row>
    <row r="1635" spans="8:8" ht="16.5" customHeight="1">
      <c r="H1635" s="41"/>
    </row>
    <row r="1636" spans="8:8" ht="16.5" customHeight="1">
      <c r="H1636" s="41"/>
    </row>
    <row r="1637" spans="8:8" ht="16.5" customHeight="1">
      <c r="H1637" s="41"/>
    </row>
    <row r="1638" spans="8:8" ht="16.5" customHeight="1">
      <c r="H1638" s="41"/>
    </row>
    <row r="1639" spans="8:8" ht="16.5" customHeight="1">
      <c r="H1639" s="41"/>
    </row>
    <row r="1640" spans="8:8" ht="16.5" customHeight="1">
      <c r="H1640" s="41"/>
    </row>
    <row r="1641" spans="8:8" ht="16.5" customHeight="1">
      <c r="H1641" s="41"/>
    </row>
    <row r="1642" spans="8:8" ht="16.5" customHeight="1">
      <c r="H1642" s="41"/>
    </row>
    <row r="1643" spans="8:8" ht="16.5" customHeight="1">
      <c r="H1643" s="41"/>
    </row>
    <row r="1644" spans="8:8" ht="16.5" customHeight="1">
      <c r="H1644" s="41"/>
    </row>
    <row r="1645" spans="8:8" ht="16.5" customHeight="1">
      <c r="H1645" s="41"/>
    </row>
    <row r="1646" spans="8:8" ht="16.5" customHeight="1">
      <c r="H1646" s="41"/>
    </row>
    <row r="1647" spans="8:8" ht="16.5" customHeight="1"/>
    <row r="1648" spans="8:8" ht="16.5" customHeight="1"/>
    <row r="1649" ht="16.5" customHeight="1"/>
    <row r="1650" ht="16.5" customHeight="1"/>
    <row r="1651" ht="16.5" customHeight="1"/>
    <row r="1652" ht="16.5" customHeight="1"/>
    <row r="1653" ht="16.5" customHeight="1"/>
    <row r="1654" ht="16.5" customHeight="1"/>
    <row r="1655" ht="16.5" customHeight="1"/>
    <row r="1656" ht="16.5" customHeight="1"/>
    <row r="1657" ht="16.5" customHeight="1"/>
    <row r="1658" ht="16.5" customHeight="1"/>
    <row r="1659" ht="16.5" customHeight="1"/>
    <row r="1660" ht="16.5" customHeight="1"/>
    <row r="1661" ht="16.5" customHeight="1"/>
    <row r="1662" ht="16.5" customHeight="1"/>
    <row r="1663" ht="16.5" customHeight="1"/>
    <row r="1664" ht="16.5" customHeight="1"/>
    <row r="1665" ht="16.5" customHeight="1"/>
    <row r="1666" ht="16.5" customHeight="1"/>
    <row r="1667" ht="16.5" customHeight="1"/>
    <row r="1668" ht="16.5" customHeight="1"/>
    <row r="1669" ht="16.5" customHeight="1"/>
    <row r="1670" ht="16.5" customHeight="1"/>
    <row r="1671" ht="16.5" customHeight="1"/>
    <row r="1672" ht="16.5" customHeight="1"/>
    <row r="1673" ht="16.5" customHeight="1"/>
    <row r="1674" ht="16.5" customHeight="1"/>
    <row r="1675" ht="16.5" customHeight="1"/>
    <row r="1676" ht="16.5" customHeight="1"/>
    <row r="1677" ht="16.5" customHeight="1"/>
    <row r="1678" ht="16.5" customHeight="1"/>
    <row r="1679" ht="16.5" customHeight="1"/>
    <row r="1680" ht="16.5" customHeight="1"/>
    <row r="1681" ht="16.5" customHeight="1"/>
    <row r="1682" ht="16.5" customHeight="1"/>
    <row r="1683" ht="16.5" customHeight="1"/>
    <row r="1684" ht="16.5" customHeight="1"/>
    <row r="1685" ht="16.5" customHeight="1"/>
    <row r="1686" ht="16.5" customHeight="1"/>
    <row r="1687" ht="16.5" customHeight="1"/>
    <row r="1688" ht="16.5" customHeight="1"/>
    <row r="1689" ht="16.5" customHeight="1"/>
    <row r="1690" ht="16.5" customHeight="1"/>
    <row r="1691" ht="16.5" customHeight="1"/>
    <row r="1692" ht="16.5" customHeight="1"/>
    <row r="1693" ht="16.5" customHeight="1"/>
    <row r="1694" ht="16.5" customHeight="1"/>
    <row r="1695" ht="16.5" customHeight="1"/>
    <row r="1696" ht="16.5" customHeight="1"/>
    <row r="1697" ht="16.5" customHeight="1"/>
    <row r="1698" ht="16.5" customHeight="1"/>
    <row r="1699" ht="16.5" customHeight="1"/>
    <row r="1700" ht="16.5" customHeight="1"/>
    <row r="1701" ht="16.5" customHeight="1"/>
    <row r="1702" ht="16.5" customHeight="1"/>
    <row r="1703" ht="16.5" customHeight="1"/>
    <row r="1704" ht="16.5" customHeight="1"/>
    <row r="1705" ht="16.5" customHeight="1"/>
    <row r="1706" ht="16.5" customHeight="1"/>
    <row r="1707" ht="16.5" customHeight="1"/>
    <row r="1708" ht="16.5" customHeight="1"/>
    <row r="1709" ht="16.5" customHeight="1"/>
    <row r="1710" ht="16.5" customHeight="1"/>
    <row r="1711" ht="16.5" customHeight="1"/>
    <row r="1712" ht="16.5" customHeight="1"/>
    <row r="1713" ht="16.5" customHeight="1"/>
    <row r="1714" ht="16.5" customHeight="1"/>
    <row r="1715" ht="16.5" customHeight="1"/>
    <row r="1716" ht="16.5" customHeight="1"/>
    <row r="1717" ht="16.5" customHeight="1"/>
    <row r="1718" ht="16.5" customHeight="1"/>
    <row r="1719" ht="16.5" customHeight="1"/>
    <row r="1720" ht="16.5" customHeight="1"/>
    <row r="1721" ht="16.5" customHeight="1"/>
    <row r="1722" ht="16.5" customHeight="1"/>
    <row r="1723" ht="16.5" customHeight="1"/>
    <row r="1724" ht="16.5" customHeight="1"/>
    <row r="1725" ht="16.5" customHeight="1"/>
    <row r="1726" ht="16.5" customHeight="1"/>
    <row r="1727" ht="16.5" customHeight="1"/>
    <row r="1728" ht="16.5" customHeight="1"/>
    <row r="1729" ht="16.5" customHeight="1"/>
    <row r="1730" ht="16.5" customHeight="1"/>
    <row r="1731" ht="16.5" customHeight="1"/>
    <row r="1732" ht="16.5" customHeight="1"/>
    <row r="1733" ht="16.5" customHeight="1"/>
    <row r="1734" ht="16.5" customHeight="1"/>
    <row r="1735" ht="16.5" customHeight="1"/>
    <row r="1736" ht="16.5" customHeight="1"/>
    <row r="1737" ht="16.5" customHeight="1"/>
    <row r="1738" ht="16.5" customHeight="1"/>
    <row r="1739" ht="16.5" customHeight="1"/>
    <row r="1740" ht="16.5" customHeight="1"/>
    <row r="1741" ht="16.5" customHeight="1"/>
    <row r="1742" ht="16.5" customHeight="1"/>
    <row r="1743" ht="16.5" customHeight="1"/>
    <row r="1744" ht="16.5" customHeight="1"/>
    <row r="1745" ht="16.5" customHeight="1"/>
    <row r="1746" ht="16.5" customHeight="1"/>
    <row r="1747" ht="16.5" customHeight="1"/>
    <row r="1748" ht="16.5" customHeight="1"/>
    <row r="1749" ht="16.5" customHeight="1"/>
    <row r="1750" ht="16.5" customHeight="1"/>
    <row r="1751" ht="16.5" customHeight="1"/>
    <row r="1752" ht="16.5" customHeight="1"/>
    <row r="1753" ht="16.5" customHeight="1"/>
    <row r="1754" ht="16.5" customHeight="1"/>
    <row r="1755" ht="16.5" customHeight="1"/>
    <row r="1756" ht="16.5" customHeight="1"/>
    <row r="1757" ht="16.5" customHeight="1"/>
    <row r="1758" ht="16.5" customHeight="1"/>
    <row r="1759" ht="16.5" customHeight="1"/>
    <row r="1760" ht="16.5" customHeight="1"/>
    <row r="1761" ht="16.5" customHeight="1"/>
    <row r="1762" ht="16.5" customHeight="1"/>
    <row r="1763" ht="16.5" customHeight="1"/>
    <row r="1764" ht="16.5" customHeight="1"/>
    <row r="1765" ht="16.5" customHeight="1"/>
    <row r="1766" ht="16.5" customHeight="1"/>
    <row r="1767" ht="16.5" customHeight="1"/>
    <row r="1768" ht="16.5" customHeight="1"/>
    <row r="1769" ht="16.5" customHeight="1"/>
    <row r="1770" ht="16.5" customHeight="1"/>
    <row r="1771" ht="16.5" customHeight="1"/>
    <row r="1772" ht="16.5" customHeight="1"/>
    <row r="1773" ht="16.5" customHeight="1"/>
    <row r="1774" ht="16.5" customHeight="1"/>
    <row r="1775" ht="16.5" customHeight="1"/>
    <row r="1776" ht="16.5" customHeight="1"/>
    <row r="1777" ht="16.5" customHeight="1"/>
    <row r="1778" ht="16.5" customHeight="1"/>
    <row r="1779" ht="16.5" customHeight="1"/>
    <row r="1780" ht="16.5" customHeight="1"/>
    <row r="1781" ht="16.5" customHeight="1"/>
    <row r="1782" ht="16.5" customHeight="1"/>
    <row r="1783" ht="16.5" customHeight="1"/>
    <row r="1784" ht="16.5" customHeight="1"/>
    <row r="1785" ht="16.5" customHeight="1"/>
    <row r="1786" ht="16.5" customHeight="1"/>
    <row r="1787" ht="16.5" customHeight="1"/>
    <row r="1788" ht="16.5" customHeight="1"/>
    <row r="1789" ht="16.5" customHeight="1"/>
    <row r="1790" ht="16.5" customHeight="1"/>
    <row r="1791" ht="16.5" customHeight="1"/>
    <row r="1792" ht="16.5" customHeight="1"/>
    <row r="1793" ht="16.5" customHeight="1"/>
    <row r="1794" ht="16.5" customHeight="1"/>
    <row r="1795" ht="16.5" customHeight="1"/>
    <row r="1796" ht="16.5" customHeight="1"/>
    <row r="1797" ht="16.5" customHeight="1"/>
    <row r="1798" ht="16.5" customHeight="1"/>
    <row r="1799" ht="16.5" customHeight="1"/>
    <row r="1800" ht="16.5" customHeight="1"/>
    <row r="1801" ht="16.5" customHeight="1"/>
    <row r="1802" ht="16.5" customHeight="1"/>
    <row r="1803" ht="16.5" customHeight="1"/>
    <row r="1804" ht="16.5" customHeight="1"/>
    <row r="1805" ht="16.5" customHeight="1"/>
    <row r="1806" ht="16.5" customHeight="1"/>
    <row r="1807" ht="16.5" customHeight="1"/>
    <row r="1808" ht="16.5" customHeight="1"/>
    <row r="1809" ht="16.5" customHeight="1"/>
    <row r="1810" ht="16.5" customHeight="1"/>
    <row r="1811" ht="16.5" customHeight="1"/>
    <row r="1812" ht="16.5" customHeight="1"/>
    <row r="1813" ht="16.5" customHeight="1"/>
    <row r="1814" ht="16.5" customHeight="1"/>
    <row r="1815" ht="16.5" customHeight="1"/>
    <row r="1816" ht="16.5" customHeight="1"/>
    <row r="1817" ht="16.5" customHeight="1"/>
    <row r="1818" ht="16.5" customHeight="1"/>
    <row r="1819" ht="16.5" customHeight="1"/>
    <row r="1820" ht="16.5" customHeight="1"/>
    <row r="1821" ht="16.5" customHeight="1"/>
    <row r="1822" ht="16.5" customHeight="1"/>
    <row r="1823" ht="16.5" customHeight="1"/>
    <row r="1824" ht="16.5" customHeight="1"/>
    <row r="1825" ht="16.5" customHeight="1"/>
    <row r="1826" ht="16.5" customHeight="1"/>
    <row r="1827" ht="16.5" customHeight="1"/>
    <row r="1828" ht="16.5" customHeight="1"/>
    <row r="1829" ht="16.5" customHeight="1"/>
    <row r="1830" ht="16.5" customHeight="1"/>
    <row r="1831" ht="16.5" customHeight="1"/>
    <row r="1832" ht="16.5" customHeight="1"/>
    <row r="1833" ht="16.5" customHeight="1"/>
    <row r="1834" ht="16.5" customHeight="1"/>
    <row r="1835" ht="16.5" customHeight="1"/>
    <row r="1836" ht="16.5" customHeight="1"/>
    <row r="1837" ht="16.5" customHeight="1"/>
    <row r="1838" ht="16.5" customHeight="1"/>
    <row r="1839" ht="16.5" customHeight="1"/>
    <row r="1840" ht="16.5" customHeight="1"/>
    <row r="1841" ht="16.5" customHeight="1"/>
    <row r="1842" ht="16.5" customHeight="1"/>
    <row r="1843" ht="16.5" customHeight="1"/>
    <row r="1844" ht="16.5" customHeight="1"/>
    <row r="1845" ht="16.5" customHeight="1"/>
    <row r="1846" ht="16.5" customHeight="1"/>
    <row r="1847" ht="16.5" customHeight="1"/>
    <row r="1848" ht="16.5" customHeight="1"/>
    <row r="1849" ht="16.5" customHeight="1"/>
    <row r="1850" ht="16.5" customHeight="1"/>
    <row r="1851" ht="16.5" customHeight="1"/>
    <row r="1852" ht="16.5" customHeight="1"/>
    <row r="1853" ht="16.5" customHeight="1"/>
    <row r="1854" ht="16.5" customHeight="1"/>
    <row r="1855" ht="16.5" customHeight="1"/>
    <row r="1856" ht="16.5" customHeight="1"/>
    <row r="1857" ht="16.5" customHeight="1"/>
    <row r="1858" ht="16.5" customHeight="1"/>
    <row r="1859" ht="16.5" customHeight="1"/>
    <row r="1860" ht="16.5" customHeight="1"/>
    <row r="1861" ht="16.5" customHeight="1"/>
    <row r="1862" ht="16.5" customHeight="1"/>
    <row r="1863" ht="16.5" customHeight="1"/>
    <row r="1864" ht="16.5" customHeight="1"/>
    <row r="1865" ht="16.5" customHeight="1"/>
    <row r="1866" ht="16.5" customHeight="1"/>
    <row r="1867" ht="16.5" customHeight="1"/>
    <row r="1868" ht="16.5" customHeight="1"/>
    <row r="1869" ht="16.5" customHeight="1"/>
    <row r="1870" ht="16.5" customHeight="1"/>
    <row r="1871" ht="16.5" customHeight="1"/>
    <row r="1872" ht="16.5" customHeight="1"/>
    <row r="1873" ht="16.5" customHeight="1"/>
    <row r="1874" ht="16.5" customHeight="1"/>
    <row r="1875" ht="16.5" customHeight="1"/>
    <row r="1876" ht="16.5" customHeight="1"/>
    <row r="1877" ht="16.5" customHeight="1"/>
    <row r="1878" ht="16.5" customHeight="1"/>
    <row r="1879" ht="16.5" customHeight="1"/>
    <row r="1880" ht="16.5" customHeight="1"/>
    <row r="1881" ht="16.5" customHeight="1"/>
    <row r="1882" ht="16.5" customHeight="1"/>
    <row r="1883" ht="16.5" customHeight="1"/>
    <row r="1884" ht="16.5" customHeight="1"/>
    <row r="1885" ht="16.5" customHeight="1"/>
    <row r="1886" ht="16.5" customHeight="1"/>
    <row r="1887" ht="16.5" customHeight="1"/>
    <row r="1888" ht="16.5" customHeight="1"/>
    <row r="1889" ht="16.5" customHeight="1"/>
    <row r="1890" ht="16.5" customHeight="1"/>
    <row r="1891" ht="16.5" customHeight="1"/>
    <row r="1892" ht="16.5" customHeight="1"/>
    <row r="1893" ht="16.5" customHeight="1"/>
    <row r="1894" ht="16.5" customHeight="1"/>
    <row r="1895" ht="16.5" customHeight="1"/>
    <row r="1896" ht="16.5" customHeight="1"/>
    <row r="1897" ht="16.5" customHeight="1"/>
    <row r="1898" ht="16.5" customHeight="1"/>
    <row r="1899" ht="16.5" customHeight="1"/>
    <row r="1900" ht="16.5" customHeight="1"/>
    <row r="1901" ht="16.5" customHeight="1"/>
    <row r="1902" ht="16.5" customHeight="1"/>
    <row r="1903" ht="16.5" customHeight="1"/>
    <row r="1904" ht="16.5" customHeight="1"/>
    <row r="1905" ht="16.5" customHeight="1"/>
    <row r="1906" ht="16.5" customHeight="1"/>
    <row r="1907" ht="16.5" customHeight="1"/>
    <row r="1908" ht="16.5" customHeight="1"/>
    <row r="1909" ht="16.5" customHeight="1"/>
    <row r="1910" ht="16.5" customHeight="1"/>
    <row r="1911" ht="16.5" customHeight="1"/>
    <row r="1912" ht="16.5" customHeight="1"/>
    <row r="1913" ht="16.5" customHeight="1"/>
    <row r="1914" ht="16.5" customHeight="1"/>
    <row r="1915" ht="16.5" customHeight="1"/>
    <row r="1916" ht="16.5" customHeight="1"/>
    <row r="1917" ht="16.5" customHeight="1"/>
    <row r="1918" ht="16.5" customHeight="1"/>
    <row r="1919" ht="16.5" customHeight="1"/>
    <row r="1920" ht="16.5" customHeight="1"/>
    <row r="1921" ht="16.5" customHeight="1"/>
    <row r="1922" ht="16.5" customHeight="1"/>
    <row r="1923" ht="16.5" customHeight="1"/>
    <row r="1924" ht="16.5" customHeight="1"/>
    <row r="1925" ht="16.5" customHeight="1"/>
    <row r="1926" ht="16.5" customHeight="1"/>
    <row r="1927" ht="16.5" customHeight="1"/>
    <row r="1928" ht="16.5" customHeight="1"/>
    <row r="1929" ht="16.5" customHeight="1"/>
    <row r="1930" ht="16.5" customHeight="1"/>
    <row r="1931" ht="16.5" customHeight="1"/>
    <row r="1932" ht="16.5" customHeight="1"/>
    <row r="1933" ht="16.5" customHeight="1"/>
    <row r="1934" ht="16.5" customHeight="1"/>
    <row r="1935" ht="16.5" customHeight="1"/>
    <row r="1936" ht="16.5" customHeight="1"/>
    <row r="1937" ht="16.5" customHeight="1"/>
    <row r="1938" ht="16.5" customHeight="1"/>
    <row r="1939" ht="16.5" customHeight="1"/>
    <row r="1940" ht="16.5" customHeight="1"/>
    <row r="1941" ht="16.5" customHeight="1"/>
    <row r="1942" ht="16.5" customHeight="1"/>
    <row r="1943" ht="16.5" customHeight="1"/>
    <row r="1944" ht="16.5" customHeight="1"/>
    <row r="1945" ht="16.5" customHeight="1"/>
    <row r="1946" ht="16.5" customHeight="1"/>
    <row r="1947" ht="16.5" customHeight="1"/>
    <row r="1948" ht="16.5" customHeight="1"/>
    <row r="1949" ht="16.5" customHeight="1"/>
    <row r="1950" ht="16.5" customHeight="1"/>
    <row r="1951" ht="16.5" customHeight="1"/>
    <row r="1952" ht="16.5" customHeight="1"/>
    <row r="1953" ht="16.5" customHeight="1"/>
    <row r="1954" ht="16.5" customHeight="1"/>
    <row r="1955" ht="16.5" customHeight="1"/>
    <row r="1956" ht="16.5" customHeight="1"/>
    <row r="1957" ht="16.5" customHeight="1"/>
    <row r="1958" ht="16.5" customHeight="1"/>
    <row r="1959" ht="16.5" customHeight="1"/>
    <row r="1960" ht="16.5" customHeight="1"/>
    <row r="1961" ht="16.5" customHeight="1"/>
    <row r="1962" ht="16.5" customHeight="1"/>
    <row r="1963" ht="16.5" customHeight="1"/>
    <row r="1964" ht="16.5" customHeight="1"/>
    <row r="1965" ht="16.5" customHeight="1"/>
    <row r="1966" ht="16.5" customHeight="1"/>
    <row r="1967" ht="16.5" customHeight="1"/>
    <row r="1968" ht="16.5" customHeight="1"/>
    <row r="1969" ht="16.5" customHeight="1"/>
    <row r="1970" ht="16.5" customHeight="1"/>
    <row r="1971" ht="16.5" customHeight="1"/>
    <row r="1972" ht="16.5" customHeight="1"/>
    <row r="1973" ht="16.5" customHeight="1"/>
    <row r="1974" ht="16.5" customHeight="1"/>
    <row r="1975" ht="16.5" customHeight="1"/>
    <row r="1976" ht="16.5" customHeight="1"/>
    <row r="1977" ht="16.5" customHeight="1"/>
    <row r="1978" ht="16.5" customHeight="1"/>
    <row r="1979" ht="16.5" customHeight="1"/>
    <row r="1980" ht="16.5" customHeight="1"/>
    <row r="1981" ht="16.5" customHeight="1"/>
    <row r="1982" ht="16.5" customHeight="1"/>
    <row r="1983" ht="16.5" customHeight="1"/>
    <row r="1984" ht="16.5" customHeight="1"/>
    <row r="1985" ht="16.5" customHeight="1"/>
    <row r="1986" ht="16.5" customHeight="1"/>
    <row r="1987" ht="16.5" customHeight="1"/>
    <row r="1988" ht="16.5" customHeight="1"/>
    <row r="1989" ht="16.5" customHeight="1"/>
    <row r="1990" ht="16.5" customHeight="1"/>
    <row r="1991" ht="16.5" customHeight="1"/>
    <row r="1992" ht="16.5" customHeight="1"/>
    <row r="1993" ht="16.5" customHeight="1"/>
    <row r="1994" ht="16.5" customHeight="1"/>
    <row r="1995" ht="16.5" customHeight="1"/>
    <row r="1996" ht="16.5" customHeight="1"/>
    <row r="1997" ht="16.5" customHeight="1"/>
    <row r="1998" ht="16.5" customHeight="1"/>
    <row r="1999" ht="16.5" customHeight="1"/>
    <row r="2000" ht="16.5" customHeight="1"/>
    <row r="2001" ht="16.5" customHeight="1"/>
    <row r="2002" ht="16.5" customHeight="1"/>
    <row r="2003" ht="16.5" customHeight="1"/>
    <row r="2004" ht="16.5" customHeight="1"/>
    <row r="2005" ht="16.5" customHeight="1"/>
    <row r="2006" ht="16.5" customHeight="1"/>
    <row r="2007" ht="16.5" customHeight="1"/>
    <row r="2008" ht="16.5" customHeight="1"/>
    <row r="2009" ht="16.5" customHeight="1"/>
    <row r="2010" ht="16.5" customHeight="1"/>
    <row r="2011" ht="16.5" customHeight="1"/>
    <row r="2012" ht="16.5" customHeight="1"/>
    <row r="2013" ht="16.5" customHeight="1"/>
    <row r="2014" ht="16.5" customHeight="1"/>
    <row r="2015" ht="16.5" customHeight="1"/>
    <row r="2016" ht="16.5" customHeight="1"/>
    <row r="2017" ht="16.5" customHeight="1"/>
    <row r="2018" ht="16.5" customHeight="1"/>
    <row r="2019" ht="16.5" customHeight="1"/>
    <row r="2020" ht="16.5" customHeight="1"/>
    <row r="2021" ht="16.5" customHeight="1"/>
    <row r="2022" ht="16.5" customHeight="1"/>
    <row r="2023" ht="16.5" customHeight="1"/>
    <row r="2024" ht="16.5" customHeight="1"/>
    <row r="2025" ht="16.5" customHeight="1"/>
    <row r="2026" ht="16.5" customHeight="1"/>
    <row r="2027" ht="16.5" customHeight="1"/>
    <row r="2028" ht="16.5" customHeight="1"/>
    <row r="2029" ht="16.5" customHeight="1"/>
    <row r="2030" ht="16.5" customHeight="1"/>
    <row r="2031" ht="16.5" customHeight="1"/>
    <row r="2032" ht="16.5" customHeight="1"/>
    <row r="2033" ht="16.5" customHeight="1"/>
    <row r="2034" ht="16.5" customHeight="1"/>
    <row r="2035" ht="16.5" customHeight="1"/>
    <row r="2036" ht="16.5" customHeight="1"/>
    <row r="2037" ht="16.5" customHeight="1"/>
    <row r="2038" ht="16.5" customHeight="1"/>
    <row r="2039" ht="16.5" customHeight="1"/>
    <row r="2040" ht="16.5" customHeight="1"/>
    <row r="2041" ht="16.5" customHeight="1"/>
    <row r="2042" ht="16.5" customHeight="1"/>
    <row r="2043" ht="16.5" customHeight="1"/>
    <row r="2044" ht="16.5" customHeight="1"/>
    <row r="2045" ht="16.5" customHeight="1"/>
    <row r="2046" ht="16.5" customHeight="1"/>
    <row r="2047" ht="16.5" customHeight="1"/>
    <row r="2048" ht="16.5" customHeight="1"/>
    <row r="2049" ht="16.5" customHeight="1"/>
    <row r="2050" ht="16.5" customHeight="1"/>
    <row r="2051" ht="16.5" customHeight="1"/>
    <row r="2052" ht="16.5" customHeight="1"/>
    <row r="2053" ht="16.5" customHeight="1"/>
    <row r="2054" ht="16.5" customHeight="1"/>
    <row r="2055" ht="16.5" customHeight="1"/>
    <row r="2056" ht="16.5" customHeight="1"/>
    <row r="2057" ht="16.5" customHeight="1"/>
    <row r="2058" ht="16.5" customHeight="1"/>
    <row r="2059" ht="16.5" customHeight="1"/>
    <row r="2060" ht="16.5" customHeight="1"/>
    <row r="2061" ht="16.5" customHeight="1"/>
    <row r="2062" ht="16.5" customHeight="1"/>
    <row r="2063" ht="16.5" customHeight="1"/>
    <row r="2064" ht="16.5" customHeight="1"/>
    <row r="2065" ht="16.5" customHeight="1"/>
    <row r="2066" ht="16.5" customHeight="1"/>
    <row r="2067" ht="16.5" customHeight="1"/>
    <row r="2068" ht="16.5" customHeight="1"/>
    <row r="2069" ht="16.5" customHeight="1"/>
    <row r="2070" ht="16.5" customHeight="1"/>
    <row r="2071" ht="16.5" customHeight="1"/>
    <row r="2072" ht="16.5" customHeight="1"/>
    <row r="2073" ht="16.5" customHeight="1"/>
    <row r="2074" ht="16.5" customHeight="1"/>
    <row r="2075" ht="16.5" customHeight="1"/>
    <row r="2076" ht="16.5" customHeight="1"/>
    <row r="2077" ht="16.5" customHeight="1"/>
    <row r="2078" ht="16.5" customHeight="1"/>
    <row r="2079" ht="16.5" customHeight="1"/>
    <row r="2080" ht="16.5" customHeight="1"/>
    <row r="2081" ht="16.5" customHeight="1"/>
    <row r="2082" ht="16.5" customHeight="1"/>
    <row r="2083" ht="16.5" customHeight="1"/>
    <row r="2084" ht="16.5" customHeight="1"/>
    <row r="2085" ht="16.5" customHeight="1"/>
    <row r="2086" ht="16.5" customHeight="1"/>
    <row r="2087" ht="16.5" customHeight="1"/>
    <row r="2088" ht="16.5" customHeight="1"/>
    <row r="2089" ht="16.5" customHeight="1"/>
    <row r="2090" ht="16.5" customHeight="1"/>
    <row r="2091" ht="16.5" customHeight="1"/>
    <row r="2092" ht="16.5" customHeight="1"/>
    <row r="2093" ht="16.5" customHeight="1"/>
    <row r="2094" ht="16.5" customHeight="1"/>
    <row r="2095" ht="16.5" customHeight="1"/>
    <row r="2096" ht="16.5" customHeight="1"/>
    <row r="2097" ht="16.5" customHeight="1"/>
    <row r="2098" ht="16.5" customHeight="1"/>
    <row r="2099" ht="16.5" customHeight="1"/>
    <row r="2100" ht="16.5" customHeight="1"/>
    <row r="2101" ht="16.5" customHeight="1"/>
    <row r="2102" ht="16.5" customHeight="1"/>
    <row r="2103" ht="16.5" customHeight="1"/>
    <row r="2104" ht="16.5" customHeight="1"/>
    <row r="2105" ht="16.5" customHeight="1"/>
    <row r="2106" ht="16.5" customHeight="1"/>
    <row r="2107" ht="16.5" customHeight="1"/>
    <row r="2108" ht="16.5" customHeight="1"/>
    <row r="2109" ht="16.5" customHeight="1"/>
    <row r="2110" ht="16.5" customHeight="1"/>
    <row r="2111" ht="16.5" customHeight="1"/>
    <row r="2112" ht="16.5" customHeight="1"/>
    <row r="2113" ht="16.5" customHeight="1"/>
    <row r="2114" ht="16.5" customHeight="1"/>
    <row r="2115" ht="16.5" customHeight="1"/>
    <row r="2116" ht="16.5" customHeight="1"/>
    <row r="2117" ht="16.5" customHeight="1"/>
    <row r="2118" ht="16.5" customHeight="1"/>
    <row r="2119" ht="16.5" customHeight="1"/>
    <row r="2120" ht="16.5" customHeight="1"/>
    <row r="2121" ht="16.5" customHeight="1"/>
    <row r="2122" ht="16.5" customHeight="1"/>
    <row r="2123" ht="16.5" customHeight="1"/>
    <row r="2124" ht="16.5" customHeight="1"/>
    <row r="2125" ht="16.5" customHeight="1"/>
    <row r="2126" ht="16.5" customHeight="1"/>
    <row r="2127" ht="16.5" customHeight="1"/>
    <row r="2128" ht="16.5" customHeight="1"/>
    <row r="2129" ht="16.5" customHeight="1"/>
    <row r="2130" ht="16.5" customHeight="1"/>
    <row r="2131" ht="16.5" customHeight="1"/>
    <row r="2132" ht="16.5" customHeight="1"/>
    <row r="2133" ht="16.5" customHeight="1"/>
    <row r="2134" ht="16.5" customHeight="1"/>
    <row r="2135" ht="16.5" customHeight="1"/>
    <row r="2136" ht="16.5" customHeight="1"/>
    <row r="2137" ht="16.5" customHeight="1"/>
    <row r="2138" ht="16.5" customHeight="1"/>
    <row r="2139" ht="16.5" customHeight="1"/>
    <row r="2140" ht="16.5" customHeight="1"/>
    <row r="2141" ht="16.5" customHeight="1"/>
    <row r="2142" ht="16.5" customHeight="1"/>
    <row r="2143" ht="16.5" customHeight="1"/>
    <row r="2144" ht="16.5" customHeight="1"/>
    <row r="2145" ht="16.5" customHeight="1"/>
    <row r="2146" ht="16.5" customHeight="1"/>
    <row r="2147" ht="16.5" customHeight="1"/>
    <row r="2148" ht="16.5" customHeight="1"/>
    <row r="2149" ht="16.5" customHeight="1"/>
    <row r="2150" ht="16.5" customHeight="1"/>
    <row r="2151" ht="16.5" customHeight="1"/>
    <row r="2152" ht="16.5" customHeight="1"/>
    <row r="2153" ht="16.5" customHeight="1"/>
    <row r="2154" ht="16.5" customHeight="1"/>
    <row r="2155" ht="16.5" customHeight="1"/>
    <row r="2156" ht="16.5" customHeight="1"/>
    <row r="2157" ht="16.5" customHeight="1"/>
    <row r="2158" ht="16.5" customHeight="1"/>
    <row r="2159" ht="16.5" customHeight="1"/>
    <row r="2160" ht="16.5" customHeight="1"/>
    <row r="2161" ht="16.5" customHeight="1"/>
    <row r="2162" ht="16.5" customHeight="1"/>
    <row r="2163" ht="16.5" customHeight="1"/>
    <row r="2164" ht="16.5" customHeight="1"/>
    <row r="2165" ht="16.5" customHeight="1"/>
    <row r="2166" ht="16.5" customHeight="1"/>
    <row r="2167" ht="16.5" customHeight="1"/>
    <row r="2168" ht="16.5" customHeight="1"/>
    <row r="2169" ht="16.5" customHeight="1"/>
    <row r="2170" ht="16.5" customHeight="1"/>
    <row r="2171" ht="16.5" customHeight="1"/>
    <row r="2172" ht="16.5" customHeight="1"/>
    <row r="2173" ht="16.5" customHeight="1"/>
    <row r="2174" ht="16.5" customHeight="1"/>
    <row r="2175" ht="16.5" customHeight="1"/>
    <row r="2176" ht="16.5" customHeight="1"/>
    <row r="2177" ht="16.5" customHeight="1"/>
    <row r="2178" ht="16.5" customHeight="1"/>
    <row r="2179" ht="16.5" customHeight="1"/>
    <row r="2180" ht="16.5" customHeight="1"/>
    <row r="2181" ht="16.5" customHeight="1"/>
    <row r="2182" ht="16.5" customHeight="1"/>
    <row r="2183" ht="16.5" customHeight="1"/>
    <row r="2184" ht="16.5" customHeight="1"/>
    <row r="2185" ht="16.5" customHeight="1"/>
    <row r="2186" ht="16.5" customHeight="1"/>
    <row r="2187" ht="16.5" customHeight="1"/>
    <row r="2188" ht="16.5" customHeight="1"/>
    <row r="2189" ht="16.5" customHeight="1"/>
    <row r="2190" ht="16.5" customHeight="1"/>
    <row r="2191" ht="16.5" customHeight="1"/>
    <row r="2192" ht="16.5" customHeight="1"/>
    <row r="2193" ht="16.5" customHeight="1"/>
    <row r="2194" ht="16.5" customHeight="1"/>
    <row r="2195" ht="16.5" customHeight="1"/>
    <row r="2196" ht="16.5" customHeight="1"/>
    <row r="2197" ht="16.5" customHeight="1"/>
    <row r="2198" ht="16.5" customHeight="1"/>
    <row r="2199" ht="16.5" customHeight="1"/>
    <row r="2200" ht="16.5" customHeight="1"/>
    <row r="2201" ht="16.5" customHeight="1"/>
    <row r="2202" ht="16.5" customHeight="1"/>
    <row r="2203" ht="16.5" customHeight="1"/>
    <row r="2204" ht="16.5" customHeight="1"/>
    <row r="2205" ht="16.5" customHeight="1"/>
    <row r="2206" ht="16.5" customHeight="1"/>
    <row r="2207" ht="16.5" customHeight="1"/>
    <row r="2208" ht="16.5" customHeight="1"/>
    <row r="2209" ht="16.5" customHeight="1"/>
    <row r="2210" ht="16.5" customHeight="1"/>
    <row r="2211" ht="16.5" customHeight="1"/>
    <row r="2212" ht="16.5" customHeight="1"/>
    <row r="2213" ht="16.5" customHeight="1"/>
    <row r="2214" ht="16.5" customHeight="1"/>
    <row r="2215" ht="16.5" customHeight="1"/>
    <row r="2216" ht="16.5" customHeight="1"/>
    <row r="2217" ht="16.5" customHeight="1"/>
    <row r="2218" ht="16.5" customHeight="1"/>
    <row r="2219" ht="16.5" customHeight="1"/>
    <row r="2220" ht="16.5" customHeight="1"/>
    <row r="2221" ht="16.5" customHeight="1"/>
    <row r="2222" ht="16.5" customHeight="1"/>
    <row r="2223" ht="16.5" customHeight="1"/>
    <row r="2224" ht="16.5" customHeight="1"/>
    <row r="2225" ht="16.5" customHeight="1"/>
    <row r="2226" ht="16.5" customHeight="1"/>
    <row r="2227" ht="16.5" customHeight="1"/>
    <row r="2228" ht="16.5" customHeight="1"/>
    <row r="2229" ht="16.5" customHeight="1"/>
    <row r="2230" ht="16.5" customHeight="1"/>
    <row r="2231" ht="16.5" customHeight="1"/>
    <row r="2232" ht="16.5" customHeight="1"/>
    <row r="2233" ht="16.5" customHeight="1"/>
    <row r="2234" ht="16.5" customHeight="1"/>
    <row r="2235" ht="16.5" customHeight="1"/>
    <row r="2236" ht="16.5" customHeight="1"/>
    <row r="2237" ht="16.5" customHeight="1"/>
    <row r="2238" ht="16.5" customHeight="1"/>
    <row r="2239" ht="16.5" customHeight="1"/>
    <row r="2240" ht="16.5" customHeight="1"/>
    <row r="2241" ht="16.5" customHeight="1"/>
    <row r="2242" ht="16.5" customHeight="1"/>
    <row r="2243" ht="16.5" customHeight="1"/>
    <row r="2244" ht="16.5" customHeight="1"/>
    <row r="2245" ht="16.5" customHeight="1"/>
    <row r="2246" ht="16.5" customHeight="1"/>
    <row r="2247" ht="16.5" customHeight="1"/>
    <row r="2248" ht="16.5" customHeight="1"/>
    <row r="2249" ht="16.5" customHeight="1"/>
    <row r="2250" ht="16.5" customHeight="1"/>
    <row r="2251" ht="16.5" customHeight="1"/>
    <row r="2252" ht="16.5" customHeight="1"/>
    <row r="2253" ht="16.5" customHeight="1"/>
    <row r="2254" ht="16.5" customHeight="1"/>
    <row r="2255" ht="16.5" customHeight="1"/>
    <row r="2256" ht="16.5" customHeight="1"/>
    <row r="2257" ht="16.5" customHeight="1"/>
    <row r="2258" ht="16.5" customHeight="1"/>
    <row r="2259" ht="16.5" customHeight="1"/>
    <row r="2260" ht="16.5" customHeight="1"/>
    <row r="2261" ht="16.5" customHeight="1"/>
    <row r="2262" ht="16.5" customHeight="1"/>
    <row r="2263" ht="16.5" customHeight="1"/>
    <row r="2264" ht="16.5" customHeight="1"/>
    <row r="2265" ht="16.5" customHeight="1"/>
    <row r="2266" ht="16.5" customHeight="1"/>
    <row r="2267" ht="16.5" customHeight="1"/>
    <row r="2268" ht="16.5" customHeight="1"/>
    <row r="2269" ht="16.5" customHeight="1"/>
    <row r="2270" ht="16.5" customHeight="1"/>
    <row r="2271" ht="16.5" customHeight="1"/>
    <row r="2272" ht="16.5" customHeight="1"/>
    <row r="2273" ht="16.5" customHeight="1"/>
    <row r="2274" ht="16.5" customHeight="1"/>
    <row r="2275" ht="16.5" customHeight="1"/>
    <row r="2276" ht="16.5" customHeight="1"/>
    <row r="2277" ht="16.5" customHeight="1"/>
    <row r="2278" ht="16.5" customHeight="1"/>
    <row r="2279" ht="16.5" customHeight="1"/>
    <row r="2280" ht="16.5" customHeight="1"/>
    <row r="2281" ht="16.5" customHeight="1"/>
    <row r="2282" ht="16.5" customHeight="1"/>
    <row r="2283" ht="16.5" customHeight="1"/>
    <row r="2284" ht="16.5" customHeight="1"/>
    <row r="2285" ht="16.5" customHeight="1"/>
    <row r="2286" ht="16.5" customHeight="1"/>
    <row r="2287" ht="16.5" customHeight="1"/>
    <row r="2288" ht="16.5" customHeight="1"/>
    <row r="2289" ht="16.5" customHeight="1"/>
    <row r="2290" ht="16.5" customHeight="1"/>
    <row r="2291" ht="16.5" customHeight="1"/>
    <row r="2292" ht="16.5" customHeight="1"/>
    <row r="2293" ht="16.5" customHeight="1"/>
    <row r="2294" ht="16.5" customHeight="1"/>
    <row r="2295" ht="16.5" customHeight="1"/>
    <row r="2296" ht="16.5" customHeight="1"/>
    <row r="2297" ht="16.5" customHeight="1"/>
    <row r="2298" ht="16.5" customHeight="1"/>
    <row r="2299" ht="16.5" customHeight="1"/>
    <row r="2300" ht="16.5" customHeight="1"/>
    <row r="2301" ht="16.5" customHeight="1"/>
    <row r="2302" ht="16.5" customHeight="1"/>
    <row r="2303" ht="16.5" customHeight="1"/>
    <row r="2304" ht="16.5" customHeight="1"/>
    <row r="2305" ht="16.5" customHeight="1"/>
    <row r="2306" ht="16.5" customHeight="1"/>
    <row r="2307" ht="16.5" customHeight="1"/>
    <row r="2308" ht="16.5" customHeight="1"/>
    <row r="2309" ht="16.5" customHeight="1"/>
    <row r="2310" ht="16.5" customHeight="1"/>
    <row r="2311" ht="16.5" customHeight="1"/>
    <row r="2312" ht="16.5" customHeight="1"/>
    <row r="2313" ht="16.5" customHeight="1"/>
    <row r="2314" ht="16.5" customHeight="1"/>
    <row r="2315" ht="16.5" customHeight="1"/>
    <row r="2316" ht="16.5" customHeight="1"/>
    <row r="2317" ht="16.5" customHeight="1"/>
    <row r="2318" ht="16.5" customHeight="1"/>
    <row r="2319" ht="16.5" customHeight="1"/>
    <row r="2320" ht="16.5" customHeight="1"/>
    <row r="2321" ht="16.5" customHeight="1"/>
    <row r="2322" ht="16.5" customHeight="1"/>
    <row r="2323" ht="16.5" customHeight="1"/>
    <row r="2324" ht="16.5" customHeight="1"/>
    <row r="2325" ht="16.5" customHeight="1"/>
    <row r="2326" ht="16.5" customHeight="1"/>
    <row r="2327" ht="16.5" customHeight="1"/>
    <row r="2328" ht="16.5" customHeight="1"/>
    <row r="2329" ht="16.5" customHeight="1"/>
    <row r="2330" ht="16.5" customHeight="1"/>
    <row r="2331" ht="16.5" customHeight="1"/>
    <row r="2332" ht="16.5" customHeight="1"/>
    <row r="2333" ht="16.5" customHeight="1"/>
    <row r="2334" ht="16.5" customHeight="1"/>
    <row r="2335" ht="16.5" customHeight="1"/>
    <row r="2336" ht="16.5" customHeight="1"/>
    <row r="2337" ht="16.5" customHeight="1"/>
    <row r="2338" ht="16.5" customHeight="1"/>
    <row r="2339" ht="16.5" customHeight="1"/>
    <row r="2340" ht="16.5" customHeight="1"/>
    <row r="2341" ht="16.5" customHeight="1"/>
    <row r="2342" ht="16.5" customHeight="1"/>
    <row r="2343" ht="16.5" customHeight="1"/>
    <row r="2344" ht="16.5" customHeight="1"/>
    <row r="2345" ht="16.5" customHeight="1"/>
    <row r="2346" ht="16.5" customHeight="1"/>
    <row r="2347" ht="16.5" customHeight="1"/>
    <row r="2348" ht="16.5" customHeight="1"/>
    <row r="2349" ht="16.5" customHeight="1"/>
    <row r="2350" ht="16.5" customHeight="1"/>
    <row r="2351" ht="16.5" customHeight="1"/>
    <row r="2352" ht="16.5" customHeight="1"/>
    <row r="2353" ht="16.5" customHeight="1"/>
    <row r="2354" ht="16.5" customHeight="1"/>
    <row r="2355" ht="16.5" customHeight="1"/>
    <row r="2356" ht="16.5" customHeight="1"/>
    <row r="2357" ht="16.5" customHeight="1"/>
    <row r="2358" ht="16.5" customHeight="1"/>
    <row r="2359" ht="16.5" customHeight="1"/>
    <row r="2360" ht="16.5" customHeight="1"/>
    <row r="2361" ht="16.5" customHeight="1"/>
    <row r="2362" ht="16.5" customHeight="1"/>
    <row r="2363" ht="16.5" customHeight="1"/>
    <row r="2364" ht="16.5" customHeight="1"/>
    <row r="2365" ht="16.5" customHeight="1"/>
    <row r="2366" ht="16.5" customHeight="1"/>
    <row r="2367" ht="16.5" customHeight="1"/>
    <row r="2368" ht="16.5" customHeight="1"/>
    <row r="2369" ht="16.5" customHeight="1"/>
    <row r="2370" ht="16.5" customHeight="1"/>
    <row r="2371" ht="16.5" customHeight="1"/>
    <row r="2372" ht="16.5" customHeight="1"/>
    <row r="2373" ht="16.5" customHeight="1"/>
    <row r="2374" ht="16.5" customHeight="1"/>
    <row r="2375" ht="16.5" customHeight="1"/>
    <row r="2376" ht="16.5" customHeight="1"/>
    <row r="2377" ht="16.5" customHeight="1"/>
    <row r="2378" ht="16.5" customHeight="1"/>
    <row r="2379" ht="16.5" customHeight="1"/>
    <row r="2380" ht="16.5" customHeight="1"/>
    <row r="2381" ht="16.5" customHeight="1"/>
    <row r="2382" ht="16.5" customHeight="1"/>
    <row r="2383" ht="16.5" customHeight="1"/>
    <row r="2384" ht="16.5" customHeight="1"/>
    <row r="2385" ht="16.5" customHeight="1"/>
    <row r="2386" ht="16.5" customHeight="1"/>
    <row r="2387" ht="16.5" customHeight="1"/>
    <row r="2388" ht="16.5" customHeight="1"/>
    <row r="2389" ht="16.5" customHeight="1"/>
    <row r="2390" ht="16.5" customHeight="1"/>
    <row r="2391" ht="16.5" customHeight="1"/>
    <row r="2392" ht="16.5" customHeight="1"/>
    <row r="2393" ht="16.5" customHeight="1"/>
    <row r="2394" ht="16.5" customHeight="1"/>
    <row r="2395" ht="16.5" customHeight="1"/>
    <row r="2396" ht="16.5" customHeight="1"/>
    <row r="2397" ht="16.5" customHeight="1"/>
    <row r="2398" ht="16.5" customHeight="1"/>
    <row r="2399" ht="16.5" customHeight="1"/>
    <row r="2400" ht="16.5" customHeight="1"/>
    <row r="2401" ht="16.5" customHeight="1"/>
    <row r="2402" ht="16.5" customHeight="1"/>
    <row r="2403" ht="16.5" customHeight="1"/>
    <row r="2404" ht="16.5" customHeight="1"/>
    <row r="2405" ht="16.5" customHeight="1"/>
    <row r="2406" ht="16.5" customHeight="1"/>
    <row r="2407" ht="16.5" customHeight="1"/>
    <row r="2408" ht="16.5" customHeight="1"/>
    <row r="2409" ht="16.5" customHeight="1"/>
    <row r="2410" ht="16.5" customHeight="1"/>
    <row r="2411" ht="16.5" customHeight="1"/>
    <row r="2412" ht="16.5" customHeight="1"/>
    <row r="2413" ht="16.5" customHeight="1"/>
    <row r="2414" ht="16.5" customHeight="1"/>
    <row r="2415" ht="16.5" customHeight="1"/>
    <row r="2416" ht="16.5" customHeight="1"/>
    <row r="2417" ht="16.5" customHeight="1"/>
    <row r="2418" ht="16.5" customHeight="1"/>
    <row r="2419" ht="16.5" customHeight="1"/>
    <row r="2420" ht="16.5" customHeight="1"/>
    <row r="2421" ht="16.5" customHeight="1"/>
    <row r="2422" ht="16.5" customHeight="1"/>
    <row r="2423" ht="16.5" customHeight="1"/>
    <row r="2424" ht="16.5" customHeight="1"/>
    <row r="2425" ht="16.5" customHeight="1"/>
    <row r="2426" ht="16.5" customHeight="1"/>
    <row r="2427" ht="16.5" customHeight="1"/>
    <row r="2428" ht="16.5" customHeight="1"/>
    <row r="2429" ht="16.5" customHeight="1"/>
    <row r="2430" ht="16.5" customHeight="1"/>
    <row r="2431" ht="16.5" customHeight="1"/>
    <row r="2432" ht="16.5" customHeight="1"/>
    <row r="2433" ht="16.5" customHeight="1"/>
    <row r="2434" ht="16.5" customHeight="1"/>
    <row r="2435" ht="16.5" customHeight="1"/>
    <row r="2436" ht="16.5" customHeight="1"/>
    <row r="2437" ht="16.5" customHeight="1"/>
    <row r="2438" ht="16.5" customHeight="1"/>
    <row r="2439" ht="16.5" customHeight="1"/>
    <row r="2440" ht="16.5" customHeight="1"/>
    <row r="2441" ht="16.5" customHeight="1"/>
    <row r="2442" ht="16.5" customHeight="1"/>
    <row r="2443" ht="16.5" customHeight="1"/>
    <row r="2444" ht="16.5" customHeight="1"/>
    <row r="2445" ht="16.5" customHeight="1"/>
    <row r="2446" ht="16.5" customHeight="1"/>
    <row r="2447" ht="16.5" customHeight="1"/>
    <row r="2448" ht="16.5" customHeight="1"/>
    <row r="2449" ht="16.5" customHeight="1"/>
    <row r="2450" ht="16.5" customHeight="1"/>
    <row r="2451" ht="16.5" customHeight="1"/>
    <row r="2452" ht="16.5" customHeight="1"/>
    <row r="2453" ht="16.5" customHeight="1"/>
    <row r="2454" ht="16.5" customHeight="1"/>
    <row r="2455" ht="16.5" customHeight="1"/>
    <row r="2456" ht="16.5" customHeight="1"/>
    <row r="2457" ht="16.5" customHeight="1"/>
    <row r="2458" ht="16.5" customHeight="1"/>
    <row r="2459" ht="16.5" customHeight="1"/>
    <row r="2460" ht="16.5" customHeight="1"/>
    <row r="2461" ht="16.5" customHeight="1"/>
    <row r="2462" ht="16.5" customHeight="1"/>
    <row r="2463" ht="16.5" customHeight="1"/>
    <row r="2464" ht="16.5" customHeight="1"/>
    <row r="2465" ht="16.5" customHeight="1"/>
    <row r="2466" ht="16.5" customHeight="1"/>
    <row r="2467" ht="16.5" customHeight="1"/>
    <row r="2468" ht="16.5" customHeight="1"/>
    <row r="2469" ht="16.5" customHeight="1"/>
    <row r="2470" ht="16.5" customHeight="1"/>
    <row r="2471" ht="16.5" customHeight="1"/>
    <row r="2472" ht="16.5" customHeight="1"/>
    <row r="2473" ht="16.5" customHeight="1"/>
    <row r="2474" ht="16.5" customHeight="1"/>
    <row r="2475" ht="16.5" customHeight="1"/>
    <row r="2476" ht="16.5" customHeight="1"/>
    <row r="2477" ht="16.5" customHeight="1"/>
    <row r="2478" ht="16.5" customHeight="1"/>
    <row r="2479" ht="16.5" customHeight="1"/>
    <row r="2480" ht="16.5" customHeight="1"/>
    <row r="2481" ht="16.5" customHeight="1"/>
    <row r="2482" ht="16.5" customHeight="1"/>
    <row r="2483" ht="16.5" customHeight="1"/>
    <row r="2484" ht="16.5" customHeight="1"/>
    <row r="2485" ht="16.5" customHeight="1"/>
    <row r="2486" ht="16.5" customHeight="1"/>
    <row r="2487" ht="16.5" customHeight="1"/>
    <row r="2488" ht="16.5" customHeight="1"/>
    <row r="2489" ht="16.5" customHeight="1"/>
    <row r="2490" ht="16.5" customHeight="1"/>
    <row r="2491" ht="16.5" customHeight="1"/>
    <row r="2492" ht="16.5" customHeight="1"/>
    <row r="2493" ht="16.5" customHeight="1"/>
    <row r="2494" ht="16.5" customHeight="1"/>
    <row r="2495" ht="16.5" customHeight="1"/>
    <row r="2496" ht="16.5" customHeight="1"/>
    <row r="2497" ht="16.5" customHeight="1"/>
    <row r="2498" ht="16.5" customHeight="1"/>
    <row r="2499" ht="16.5" customHeight="1"/>
    <row r="2500" ht="16.5" customHeight="1"/>
    <row r="2501" ht="16.5" customHeight="1"/>
    <row r="2502" ht="16.5" customHeight="1"/>
    <row r="2503" ht="16.5" customHeight="1"/>
    <row r="2504" ht="16.5" customHeight="1"/>
    <row r="2505" ht="16.5" customHeight="1"/>
    <row r="2506" ht="16.5" customHeight="1"/>
    <row r="2507" ht="16.5" customHeight="1"/>
    <row r="2508" ht="16.5" customHeight="1"/>
    <row r="2509" ht="16.5" customHeight="1"/>
    <row r="2510" ht="16.5" customHeight="1"/>
    <row r="2511" ht="16.5" customHeight="1"/>
    <row r="2512" ht="16.5" customHeight="1"/>
    <row r="2513" ht="16.5" customHeight="1"/>
    <row r="2514" ht="16.5" customHeight="1"/>
    <row r="2515" ht="16.5" customHeight="1"/>
    <row r="2516" ht="16.5" customHeight="1"/>
    <row r="2517" ht="16.5" customHeight="1"/>
    <row r="2518" ht="16.5" customHeight="1"/>
    <row r="2519" ht="16.5" customHeight="1"/>
    <row r="2520" ht="16.5" customHeight="1"/>
    <row r="2521" ht="16.5" customHeight="1"/>
    <row r="2522" ht="16.5" customHeight="1"/>
    <row r="2523" ht="16.5" customHeight="1"/>
    <row r="2524" ht="16.5" customHeight="1"/>
    <row r="2525" ht="16.5" customHeight="1"/>
    <row r="2526" ht="16.5" customHeight="1"/>
    <row r="2527" ht="16.5" customHeight="1"/>
    <row r="2528" ht="16.5" customHeight="1"/>
    <row r="2529" ht="16.5" customHeight="1"/>
    <row r="2530" ht="16.5" customHeight="1"/>
    <row r="2531" ht="16.5" customHeight="1"/>
    <row r="2532" ht="16.5" customHeight="1"/>
    <row r="2533" ht="16.5" customHeight="1"/>
    <row r="2534" ht="16.5" customHeight="1"/>
    <row r="2535" ht="16.5" customHeight="1"/>
    <row r="2536" ht="16.5" customHeight="1"/>
    <row r="2537" ht="16.5" customHeight="1"/>
    <row r="2538" ht="16.5" customHeight="1"/>
    <row r="2539" ht="16.5" customHeight="1"/>
    <row r="2540" ht="16.5" customHeight="1"/>
    <row r="2541" ht="16.5" customHeight="1"/>
    <row r="2542" ht="16.5" customHeight="1"/>
    <row r="2543" ht="16.5" customHeight="1"/>
    <row r="2544" ht="16.5" customHeight="1"/>
    <row r="2545" ht="16.5" customHeight="1"/>
    <row r="2546" ht="16.5" customHeight="1"/>
    <row r="2547" ht="16.5" customHeight="1"/>
    <row r="2548" ht="16.5" customHeight="1"/>
  </sheetData>
  <autoFilter ref="A2:N1610" xr:uid="{00000000-0001-0000-0100-000000000000}"/>
  <phoneticPr fontId="58" type="noConversion"/>
  <conditionalFormatting sqref="F21:K21 A20:E25 L20:IW30 F24:F26 C26:E26 A26:B30 C27:F30 G36:K45 L36:IW56 A36:F57 H46:K56 G46:G58 H57:IW57 A58:IW154 K155:IW155 A155:J550 L156:IW157 K156:K158 M158:IW158 K159:IW550 A551:IW1238 A1239:I1239 K1239:IW1239 A1240:IW1257 A1258:E1258 G1258:IW1258 A1259:IW2601 A3:IW17 A18:G19 I18:IW19 F20:G20 I20:K20 H18:H20 G24:G25 F22:G23 H22:K25 G26:K30 A31:IW35">
    <cfRule type="expression" dxfId="0" priority="11">
      <formula>MOD(ROW(),2)=0</formula>
    </cfRule>
  </conditionalFormatting>
  <dataValidations xWindow="730" yWindow="666" count="4">
    <dataValidation operator="equal" allowBlank="1" showInputMessage="1" showErrorMessage="1" prompt="indiquer selon l'unité" sqref="E155 E72:E75 E87 E116:E118 E175 E189 E191:E198 E218:E1536 E57 E59:E68 E92:E95 E3:E46" xr:uid="{00000000-0002-0000-0100-000000000000}">
      <formula1>0</formula1>
      <formula2>0</formula2>
    </dataValidation>
    <dataValidation type="list" allowBlank="1" showErrorMessage="1" sqref="K3:K19 K24:K1591" xr:uid="{00000000-0002-0000-0100-000003000000}">
      <formula1>INDIRECT(J3)</formula1>
      <formula2>0</formula2>
    </dataValidation>
    <dataValidation type="list" allowBlank="1" showErrorMessage="1" sqref="K20:K23" xr:uid="{00000000-0002-0000-0100-000002000000}">
      <formula1>INDIRECT</formula1>
      <formula2>0</formula2>
    </dataValidation>
    <dataValidation type="list" allowBlank="1" showErrorMessage="1" sqref="L20:L23" xr:uid="{00000000-0002-0000-0100-000001000000}">
      <formula1>INDIRECT(J20)</formula1>
      <formula2>0</formula2>
    </dataValidation>
  </dataValidations>
  <printOptions horizontalCentered="1"/>
  <pageMargins left="0.78749999999999998" right="0.78749999999999998" top="1.77152777777778" bottom="0.98402777777777795" header="0.511811023622047" footer="0.511811023622047"/>
  <pageSetup paperSize="9" scale="10" fitToHeight="3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xWindow="730" yWindow="666" count="4">
        <x14:dataValidation type="list" operator="equal" allowBlank="1" showErrorMessage="1" xr:uid="{00000000-0002-0000-0100-000004000000}">
          <x14:formula1>
            <xm:f>Listes!$X$2:$X$12</xm:f>
          </x14:formula1>
          <x14:formula2>
            <xm:f>0</xm:f>
          </x14:formula2>
          <xm:sqref>D707:D712 D828:D1044 D116 D807:D825 D714:D805 D156:D192 D197:D224 D229 D236:D262 D1091 D1053 D598:D705 D1047:D1051 D332:D596 D1063:D1073 D1304:D1305 D1158 D1113:D1119 D1144 D1149:D1150 D1201:D1209 D1192:D1193 D1256:D1262 D1230:D1231 D1286:D1298 D1266:D1267 D1169:D1188 D1165:D1167 D1222:D1226 D1274:D1284 D1239:D1254 D1321:D1536 D3:D71 D73:D109</xm:sqref>
        </x14:dataValidation>
        <x14:dataValidation type="list" operator="equal" allowBlank="1" showErrorMessage="1" xr:uid="{00000000-0002-0000-0100-000005000000}">
          <x14:formula1>
            <xm:f>Listes!$X$2:$X$29</xm:f>
          </x14:formula1>
          <x14:formula2>
            <xm:f>0</xm:f>
          </x14:formula2>
          <xm:sqref>D72 D117:D118 D154:D155 D193:D196 D225:D228 D230:D235 D597 D706 D713 D806 D263:D331 D826:D827</xm:sqref>
        </x14:dataValidation>
        <x14:dataValidation type="list" operator="equal" allowBlank="1" showErrorMessage="1" xr:uid="{00000000-0002-0000-0100-000007000000}">
          <x14:formula1>
            <xm:f>Listes!$1:$1</xm:f>
          </x14:formula1>
          <x14:formula2>
            <xm:f>0</xm:f>
          </x14:formula2>
          <xm:sqref>J1240:J1536 J3:J1238</xm:sqref>
        </x14:dataValidation>
        <x14:dataValidation type="list" operator="equal" allowBlank="1" showErrorMessage="1" xr:uid="{00000000-0002-0000-0100-000006000000}">
          <x14:formula1>
            <xm:f>Listes!$W$2:$W$1967</xm:f>
          </x14:formula1>
          <x14:formula2>
            <xm:f>0</xm:f>
          </x14:formula2>
          <xm:sqref>H1090:H1097 H1056 H1053 H1047:H1051 H1114:H1119 H1324:H1591 H1063:H1073 H1129 H1146:H1158 H1143:H1144 H1190:H1209 H1228:H1262 H1301:H1309 H1165:H1188 H1264:H1299 H1224:H1226 H3:H1044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>
    <tabColor rgb="FFFFBF00"/>
  </sheetPr>
  <dimension ref="A1:X30"/>
  <sheetViews>
    <sheetView showZeros="0" topLeftCell="I1" zoomScale="87" zoomScaleNormal="87" workbookViewId="0">
      <selection activeCell="P49" sqref="P49"/>
    </sheetView>
  </sheetViews>
  <sheetFormatPr baseColWidth="10" defaultColWidth="11.5703125" defaultRowHeight="12.75"/>
  <cols>
    <col min="1" max="1" width="27" customWidth="1"/>
    <col min="2" max="2" width="28.140625" customWidth="1"/>
    <col min="3" max="3" width="27.85546875" customWidth="1"/>
    <col min="4" max="4" width="23.42578125" customWidth="1"/>
    <col min="5" max="5" width="26.140625" customWidth="1"/>
    <col min="6" max="6" width="23.5703125" customWidth="1"/>
    <col min="7" max="7" width="28.42578125" customWidth="1"/>
    <col min="8" max="8" width="31.85546875" customWidth="1"/>
    <col min="9" max="9" width="19.140625" customWidth="1"/>
    <col min="10" max="10" width="22.140625" customWidth="1"/>
    <col min="11" max="13" width="16.7109375" customWidth="1"/>
    <col min="14" max="14" width="21.7109375" customWidth="1"/>
    <col min="15" max="15" width="22.42578125" customWidth="1"/>
    <col min="16" max="16" width="24.85546875" customWidth="1"/>
    <col min="17" max="17" width="16.7109375" customWidth="1"/>
    <col min="18" max="18" width="19.5703125" customWidth="1"/>
    <col min="19" max="19" width="16.7109375" customWidth="1"/>
    <col min="20" max="20" width="20.140625" customWidth="1"/>
    <col min="21" max="22" width="16.7109375" customWidth="1"/>
    <col min="23" max="23" width="21.42578125" customWidth="1"/>
    <col min="24" max="24" width="16.7109375" customWidth="1"/>
    <col min="25" max="63" width="10.85546875" customWidth="1"/>
  </cols>
  <sheetData>
    <row r="1" spans="1:24">
      <c r="A1" s="258" t="s">
        <v>120</v>
      </c>
      <c r="B1" s="258" t="s">
        <v>66</v>
      </c>
      <c r="C1" s="258" t="s">
        <v>69</v>
      </c>
      <c r="D1" s="82" t="s">
        <v>138</v>
      </c>
      <c r="E1" s="258" t="s">
        <v>71</v>
      </c>
      <c r="F1" s="82" t="s">
        <v>113</v>
      </c>
      <c r="G1" s="82" t="s">
        <v>139</v>
      </c>
      <c r="H1" s="82" t="s">
        <v>140</v>
      </c>
      <c r="I1" s="258" t="s">
        <v>129</v>
      </c>
      <c r="J1" s="82" t="s">
        <v>141</v>
      </c>
      <c r="K1" s="82" t="s">
        <v>126</v>
      </c>
      <c r="L1" s="82" t="s">
        <v>142</v>
      </c>
      <c r="M1" s="82" t="s">
        <v>143</v>
      </c>
      <c r="N1" s="258" t="s">
        <v>144</v>
      </c>
      <c r="O1" s="258" t="s">
        <v>118</v>
      </c>
      <c r="P1" s="258" t="s">
        <v>104</v>
      </c>
      <c r="Q1" s="82" t="s">
        <v>145</v>
      </c>
      <c r="R1" s="258" t="s">
        <v>127</v>
      </c>
      <c r="S1" s="82" t="s">
        <v>146</v>
      </c>
      <c r="T1" s="258" t="s">
        <v>100</v>
      </c>
      <c r="U1" s="82" t="s">
        <v>147</v>
      </c>
      <c r="V1" s="258" t="s">
        <v>421</v>
      </c>
      <c r="W1" s="82" t="s">
        <v>148</v>
      </c>
      <c r="X1" s="82" t="s">
        <v>149</v>
      </c>
    </row>
    <row r="2" spans="1:24">
      <c r="A2" s="83" t="s">
        <v>150</v>
      </c>
      <c r="B2" s="83" t="s">
        <v>73</v>
      </c>
      <c r="C2" s="83" t="s">
        <v>151</v>
      </c>
      <c r="D2" s="83" t="s">
        <v>151</v>
      </c>
      <c r="E2" s="83" t="s">
        <v>102</v>
      </c>
      <c r="F2" s="83" t="s">
        <v>116</v>
      </c>
      <c r="G2" s="88" t="s">
        <v>152</v>
      </c>
      <c r="H2" s="83" t="s">
        <v>153</v>
      </c>
      <c r="I2" s="83" t="s">
        <v>132</v>
      </c>
      <c r="J2" s="83" t="s">
        <v>132</v>
      </c>
      <c r="K2" s="83" t="s">
        <v>154</v>
      </c>
      <c r="L2" s="83" t="s">
        <v>155</v>
      </c>
      <c r="M2" s="83" t="s">
        <v>156</v>
      </c>
      <c r="N2" s="83" t="s">
        <v>157</v>
      </c>
      <c r="O2" s="83" t="s">
        <v>158</v>
      </c>
      <c r="P2" s="83" t="s">
        <v>159</v>
      </c>
      <c r="Q2" s="88" t="s">
        <v>351</v>
      </c>
      <c r="R2" s="83" t="s">
        <v>135</v>
      </c>
      <c r="S2" s="83" t="s">
        <v>160</v>
      </c>
      <c r="T2" s="83" t="s">
        <v>161</v>
      </c>
      <c r="U2" s="83" t="s">
        <v>162</v>
      </c>
      <c r="V2" s="88" t="s">
        <v>351</v>
      </c>
      <c r="W2" s="84" t="s">
        <v>476</v>
      </c>
      <c r="X2" s="83" t="s">
        <v>92</v>
      </c>
    </row>
    <row r="3" spans="1:24">
      <c r="A3" s="83" t="s">
        <v>163</v>
      </c>
      <c r="B3" s="83" t="s">
        <v>78</v>
      </c>
      <c r="C3" s="83" t="s">
        <v>164</v>
      </c>
      <c r="D3" s="83" t="s">
        <v>164</v>
      </c>
      <c r="E3" s="83" t="s">
        <v>111</v>
      </c>
      <c r="F3" s="83" t="s">
        <v>115</v>
      </c>
      <c r="G3" s="88" t="s">
        <v>165</v>
      </c>
      <c r="H3" s="83" t="s">
        <v>166</v>
      </c>
      <c r="I3" s="83" t="s">
        <v>130</v>
      </c>
      <c r="J3" s="83" t="s">
        <v>167</v>
      </c>
      <c r="K3" s="83" t="s">
        <v>168</v>
      </c>
      <c r="L3" s="83" t="s">
        <v>137</v>
      </c>
      <c r="M3" s="83" t="s">
        <v>169</v>
      </c>
      <c r="N3" s="83" t="s">
        <v>170</v>
      </c>
      <c r="O3" s="83" t="s">
        <v>171</v>
      </c>
      <c r="P3" s="83" t="s">
        <v>105</v>
      </c>
      <c r="Q3" s="83" t="s">
        <v>105</v>
      </c>
      <c r="R3" s="83" t="s">
        <v>172</v>
      </c>
      <c r="S3" s="83" t="s">
        <v>173</v>
      </c>
      <c r="T3" s="83" t="s">
        <v>174</v>
      </c>
      <c r="U3" s="83" t="s">
        <v>175</v>
      </c>
      <c r="V3" s="88" t="s">
        <v>352</v>
      </c>
      <c r="W3" s="83" t="s">
        <v>477</v>
      </c>
      <c r="X3" s="83" t="s">
        <v>84</v>
      </c>
    </row>
    <row r="4" spans="1:24">
      <c r="A4" s="83" t="s">
        <v>176</v>
      </c>
      <c r="B4" s="83" t="s">
        <v>79</v>
      </c>
      <c r="C4" s="83" t="s">
        <v>75</v>
      </c>
      <c r="D4" s="83" t="s">
        <v>75</v>
      </c>
      <c r="E4" s="83" t="s">
        <v>83</v>
      </c>
      <c r="F4" s="83" t="s">
        <v>124</v>
      </c>
      <c r="G4" s="83" t="s">
        <v>177</v>
      </c>
      <c r="H4" s="83" t="s">
        <v>178</v>
      </c>
      <c r="I4" s="83" t="s">
        <v>133</v>
      </c>
      <c r="J4" s="83" t="s">
        <v>133</v>
      </c>
      <c r="K4" s="83" t="s">
        <v>179</v>
      </c>
      <c r="L4" s="83" t="s">
        <v>180</v>
      </c>
      <c r="M4" s="83" t="s">
        <v>181</v>
      </c>
      <c r="N4" s="83" t="s">
        <v>182</v>
      </c>
      <c r="O4" s="83" t="s">
        <v>183</v>
      </c>
      <c r="P4" s="83" t="s">
        <v>134</v>
      </c>
      <c r="Q4" s="83" t="s">
        <v>184</v>
      </c>
      <c r="R4" s="83" t="s">
        <v>185</v>
      </c>
      <c r="S4" s="83" t="s">
        <v>186</v>
      </c>
      <c r="T4" s="83" t="s">
        <v>187</v>
      </c>
      <c r="U4" s="83" t="s">
        <v>188</v>
      </c>
      <c r="V4" s="88" t="s">
        <v>353</v>
      </c>
      <c r="W4" s="84" t="s">
        <v>478</v>
      </c>
      <c r="X4" s="83" t="s">
        <v>189</v>
      </c>
    </row>
    <row r="5" spans="1:24">
      <c r="A5" s="83" t="s">
        <v>121</v>
      </c>
      <c r="B5" s="83" t="s">
        <v>96</v>
      </c>
      <c r="C5" s="83" t="s">
        <v>70</v>
      </c>
      <c r="D5" s="83" t="s">
        <v>70</v>
      </c>
      <c r="E5" s="83" t="s">
        <v>97</v>
      </c>
      <c r="F5" s="83" t="s">
        <v>190</v>
      </c>
      <c r="G5" s="83" t="s">
        <v>191</v>
      </c>
      <c r="H5" s="83" t="s">
        <v>179</v>
      </c>
      <c r="I5" s="83" t="s">
        <v>192</v>
      </c>
      <c r="J5" s="83" t="s">
        <v>192</v>
      </c>
      <c r="K5" s="83" t="s">
        <v>122</v>
      </c>
      <c r="L5" s="83" t="s">
        <v>193</v>
      </c>
      <c r="M5" s="83" t="s">
        <v>194</v>
      </c>
      <c r="N5" s="83" t="s">
        <v>195</v>
      </c>
      <c r="O5" s="83" t="s">
        <v>196</v>
      </c>
      <c r="P5" s="83" t="s">
        <v>197</v>
      </c>
      <c r="Q5" s="83" t="s">
        <v>198</v>
      </c>
      <c r="R5" s="83" t="s">
        <v>199</v>
      </c>
      <c r="S5" s="83" t="s">
        <v>200</v>
      </c>
      <c r="T5" s="83" t="s">
        <v>201</v>
      </c>
      <c r="U5" s="83" t="s">
        <v>202</v>
      </c>
      <c r="V5" s="88" t="s">
        <v>354</v>
      </c>
      <c r="W5" s="83" t="s">
        <v>479</v>
      </c>
      <c r="X5" s="83" t="s">
        <v>90</v>
      </c>
    </row>
    <row r="6" spans="1:24">
      <c r="A6" s="83"/>
      <c r="B6" s="83" t="s">
        <v>81</v>
      </c>
      <c r="C6" s="83" t="s">
        <v>125</v>
      </c>
      <c r="D6" s="83" t="s">
        <v>83</v>
      </c>
      <c r="E6" s="83" t="s">
        <v>93</v>
      </c>
      <c r="F6" s="83" t="s">
        <v>117</v>
      </c>
      <c r="G6" s="83" t="s">
        <v>203</v>
      </c>
      <c r="H6" s="83" t="s">
        <v>70</v>
      </c>
      <c r="I6" s="83" t="s">
        <v>204</v>
      </c>
      <c r="J6" s="83" t="s">
        <v>204</v>
      </c>
      <c r="K6" s="83" t="s">
        <v>205</v>
      </c>
      <c r="L6" s="83" t="s">
        <v>80</v>
      </c>
      <c r="M6" s="83" t="s">
        <v>206</v>
      </c>
      <c r="N6" s="83" t="s">
        <v>207</v>
      </c>
      <c r="O6" s="83" t="s">
        <v>208</v>
      </c>
      <c r="P6" s="83" t="s">
        <v>109</v>
      </c>
      <c r="Q6" s="83" t="s">
        <v>209</v>
      </c>
      <c r="R6" s="83" t="s">
        <v>173</v>
      </c>
      <c r="S6" s="83" t="s">
        <v>70</v>
      </c>
      <c r="T6" s="83" t="s">
        <v>210</v>
      </c>
      <c r="U6" s="83" t="s">
        <v>211</v>
      </c>
      <c r="V6" s="88" t="s">
        <v>355</v>
      </c>
      <c r="W6" s="83" t="s">
        <v>480</v>
      </c>
      <c r="X6" s="83" t="s">
        <v>212</v>
      </c>
    </row>
    <row r="7" spans="1:24">
      <c r="A7" s="83"/>
      <c r="B7" s="83" t="s">
        <v>213</v>
      </c>
      <c r="C7" s="83" t="s">
        <v>214</v>
      </c>
      <c r="D7" s="83" t="s">
        <v>215</v>
      </c>
      <c r="E7" s="83" t="s">
        <v>98</v>
      </c>
      <c r="F7" s="83" t="s">
        <v>216</v>
      </c>
      <c r="G7" s="83" t="s">
        <v>217</v>
      </c>
      <c r="H7" s="83" t="s">
        <v>218</v>
      </c>
      <c r="I7" s="83" t="s">
        <v>219</v>
      </c>
      <c r="J7" s="83" t="s">
        <v>220</v>
      </c>
      <c r="K7" s="83" t="s">
        <v>178</v>
      </c>
      <c r="L7" s="83" t="s">
        <v>221</v>
      </c>
      <c r="M7" s="83" t="s">
        <v>205</v>
      </c>
      <c r="N7" s="83" t="s">
        <v>222</v>
      </c>
      <c r="O7" s="83" t="s">
        <v>223</v>
      </c>
      <c r="P7" s="83" t="s">
        <v>224</v>
      </c>
      <c r="Q7" s="83" t="s">
        <v>225</v>
      </c>
      <c r="R7" s="83" t="s">
        <v>226</v>
      </c>
      <c r="S7" s="83" t="s">
        <v>122</v>
      </c>
      <c r="T7" s="83" t="s">
        <v>122</v>
      </c>
      <c r="U7" s="83" t="s">
        <v>227</v>
      </c>
      <c r="V7" s="83"/>
      <c r="W7" s="84" t="s">
        <v>481</v>
      </c>
      <c r="X7" s="83" t="s">
        <v>110</v>
      </c>
    </row>
    <row r="8" spans="1:24">
      <c r="A8" s="83"/>
      <c r="B8" s="83" t="s">
        <v>228</v>
      </c>
      <c r="C8" s="83" t="s">
        <v>229</v>
      </c>
      <c r="D8" s="83" t="s">
        <v>93</v>
      </c>
      <c r="E8" s="83" t="s">
        <v>95</v>
      </c>
      <c r="F8" s="83" t="s">
        <v>137</v>
      </c>
      <c r="G8" s="83" t="s">
        <v>178</v>
      </c>
      <c r="H8" s="83" t="s">
        <v>230</v>
      </c>
      <c r="I8" s="83" t="s">
        <v>136</v>
      </c>
      <c r="J8" s="83" t="s">
        <v>136</v>
      </c>
      <c r="K8" s="83" t="s">
        <v>231</v>
      </c>
      <c r="L8" s="83"/>
      <c r="M8" s="83" t="s">
        <v>70</v>
      </c>
      <c r="N8" s="83" t="s">
        <v>232</v>
      </c>
      <c r="O8" s="83" t="s">
        <v>131</v>
      </c>
      <c r="P8" s="83" t="s">
        <v>233</v>
      </c>
      <c r="Q8" s="83" t="s">
        <v>234</v>
      </c>
      <c r="R8" s="83" t="s">
        <v>235</v>
      </c>
      <c r="S8" s="83" t="s">
        <v>236</v>
      </c>
      <c r="T8" s="83" t="s">
        <v>101</v>
      </c>
      <c r="U8" s="83"/>
      <c r="V8" s="83"/>
      <c r="W8" s="84" t="s">
        <v>482</v>
      </c>
      <c r="X8" s="83" t="s">
        <v>65</v>
      </c>
    </row>
    <row r="9" spans="1:24">
      <c r="A9" s="83"/>
      <c r="B9" s="83" t="s">
        <v>237</v>
      </c>
      <c r="C9" s="88" t="s">
        <v>238</v>
      </c>
      <c r="D9" s="83" t="s">
        <v>239</v>
      </c>
      <c r="E9" s="83" t="s">
        <v>87</v>
      </c>
      <c r="F9" s="83" t="s">
        <v>136</v>
      </c>
      <c r="G9" s="83" t="s">
        <v>122</v>
      </c>
      <c r="H9" s="83" t="s">
        <v>122</v>
      </c>
      <c r="I9" s="83" t="s">
        <v>240</v>
      </c>
      <c r="J9" s="83" t="s">
        <v>241</v>
      </c>
      <c r="K9" s="83" t="s">
        <v>242</v>
      </c>
      <c r="L9" s="83"/>
      <c r="M9" s="83" t="s">
        <v>243</v>
      </c>
      <c r="N9" s="83" t="s">
        <v>244</v>
      </c>
      <c r="O9" s="83" t="s">
        <v>245</v>
      </c>
      <c r="P9" s="83" t="s">
        <v>246</v>
      </c>
      <c r="Q9" s="83"/>
      <c r="R9" s="83" t="s">
        <v>247</v>
      </c>
      <c r="S9" s="83"/>
      <c r="T9" s="83" t="s">
        <v>106</v>
      </c>
      <c r="U9" s="83"/>
      <c r="V9" s="83"/>
      <c r="W9" s="83"/>
      <c r="X9" s="83" t="s">
        <v>112</v>
      </c>
    </row>
    <row r="10" spans="1:24">
      <c r="A10" s="83"/>
      <c r="B10" s="83" t="s">
        <v>89</v>
      </c>
      <c r="C10" s="83" t="s">
        <v>248</v>
      </c>
      <c r="D10" s="83" t="s">
        <v>80</v>
      </c>
      <c r="E10" s="83" t="s">
        <v>88</v>
      </c>
      <c r="F10" s="83" t="s">
        <v>249</v>
      </c>
      <c r="G10" s="83" t="s">
        <v>250</v>
      </c>
      <c r="H10" s="83" t="s">
        <v>80</v>
      </c>
      <c r="I10" s="83" t="s">
        <v>251</v>
      </c>
      <c r="J10" s="83" t="s">
        <v>251</v>
      </c>
      <c r="K10" s="83" t="s">
        <v>70</v>
      </c>
      <c r="L10" s="83"/>
      <c r="M10" s="83" t="s">
        <v>230</v>
      </c>
      <c r="N10" s="83" t="s">
        <v>252</v>
      </c>
      <c r="O10" s="83" t="s">
        <v>119</v>
      </c>
      <c r="P10" s="83" t="s">
        <v>253</v>
      </c>
      <c r="Q10" s="83"/>
      <c r="R10" s="83" t="s">
        <v>128</v>
      </c>
      <c r="S10" s="83" t="s">
        <v>80</v>
      </c>
      <c r="T10" s="83" t="s">
        <v>123</v>
      </c>
      <c r="U10" s="83"/>
      <c r="V10" s="83"/>
      <c r="W10" s="83"/>
      <c r="X10" s="83" t="s">
        <v>91</v>
      </c>
    </row>
    <row r="11" spans="1:24">
      <c r="A11" s="83"/>
      <c r="B11" s="83" t="s">
        <v>254</v>
      </c>
      <c r="C11" s="83" t="s">
        <v>255</v>
      </c>
      <c r="D11" s="83" t="s">
        <v>256</v>
      </c>
      <c r="E11" s="83" t="s">
        <v>72</v>
      </c>
      <c r="F11" s="83" t="s">
        <v>257</v>
      </c>
      <c r="G11" s="83" t="s">
        <v>218</v>
      </c>
      <c r="H11" s="83"/>
      <c r="I11" s="83" t="s">
        <v>258</v>
      </c>
      <c r="J11" s="83" t="s">
        <v>80</v>
      </c>
      <c r="K11" s="83" t="s">
        <v>259</v>
      </c>
      <c r="L11" s="83"/>
      <c r="M11" s="83" t="s">
        <v>221</v>
      </c>
      <c r="N11" s="83" t="s">
        <v>221</v>
      </c>
      <c r="O11" s="83" t="s">
        <v>260</v>
      </c>
      <c r="P11" s="83" t="s">
        <v>261</v>
      </c>
      <c r="Q11" s="83"/>
      <c r="R11" s="83" t="s">
        <v>262</v>
      </c>
      <c r="S11" s="83"/>
      <c r="T11" s="83" t="s">
        <v>108</v>
      </c>
      <c r="U11" s="83"/>
      <c r="V11" s="83"/>
      <c r="W11" s="83"/>
      <c r="X11" s="83" t="s">
        <v>74</v>
      </c>
    </row>
    <row r="12" spans="1:24">
      <c r="A12" s="83"/>
      <c r="B12" s="83" t="s">
        <v>67</v>
      </c>
      <c r="C12" s="83" t="s">
        <v>83</v>
      </c>
      <c r="D12" s="83" t="s">
        <v>263</v>
      </c>
      <c r="E12" s="83" t="s">
        <v>85</v>
      </c>
      <c r="F12" s="83" t="s">
        <v>114</v>
      </c>
      <c r="G12" s="83" t="s">
        <v>230</v>
      </c>
      <c r="H12" s="83"/>
      <c r="I12" s="83" t="s">
        <v>264</v>
      </c>
      <c r="J12" s="83"/>
      <c r="K12" s="83" t="s">
        <v>265</v>
      </c>
      <c r="L12" s="83"/>
      <c r="M12" s="83" t="s">
        <v>80</v>
      </c>
      <c r="N12" s="83" t="s">
        <v>80</v>
      </c>
      <c r="O12" s="83"/>
      <c r="P12" s="83"/>
      <c r="Q12" s="83"/>
      <c r="R12" s="83"/>
      <c r="S12" s="83"/>
      <c r="T12" s="83" t="s">
        <v>266</v>
      </c>
      <c r="U12" s="83"/>
      <c r="V12" s="83"/>
      <c r="W12" s="83"/>
      <c r="X12" s="83" t="s">
        <v>76</v>
      </c>
    </row>
    <row r="13" spans="1:24">
      <c r="A13" s="83"/>
      <c r="B13" s="83" t="s">
        <v>267</v>
      </c>
      <c r="C13" s="83" t="s">
        <v>215</v>
      </c>
      <c r="D13" s="83" t="s">
        <v>268</v>
      </c>
      <c r="E13" s="83" t="s">
        <v>86</v>
      </c>
      <c r="F13" s="88" t="s">
        <v>348</v>
      </c>
      <c r="G13" s="83" t="s">
        <v>80</v>
      </c>
      <c r="H13" s="83"/>
      <c r="I13" s="83" t="s">
        <v>80</v>
      </c>
      <c r="J13" s="83"/>
      <c r="K13" s="83"/>
      <c r="L13" s="83"/>
      <c r="M13" s="83"/>
      <c r="N13" s="83"/>
      <c r="O13" s="83"/>
      <c r="P13" s="83"/>
      <c r="Q13" s="83"/>
      <c r="R13" s="83" t="s">
        <v>269</v>
      </c>
      <c r="S13" s="83"/>
      <c r="T13" s="83"/>
      <c r="U13" s="83"/>
      <c r="V13" s="83"/>
      <c r="W13" s="84"/>
      <c r="X13" s="84" t="s">
        <v>68</v>
      </c>
    </row>
    <row r="14" spans="1:24">
      <c r="A14" s="83"/>
      <c r="B14" s="83" t="s">
        <v>270</v>
      </c>
      <c r="C14" s="83" t="s">
        <v>93</v>
      </c>
      <c r="D14" s="83" t="s">
        <v>80</v>
      </c>
      <c r="E14" s="83" t="s">
        <v>271</v>
      </c>
      <c r="F14" s="83"/>
      <c r="G14" s="83"/>
      <c r="H14" s="83"/>
      <c r="I14" s="83"/>
      <c r="J14" s="83"/>
      <c r="K14" s="83"/>
      <c r="L14" s="83"/>
      <c r="M14" s="83"/>
      <c r="N14" s="83"/>
      <c r="O14" s="83"/>
      <c r="P14" s="83"/>
      <c r="Q14" s="83"/>
      <c r="R14" s="83"/>
      <c r="S14" s="83"/>
      <c r="T14" s="83" t="s">
        <v>80</v>
      </c>
      <c r="U14" s="83"/>
      <c r="V14" s="83"/>
      <c r="W14" s="83"/>
      <c r="X14" s="83" t="s">
        <v>272</v>
      </c>
    </row>
    <row r="15" spans="1:24">
      <c r="A15" s="83"/>
      <c r="B15" s="83" t="s">
        <v>82</v>
      </c>
      <c r="C15" s="83" t="s">
        <v>239</v>
      </c>
      <c r="D15" s="83"/>
      <c r="E15" s="83" t="s">
        <v>73</v>
      </c>
      <c r="F15" s="83"/>
      <c r="G15" s="83"/>
      <c r="H15" s="83"/>
      <c r="I15" s="83"/>
      <c r="J15" s="83"/>
      <c r="K15" s="83"/>
      <c r="L15" s="83"/>
      <c r="M15" s="83"/>
      <c r="N15" s="83"/>
      <c r="O15" s="83"/>
      <c r="P15" s="83"/>
      <c r="Q15" s="83"/>
      <c r="R15" s="83"/>
      <c r="S15" s="83"/>
      <c r="T15" s="83"/>
      <c r="U15" s="83"/>
      <c r="V15" s="83"/>
      <c r="W15" s="84"/>
      <c r="X15" s="83" t="s">
        <v>94</v>
      </c>
    </row>
    <row r="16" spans="1:24">
      <c r="A16" s="83"/>
      <c r="B16" s="83" t="s">
        <v>273</v>
      </c>
      <c r="C16" s="83" t="s">
        <v>274</v>
      </c>
      <c r="D16" s="83"/>
      <c r="E16" s="83" t="s">
        <v>80</v>
      </c>
      <c r="F16" s="83"/>
      <c r="G16" s="83"/>
      <c r="H16" s="83"/>
      <c r="I16" s="83"/>
      <c r="J16" s="83"/>
      <c r="K16" s="83"/>
      <c r="L16" s="83"/>
      <c r="M16" s="83"/>
      <c r="N16" s="83"/>
      <c r="O16" s="83"/>
      <c r="P16" s="83"/>
      <c r="Q16" s="83"/>
      <c r="R16" s="83"/>
      <c r="S16" s="83"/>
      <c r="T16" s="83"/>
      <c r="U16" s="83"/>
      <c r="V16" s="83"/>
      <c r="W16" s="83"/>
      <c r="X16" s="83" t="s">
        <v>99</v>
      </c>
    </row>
    <row r="17" spans="1:24">
      <c r="A17" s="83"/>
      <c r="B17" s="83" t="s">
        <v>103</v>
      </c>
      <c r="C17" s="83" t="s">
        <v>263</v>
      </c>
      <c r="D17" s="83"/>
      <c r="E17" s="83"/>
      <c r="F17" s="83"/>
      <c r="G17" s="83"/>
      <c r="H17" s="83"/>
      <c r="I17" s="83"/>
      <c r="J17" s="83"/>
      <c r="K17" s="83"/>
      <c r="L17" s="83"/>
      <c r="M17" s="83"/>
      <c r="N17" s="83"/>
      <c r="O17" s="83"/>
      <c r="P17" s="83"/>
      <c r="Q17" s="83"/>
      <c r="R17" s="83"/>
      <c r="S17" s="83"/>
      <c r="T17" s="83"/>
      <c r="U17" s="83"/>
      <c r="V17" s="83"/>
      <c r="W17" s="84"/>
      <c r="X17" s="84" t="s">
        <v>107</v>
      </c>
    </row>
    <row r="18" spans="1:24">
      <c r="A18" s="83"/>
      <c r="B18" s="83" t="s">
        <v>77</v>
      </c>
      <c r="C18" s="83" t="s">
        <v>73</v>
      </c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3"/>
      <c r="P18" s="83"/>
      <c r="Q18" s="83"/>
      <c r="R18" s="83"/>
      <c r="S18" s="83"/>
      <c r="T18" s="83"/>
      <c r="U18" s="83"/>
      <c r="V18" s="83"/>
      <c r="W18" s="83"/>
      <c r="X18" s="83"/>
    </row>
    <row r="19" spans="1:24">
      <c r="A19" s="83"/>
      <c r="B19" s="83" t="s">
        <v>275</v>
      </c>
      <c r="C19" s="83"/>
      <c r="D19" s="83"/>
      <c r="E19" s="83"/>
      <c r="F19" s="83"/>
      <c r="G19" s="83"/>
      <c r="H19" s="83"/>
      <c r="I19" s="83"/>
      <c r="J19" s="83"/>
      <c r="K19" s="83"/>
      <c r="L19" s="83"/>
      <c r="M19" s="83"/>
      <c r="N19" s="83"/>
      <c r="O19" s="83"/>
      <c r="P19" s="83"/>
      <c r="Q19" s="83"/>
      <c r="R19" s="83"/>
      <c r="S19" s="83"/>
      <c r="T19" s="83"/>
      <c r="U19" s="83"/>
      <c r="V19" s="83"/>
      <c r="W19" s="83"/>
      <c r="X19" s="83"/>
    </row>
    <row r="20" spans="1:24">
      <c r="A20" s="83"/>
      <c r="B20" s="83"/>
      <c r="C20" s="83" t="s">
        <v>80</v>
      </c>
      <c r="D20" s="83"/>
      <c r="E20" s="83"/>
      <c r="F20" s="83"/>
      <c r="G20" s="83"/>
      <c r="H20" s="83"/>
      <c r="I20" s="83"/>
      <c r="J20" s="83"/>
      <c r="K20" s="83"/>
      <c r="L20" s="83"/>
      <c r="M20" s="83"/>
      <c r="N20" s="83"/>
      <c r="O20" s="83"/>
      <c r="P20" s="83"/>
      <c r="Q20" s="83"/>
      <c r="R20" s="83"/>
      <c r="S20" s="83"/>
      <c r="T20" s="83"/>
      <c r="U20" s="83"/>
      <c r="V20" s="83"/>
      <c r="W20" s="84"/>
      <c r="X20" s="83"/>
    </row>
    <row r="21" spans="1:24">
      <c r="A21" s="83"/>
      <c r="B21" s="83" t="s">
        <v>80</v>
      </c>
      <c r="C21" s="83"/>
      <c r="D21" s="83"/>
      <c r="E21" s="83"/>
      <c r="F21" s="83"/>
      <c r="G21" s="83"/>
      <c r="H21" s="83"/>
      <c r="I21" s="83"/>
      <c r="J21" s="83"/>
      <c r="K21" s="83"/>
      <c r="L21" s="83"/>
      <c r="M21" s="83"/>
      <c r="N21" s="83"/>
      <c r="O21" s="83"/>
      <c r="P21" s="83"/>
      <c r="Q21" s="83"/>
      <c r="R21" s="83"/>
      <c r="S21" s="83"/>
      <c r="T21" s="83"/>
      <c r="U21" s="83"/>
      <c r="V21" s="83"/>
      <c r="W21" s="83"/>
      <c r="X21" s="83"/>
    </row>
    <row r="22" spans="1:24">
      <c r="A22" s="83"/>
      <c r="B22" s="83"/>
      <c r="C22" s="83"/>
      <c r="D22" s="83"/>
      <c r="E22" s="83"/>
      <c r="F22" s="83"/>
      <c r="G22" s="83"/>
      <c r="H22" s="83"/>
      <c r="I22" s="83"/>
      <c r="J22" s="83"/>
      <c r="K22" s="83"/>
      <c r="L22" s="83"/>
      <c r="M22" s="83"/>
      <c r="N22" s="83"/>
      <c r="O22" s="83"/>
      <c r="P22" s="83"/>
      <c r="Q22" s="83"/>
      <c r="R22" s="83"/>
      <c r="S22" s="83"/>
      <c r="T22" s="83"/>
      <c r="U22" s="83"/>
      <c r="V22" s="83"/>
      <c r="W22" s="84"/>
      <c r="X22" s="83"/>
    </row>
    <row r="23" spans="1:24">
      <c r="A23" s="83"/>
      <c r="B23" s="83"/>
      <c r="C23" s="83"/>
      <c r="D23" s="83"/>
      <c r="E23" s="83"/>
      <c r="F23" s="83"/>
      <c r="G23" s="83"/>
      <c r="H23" s="83"/>
      <c r="I23" s="83"/>
      <c r="J23" s="83"/>
      <c r="K23" s="83"/>
      <c r="L23" s="83"/>
      <c r="M23" s="83"/>
      <c r="N23" s="83"/>
      <c r="O23" s="83"/>
      <c r="P23" s="83"/>
      <c r="Q23" s="83"/>
      <c r="R23" s="83"/>
      <c r="S23" s="83"/>
      <c r="T23" s="83"/>
      <c r="U23" s="83"/>
      <c r="V23" s="83"/>
      <c r="W23" s="84"/>
      <c r="X23" s="83"/>
    </row>
    <row r="24" spans="1:24">
      <c r="A24" s="83"/>
      <c r="B24" s="83"/>
      <c r="C24" s="83"/>
      <c r="D24" s="83"/>
      <c r="E24" s="83"/>
      <c r="F24" s="83"/>
      <c r="G24" s="83"/>
      <c r="H24" s="83"/>
      <c r="I24" s="83"/>
      <c r="J24" s="83"/>
      <c r="K24" s="83"/>
      <c r="L24" s="83"/>
      <c r="M24" s="83"/>
      <c r="N24" s="83"/>
      <c r="O24" s="83"/>
      <c r="P24" s="83"/>
      <c r="Q24" s="83"/>
      <c r="R24" s="83"/>
      <c r="S24" s="83"/>
      <c r="T24" s="83"/>
      <c r="U24" s="83"/>
      <c r="V24" s="83"/>
      <c r="W24" s="83"/>
      <c r="X24" s="83"/>
    </row>
    <row r="25" spans="1:24">
      <c r="A25" s="83"/>
      <c r="B25" s="83"/>
      <c r="C25" s="83"/>
      <c r="D25" s="83"/>
      <c r="E25" s="83"/>
      <c r="F25" s="83"/>
      <c r="G25" s="83"/>
      <c r="H25" s="83"/>
      <c r="I25" s="83"/>
      <c r="J25" s="83"/>
      <c r="K25" s="83"/>
      <c r="L25" s="83"/>
      <c r="M25" s="83"/>
      <c r="N25" s="83"/>
      <c r="O25" s="83"/>
      <c r="P25" s="83"/>
      <c r="Q25" s="83"/>
      <c r="R25" s="83"/>
      <c r="S25" s="83"/>
      <c r="T25" s="83"/>
      <c r="U25" s="83"/>
      <c r="V25" s="83"/>
      <c r="W25" s="83"/>
      <c r="X25" s="83"/>
    </row>
    <row r="26" spans="1:24">
      <c r="A26" s="83"/>
      <c r="B26" s="83"/>
      <c r="C26" s="83"/>
      <c r="D26" s="83"/>
      <c r="E26" s="83"/>
      <c r="F26" s="83"/>
      <c r="G26" s="83"/>
      <c r="H26" s="83"/>
      <c r="I26" s="83"/>
      <c r="J26" s="83"/>
      <c r="K26" s="83"/>
      <c r="L26" s="83"/>
      <c r="M26" s="83"/>
      <c r="N26" s="83"/>
      <c r="O26" s="83"/>
      <c r="P26" s="83"/>
      <c r="Q26" s="83"/>
      <c r="R26" s="83"/>
      <c r="S26" s="83"/>
      <c r="T26" s="83"/>
      <c r="U26" s="83"/>
      <c r="V26" s="83"/>
      <c r="W26" s="83"/>
      <c r="X26" s="83"/>
    </row>
    <row r="27" spans="1:24">
      <c r="A27" s="83"/>
      <c r="B27" s="83"/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83"/>
    </row>
    <row r="28" spans="1:24">
      <c r="A28" s="83"/>
      <c r="B28" s="83"/>
      <c r="C28" s="83"/>
      <c r="D28" s="83"/>
      <c r="E28" s="83"/>
      <c r="F28" s="83"/>
      <c r="G28" s="83"/>
      <c r="H28" s="83"/>
      <c r="I28" s="83"/>
      <c r="J28" s="83"/>
      <c r="K28" s="83"/>
      <c r="L28" s="83"/>
      <c r="M28" s="83"/>
      <c r="N28" s="83"/>
      <c r="O28" s="83"/>
      <c r="P28" s="83"/>
      <c r="Q28" s="83"/>
      <c r="R28" s="83"/>
      <c r="S28" s="83"/>
      <c r="T28" s="83"/>
      <c r="U28" s="83"/>
      <c r="V28" s="83"/>
      <c r="W28" s="83"/>
      <c r="X28" s="83"/>
    </row>
    <row r="29" spans="1:24">
      <c r="A29" s="83"/>
      <c r="B29" s="83"/>
      <c r="C29" s="83"/>
      <c r="D29" s="83"/>
      <c r="E29" s="83"/>
      <c r="F29" s="83"/>
      <c r="G29" s="83"/>
      <c r="H29" s="83"/>
      <c r="I29" s="83"/>
      <c r="J29" s="83"/>
      <c r="K29" s="83"/>
      <c r="L29" s="83"/>
      <c r="M29" s="83"/>
      <c r="N29" s="83"/>
      <c r="O29" s="83"/>
      <c r="P29" s="83"/>
      <c r="Q29" s="83"/>
      <c r="R29" s="83"/>
      <c r="S29" s="83"/>
      <c r="T29" s="83"/>
      <c r="U29" s="83"/>
      <c r="V29" s="83"/>
      <c r="W29" s="83"/>
      <c r="X29" s="83"/>
    </row>
    <row r="30" spans="1:24">
      <c r="K30" s="85"/>
      <c r="L30" s="85"/>
      <c r="M30" s="85"/>
      <c r="N30" s="85"/>
      <c r="O30" s="85"/>
      <c r="P30" s="85"/>
      <c r="Q30" s="85"/>
      <c r="R30" s="85"/>
      <c r="S30" s="85"/>
      <c r="T30" s="85"/>
      <c r="U30" s="85"/>
      <c r="V30" s="85"/>
      <c r="W30" s="85"/>
      <c r="X30" s="85"/>
    </row>
  </sheetData>
  <printOptions horizontalCentered="1"/>
  <pageMargins left="0.78749999999999998" right="0.78749999999999998" top="1.77152777777778" bottom="0.98402777777777795" header="0.511811023622047" footer="0.511811023622047"/>
  <pageSetup paperSize="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43AE04-54EA-4911-96B4-281891710F23}">
  <sheetPr codeName="Feuil9"/>
  <dimension ref="B4:D22"/>
  <sheetViews>
    <sheetView workbookViewId="0">
      <selection activeCell="D19" sqref="D19"/>
    </sheetView>
  </sheetViews>
  <sheetFormatPr baseColWidth="10" defaultRowHeight="12.75"/>
  <cols>
    <col min="1" max="1" width="15.7109375" customWidth="1"/>
    <col min="2" max="2" width="15.42578125" customWidth="1"/>
  </cols>
  <sheetData>
    <row r="4" spans="2:4">
      <c r="B4" s="160" t="s">
        <v>312</v>
      </c>
    </row>
    <row r="5" spans="2:4">
      <c r="B5" s="195" t="s">
        <v>212</v>
      </c>
    </row>
    <row r="6" spans="2:4">
      <c r="B6" s="195" t="s">
        <v>310</v>
      </c>
      <c r="D6" s="90"/>
    </row>
    <row r="7" spans="2:4">
      <c r="B7" s="195" t="s">
        <v>65</v>
      </c>
      <c r="D7" s="90"/>
    </row>
    <row r="8" spans="2:4">
      <c r="B8" s="195" t="s">
        <v>311</v>
      </c>
      <c r="D8" s="90"/>
    </row>
    <row r="9" spans="2:4">
      <c r="D9" s="90"/>
    </row>
    <row r="10" spans="2:4">
      <c r="D10" s="90"/>
    </row>
    <row r="11" spans="2:4">
      <c r="C11" s="112"/>
      <c r="D11" s="90"/>
    </row>
    <row r="12" spans="2:4">
      <c r="C12" s="112"/>
      <c r="D12" s="90"/>
    </row>
    <row r="13" spans="2:4">
      <c r="D13" s="90"/>
    </row>
    <row r="14" spans="2:4">
      <c r="D14" s="90"/>
    </row>
    <row r="15" spans="2:4">
      <c r="D15" s="90"/>
    </row>
    <row r="16" spans="2:4">
      <c r="D16" s="90"/>
    </row>
    <row r="17" spans="4:4">
      <c r="D17" s="90"/>
    </row>
    <row r="18" spans="4:4">
      <c r="D18" s="90"/>
    </row>
    <row r="19" spans="4:4">
      <c r="D19" s="90"/>
    </row>
    <row r="20" spans="4:4">
      <c r="D20" s="90"/>
    </row>
    <row r="21" spans="4:4">
      <c r="D21" s="90"/>
    </row>
    <row r="22" spans="4:4">
      <c r="D22" s="9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1527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27</vt:i4>
      </vt:variant>
    </vt:vector>
  </HeadingPairs>
  <TitlesOfParts>
    <vt:vector size="33" baseType="lpstr">
      <vt:lpstr>Synthèse</vt:lpstr>
      <vt:lpstr>Budget</vt:lpstr>
      <vt:lpstr>Décompte Travaux</vt:lpstr>
      <vt:lpstr>Saisie</vt:lpstr>
      <vt:lpstr>Listes</vt:lpstr>
      <vt:lpstr>Unités ouvrages</vt:lpstr>
      <vt:lpstr>Carrelage</vt:lpstr>
      <vt:lpstr>Chantier</vt:lpstr>
      <vt:lpstr>Climatisation</vt:lpstr>
      <vt:lpstr>Cloisons_placo</vt:lpstr>
      <vt:lpstr>Clôture</vt:lpstr>
      <vt:lpstr>Courants_faibles</vt:lpstr>
      <vt:lpstr>Courants_forts</vt:lpstr>
      <vt:lpstr>Couverture_charpente_bois</vt:lpstr>
      <vt:lpstr>Couverture_charpente_métallique</vt:lpstr>
      <vt:lpstr>Etanchéité</vt:lpstr>
      <vt:lpstr>Etudes_permis_de_construire</vt:lpstr>
      <vt:lpstr>Faux_plafond</vt:lpstr>
      <vt:lpstr>Fournisseurs</vt:lpstr>
      <vt:lpstr>Gros_Oeuvre</vt:lpstr>
      <vt:lpstr>INDIRECT</vt:lpstr>
      <vt:lpstr>Installation_du_chantier</vt:lpstr>
      <vt:lpstr>Menuiserie_Alu</vt:lpstr>
      <vt:lpstr>Menuiserie_Bois</vt:lpstr>
      <vt:lpstr>Menuiserie_Fer</vt:lpstr>
      <vt:lpstr>Menuiserie_inox</vt:lpstr>
      <vt:lpstr>Peinture_enduit</vt:lpstr>
      <vt:lpstr>Plomberie_sanitaire</vt:lpstr>
      <vt:lpstr>Revêtement_souple</vt:lpstr>
      <vt:lpstr>Unité</vt:lpstr>
      <vt:lpstr>VRD</vt:lpstr>
      <vt:lpstr>Budget!Zone_d_impression</vt:lpstr>
      <vt:lpstr>Synthèse!Zone_d_impression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HP</dc:creator>
  <dc:description/>
  <cp:lastModifiedBy>Comé Weba</cp:lastModifiedBy>
  <cp:revision>189</cp:revision>
  <cp:lastPrinted>2024-02-23T15:55:28Z</cp:lastPrinted>
  <dcterms:created xsi:type="dcterms:W3CDTF">2023-07-04T16:57:22Z</dcterms:created>
  <dcterms:modified xsi:type="dcterms:W3CDTF">2026-07-08T09:23:41Z</dcterms:modified>
  <dc:language>fr-FR</dc:language>
</cp:coreProperties>
</file>