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drawings/drawing7.xml" ContentType="application/vnd.openxmlformats-officedocument.drawing+xml"/>
  <Override PartName="/xl/tables/table10.xml" ContentType="application/vnd.openxmlformats-officedocument.spreadsheetml.table+xml"/>
  <Override PartName="/xl/drawings/drawing8.xml" ContentType="application/vnd.openxmlformats-officedocument.drawing+xml"/>
  <Override PartName="/xl/tables/table11.xml" ContentType="application/vnd.openxmlformats-officedocument.spreadsheetml.table+xml"/>
  <Override PartName="/xl/drawings/drawing9.xml" ContentType="application/vnd.openxmlformats-officedocument.drawing+xml"/>
  <Override PartName="/xl/tables/table12.xml" ContentType="application/vnd.openxmlformats-officedocument.spreadsheetml.table+xml"/>
  <Override PartName="/xl/drawings/drawing10.xml" ContentType="application/vnd.openxmlformats-officedocument.drawing+xml"/>
  <Override PartName="/xl/tables/table13.xml" ContentType="application/vnd.openxmlformats-officedocument.spreadsheetml.table+xml"/>
  <Override PartName="/xl/drawings/drawing11.xml" ContentType="application/vnd.openxmlformats-officedocument.drawing+xml"/>
  <Override PartName="/xl/tables/table14.xml" ContentType="application/vnd.openxmlformats-officedocument.spreadsheetml.table+xml"/>
  <Override PartName="/xl/drawings/drawing12.xml" ContentType="application/vnd.openxmlformats-officedocument.drawing+xml"/>
  <Override PartName="/xl/tables/table15.xml" ContentType="application/vnd.openxmlformats-officedocument.spreadsheetml.table+xml"/>
  <Override PartName="/xl/drawings/drawing13.xml" ContentType="application/vnd.openxmlformats-officedocument.drawing+xml"/>
  <Override PartName="/xl/tables/table16.xml" ContentType="application/vnd.openxmlformats-officedocument.spreadsheetml.table+xml"/>
  <Override PartName="/xl/drawings/drawing14.xml" ContentType="application/vnd.openxmlformats-officedocument.drawing+xml"/>
  <Override PartName="/xl/tables/table17.xml" ContentType="application/vnd.openxmlformats-officedocument.spreadsheetml.table+xml"/>
  <Override PartName="/xl/drawings/drawing15.xml" ContentType="application/vnd.openxmlformats-officedocument.drawing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VBA\"/>
    </mc:Choice>
  </mc:AlternateContent>
  <xr:revisionPtr revIDLastSave="0" documentId="13_ncr:1_{292F1F8F-F671-49CA-824A-E49514344C26}" xr6:coauthVersionLast="47" xr6:coauthVersionMax="47" xr10:uidLastSave="{00000000-0000-0000-0000-000000000000}"/>
  <bookViews>
    <workbookView xWindow="-120" yWindow="-120" windowWidth="29040" windowHeight="15720" tabRatio="919" activeTab="3" xr2:uid="{5915AE64-A1B6-4A67-9057-B099D25ABF70}"/>
  </bookViews>
  <sheets>
    <sheet name="BDD" sheetId="2" r:id="rId1"/>
    <sheet name="FACTURES A REGLER" sheetId="17" r:id="rId2"/>
    <sheet name="FACTURES REGLEES" sheetId="22" r:id="rId3"/>
    <sheet name="BERNABE" sheetId="1" r:id="rId4"/>
    <sheet name="JADCI" sheetId="5" r:id="rId5"/>
    <sheet name="DMD" sheetId="6" r:id="rId6"/>
    <sheet name="UI" sheetId="4" r:id="rId7"/>
    <sheet name="SOTACI" sheetId="12" r:id="rId8"/>
    <sheet name="BIP" sheetId="13" r:id="rId9"/>
    <sheet name="NEUCE" sheetId="3" r:id="rId10"/>
    <sheet name="PPG" sheetId="10" r:id="rId11"/>
    <sheet name="SIMC" sheetId="7" r:id="rId12"/>
    <sheet name="SETR" sheetId="8" r:id="rId13"/>
    <sheet name="BATIPLUS" sheetId="9" r:id="rId14"/>
    <sheet name="DAMACI" sheetId="11" r:id="rId15"/>
    <sheet name="WLE" sheetId="14" r:id="rId16"/>
    <sheet name="SECII" sheetId="15" r:id="rId17"/>
  </sheets>
  <functionGroups builtInGroupCount="19"/>
  <definedNames>
    <definedName name="batiplusDate_paie" localSheetId="13">BATIPLUS!#REF!</definedName>
    <definedName name="batiplusDate_val" localSheetId="13">BATIPLUS!$B$25:$B$25</definedName>
    <definedName name="batiplusEcheance" localSheetId="13">BATIPLUS!$E$25:$E$25</definedName>
    <definedName name="batiplusMontant" localSheetId="13">BATIPLUS!$D$25:$D$25</definedName>
    <definedName name="batiplusNum_fact" localSheetId="13">BATIPLUS!$A$25:$A$25</definedName>
    <definedName name="bipDate_paie" localSheetId="8">BIP!#REF!</definedName>
    <definedName name="bipDate_val" localSheetId="8">BIP!$B$25:$B$31</definedName>
    <definedName name="bipEcheance" localSheetId="8">BIP!$E$25:$E$31</definedName>
    <definedName name="bipMontant" localSheetId="8">BIP!$D$25:$D$31</definedName>
    <definedName name="bipNum_fact" localSheetId="8">BIP!$A$25:$A$31</definedName>
    <definedName name="damaciDate_paie" localSheetId="14">DAMACI!#REF!</definedName>
    <definedName name="damaciDate_val" localSheetId="14">DAMACI!$B$25:$B$27</definedName>
    <definedName name="damaciEcheance" localSheetId="14">DAMACI!$E$25:$E$27</definedName>
    <definedName name="damaciEtat" localSheetId="2">damacitab[Etat]</definedName>
    <definedName name="damaciEtat">damacitab[Etat]</definedName>
    <definedName name="damaciMontant" localSheetId="14">DAMACI!$D$25:$D$27</definedName>
    <definedName name="damaciNum_fact" localSheetId="14">DAMACI!$A$25:$A$27</definedName>
    <definedName name="Date_paie">BERNABE!#REF!</definedName>
    <definedName name="Date_val">BERNABE!$B$25:$B$25</definedName>
    <definedName name="Delai" localSheetId="2">Tableau1[Délai]</definedName>
    <definedName name="Delai">Tableau1[Délai]</definedName>
    <definedName name="dmdDate_paie" localSheetId="5">DMD!#REF!</definedName>
    <definedName name="dmdDate_val" localSheetId="5">DMD!$B$25:$B$29</definedName>
    <definedName name="dmdEcheance" localSheetId="5">DMD!$E$25:$E$29</definedName>
    <definedName name="dmdMontant" localSheetId="5">DMD!$D$25:$D$29</definedName>
    <definedName name="dmdNum_fact" localSheetId="5">DMD!$A$25:$A$29</definedName>
    <definedName name="Echeance">BERNABE!$E$25:$E$25</definedName>
    <definedName name="etat" localSheetId="2">Tableau1[Etat]</definedName>
    <definedName name="etat">Tableau1[Etat]</definedName>
    <definedName name="jadDate_paie" localSheetId="4">JADCI!#REF!</definedName>
    <definedName name="jadDate_val" localSheetId="4">JADCI!$B$25:$B$29</definedName>
    <definedName name="jadEcheance" localSheetId="4">JADCI!$E$25:$E$29</definedName>
    <definedName name="jadMontant" localSheetId="4">JADCI!$D$25:$D$29</definedName>
    <definedName name="jadNum_fact" localSheetId="4">JADCI!$A$25:$A$29</definedName>
    <definedName name="listfourn">TFourn[Raison Sociale]</definedName>
    <definedName name="Montant">BERNABE!$D$25:$D$25</definedName>
    <definedName name="nDate_paie" localSheetId="9">NEUCE!#REF!</definedName>
    <definedName name="nDate_val" localSheetId="9">NEUCE!$B$25:$B$96</definedName>
    <definedName name="nEcheance" localSheetId="9">NEUCE!$E$25:$E$96</definedName>
    <definedName name="nMontant" localSheetId="9">NEUCE!$D$25:$D$96</definedName>
    <definedName name="nNum_fact" localSheetId="9">NEUCE!$A$25:$A$96</definedName>
    <definedName name="Num_fact">BERNABE!$A$25:$A$25</definedName>
    <definedName name="ppgDate_paie" localSheetId="10">PPG!#REF!</definedName>
    <definedName name="ppgDate_val" localSheetId="10">PPG!$B$25:$B$28</definedName>
    <definedName name="ppgEcheance" localSheetId="10">PPG!$E$25:$E$28</definedName>
    <definedName name="ppgMontant" localSheetId="10">PPG!$D$25:$D$28</definedName>
    <definedName name="ppgNum_fact" localSheetId="10">PPG!$A$25:$A$28</definedName>
    <definedName name="seciiDate_paie" localSheetId="16">SECII!#REF!</definedName>
    <definedName name="seciiDate_val" localSheetId="16">SECII!$B$25:$B$27</definedName>
    <definedName name="seciiEcheance" localSheetId="16">SECII!$E$25:$E$27</definedName>
    <definedName name="seciiEtat" localSheetId="2">seciitab[Etat]</definedName>
    <definedName name="seciiEtat">seciitab[Etat]</definedName>
    <definedName name="seciiMontant" localSheetId="16">SECII!$D$25:$D$27</definedName>
    <definedName name="seciiNum_fact" localSheetId="16">SECII!$A$25:$A$27</definedName>
    <definedName name="setrDate_paie" localSheetId="12">SETR!#REF!</definedName>
    <definedName name="setrDate_val" localSheetId="12">SETR!$B$25:$B$44</definedName>
    <definedName name="setrEcheance" localSheetId="12">SETR!$E$25:$E$44</definedName>
    <definedName name="setrMontant" localSheetId="12">SETR!$D$25:$D$44</definedName>
    <definedName name="setrNum_fact" localSheetId="12">SETR!$A$25:$A$44</definedName>
    <definedName name="simcDate_val" localSheetId="11">SIMC!$B$25:$B$35</definedName>
    <definedName name="simcEcheance" localSheetId="11">SIMC!$E$25:$E$35</definedName>
    <definedName name="simcMontant" localSheetId="11">SIMC!$D$25:$D$35</definedName>
    <definedName name="simcNum_fact" localSheetId="11">SIMC!$A$25:$A$35</definedName>
    <definedName name="smicDate_paie" localSheetId="11">SIMC!#REF!</definedName>
    <definedName name="sotaciDate_paie" localSheetId="7">SOTACI!#REF!</definedName>
    <definedName name="sotaciDate_val" localSheetId="7">SOTACI!$B$25:$B$25</definedName>
    <definedName name="sotaciEcheance" localSheetId="7">SOTACI!$E$25:$E$25</definedName>
    <definedName name="sotaciMontant" localSheetId="7">SOTACI!$D$25:$D$25</definedName>
    <definedName name="sotaciNum_fact" localSheetId="7">SOTACI!$A$25:$A$25</definedName>
    <definedName name="source" localSheetId="2">Tableau19[#All]</definedName>
    <definedName name="source">Tableau19[#All]</definedName>
    <definedName name="uiDate_paie" localSheetId="6">UI!#REF!</definedName>
    <definedName name="uiDate_val" localSheetId="6">UI!$B$25:$B$34</definedName>
    <definedName name="uiEcheance" localSheetId="6">UI!$E$25:$E$34</definedName>
    <definedName name="uiMontant" localSheetId="6">UI!$D$25:$D$34</definedName>
    <definedName name="uiNum_fact" localSheetId="6">UI!$A$25:$A$34</definedName>
    <definedName name="wleDate_paie" localSheetId="15">WLE!#REF!</definedName>
    <definedName name="wleDate_val" localSheetId="15">WLE!$B$25:$B$30</definedName>
    <definedName name="wleEcheance" localSheetId="15">WLE!$E$25:$E$30</definedName>
    <definedName name="wleMontant" localSheetId="15">WLE!$D$25:$D$30</definedName>
    <definedName name="wleNum_fact" localSheetId="15">WLE!$A$25:$A$30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2" l="1"/>
  <c r="F11" i="22"/>
  <c r="F12" i="22"/>
  <c r="F9" i="22"/>
  <c r="F15" i="22"/>
  <c r="F16" i="22"/>
  <c r="F17" i="22"/>
  <c r="F14" i="22"/>
  <c r="E31" i="13"/>
  <c r="E30" i="13"/>
  <c r="E25" i="1"/>
  <c r="E25" i="11" l="1"/>
  <c r="G2" i="15" l="1"/>
  <c r="G2" i="14"/>
  <c r="C8" i="14" s="1" a="1"/>
  <c r="C8" i="14" s="1"/>
  <c r="C9" i="14" s="1"/>
  <c r="G2" i="11"/>
  <c r="G2" i="9"/>
  <c r="G2" i="8"/>
  <c r="G21" i="8" s="1" a="1"/>
  <c r="G21" i="8" s="1"/>
  <c r="G2" i="7"/>
  <c r="C8" i="7" s="1" a="1"/>
  <c r="C8" i="7" s="1"/>
  <c r="C9" i="7" s="1"/>
  <c r="G2" i="10"/>
  <c r="C7" i="10" s="1" a="1"/>
  <c r="C7" i="10" s="1"/>
  <c r="G2" i="3"/>
  <c r="G2" i="13"/>
  <c r="G2" i="12"/>
  <c r="G2" i="4"/>
  <c r="G2" i="6"/>
  <c r="G2" i="5"/>
  <c r="F31" i="13" l="1"/>
  <c r="G31" i="13"/>
  <c r="F30" i="13"/>
  <c r="G30" i="13"/>
  <c r="G25" i="11"/>
  <c r="F25" i="11"/>
  <c r="G30" i="14"/>
  <c r="G26" i="14"/>
  <c r="F27" i="14"/>
  <c r="G28" i="14"/>
  <c r="F25" i="14"/>
  <c r="G27" i="14"/>
  <c r="F29" i="14"/>
  <c r="G29" i="14"/>
  <c r="G25" i="14"/>
  <c r="F28" i="14"/>
  <c r="F30" i="14"/>
  <c r="F26" i="14"/>
  <c r="G21" i="14" a="1"/>
  <c r="G21" i="14" s="1"/>
  <c r="G22" i="14" a="1"/>
  <c r="G22" i="14" s="1"/>
  <c r="G14" i="14" a="1"/>
  <c r="G14" i="14" s="1"/>
  <c r="G15" i="14" s="1"/>
  <c r="G10" i="14" a="1"/>
  <c r="G10" i="14" s="1"/>
  <c r="G13" i="14" a="1"/>
  <c r="G13" i="14" s="1"/>
  <c r="G16" i="14" s="1" a="1"/>
  <c r="G16" i="14" s="1"/>
  <c r="G8" i="14" a="1"/>
  <c r="G8" i="14" s="1"/>
  <c r="G9" i="14" s="1"/>
  <c r="C14" i="14" a="1"/>
  <c r="C14" i="14" s="1"/>
  <c r="C15" i="14" s="1"/>
  <c r="C10" i="14" a="1"/>
  <c r="C10" i="14" s="1"/>
  <c r="C13" i="14" a="1"/>
  <c r="C13" i="14" s="1"/>
  <c r="C16" i="14" s="1" a="1"/>
  <c r="C16" i="14" s="1"/>
  <c r="C7" i="14" a="1"/>
  <c r="C7" i="14" s="1"/>
  <c r="G14" i="8" a="1"/>
  <c r="G14" i="8" s="1"/>
  <c r="G15" i="8" s="1"/>
  <c r="G8" i="8" a="1"/>
  <c r="G8" i="8" s="1"/>
  <c r="G9" i="8" s="1"/>
  <c r="G10" i="8" a="1"/>
  <c r="G10" i="8" s="1"/>
  <c r="G13" i="8" a="1"/>
  <c r="G13" i="8" s="1"/>
  <c r="G16" i="8" s="1" a="1"/>
  <c r="G16" i="8" s="1"/>
  <c r="C14" i="8" a="1"/>
  <c r="C14" i="8" s="1"/>
  <c r="C15" i="8" s="1"/>
  <c r="C13" i="8" a="1"/>
  <c r="C13" i="8" s="1"/>
  <c r="C16" i="8" s="1" a="1"/>
  <c r="C16" i="8" s="1"/>
  <c r="C10" i="8" a="1"/>
  <c r="C10" i="8" s="1"/>
  <c r="C8" i="8" a="1"/>
  <c r="C8" i="8" s="1"/>
  <c r="C9" i="8" s="1"/>
  <c r="C7" i="8" a="1"/>
  <c r="C7" i="8" s="1"/>
  <c r="G37" i="8"/>
  <c r="G44" i="8"/>
  <c r="G40" i="8"/>
  <c r="G36" i="8"/>
  <c r="G32" i="8"/>
  <c r="G28" i="8"/>
  <c r="G43" i="8"/>
  <c r="G39" i="8"/>
  <c r="G35" i="8"/>
  <c r="G31" i="8"/>
  <c r="G27" i="8"/>
  <c r="G42" i="8"/>
  <c r="G38" i="8"/>
  <c r="G34" i="8"/>
  <c r="G30" i="8"/>
  <c r="G26" i="8"/>
  <c r="G41" i="8"/>
  <c r="G33" i="8"/>
  <c r="G29" i="8"/>
  <c r="G25" i="8"/>
  <c r="F37" i="8"/>
  <c r="F33" i="8"/>
  <c r="F29" i="8"/>
  <c r="F44" i="8"/>
  <c r="F40" i="8"/>
  <c r="F36" i="8"/>
  <c r="F32" i="8"/>
  <c r="F28" i="8"/>
  <c r="F43" i="8"/>
  <c r="F39" i="8"/>
  <c r="F35" i="8"/>
  <c r="F31" i="8"/>
  <c r="F27" i="8"/>
  <c r="F42" i="8"/>
  <c r="F38" i="8"/>
  <c r="F34" i="8"/>
  <c r="F30" i="8"/>
  <c r="F26" i="8"/>
  <c r="F41" i="8"/>
  <c r="F25" i="8"/>
  <c r="G22" i="8" a="1"/>
  <c r="G22" i="8" s="1"/>
  <c r="G29" i="7"/>
  <c r="G32" i="7"/>
  <c r="G28" i="7"/>
  <c r="G35" i="7"/>
  <c r="G31" i="7"/>
  <c r="G27" i="7"/>
  <c r="G34" i="7"/>
  <c r="G30" i="7"/>
  <c r="G26" i="7"/>
  <c r="G33" i="7"/>
  <c r="G25" i="7"/>
  <c r="F32" i="7"/>
  <c r="F28" i="7"/>
  <c r="F35" i="7"/>
  <c r="F31" i="7"/>
  <c r="F27" i="7"/>
  <c r="F34" i="7"/>
  <c r="F30" i="7"/>
  <c r="F26" i="7"/>
  <c r="F33" i="7"/>
  <c r="F29" i="7"/>
  <c r="F25" i="7"/>
  <c r="G21" i="7" a="1"/>
  <c r="G21" i="7" s="1"/>
  <c r="G22" i="7" a="1"/>
  <c r="G22" i="7" s="1"/>
  <c r="G13" i="7" a="1"/>
  <c r="G13" i="7" s="1"/>
  <c r="G16" i="7" s="1" a="1"/>
  <c r="G16" i="7" s="1"/>
  <c r="G14" i="7" a="1"/>
  <c r="G14" i="7" s="1"/>
  <c r="G15" i="7" s="1"/>
  <c r="C13" i="7" a="1"/>
  <c r="C13" i="7" s="1"/>
  <c r="C16" i="7" s="1" a="1"/>
  <c r="C16" i="7" s="1"/>
  <c r="C14" i="7" a="1"/>
  <c r="C14" i="7" s="1"/>
  <c r="C15" i="7" s="1"/>
  <c r="G10" i="7" a="1"/>
  <c r="G10" i="7" s="1"/>
  <c r="C7" i="7" a="1"/>
  <c r="C7" i="7" s="1"/>
  <c r="C10" i="7" a="1"/>
  <c r="C10" i="7" s="1"/>
  <c r="G8" i="7" a="1"/>
  <c r="G8" i="7" s="1"/>
  <c r="G9" i="7" s="1"/>
  <c r="G26" i="10"/>
  <c r="G25" i="10"/>
  <c r="G28" i="10"/>
  <c r="G27" i="10"/>
  <c r="F28" i="10"/>
  <c r="F27" i="10"/>
  <c r="F26" i="10"/>
  <c r="F25" i="10"/>
  <c r="G22" i="10" a="1"/>
  <c r="G22" i="10" s="1"/>
  <c r="G21" i="10" a="1"/>
  <c r="G21" i="10" s="1"/>
  <c r="G14" i="10" a="1"/>
  <c r="G14" i="10" s="1"/>
  <c r="G15" i="10" s="1"/>
  <c r="G13" i="10" a="1"/>
  <c r="G13" i="10" s="1"/>
  <c r="G16" i="10" s="1" a="1"/>
  <c r="G16" i="10" s="1"/>
  <c r="G10" i="10" a="1"/>
  <c r="G10" i="10" s="1"/>
  <c r="G8" i="10" a="1"/>
  <c r="G8" i="10" s="1"/>
  <c r="G9" i="10" s="1"/>
  <c r="C14" i="10" a="1"/>
  <c r="C14" i="10" s="1"/>
  <c r="C15" i="10" s="1"/>
  <c r="C13" i="10" a="1"/>
  <c r="C13" i="10" s="1"/>
  <c r="C16" i="10" s="1" a="1"/>
  <c r="C16" i="10" s="1"/>
  <c r="C10" i="10" a="1"/>
  <c r="C10" i="10" s="1"/>
  <c r="C8" i="10" a="1"/>
  <c r="C8" i="10" s="1"/>
  <c r="C9" i="10" s="1"/>
  <c r="G2" i="1"/>
  <c r="G21" i="1" s="1" a="1"/>
  <c r="G21" i="1" s="1"/>
  <c r="E25" i="6"/>
  <c r="E26" i="11"/>
  <c r="E27" i="11"/>
  <c r="F27" i="11" s="1"/>
  <c r="E42" i="8"/>
  <c r="E44" i="8"/>
  <c r="E28" i="10"/>
  <c r="E34" i="4"/>
  <c r="C7" i="1" l="1" a="1"/>
  <c r="C7" i="1" s="1"/>
  <c r="F25" i="1"/>
  <c r="G25" i="1"/>
  <c r="G10" i="11" a="1"/>
  <c r="G10" i="11" s="1"/>
  <c r="G14" i="11" a="1"/>
  <c r="G14" i="11" s="1"/>
  <c r="G15" i="11" s="1"/>
  <c r="G27" i="11"/>
  <c r="C8" i="11" a="1"/>
  <c r="C8" i="11" s="1"/>
  <c r="C9" i="11" s="1"/>
  <c r="C13" i="11" a="1"/>
  <c r="C13" i="11" s="1"/>
  <c r="C16" i="11" s="1" a="1"/>
  <c r="C16" i="11" s="1"/>
  <c r="F26" i="11"/>
  <c r="G21" i="11" a="1"/>
  <c r="G21" i="11" s="1"/>
  <c r="C10" i="11" a="1"/>
  <c r="C10" i="11" s="1"/>
  <c r="C14" i="11" a="1"/>
  <c r="C14" i="11" s="1"/>
  <c r="C15" i="11" s="1"/>
  <c r="G22" i="11" a="1"/>
  <c r="G22" i="11" s="1"/>
  <c r="G8" i="11" a="1"/>
  <c r="G8" i="11" s="1"/>
  <c r="G9" i="11" s="1"/>
  <c r="G13" i="11" a="1"/>
  <c r="G13" i="11" s="1"/>
  <c r="G16" i="11" s="1" a="1"/>
  <c r="G16" i="11" s="1"/>
  <c r="G26" i="11"/>
  <c r="G34" i="4"/>
  <c r="F34" i="4"/>
  <c r="F25" i="6"/>
  <c r="G25" i="6"/>
  <c r="E26" i="10"/>
  <c r="E27" i="10"/>
  <c r="E25" i="10"/>
  <c r="E29" i="6"/>
  <c r="E28" i="6"/>
  <c r="E27" i="6"/>
  <c r="E26" i="6"/>
  <c r="E26" i="14"/>
  <c r="E25" i="14"/>
  <c r="E28" i="14"/>
  <c r="E27" i="14"/>
  <c r="E29" i="14"/>
  <c r="E43" i="8"/>
  <c r="E40" i="8"/>
  <c r="E41" i="8"/>
  <c r="E39" i="8"/>
  <c r="E38" i="8"/>
  <c r="E37" i="8"/>
  <c r="E25" i="8"/>
  <c r="E35" i="8"/>
  <c r="E33" i="8"/>
  <c r="E36" i="8"/>
  <c r="E29" i="8"/>
  <c r="E27" i="8"/>
  <c r="E30" i="8"/>
  <c r="E26" i="8"/>
  <c r="E28" i="8"/>
  <c r="E34" i="8"/>
  <c r="E32" i="8"/>
  <c r="E31" i="8"/>
  <c r="E33" i="4"/>
  <c r="E29" i="4"/>
  <c r="E28" i="4"/>
  <c r="E32" i="4"/>
  <c r="E31" i="4"/>
  <c r="E27" i="4"/>
  <c r="E25" i="4"/>
  <c r="E26" i="4"/>
  <c r="E27" i="5"/>
  <c r="E26" i="5"/>
  <c r="E25" i="5"/>
  <c r="E29" i="5"/>
  <c r="E28" i="5"/>
  <c r="E95" i="3"/>
  <c r="E96" i="3"/>
  <c r="E94" i="3"/>
  <c r="E93" i="3"/>
  <c r="E92" i="3"/>
  <c r="E76" i="3"/>
  <c r="E80" i="3"/>
  <c r="E88" i="3"/>
  <c r="E87" i="3"/>
  <c r="E86" i="3"/>
  <c r="E83" i="3"/>
  <c r="E84" i="3"/>
  <c r="E90" i="3"/>
  <c r="E89" i="3"/>
  <c r="E45" i="3"/>
  <c r="E59" i="3"/>
  <c r="E54" i="3"/>
  <c r="E44" i="3"/>
  <c r="E58" i="3"/>
  <c r="E73" i="3"/>
  <c r="E75" i="3"/>
  <c r="E69" i="3"/>
  <c r="E61" i="3"/>
  <c r="E60" i="3"/>
  <c r="E62" i="3"/>
  <c r="E68" i="3"/>
  <c r="E74" i="3"/>
  <c r="E64" i="3"/>
  <c r="E72" i="3"/>
  <c r="E67" i="3"/>
  <c r="E57" i="3"/>
  <c r="E53" i="3"/>
  <c r="E56" i="3"/>
  <c r="E52" i="3"/>
  <c r="E51" i="3"/>
  <c r="E50" i="3"/>
  <c r="E48" i="3"/>
  <c r="E55" i="3"/>
  <c r="E49" i="3"/>
  <c r="E47" i="3"/>
  <c r="E43" i="3"/>
  <c r="E33" i="3"/>
  <c r="E40" i="3"/>
  <c r="E29" i="3"/>
  <c r="E39" i="3"/>
  <c r="E38" i="3"/>
  <c r="E37" i="3"/>
  <c r="E36" i="3"/>
  <c r="E35" i="3"/>
  <c r="E32" i="3"/>
  <c r="E31" i="3"/>
  <c r="E30" i="3"/>
  <c r="E28" i="3"/>
  <c r="E26" i="3"/>
  <c r="E25" i="3"/>
  <c r="E27" i="3"/>
  <c r="E42" i="3"/>
  <c r="E41" i="3"/>
  <c r="E34" i="3"/>
  <c r="E85" i="3"/>
  <c r="E66" i="3"/>
  <c r="E70" i="3"/>
  <c r="E71" i="3"/>
  <c r="E65" i="3"/>
  <c r="E63" i="3"/>
  <c r="E77" i="3"/>
  <c r="E78" i="3"/>
  <c r="E79" i="3"/>
  <c r="E81" i="3"/>
  <c r="E82" i="3"/>
  <c r="E91" i="3"/>
  <c r="E46" i="3"/>
  <c r="E35" i="7"/>
  <c r="E34" i="7"/>
  <c r="E28" i="7"/>
  <c r="E29" i="7"/>
  <c r="E27" i="7"/>
  <c r="E30" i="7"/>
  <c r="E31" i="7"/>
  <c r="E32" i="7"/>
  <c r="E26" i="7"/>
  <c r="E25" i="7"/>
  <c r="E25" i="15"/>
  <c r="E26" i="15"/>
  <c r="C7" i="11" l="1" a="1"/>
  <c r="C7" i="11" s="1"/>
  <c r="F25" i="15"/>
  <c r="G25" i="15"/>
  <c r="G63" i="3"/>
  <c r="F63" i="3"/>
  <c r="G66" i="3"/>
  <c r="F66" i="3"/>
  <c r="G42" i="3"/>
  <c r="F42" i="3"/>
  <c r="G28" i="3"/>
  <c r="F28" i="3"/>
  <c r="G35" i="3"/>
  <c r="F35" i="3"/>
  <c r="G39" i="3"/>
  <c r="F39" i="3"/>
  <c r="G43" i="3"/>
  <c r="F43" i="3"/>
  <c r="G48" i="3"/>
  <c r="F48" i="3"/>
  <c r="G56" i="3"/>
  <c r="F56" i="3"/>
  <c r="G72" i="3"/>
  <c r="F72" i="3"/>
  <c r="G62" i="3"/>
  <c r="F62" i="3"/>
  <c r="G75" i="3"/>
  <c r="F75" i="3"/>
  <c r="G54" i="3"/>
  <c r="F54" i="3"/>
  <c r="G90" i="3"/>
  <c r="F90" i="3"/>
  <c r="G87" i="3"/>
  <c r="F87" i="3"/>
  <c r="G92" i="3"/>
  <c r="F92" i="3"/>
  <c r="G95" i="3"/>
  <c r="F95" i="3"/>
  <c r="G26" i="5"/>
  <c r="F26" i="5"/>
  <c r="G27" i="4"/>
  <c r="F27" i="4"/>
  <c r="G29" i="4"/>
  <c r="F29" i="4"/>
  <c r="G28" i="6"/>
  <c r="F28" i="6"/>
  <c r="G81" i="3"/>
  <c r="F81" i="3"/>
  <c r="F26" i="15"/>
  <c r="G26" i="15"/>
  <c r="G46" i="3"/>
  <c r="F46" i="3"/>
  <c r="G79" i="3"/>
  <c r="F79" i="3"/>
  <c r="G65" i="3"/>
  <c r="F65" i="3"/>
  <c r="G85" i="3"/>
  <c r="F85" i="3"/>
  <c r="G27" i="3"/>
  <c r="F27" i="3"/>
  <c r="G30" i="3"/>
  <c r="F30" i="3"/>
  <c r="G36" i="3"/>
  <c r="F36" i="3"/>
  <c r="G29" i="3"/>
  <c r="F29" i="3"/>
  <c r="G47" i="3"/>
  <c r="F47" i="3"/>
  <c r="G50" i="3"/>
  <c r="F50" i="3"/>
  <c r="G53" i="3"/>
  <c r="F53" i="3"/>
  <c r="G64" i="3"/>
  <c r="F64" i="3"/>
  <c r="G60" i="3"/>
  <c r="F60" i="3"/>
  <c r="G73" i="3"/>
  <c r="F73" i="3"/>
  <c r="G59" i="3"/>
  <c r="F59" i="3"/>
  <c r="G84" i="3"/>
  <c r="F84" i="3"/>
  <c r="G88" i="3"/>
  <c r="F88" i="3"/>
  <c r="G93" i="3"/>
  <c r="F93" i="3"/>
  <c r="G28" i="5"/>
  <c r="F28" i="5"/>
  <c r="F27" i="5"/>
  <c r="G27" i="5"/>
  <c r="F31" i="4"/>
  <c r="G31" i="4"/>
  <c r="G33" i="4"/>
  <c r="F33" i="4"/>
  <c r="F26" i="6"/>
  <c r="G26" i="6"/>
  <c r="G29" i="6"/>
  <c r="F29" i="6"/>
  <c r="G78" i="3"/>
  <c r="F78" i="3"/>
  <c r="G34" i="3"/>
  <c r="F34" i="3"/>
  <c r="G14" i="3" a="1"/>
  <c r="G14" i="3" s="1"/>
  <c r="G15" i="3" s="1"/>
  <c r="C10" i="3" a="1"/>
  <c r="C10" i="3" s="1"/>
  <c r="G21" i="3" a="1"/>
  <c r="G21" i="3" s="1"/>
  <c r="G10" i="3" a="1"/>
  <c r="G10" i="3" s="1"/>
  <c r="G13" i="3" a="1"/>
  <c r="G13" i="3" s="1"/>
  <c r="G16" i="3" s="1" a="1"/>
  <c r="G16" i="3" s="1"/>
  <c r="C8" i="3" a="1"/>
  <c r="C8" i="3" s="1"/>
  <c r="C9" i="3" s="1"/>
  <c r="G8" i="3" a="1"/>
  <c r="G8" i="3" s="1"/>
  <c r="G9" i="3" s="1"/>
  <c r="C14" i="3" a="1"/>
  <c r="C14" i="3" s="1"/>
  <c r="C15" i="3" s="1"/>
  <c r="C7" i="3" a="1"/>
  <c r="C7" i="3" s="1"/>
  <c r="G25" i="3"/>
  <c r="F25" i="3"/>
  <c r="G22" i="3" a="1"/>
  <c r="G22" i="3" s="1"/>
  <c r="C13" i="3" a="1"/>
  <c r="C13" i="3" s="1"/>
  <c r="C16" i="3" s="1" a="1"/>
  <c r="C16" i="3" s="1"/>
  <c r="G31" i="3"/>
  <c r="F31" i="3"/>
  <c r="G37" i="3"/>
  <c r="F37" i="3"/>
  <c r="G40" i="3"/>
  <c r="F40" i="3"/>
  <c r="G49" i="3"/>
  <c r="F49" i="3"/>
  <c r="G51" i="3"/>
  <c r="F51" i="3"/>
  <c r="G57" i="3"/>
  <c r="F57" i="3"/>
  <c r="G74" i="3"/>
  <c r="F74" i="3"/>
  <c r="G61" i="3"/>
  <c r="F61" i="3"/>
  <c r="G58" i="3"/>
  <c r="F58" i="3"/>
  <c r="G45" i="3"/>
  <c r="F45" i="3"/>
  <c r="G83" i="3"/>
  <c r="F83" i="3"/>
  <c r="G80" i="3"/>
  <c r="F80" i="3"/>
  <c r="G94" i="3"/>
  <c r="F94" i="3"/>
  <c r="G29" i="5"/>
  <c r="F29" i="5"/>
  <c r="F26" i="4"/>
  <c r="G26" i="4"/>
  <c r="G32" i="4"/>
  <c r="F32" i="4"/>
  <c r="G91" i="3"/>
  <c r="F91" i="3"/>
  <c r="G71" i="3"/>
  <c r="F71" i="3"/>
  <c r="G82" i="3"/>
  <c r="F82" i="3"/>
  <c r="G77" i="3"/>
  <c r="F77" i="3"/>
  <c r="G70" i="3"/>
  <c r="F70" i="3"/>
  <c r="G41" i="3"/>
  <c r="F41" i="3"/>
  <c r="G26" i="3"/>
  <c r="F26" i="3"/>
  <c r="G32" i="3"/>
  <c r="F32" i="3"/>
  <c r="G38" i="3"/>
  <c r="F38" i="3"/>
  <c r="G33" i="3"/>
  <c r="F33" i="3"/>
  <c r="G55" i="3"/>
  <c r="F55" i="3"/>
  <c r="G52" i="3"/>
  <c r="F52" i="3"/>
  <c r="G67" i="3"/>
  <c r="F67" i="3"/>
  <c r="G68" i="3"/>
  <c r="F68" i="3"/>
  <c r="G69" i="3"/>
  <c r="F69" i="3"/>
  <c r="G44" i="3"/>
  <c r="F44" i="3"/>
  <c r="G89" i="3"/>
  <c r="F89" i="3"/>
  <c r="G86" i="3"/>
  <c r="F86" i="3"/>
  <c r="G76" i="3"/>
  <c r="F76" i="3"/>
  <c r="G96" i="3"/>
  <c r="F96" i="3"/>
  <c r="G21" i="5" a="1"/>
  <c r="G21" i="5" s="1"/>
  <c r="C10" i="5" a="1"/>
  <c r="C10" i="5" s="1"/>
  <c r="G14" i="5" a="1"/>
  <c r="G14" i="5" s="1"/>
  <c r="G15" i="5" s="1"/>
  <c r="C14" i="5" a="1"/>
  <c r="C14" i="5" s="1"/>
  <c r="C15" i="5" s="1"/>
  <c r="C8" i="5" a="1"/>
  <c r="C8" i="5" s="1"/>
  <c r="C9" i="5" s="1"/>
  <c r="G13" i="5" a="1"/>
  <c r="G13" i="5" s="1"/>
  <c r="G16" i="5" s="1" a="1"/>
  <c r="G16" i="5" s="1"/>
  <c r="C13" i="5" a="1"/>
  <c r="C13" i="5" s="1"/>
  <c r="C16" i="5" s="1" a="1"/>
  <c r="C16" i="5" s="1"/>
  <c r="G25" i="5"/>
  <c r="G10" i="5" a="1"/>
  <c r="G10" i="5" s="1"/>
  <c r="G22" i="5" a="1"/>
  <c r="G22" i="5" s="1"/>
  <c r="F25" i="5"/>
  <c r="G8" i="5" a="1"/>
  <c r="G8" i="5" s="1"/>
  <c r="G9" i="5" s="1"/>
  <c r="C7" i="5" a="1"/>
  <c r="C7" i="5" s="1"/>
  <c r="G7" i="5" s="1"/>
  <c r="G13" i="4" a="1"/>
  <c r="G13" i="4" s="1"/>
  <c r="G16" i="4" s="1" a="1"/>
  <c r="G16" i="4" s="1"/>
  <c r="G21" i="4" a="1"/>
  <c r="G21" i="4" s="1"/>
  <c r="F25" i="4"/>
  <c r="G10" i="4" a="1"/>
  <c r="G10" i="4" s="1"/>
  <c r="G8" i="4" a="1"/>
  <c r="G8" i="4" s="1"/>
  <c r="G9" i="4" s="1"/>
  <c r="G25" i="4"/>
  <c r="G22" i="4" a="1"/>
  <c r="G22" i="4" s="1"/>
  <c r="G14" i="4" a="1"/>
  <c r="G14" i="4" s="1"/>
  <c r="G15" i="4" s="1"/>
  <c r="C7" i="4" a="1"/>
  <c r="C7" i="4" s="1"/>
  <c r="F28" i="4"/>
  <c r="G28" i="4"/>
  <c r="F27" i="6"/>
  <c r="G27" i="6"/>
  <c r="E27" i="15"/>
  <c r="G21" i="15" s="1" a="1"/>
  <c r="G21" i="15" s="1"/>
  <c r="E30" i="14"/>
  <c r="E25" i="13"/>
  <c r="E26" i="13"/>
  <c r="E29" i="13"/>
  <c r="E28" i="13"/>
  <c r="E27" i="13"/>
  <c r="E25" i="12"/>
  <c r="E25" i="9"/>
  <c r="E33" i="7"/>
  <c r="E30" i="4"/>
  <c r="C8" i="9" l="1" a="1"/>
  <c r="C8" i="9" s="1"/>
  <c r="C9" i="9" s="1"/>
  <c r="G21" i="9" a="1"/>
  <c r="G21" i="9" s="1"/>
  <c r="G8" i="9" a="1"/>
  <c r="G8" i="9" s="1"/>
  <c r="G9" i="9" s="1"/>
  <c r="C10" i="9" a="1"/>
  <c r="C10" i="9" s="1"/>
  <c r="G25" i="9"/>
  <c r="C7" i="9" a="1"/>
  <c r="C7" i="9" s="1"/>
  <c r="F25" i="9"/>
  <c r="G14" i="9" a="1"/>
  <c r="G14" i="9" s="1"/>
  <c r="G15" i="9" s="1"/>
  <c r="C14" i="9" a="1"/>
  <c r="C14" i="9" s="1"/>
  <c r="C15" i="9" s="1"/>
  <c r="G13" i="9" a="1"/>
  <c r="G13" i="9" s="1"/>
  <c r="G16" i="9" s="1" a="1"/>
  <c r="G16" i="9" s="1"/>
  <c r="G22" i="9" a="1"/>
  <c r="G22" i="9" s="1"/>
  <c r="G10" i="9" a="1"/>
  <c r="G10" i="9" s="1"/>
  <c r="C13" i="9" a="1"/>
  <c r="C13" i="9" s="1"/>
  <c r="C16" i="9" s="1" a="1"/>
  <c r="C16" i="9" s="1"/>
  <c r="C7" i="6" a="1"/>
  <c r="C7" i="6" s="1"/>
  <c r="G22" i="6" a="1"/>
  <c r="G22" i="6" s="1"/>
  <c r="C10" i="1" a="1"/>
  <c r="C10" i="1" s="1"/>
  <c r="G7" i="4"/>
  <c r="G13" i="6" a="1"/>
  <c r="G13" i="6" s="1"/>
  <c r="G16" i="6" s="1" a="1"/>
  <c r="G16" i="6" s="1"/>
  <c r="G7" i="3"/>
  <c r="C13" i="6" a="1"/>
  <c r="C13" i="6" s="1"/>
  <c r="C16" i="6" s="1" a="1"/>
  <c r="C16" i="6" s="1"/>
  <c r="G10" i="15" a="1"/>
  <c r="G10" i="15" s="1"/>
  <c r="G8" i="15" a="1"/>
  <c r="G8" i="15" s="1"/>
  <c r="G9" i="15" s="1"/>
  <c r="G27" i="13"/>
  <c r="F27" i="13"/>
  <c r="G13" i="13" a="1"/>
  <c r="G13" i="13" s="1"/>
  <c r="G16" i="13" s="1" a="1"/>
  <c r="G16" i="13" s="1"/>
  <c r="C14" i="13" a="1"/>
  <c r="C14" i="13" s="1"/>
  <c r="C15" i="13" s="1"/>
  <c r="G21" i="13" a="1"/>
  <c r="G21" i="13" s="1"/>
  <c r="G10" i="13" a="1"/>
  <c r="G10" i="13" s="1"/>
  <c r="C13" i="13" a="1"/>
  <c r="C13" i="13" s="1"/>
  <c r="C16" i="13" s="1" a="1"/>
  <c r="C16" i="13" s="1"/>
  <c r="G25" i="13"/>
  <c r="G22" i="13" a="1"/>
  <c r="G22" i="13" s="1"/>
  <c r="G8" i="13" a="1"/>
  <c r="G8" i="13" s="1"/>
  <c r="G9" i="13" s="1"/>
  <c r="C7" i="13" a="1"/>
  <c r="C7" i="13" s="1"/>
  <c r="F25" i="13"/>
  <c r="G14" i="13" a="1"/>
  <c r="G14" i="13" s="1"/>
  <c r="G15" i="13" s="1"/>
  <c r="C10" i="13" a="1"/>
  <c r="C10" i="13" s="1"/>
  <c r="C8" i="13" a="1"/>
  <c r="C8" i="13" s="1"/>
  <c r="C9" i="13" s="1"/>
  <c r="F30" i="4"/>
  <c r="G30" i="4"/>
  <c r="G28" i="13"/>
  <c r="F28" i="13"/>
  <c r="G10" i="6" a="1"/>
  <c r="G10" i="6" s="1"/>
  <c r="C14" i="4" a="1"/>
  <c r="C14" i="4" s="1"/>
  <c r="C15" i="4" s="1"/>
  <c r="C8" i="4" a="1"/>
  <c r="C8" i="4" s="1"/>
  <c r="C9" i="4" s="1"/>
  <c r="C10" i="6" a="1"/>
  <c r="C10" i="6" s="1"/>
  <c r="G21" i="6" a="1"/>
  <c r="G21" i="6" s="1"/>
  <c r="G7" i="6" s="1"/>
  <c r="C10" i="15" a="1"/>
  <c r="C10" i="15" s="1"/>
  <c r="C14" i="15" a="1"/>
  <c r="C14" i="15" s="1"/>
  <c r="C15" i="15" s="1"/>
  <c r="G29" i="13"/>
  <c r="F29" i="13"/>
  <c r="F27" i="15"/>
  <c r="G27" i="15"/>
  <c r="C7" i="15" s="1" a="1"/>
  <c r="C7" i="15" s="1"/>
  <c r="G7" i="15" s="1"/>
  <c r="C13" i="15" a="1"/>
  <c r="C13" i="15" s="1"/>
  <c r="C16" i="15" s="1" a="1"/>
  <c r="C16" i="15" s="1"/>
  <c r="G14" i="15" a="1"/>
  <c r="G14" i="15" s="1"/>
  <c r="G15" i="15" s="1"/>
  <c r="G22" i="15" a="1"/>
  <c r="G22" i="15" s="1"/>
  <c r="C13" i="1" a="1"/>
  <c r="C13" i="1" s="1"/>
  <c r="C14" i="1" a="1"/>
  <c r="C14" i="1" s="1"/>
  <c r="C15" i="1" s="1"/>
  <c r="G22" i="12" a="1"/>
  <c r="G22" i="12" s="1"/>
  <c r="G13" i="12" a="1"/>
  <c r="G13" i="12" s="1"/>
  <c r="G16" i="12" s="1" a="1"/>
  <c r="G16" i="12" s="1"/>
  <c r="C14" i="12" a="1"/>
  <c r="C14" i="12" s="1"/>
  <c r="C15" i="12" s="1"/>
  <c r="C7" i="12" a="1"/>
  <c r="C7" i="12" s="1"/>
  <c r="G10" i="12" a="1"/>
  <c r="G10" i="12" s="1"/>
  <c r="C13" i="12" a="1"/>
  <c r="C13" i="12" s="1"/>
  <c r="C16" i="12" s="1" a="1"/>
  <c r="C16" i="12" s="1"/>
  <c r="G25" i="12"/>
  <c r="G8" i="12" a="1"/>
  <c r="G8" i="12" s="1"/>
  <c r="G9" i="12" s="1"/>
  <c r="C10" i="12" a="1"/>
  <c r="C10" i="12" s="1"/>
  <c r="F25" i="12"/>
  <c r="G14" i="12" a="1"/>
  <c r="G14" i="12" s="1"/>
  <c r="G15" i="12" s="1"/>
  <c r="G21" i="12" a="1"/>
  <c r="G21" i="12" s="1"/>
  <c r="C8" i="12" a="1"/>
  <c r="C8" i="12" s="1"/>
  <c r="C9" i="12" s="1"/>
  <c r="F26" i="13"/>
  <c r="G26" i="13"/>
  <c r="C10" i="4" a="1"/>
  <c r="C10" i="4" s="1"/>
  <c r="C13" i="4" a="1"/>
  <c r="C13" i="4" s="1"/>
  <c r="C16" i="4" s="1" a="1"/>
  <c r="C16" i="4" s="1"/>
  <c r="G14" i="6" a="1"/>
  <c r="G14" i="6" s="1"/>
  <c r="G15" i="6" s="1"/>
  <c r="C14" i="6" a="1"/>
  <c r="C14" i="6" s="1"/>
  <c r="C15" i="6" s="1"/>
  <c r="C8" i="6" a="1"/>
  <c r="C8" i="6" s="1"/>
  <c r="C9" i="6" s="1"/>
  <c r="G13" i="15" a="1"/>
  <c r="G13" i="15" s="1"/>
  <c r="G16" i="15" s="1" a="1"/>
  <c r="G16" i="15" s="1"/>
  <c r="C8" i="15" a="1"/>
  <c r="C8" i="15" s="1"/>
  <c r="C9" i="15" s="1"/>
  <c r="G8" i="6" a="1"/>
  <c r="G8" i="6" s="1"/>
  <c r="G9" i="6" s="1"/>
  <c r="G13" i="1" a="1"/>
  <c r="G13" i="1" s="1"/>
  <c r="G14" i="1" a="1"/>
  <c r="G14" i="1" s="1"/>
  <c r="G15" i="1" s="1"/>
  <c r="G22" i="1" a="1"/>
  <c r="G22" i="1" s="1"/>
  <c r="G8" i="1" a="1"/>
  <c r="G8" i="1" s="1"/>
  <c r="G9" i="1" s="1"/>
  <c r="C8" i="1" a="1"/>
  <c r="C8" i="1" s="1"/>
  <c r="C9" i="1" s="1"/>
  <c r="G7" i="12" l="1"/>
  <c r="G10" i="1" a="1"/>
  <c r="G10" i="1" s="1"/>
  <c r="G7" i="14"/>
  <c r="G7" i="7"/>
  <c r="G7" i="13"/>
  <c r="G7" i="10"/>
  <c r="G7" i="8"/>
  <c r="G7" i="9"/>
  <c r="G7" i="11"/>
  <c r="G16" i="1" a="1"/>
  <c r="G16" i="1" s="1"/>
  <c r="C16" i="1" l="1" a="1"/>
  <c r="C16" i="1" s="1"/>
  <c r="G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<sst xmlns="http://schemas.openxmlformats.org/spreadsheetml/2006/main" count="1199" uniqueCount="450">
  <si>
    <t>N° Facture</t>
  </si>
  <si>
    <t>Date facture</t>
  </si>
  <si>
    <t>Montant HT</t>
  </si>
  <si>
    <t>Montant TTC</t>
  </si>
  <si>
    <t>Date échéance</t>
  </si>
  <si>
    <t>FACTURES A HONORER</t>
  </si>
  <si>
    <t>Mois</t>
  </si>
  <si>
    <t>Condition</t>
  </si>
  <si>
    <t>BERNABE</t>
  </si>
  <si>
    <t>Retard/Avance</t>
  </si>
  <si>
    <t>Etat</t>
  </si>
  <si>
    <t>02/06/2022</t>
  </si>
  <si>
    <t>01/06/2022</t>
  </si>
  <si>
    <t>29/06/2022</t>
  </si>
  <si>
    <t>22/06/2022</t>
  </si>
  <si>
    <t>15/06/2022</t>
  </si>
  <si>
    <t>13/06/2022</t>
  </si>
  <si>
    <t>08/06/2022</t>
  </si>
  <si>
    <t>10/06/2022</t>
  </si>
  <si>
    <t>20/06/2022</t>
  </si>
  <si>
    <t>09/06/2022</t>
  </si>
  <si>
    <t>06/07/2022</t>
  </si>
  <si>
    <t>NEUCE</t>
  </si>
  <si>
    <t>36 798 CFA</t>
  </si>
  <si>
    <t>25/06/2022</t>
  </si>
  <si>
    <t>72 084 CFA</t>
  </si>
  <si>
    <t>UNIVERSELLE INDUSTRIES</t>
  </si>
  <si>
    <t>FV19977</t>
  </si>
  <si>
    <t>381 356 CFA</t>
  </si>
  <si>
    <t>FV708</t>
  </si>
  <si>
    <t>1 669 000 CFA</t>
  </si>
  <si>
    <t>WEST LIGHT ENERGY</t>
  </si>
  <si>
    <t>BAT IVOIRE PLUS</t>
  </si>
  <si>
    <t>SOTACI</t>
  </si>
  <si>
    <t>DAMACI</t>
  </si>
  <si>
    <t>PPG</t>
  </si>
  <si>
    <t>BATIPLUS</t>
  </si>
  <si>
    <t>SETR</t>
  </si>
  <si>
    <t>SIMC</t>
  </si>
  <si>
    <t>DMD</t>
  </si>
  <si>
    <t>SECII</t>
  </si>
  <si>
    <t>F486</t>
  </si>
  <si>
    <t>156 750 CFA</t>
  </si>
  <si>
    <t>13/05/2022</t>
  </si>
  <si>
    <t>59 322 CFA</t>
  </si>
  <si>
    <t>FAM044425</t>
  </si>
  <si>
    <t>25/03/2022</t>
  </si>
  <si>
    <t>FV8</t>
  </si>
  <si>
    <t>26/06/2022</t>
  </si>
  <si>
    <t>297 433 CFA</t>
  </si>
  <si>
    <t>FV18</t>
  </si>
  <si>
    <t>205 597 CFA</t>
  </si>
  <si>
    <t>PO 153575</t>
  </si>
  <si>
    <t>17/05/2022</t>
  </si>
  <si>
    <t>311 850 CFA</t>
  </si>
  <si>
    <t>FV 93</t>
  </si>
  <si>
    <t>1 850 000 CFA</t>
  </si>
  <si>
    <t>FV 94</t>
  </si>
  <si>
    <t>755 500 CFA</t>
  </si>
  <si>
    <t>FV 95</t>
  </si>
  <si>
    <t>16/06/2022</t>
  </si>
  <si>
    <t>6 644 068 CFA</t>
  </si>
  <si>
    <t>FV 88</t>
  </si>
  <si>
    <t>31/05/2022</t>
  </si>
  <si>
    <t>6 406 776 CFA</t>
  </si>
  <si>
    <t>FV 87</t>
  </si>
  <si>
    <t>30/05/2022</t>
  </si>
  <si>
    <t>3 262 710 CFA</t>
  </si>
  <si>
    <t>WLEFV 301</t>
  </si>
  <si>
    <t>03/08/2022</t>
  </si>
  <si>
    <t>3 834 CFA</t>
  </si>
  <si>
    <t>SECIIFV 1096</t>
  </si>
  <si>
    <t>22/07/2022</t>
  </si>
  <si>
    <t>148 305 CFA</t>
  </si>
  <si>
    <t>SECIIFV 855</t>
  </si>
  <si>
    <t>27/06/2022</t>
  </si>
  <si>
    <t>SECIIFV 750</t>
  </si>
  <si>
    <t>230 508 CFA</t>
  </si>
  <si>
    <t>F6941</t>
  </si>
  <si>
    <t>20/04/2022</t>
  </si>
  <si>
    <t>12 568 CFA</t>
  </si>
  <si>
    <t>F112</t>
  </si>
  <si>
    <t>04/05/2022</t>
  </si>
  <si>
    <t>557 309 CFA</t>
  </si>
  <si>
    <t>F444</t>
  </si>
  <si>
    <t>266 949 CFA</t>
  </si>
  <si>
    <t>F388</t>
  </si>
  <si>
    <t>27/05/2022</t>
  </si>
  <si>
    <t>1 045 551 CFA</t>
  </si>
  <si>
    <t>AV190</t>
  </si>
  <si>
    <t>20/05/2022</t>
  </si>
  <si>
    <t>2 479 CFA</t>
  </si>
  <si>
    <t>F109</t>
  </si>
  <si>
    <t>45 826 CFA</t>
  </si>
  <si>
    <t>F224</t>
  </si>
  <si>
    <t>12/05/2022</t>
  </si>
  <si>
    <t>126 801 CFA</t>
  </si>
  <si>
    <t>F231</t>
  </si>
  <si>
    <t>07/05/2022</t>
  </si>
  <si>
    <t>31 720 CFA</t>
  </si>
  <si>
    <t>F578</t>
  </si>
  <si>
    <t>133 475 CFA</t>
  </si>
  <si>
    <t>F685</t>
  </si>
  <si>
    <t>24/06/2022</t>
  </si>
  <si>
    <t>165 254 CFA</t>
  </si>
  <si>
    <t>FV181</t>
  </si>
  <si>
    <t>10 124 CFA</t>
  </si>
  <si>
    <t>FV287</t>
  </si>
  <si>
    <t>106 844 CFA</t>
  </si>
  <si>
    <t>FV257</t>
  </si>
  <si>
    <t>120 795 CFA</t>
  </si>
  <si>
    <t>FV255</t>
  </si>
  <si>
    <t>85 268 CFA</t>
  </si>
  <si>
    <t>FV253</t>
  </si>
  <si>
    <t>07/06/2022</t>
  </si>
  <si>
    <t>110 015 CFA</t>
  </si>
  <si>
    <t>FV252</t>
  </si>
  <si>
    <t>25 097 CFA</t>
  </si>
  <si>
    <t>FV250</t>
  </si>
  <si>
    <t>10 148 CFA</t>
  </si>
  <si>
    <t>FV219</t>
  </si>
  <si>
    <t>19/05/2022</t>
  </si>
  <si>
    <t>28 292 CFA</t>
  </si>
  <si>
    <t>FV220</t>
  </si>
  <si>
    <t>FV232</t>
  </si>
  <si>
    <t>28/05/2022</t>
  </si>
  <si>
    <t>128 419 CFA</t>
  </si>
  <si>
    <t>FV228</t>
  </si>
  <si>
    <t>321 048 CFA</t>
  </si>
  <si>
    <t>FV225</t>
  </si>
  <si>
    <t>24/05/2022</t>
  </si>
  <si>
    <t>16 916 CFA</t>
  </si>
  <si>
    <t>FV272</t>
  </si>
  <si>
    <t>FV107</t>
  </si>
  <si>
    <t>15/03/2022</t>
  </si>
  <si>
    <t>26 207 CFA</t>
  </si>
  <si>
    <t>FV127</t>
  </si>
  <si>
    <t>15 456 CFA</t>
  </si>
  <si>
    <t>FV129</t>
  </si>
  <si>
    <t>29/03/2022</t>
  </si>
  <si>
    <t>FV93</t>
  </si>
  <si>
    <t>09/03/2022</t>
  </si>
  <si>
    <t>30 912 CFA</t>
  </si>
  <si>
    <t>FV84</t>
  </si>
  <si>
    <t>02/03/2022</t>
  </si>
  <si>
    <t>FV89</t>
  </si>
  <si>
    <t>07/03/2022</t>
  </si>
  <si>
    <t>56 585 CFA</t>
  </si>
  <si>
    <t>FV94</t>
  </si>
  <si>
    <t>8 081 CFA</t>
  </si>
  <si>
    <t>FV99</t>
  </si>
  <si>
    <t>12/03/2022</t>
  </si>
  <si>
    <t>380 416 CFA</t>
  </si>
  <si>
    <t>FV101</t>
  </si>
  <si>
    <t>14/03/2022</t>
  </si>
  <si>
    <t>4 011 177 CFA</t>
  </si>
  <si>
    <t>FV102</t>
  </si>
  <si>
    <t>221 294 CFA</t>
  </si>
  <si>
    <t>FV109</t>
  </si>
  <si>
    <t>16/03/2022</t>
  </si>
  <si>
    <t>14 208 CFA</t>
  </si>
  <si>
    <t>FV110</t>
  </si>
  <si>
    <t>102 689 CFA</t>
  </si>
  <si>
    <t>FV111</t>
  </si>
  <si>
    <t>19 284 CFA</t>
  </si>
  <si>
    <t>FV119</t>
  </si>
  <si>
    <t>21/03/2022</t>
  </si>
  <si>
    <t>22 498 CFA</t>
  </si>
  <si>
    <t>FV125</t>
  </si>
  <si>
    <t>23/03/2022</t>
  </si>
  <si>
    <t>6 428 CFA</t>
  </si>
  <si>
    <t>FV97</t>
  </si>
  <si>
    <t>10/03/2022</t>
  </si>
  <si>
    <t>17 633 CFA</t>
  </si>
  <si>
    <t>FV126</t>
  </si>
  <si>
    <t>29 212 CFA</t>
  </si>
  <si>
    <t>FV105</t>
  </si>
  <si>
    <t>213 171 CFA</t>
  </si>
  <si>
    <t>FV176</t>
  </si>
  <si>
    <t>05/05/2022</t>
  </si>
  <si>
    <t>163 761 CFA</t>
  </si>
  <si>
    <t>FV182</t>
  </si>
  <si>
    <t>3 880 CFA</t>
  </si>
  <si>
    <t>FV190</t>
  </si>
  <si>
    <t>10/05/2022</t>
  </si>
  <si>
    <t>9 474 CFA</t>
  </si>
  <si>
    <t>FV196</t>
  </si>
  <si>
    <t>4 578 CFA</t>
  </si>
  <si>
    <t>FV189</t>
  </si>
  <si>
    <t>322 505 CFA</t>
  </si>
  <si>
    <t>FV191</t>
  </si>
  <si>
    <t>230 361 CFA</t>
  </si>
  <si>
    <t>FV192</t>
  </si>
  <si>
    <t>11/05/2022</t>
  </si>
  <si>
    <t>71 777 CFA</t>
  </si>
  <si>
    <t>FV194</t>
  </si>
  <si>
    <t>64 210 CFA</t>
  </si>
  <si>
    <t>FV197</t>
  </si>
  <si>
    <t>134 762 CFA</t>
  </si>
  <si>
    <t>FV195</t>
  </si>
  <si>
    <t>452 556 CFA</t>
  </si>
  <si>
    <t>FV200</t>
  </si>
  <si>
    <t>16 834 CFA</t>
  </si>
  <si>
    <t>FV226</t>
  </si>
  <si>
    <t>59 824 CFA</t>
  </si>
  <si>
    <t>FV235</t>
  </si>
  <si>
    <t>104 002 CFA</t>
  </si>
  <si>
    <t>FV218</t>
  </si>
  <si>
    <t>156 097 CFA</t>
  </si>
  <si>
    <t>FV237</t>
  </si>
  <si>
    <t>FV224</t>
  </si>
  <si>
    <t>68 681 CFA</t>
  </si>
  <si>
    <t>FV211</t>
  </si>
  <si>
    <t>16/05/2022</t>
  </si>
  <si>
    <t>78 049 CFA</t>
  </si>
  <si>
    <t>FV205</t>
  </si>
  <si>
    <t>FV204</t>
  </si>
  <si>
    <t>106 084 CFA</t>
  </si>
  <si>
    <t>FV223</t>
  </si>
  <si>
    <t>67 337 CFA</t>
  </si>
  <si>
    <t>FV236</t>
  </si>
  <si>
    <t>23 467 CFA</t>
  </si>
  <si>
    <t>FV234</t>
  </si>
  <si>
    <t>4 243 CFA</t>
  </si>
  <si>
    <t>FV199</t>
  </si>
  <si>
    <t>96 001 CFA</t>
  </si>
  <si>
    <t>FV175</t>
  </si>
  <si>
    <t>FV193</t>
  </si>
  <si>
    <t>FV198</t>
  </si>
  <si>
    <t>FV180</t>
  </si>
  <si>
    <t>06/05/2022</t>
  </si>
  <si>
    <t>36 962 CFA</t>
  </si>
  <si>
    <t>FV283</t>
  </si>
  <si>
    <t>FV281</t>
  </si>
  <si>
    <t>69 809 CFA</t>
  </si>
  <si>
    <t>FV269</t>
  </si>
  <si>
    <t>111 087 CFA</t>
  </si>
  <si>
    <t>FV256</t>
  </si>
  <si>
    <t>117 186 CFA</t>
  </si>
  <si>
    <t>FV273</t>
  </si>
  <si>
    <t>27 296 CFA</t>
  </si>
  <si>
    <t>FV274</t>
  </si>
  <si>
    <t>33 935 CFA</t>
  </si>
  <si>
    <t>FV278</t>
  </si>
  <si>
    <t>23/06/2022</t>
  </si>
  <si>
    <t>FV251</t>
  </si>
  <si>
    <t>12 449 CFA</t>
  </si>
  <si>
    <t>FV240</t>
  </si>
  <si>
    <t>FV291</t>
  </si>
  <si>
    <t>FV304</t>
  </si>
  <si>
    <t>04/07/2022</t>
  </si>
  <si>
    <t>FV309</t>
  </si>
  <si>
    <t>101 005 CFA</t>
  </si>
  <si>
    <t>FV325</t>
  </si>
  <si>
    <t>16/07/2022</t>
  </si>
  <si>
    <t>18 399 CFA</t>
  </si>
  <si>
    <t>FV320</t>
  </si>
  <si>
    <t>13/07/2022</t>
  </si>
  <si>
    <t>53 042 CFA</t>
  </si>
  <si>
    <t>FV1290</t>
  </si>
  <si>
    <t>1 281 900 CFA</t>
  </si>
  <si>
    <t>FV1291</t>
  </si>
  <si>
    <t>363 300 CFA</t>
  </si>
  <si>
    <t>FV606</t>
  </si>
  <si>
    <t>197 000 CFA</t>
  </si>
  <si>
    <t>FV607</t>
  </si>
  <si>
    <t>903 100 CFA</t>
  </si>
  <si>
    <t>FV17561</t>
  </si>
  <si>
    <t>30/04/2022</t>
  </si>
  <si>
    <t>547 459 CFA</t>
  </si>
  <si>
    <t>FV16741</t>
  </si>
  <si>
    <t>26/04/2022</t>
  </si>
  <si>
    <t>4 759 322 CFA</t>
  </si>
  <si>
    <t>FV18914</t>
  </si>
  <si>
    <t>1 116 101 CFA</t>
  </si>
  <si>
    <t>FV21182</t>
  </si>
  <si>
    <t>28/06/2022</t>
  </si>
  <si>
    <t>38 559 CFA</t>
  </si>
  <si>
    <t>FV21181</t>
  </si>
  <si>
    <t>123 390 CFA</t>
  </si>
  <si>
    <t>FV19503</t>
  </si>
  <si>
    <t>297 373 CFA</t>
  </si>
  <si>
    <t>FV19502</t>
  </si>
  <si>
    <t>15 253 CFA</t>
  </si>
  <si>
    <t>FV22248</t>
  </si>
  <si>
    <t>18/07/2022</t>
  </si>
  <si>
    <t>72 034 CFA</t>
  </si>
  <si>
    <t>FACT.05869</t>
  </si>
  <si>
    <t>46 610 CFA</t>
  </si>
  <si>
    <t>FACT.05970</t>
  </si>
  <si>
    <t>309 400 CFA</t>
  </si>
  <si>
    <t>FACT.05993</t>
  </si>
  <si>
    <t>7 052 807 CFA</t>
  </si>
  <si>
    <t>FACT.05808</t>
  </si>
  <si>
    <t>09/05/2022</t>
  </si>
  <si>
    <t>637 000 CFA</t>
  </si>
  <si>
    <t>FACT.05791</t>
  </si>
  <si>
    <t>4 574 250 CFA</t>
  </si>
  <si>
    <t>FACT.05862</t>
  </si>
  <si>
    <t>18/05/2022</t>
  </si>
  <si>
    <t>774 800 CFA</t>
  </si>
  <si>
    <t>FACT.05806</t>
  </si>
  <si>
    <t>507 000 CFA</t>
  </si>
  <si>
    <t>FACT.05836</t>
  </si>
  <si>
    <t>787 300 CFA</t>
  </si>
  <si>
    <t>FACT.06040</t>
  </si>
  <si>
    <t>25 424 CFA</t>
  </si>
  <si>
    <t>FACT.05981</t>
  </si>
  <si>
    <t>1 879 800 CFA</t>
  </si>
  <si>
    <t>FACT.06014</t>
  </si>
  <si>
    <t>75 400 CFA</t>
  </si>
  <si>
    <t>FACT.05667</t>
  </si>
  <si>
    <t>16/04/2022</t>
  </si>
  <si>
    <t>FACT.06078</t>
  </si>
  <si>
    <t>360 000 CFA</t>
  </si>
  <si>
    <t>FACT.06082</t>
  </si>
  <si>
    <t>FACT.06088</t>
  </si>
  <si>
    <t>FACT.06241</t>
  </si>
  <si>
    <t>05/07/2022</t>
  </si>
  <si>
    <t>323 075 CFA</t>
  </si>
  <si>
    <t>FACT.06238</t>
  </si>
  <si>
    <t>250 250 CFA</t>
  </si>
  <si>
    <t>FACT.06370</t>
  </si>
  <si>
    <t>559 000 CFA</t>
  </si>
  <si>
    <t>WLEFV 290</t>
  </si>
  <si>
    <t>20/07/2022</t>
  </si>
  <si>
    <t>107 271 CFA</t>
  </si>
  <si>
    <t>WLEFV 187</t>
  </si>
  <si>
    <t>13/04/2022</t>
  </si>
  <si>
    <t>64 000 CFA</t>
  </si>
  <si>
    <t>WLEFV 247</t>
  </si>
  <si>
    <t>473 935 CFA</t>
  </si>
  <si>
    <t>WLEFV 125</t>
  </si>
  <si>
    <t>27/01/2022</t>
  </si>
  <si>
    <t>19 677 CFA</t>
  </si>
  <si>
    <t>WLEFV 137</t>
  </si>
  <si>
    <t>24/02/2022</t>
  </si>
  <si>
    <t>637 345 CFA</t>
  </si>
  <si>
    <t>FC22-09010</t>
  </si>
  <si>
    <t>460 000 CFA</t>
  </si>
  <si>
    <t>FC22-09496</t>
  </si>
  <si>
    <t>62 288 CFA</t>
  </si>
  <si>
    <t>FC22-09766</t>
  </si>
  <si>
    <t>11/07/2022</t>
  </si>
  <si>
    <t>116 593 CFA</t>
  </si>
  <si>
    <t>FC22-10044</t>
  </si>
  <si>
    <t>53 708 CFA</t>
  </si>
  <si>
    <t>FC22-10045</t>
  </si>
  <si>
    <t>67 373 CFA</t>
  </si>
  <si>
    <t>FV1600138554</t>
  </si>
  <si>
    <t>23/04/2022</t>
  </si>
  <si>
    <t>31 455 CFA</t>
  </si>
  <si>
    <t>FV1600139955</t>
  </si>
  <si>
    <t>8 829 CFA</t>
  </si>
  <si>
    <t>FV1600139467</t>
  </si>
  <si>
    <t>27 346 CFA</t>
  </si>
  <si>
    <t>JADCI</t>
  </si>
  <si>
    <t>UI</t>
  </si>
  <si>
    <t>Délai</t>
  </si>
  <si>
    <t>FV23338</t>
  </si>
  <si>
    <t>907 627 CFA</t>
  </si>
  <si>
    <t>30/07/2022</t>
  </si>
  <si>
    <t>FV1600142697</t>
  </si>
  <si>
    <t>3 732 CFA</t>
  </si>
  <si>
    <t>FACT.06425</t>
  </si>
  <si>
    <t>29/07/2022</t>
  </si>
  <si>
    <t>1 066 300 CFA</t>
  </si>
  <si>
    <t>FACT.06306</t>
  </si>
  <si>
    <t>40 678 CFA</t>
  </si>
  <si>
    <t>BIP</t>
  </si>
  <si>
    <t>WLE</t>
  </si>
  <si>
    <t>Fournisseur</t>
  </si>
  <si>
    <t>Montant TTC facturé</t>
  </si>
  <si>
    <t>Date d'échéance</t>
  </si>
  <si>
    <t>Montant TTC réglé</t>
  </si>
  <si>
    <t>Raison Sociale</t>
  </si>
  <si>
    <t>Edité le chèque à l'ordre de</t>
  </si>
  <si>
    <t>BERNABE CI</t>
  </si>
  <si>
    <t>JADCI SARL</t>
  </si>
  <si>
    <t>DMD SARL</t>
  </si>
  <si>
    <t>BAT IVOIRE PLUS SARL</t>
  </si>
  <si>
    <t>NEUCE CI SARL</t>
  </si>
  <si>
    <t>PPG CI</t>
  </si>
  <si>
    <t>SETR SN</t>
  </si>
  <si>
    <t>DAMACI SARL</t>
  </si>
  <si>
    <t>FOURNISSEURS</t>
  </si>
  <si>
    <t>Feuille</t>
  </si>
  <si>
    <t>Neuce</t>
  </si>
  <si>
    <t>Bernabe</t>
  </si>
  <si>
    <t>Tableau renommé TFourn</t>
  </si>
  <si>
    <t>ajout de la colonne Feuille (pour reprendre les noms des feuilles)</t>
  </si>
  <si>
    <t>Banque</t>
  </si>
  <si>
    <t>Tableau TBnq</t>
  </si>
  <si>
    <t>BACI</t>
  </si>
  <si>
    <t>BGFI</t>
  </si>
  <si>
    <t>FACTURES A REGLER</t>
  </si>
  <si>
    <t>RAISON SOCIALE</t>
  </si>
  <si>
    <t>DELAI DE PAIEMENT</t>
  </si>
  <si>
    <t>MODE DE PAIEMENT</t>
  </si>
  <si>
    <t>30 JFM</t>
  </si>
  <si>
    <t>CHEQUE</t>
  </si>
  <si>
    <t>DATE DU JOUR</t>
  </si>
  <si>
    <t>Mois:</t>
  </si>
  <si>
    <t>Nb de Fact.:</t>
  </si>
  <si>
    <t>Mtnt Fact.:</t>
  </si>
  <si>
    <t>Mtnt TVA 18%:</t>
  </si>
  <si>
    <t>% Avance:</t>
  </si>
  <si>
    <t>% Retard:</t>
  </si>
  <si>
    <t>Nb Total:</t>
  </si>
  <si>
    <t>Mtnt Total:</t>
  </si>
  <si>
    <t>SITUATION
MENSUELLE</t>
  </si>
  <si>
    <t>SITUATION
GENERALE</t>
  </si>
  <si>
    <t>Nb Fact.:</t>
  </si>
  <si>
    <t>Mtnt TVA 18%.:</t>
  </si>
  <si>
    <t>60 JFM</t>
  </si>
  <si>
    <t>CC</t>
  </si>
  <si>
    <t>0100758 E</t>
  </si>
  <si>
    <t>1608935 E</t>
  </si>
  <si>
    <t>0804217 E</t>
  </si>
  <si>
    <t>8202954 R</t>
  </si>
  <si>
    <t>1607969 P</t>
  </si>
  <si>
    <t>6909745 J</t>
  </si>
  <si>
    <t>9206962 N</t>
  </si>
  <si>
    <t>1735064 W</t>
  </si>
  <si>
    <t>0185620 H</t>
  </si>
  <si>
    <t>1542841 V</t>
  </si>
  <si>
    <t>RS</t>
  </si>
  <si>
    <t>Nom</t>
  </si>
  <si>
    <t>N°CC</t>
  </si>
  <si>
    <t>DP</t>
  </si>
  <si>
    <t>DMD CI SARL</t>
  </si>
  <si>
    <t xml:space="preserve">SIMC </t>
  </si>
  <si>
    <t>21145</t>
  </si>
  <si>
    <t>FVE0254198</t>
  </si>
  <si>
    <t>Mtnt Fact.TTC:</t>
  </si>
  <si>
    <t>Mtnt Fact. TTC:</t>
  </si>
  <si>
    <t>Mtnt Total TTC:</t>
  </si>
  <si>
    <t>Valeur du chèque</t>
  </si>
  <si>
    <t>Date de règlement</t>
  </si>
  <si>
    <t>FACTURES REGLEES</t>
  </si>
  <si>
    <t>FV05836</t>
  </si>
  <si>
    <t>FV05862</t>
  </si>
  <si>
    <t>FV05869</t>
  </si>
  <si>
    <t>FV05970</t>
  </si>
  <si>
    <t>A régler</t>
  </si>
  <si>
    <t>Reglmt  Neuce, BACI N°999999</t>
  </si>
  <si>
    <t>Reglmt  Setr, BACI N°888888</t>
  </si>
  <si>
    <t>7800178 J</t>
  </si>
  <si>
    <t>9711961 E</t>
  </si>
  <si>
    <t>2024434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</si>
</sst>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* #,##0\ &quot;CFA&quot;_-;\-* #,##0\ &quot;CFA&quot;_-;_-* &quot;-&quot;\ &quot;CFA&quot;_-;_-@_-"/>
    <numFmt numFmtId="41" formatCode="_-* #,##0_-;\-* #,##0_-;_-* &quot;-&quot;_-;_-@_-"/>
    <numFmt numFmtId="164" formatCode="&quot;Abidjan, le &quot;dddd\ dd\ mmmm\ yyyy\ &quot;il est &quot;"/>
    <numFmt numFmtId="165" formatCode="[$-F400]h:mm:ss\ AM/PM"/>
    <numFmt numFmtId="166" formatCode="_-* #,##0\ [$CFA-300C]_-;\-* #,##0\ [$CFA-300C]_-;_-* &quot;-&quot;??\ [$CFA-300C]_-;_-@_-"/>
    <numFmt numFmtId="167" formatCode="mmmm"/>
    <numFmt numFmtId="168" formatCode="_-* #,##0.00\ [$CFA-300C]_-;\-* #,##0.00\ [$CFA-300C]_-;_-* &quot;-&quot;??\ [$CFA-300C]_-;_-@_-"/>
    <numFmt numFmtId="169" formatCode="###\ ###\ \F\ \C\F\A"/>
    <numFmt numFmtId="170" formatCode="#,##0\ &quot;CFA&quot;"/>
    <numFmt numFmtId="171" formatCode="[$-F800]dddd\,\ mmmm\ dd\,\ 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68"/>
      <color rgb="FF808000"/>
      <name val="Arial Black"/>
      <family val="2"/>
    </font>
    <font>
      <b/>
      <sz val="22"/>
      <color rgb="FF808000"/>
      <name val="Arial Black"/>
      <family val="2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1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1"/>
      <name val="Arial Black"/>
      <family val="2"/>
    </font>
    <font>
      <b/>
      <sz val="12"/>
      <color theme="0"/>
      <name val="Arial Black"/>
      <family val="2"/>
    </font>
    <font>
      <b/>
      <sz val="12"/>
      <color rgb="FF002060"/>
      <name val="Arial Black"/>
      <family val="2"/>
    </font>
    <font>
      <b/>
      <sz val="11"/>
      <color rgb="FF00206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C00000"/>
      <name val="Arial"/>
      <family val="2"/>
    </font>
    <font>
      <b/>
      <sz val="11"/>
      <color theme="0" tint="-0.499984740745262"/>
      <name val="Arial"/>
      <family val="2"/>
    </font>
    <font>
      <b/>
      <sz val="11"/>
      <color theme="1"/>
      <name val="Arial"/>
      <family val="2"/>
    </font>
    <font>
      <b/>
      <sz val="20"/>
      <color rgb="FF808000"/>
      <name val="Arial Black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rgb="FF808000"/>
      <name val="Arial Black"/>
      <family val="2"/>
    </font>
    <font>
      <b/>
      <sz val="68"/>
      <color rgb="FF7030A0"/>
      <name val="Arial Black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-0.499984740745262"/>
        <bgColor theme="4" tint="0.59999389629810485"/>
      </patternFill>
    </fill>
    <fill>
      <patternFill patternType="solid">
        <fgColor theme="9" tint="-0.499984740745262"/>
        <bgColor theme="4" tint="0.79998168889431442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67">
    <xf numFmtId="0" fontId="0" fillId="0" borderId="0" xfId="0"/>
    <xf numFmtId="0" fontId="2" fillId="0" borderId="0" xfId="0" applyFont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left"/>
    </xf>
    <xf numFmtId="14" fontId="2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right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168" fontId="2" fillId="0" borderId="0" xfId="0" applyNumberFormat="1" applyFont="1" applyAlignment="1">
      <alignment horizontal="right" vertical="center"/>
    </xf>
    <xf numFmtId="168" fontId="0" fillId="0" borderId="0" xfId="0" applyNumberFormat="1"/>
    <xf numFmtId="168" fontId="2" fillId="0" borderId="0" xfId="0" applyNumberFormat="1" applyFont="1" applyAlignment="1">
      <alignment horizontal="center" vertical="center"/>
    </xf>
    <xf numFmtId="14" fontId="0" fillId="0" borderId="0" xfId="0" applyNumberFormat="1"/>
    <xf numFmtId="169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1" fontId="0" fillId="0" borderId="0" xfId="0" applyNumberFormat="1"/>
    <xf numFmtId="42" fontId="0" fillId="0" borderId="0" xfId="3" applyNumberFormat="1" applyFont="1" applyAlignment="1">
      <alignment horizontal="center"/>
    </xf>
    <xf numFmtId="42" fontId="5" fillId="0" borderId="0" xfId="3" applyNumberFormat="1" applyFont="1" applyAlignment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7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9" fillId="0" borderId="0" xfId="4" applyNumberFormat="1"/>
    <xf numFmtId="0" fontId="0" fillId="3" borderId="0" xfId="0" applyFill="1"/>
    <xf numFmtId="0" fontId="2" fillId="0" borderId="0" xfId="0" applyFont="1" applyAlignment="1">
      <alignment horizontal="center"/>
    </xf>
    <xf numFmtId="171" fontId="0" fillId="0" borderId="0" xfId="0" applyNumberFormat="1" applyAlignment="1"/>
    <xf numFmtId="168" fontId="6" fillId="0" borderId="0" xfId="0" applyNumberFormat="1" applyFont="1" applyFill="1" applyBorder="1" applyAlignment="1">
      <alignment horizontal="right"/>
    </xf>
    <xf numFmtId="166" fontId="0" fillId="0" borderId="0" xfId="0" applyNumberFormat="1" applyFill="1" applyBorder="1"/>
    <xf numFmtId="0" fontId="16" fillId="0" borderId="0" xfId="0" applyFont="1" applyAlignment="1">
      <alignment horizontal="right" vertical="center" wrapText="1"/>
    </xf>
    <xf numFmtId="14" fontId="20" fillId="0" borderId="0" xfId="0" applyNumberFormat="1" applyFont="1" applyAlignment="1">
      <alignment horizontal="center"/>
    </xf>
    <xf numFmtId="168" fontId="19" fillId="0" borderId="0" xfId="0" applyNumberFormat="1" applyFont="1" applyFill="1" applyBorder="1" applyAlignment="1">
      <alignment horizontal="right"/>
    </xf>
    <xf numFmtId="14" fontId="19" fillId="0" borderId="0" xfId="0" applyNumberFormat="1" applyFont="1" applyFill="1" applyBorder="1" applyAlignment="1">
      <alignment horizontal="right"/>
    </xf>
    <xf numFmtId="14" fontId="21" fillId="4" borderId="0" xfId="0" applyNumberFormat="1" applyFont="1" applyFill="1" applyBorder="1" applyAlignment="1">
      <alignment horizontal="right"/>
    </xf>
    <xf numFmtId="1" fontId="15" fillId="2" borderId="0" xfId="0" applyNumberFormat="1" applyFont="1" applyFill="1" applyBorder="1" applyAlignment="1">
      <alignment horizontal="right"/>
    </xf>
    <xf numFmtId="1" fontId="14" fillId="2" borderId="0" xfId="1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right" vertical="center"/>
    </xf>
    <xf numFmtId="166" fontId="14" fillId="2" borderId="0" xfId="0" applyNumberFormat="1" applyFont="1" applyFill="1" applyBorder="1" applyAlignment="1">
      <alignment vertical="center"/>
    </xf>
    <xf numFmtId="1" fontId="21" fillId="7" borderId="0" xfId="0" applyNumberFormat="1" applyFont="1" applyFill="1" applyBorder="1" applyAlignment="1">
      <alignment horizontal="right"/>
    </xf>
    <xf numFmtId="14" fontId="24" fillId="0" borderId="0" xfId="0" applyNumberFormat="1" applyFont="1" applyFill="1" applyBorder="1" applyAlignment="1">
      <alignment horizontal="right"/>
    </xf>
    <xf numFmtId="1" fontId="21" fillId="6" borderId="2" xfId="0" applyNumberFormat="1" applyFont="1" applyFill="1" applyBorder="1" applyAlignment="1">
      <alignment horizontal="right"/>
    </xf>
    <xf numFmtId="0" fontId="21" fillId="6" borderId="3" xfId="0" applyNumberFormat="1" applyFont="1" applyFill="1" applyBorder="1" applyAlignment="1">
      <alignment horizontal="left" vertical="center"/>
    </xf>
    <xf numFmtId="1" fontId="23" fillId="0" borderId="0" xfId="0" applyNumberFormat="1" applyFont="1" applyBorder="1" applyAlignment="1">
      <alignment horizontal="right"/>
    </xf>
    <xf numFmtId="170" fontId="23" fillId="0" borderId="5" xfId="0" applyNumberFormat="1" applyFont="1" applyFill="1" applyBorder="1" applyAlignment="1">
      <alignment horizontal="right"/>
    </xf>
    <xf numFmtId="1" fontId="21" fillId="6" borderId="0" xfId="0" applyNumberFormat="1" applyFont="1" applyFill="1" applyBorder="1" applyAlignment="1">
      <alignment horizontal="right"/>
    </xf>
    <xf numFmtId="170" fontId="21" fillId="6" borderId="5" xfId="0" applyNumberFormat="1" applyFont="1" applyFill="1" applyBorder="1"/>
    <xf numFmtId="1" fontId="23" fillId="0" borderId="7" xfId="0" applyNumberFormat="1" applyFont="1" applyFill="1" applyBorder="1" applyAlignment="1">
      <alignment horizontal="right"/>
    </xf>
    <xf numFmtId="9" fontId="23" fillId="0" borderId="8" xfId="2" applyFont="1" applyFill="1" applyBorder="1"/>
    <xf numFmtId="14" fontId="19" fillId="5" borderId="2" xfId="0" applyNumberFormat="1" applyFont="1" applyFill="1" applyBorder="1" applyAlignment="1">
      <alignment horizontal="right"/>
    </xf>
    <xf numFmtId="0" fontId="19" fillId="5" borderId="3" xfId="0" applyFont="1" applyFill="1" applyBorder="1" applyAlignment="1">
      <alignment horizontal="center" vertical="center"/>
    </xf>
    <xf numFmtId="14" fontId="19" fillId="0" borderId="0" xfId="0" applyNumberFormat="1" applyFont="1" applyBorder="1" applyAlignment="1">
      <alignment horizontal="right"/>
    </xf>
    <xf numFmtId="170" fontId="19" fillId="0" borderId="5" xfId="0" applyNumberFormat="1" applyFont="1" applyFill="1" applyBorder="1" applyAlignment="1">
      <alignment horizontal="right"/>
    </xf>
    <xf numFmtId="14" fontId="19" fillId="5" borderId="0" xfId="0" applyNumberFormat="1" applyFont="1" applyFill="1" applyBorder="1" applyAlignment="1">
      <alignment horizontal="right"/>
    </xf>
    <xf numFmtId="14" fontId="21" fillId="4" borderId="2" xfId="0" applyNumberFormat="1" applyFont="1" applyFill="1" applyBorder="1" applyAlignment="1">
      <alignment horizontal="right"/>
    </xf>
    <xf numFmtId="1" fontId="19" fillId="0" borderId="5" xfId="0" applyNumberFormat="1" applyFont="1" applyFill="1" applyBorder="1" applyAlignment="1">
      <alignment horizontal="center"/>
    </xf>
    <xf numFmtId="166" fontId="21" fillId="4" borderId="5" xfId="0" applyNumberFormat="1" applyFont="1" applyFill="1" applyBorder="1"/>
    <xf numFmtId="14" fontId="21" fillId="4" borderId="7" xfId="0" applyNumberFormat="1" applyFont="1" applyFill="1" applyBorder="1" applyAlignment="1">
      <alignment horizontal="right"/>
    </xf>
    <xf numFmtId="9" fontId="21" fillId="4" borderId="8" xfId="0" applyNumberFormat="1" applyFont="1" applyFill="1" applyBorder="1"/>
    <xf numFmtId="1" fontId="21" fillId="7" borderId="2" xfId="0" applyNumberFormat="1" applyFont="1" applyFill="1" applyBorder="1" applyAlignment="1">
      <alignment horizontal="right"/>
    </xf>
    <xf numFmtId="1" fontId="22" fillId="0" borderId="5" xfId="0" applyNumberFormat="1" applyFont="1" applyFill="1" applyBorder="1"/>
    <xf numFmtId="166" fontId="21" fillId="7" borderId="5" xfId="0" applyNumberFormat="1" applyFont="1" applyFill="1" applyBorder="1"/>
    <xf numFmtId="170" fontId="24" fillId="0" borderId="5" xfId="0" applyNumberFormat="1" applyFont="1" applyFill="1" applyBorder="1"/>
    <xf numFmtId="14" fontId="21" fillId="7" borderId="7" xfId="0" applyNumberFormat="1" applyFont="1" applyFill="1" applyBorder="1" applyAlignment="1">
      <alignment horizontal="right"/>
    </xf>
    <xf numFmtId="9" fontId="21" fillId="7" borderId="8" xfId="0" applyNumberFormat="1" applyFont="1" applyFill="1" applyBorder="1"/>
    <xf numFmtId="164" fontId="0" fillId="0" borderId="0" xfId="0" applyNumberFormat="1" applyAlignment="1">
      <alignment horizontal="right"/>
    </xf>
    <xf numFmtId="42" fontId="19" fillId="5" borderId="5" xfId="3" applyFont="1" applyFill="1" applyBorder="1" applyAlignment="1">
      <alignment horizontal="right"/>
    </xf>
    <xf numFmtId="167" fontId="21" fillId="4" borderId="3" xfId="0" applyNumberFormat="1" applyFont="1" applyFill="1" applyBorder="1" applyAlignment="1">
      <alignment horizontal="center"/>
    </xf>
    <xf numFmtId="167" fontId="21" fillId="7" borderId="3" xfId="0" applyNumberFormat="1" applyFont="1" applyFill="1" applyBorder="1" applyAlignment="1">
      <alignment horizontal="center"/>
    </xf>
    <xf numFmtId="42" fontId="19" fillId="0" borderId="5" xfId="3" applyFont="1" applyFill="1" applyBorder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70" fontId="8" fillId="0" borderId="0" xfId="0" applyNumberFormat="1" applyFont="1" applyFill="1" applyBorder="1" applyAlignment="1">
      <alignment horizontal="right"/>
    </xf>
    <xf numFmtId="41" fontId="8" fillId="0" borderId="0" xfId="0" applyNumberFormat="1" applyFont="1" applyFill="1" applyAlignment="1">
      <alignment horizontal="left" vertical="center"/>
    </xf>
    <xf numFmtId="1" fontId="22" fillId="0" borderId="5" xfId="0" applyNumberFormat="1" applyFont="1" applyFill="1" applyBorder="1" applyAlignment="1">
      <alignment horizontal="center"/>
    </xf>
    <xf numFmtId="0" fontId="21" fillId="6" borderId="3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41" fontId="8" fillId="0" borderId="0" xfId="0" applyNumberFormat="1" applyFont="1" applyFill="1" applyBorder="1" applyAlignment="1">
      <alignment horizontal="left" vertical="center"/>
    </xf>
    <xf numFmtId="14" fontId="19" fillId="0" borderId="7" xfId="0" applyNumberFormat="1" applyFont="1" applyFill="1" applyBorder="1" applyAlignment="1">
      <alignment horizontal="right"/>
    </xf>
    <xf numFmtId="9" fontId="19" fillId="0" borderId="8" xfId="2" applyFont="1" applyFill="1" applyBorder="1" applyAlignment="1">
      <alignment horizontal="right"/>
    </xf>
    <xf numFmtId="9" fontId="21" fillId="4" borderId="8" xfId="2" applyFont="1" applyFill="1" applyBorder="1"/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170" fontId="19" fillId="5" borderId="5" xfId="3" applyNumberFormat="1" applyFont="1" applyFill="1" applyBorder="1" applyAlignment="1">
      <alignment horizontal="right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0" fontId="10" fillId="0" borderId="0" xfId="0" applyFont="1" applyAlignment="1">
      <alignment vertical="center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8" borderId="11" xfId="0" applyFont="1" applyFill="1" applyBorder="1" applyAlignment="1">
      <alignment horizontal="center" vertical="center" wrapText="1"/>
    </xf>
    <xf numFmtId="0" fontId="0" fillId="9" borderId="13" xfId="0" applyFont="1" applyFill="1" applyBorder="1"/>
    <xf numFmtId="0" fontId="0" fillId="9" borderId="10" xfId="0" applyNumberFormat="1" applyFont="1" applyFill="1" applyBorder="1" applyAlignment="1">
      <alignment horizontal="left"/>
    </xf>
    <xf numFmtId="14" fontId="0" fillId="9" borderId="10" xfId="0" applyNumberFormat="1" applyFont="1" applyFill="1" applyBorder="1" applyAlignment="1">
      <alignment horizontal="right"/>
    </xf>
    <xf numFmtId="166" fontId="0" fillId="9" borderId="10" xfId="0" applyNumberFormat="1" applyFont="1" applyFill="1" applyBorder="1"/>
    <xf numFmtId="14" fontId="0" fillId="9" borderId="10" xfId="0" applyNumberFormat="1" applyFont="1" applyFill="1" applyBorder="1" applyAlignment="1">
      <alignment horizontal="center"/>
    </xf>
    <xf numFmtId="0" fontId="0" fillId="10" borderId="13" xfId="0" applyFont="1" applyFill="1" applyBorder="1"/>
    <xf numFmtId="0" fontId="0" fillId="10" borderId="10" xfId="0" applyNumberFormat="1" applyFont="1" applyFill="1" applyBorder="1" applyAlignment="1">
      <alignment horizontal="left"/>
    </xf>
    <xf numFmtId="14" fontId="0" fillId="10" borderId="10" xfId="0" applyNumberFormat="1" applyFont="1" applyFill="1" applyBorder="1" applyAlignment="1">
      <alignment horizontal="right"/>
    </xf>
    <xf numFmtId="166" fontId="0" fillId="10" borderId="10" xfId="0" applyNumberFormat="1" applyFont="1" applyFill="1" applyBorder="1"/>
    <xf numFmtId="14" fontId="0" fillId="10" borderId="10" xfId="0" applyNumberFormat="1" applyFont="1" applyFill="1" applyBorder="1" applyAlignment="1">
      <alignment horizontal="center"/>
    </xf>
    <xf numFmtId="14" fontId="26" fillId="8" borderId="11" xfId="0" applyNumberFormat="1" applyFont="1" applyFill="1" applyBorder="1" applyAlignment="1">
      <alignment horizontal="center" vertical="center" wrapText="1"/>
    </xf>
    <xf numFmtId="170" fontId="0" fillId="9" borderId="10" xfId="0" applyNumberFormat="1" applyFont="1" applyFill="1" applyBorder="1" applyAlignment="1">
      <alignment horizontal="right"/>
    </xf>
    <xf numFmtId="170" fontId="0" fillId="10" borderId="10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70" fontId="27" fillId="11" borderId="12" xfId="0" applyNumberFormat="1" applyFont="1" applyFill="1" applyBorder="1" applyAlignment="1">
      <alignment horizontal="right" vertical="center" wrapText="1"/>
    </xf>
    <xf numFmtId="14" fontId="27" fillId="11" borderId="12" xfId="0" applyNumberFormat="1" applyFont="1" applyFill="1" applyBorder="1" applyAlignment="1">
      <alignment horizontal="center" vertical="center" wrapText="1"/>
    </xf>
    <xf numFmtId="170" fontId="27" fillId="12" borderId="10" xfId="0" applyNumberFormat="1" applyFont="1" applyFill="1" applyBorder="1" applyAlignment="1">
      <alignment horizontal="right"/>
    </xf>
    <xf numFmtId="14" fontId="27" fillId="12" borderId="10" xfId="0" applyNumberFormat="1" applyFont="1" applyFill="1" applyBorder="1" applyAlignment="1">
      <alignment horizontal="center"/>
    </xf>
    <xf numFmtId="0" fontId="27" fillId="13" borderId="0" xfId="0" applyFont="1" applyFill="1"/>
    <xf numFmtId="0" fontId="27" fillId="13" borderId="0" xfId="0" applyFont="1" applyFill="1" applyAlignment="1">
      <alignment horizontal="right"/>
    </xf>
    <xf numFmtId="14" fontId="27" fillId="13" borderId="0" xfId="0" applyNumberFormat="1" applyFont="1" applyFill="1" applyAlignment="1">
      <alignment horizontal="center"/>
    </xf>
    <xf numFmtId="170" fontId="0" fillId="0" borderId="0" xfId="0" applyNumberFormat="1"/>
    <xf numFmtId="0" fontId="2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11" borderId="14" xfId="0" applyFont="1" applyFill="1" applyBorder="1" applyAlignment="1">
      <alignment horizontal="right" vertical="center" wrapText="1"/>
    </xf>
    <xf numFmtId="0" fontId="27" fillId="11" borderId="15" xfId="0" applyFont="1" applyFill="1" applyBorder="1" applyAlignment="1">
      <alignment horizontal="right" vertical="center" wrapText="1"/>
    </xf>
    <xf numFmtId="0" fontId="27" fillId="12" borderId="16" xfId="0" applyFont="1" applyFill="1" applyBorder="1" applyAlignment="1">
      <alignment horizontal="right"/>
    </xf>
    <xf numFmtId="0" fontId="27" fillId="12" borderId="9" xfId="0" applyFont="1" applyFill="1" applyBorder="1" applyAlignment="1">
      <alignment horizontal="right"/>
    </xf>
    <xf numFmtId="14" fontId="12" fillId="0" borderId="0" xfId="0" applyNumberFormat="1" applyFont="1" applyAlignment="1">
      <alignment horizontal="center"/>
    </xf>
    <xf numFmtId="0" fontId="13" fillId="2" borderId="0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8" fontId="12" fillId="0" borderId="0" xfId="0" applyNumberFormat="1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/>
    </xf>
    <xf numFmtId="0" fontId="11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 wrapText="1"/>
    </xf>
    <xf numFmtId="14" fontId="11" fillId="0" borderId="0" xfId="0" applyNumberFormat="1" applyFont="1" applyAlignment="1">
      <alignment horizontal="center" wrapText="1"/>
    </xf>
    <xf numFmtId="0" fontId="25" fillId="0" borderId="0" xfId="0" applyNumberFormat="1" applyFont="1" applyAlignment="1">
      <alignment horizontal="center" vertical="center" wrapText="1"/>
    </xf>
  </cellXfs>
  <cellStyles count="5">
    <cellStyle name="Lien hypertexte" xfId="4" builtinId="8"/>
    <cellStyle name="Milliers [0]" xfId="1" builtinId="6"/>
    <cellStyle name="Monétaire [0]" xfId="3" builtinId="7"/>
    <cellStyle name="Normal" xfId="0" builtinId="0"/>
    <cellStyle name="Pourcentage" xfId="2" builtinId="5"/>
  </cellStyles>
  <dxfs count="161"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002060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theme="2" tint="-9.9948118533890809E-2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6" formatCode="_-* #,##0\ [$CFA-300C]_-;\-* #,##0\ [$CFA-300C]_-;_-* &quot;-&quot;??\ [$CFA-300C]_-;_-@_-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2" tint="-9.9948118533890809E-2"/>
        </patternFill>
      </fill>
    </dxf>
    <dxf>
      <font>
        <color rgb="FF00206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right" textRotation="0" wrapText="0" indent="0" justifyLastLine="0" shrinkToFit="0" readingOrder="0"/>
    </dxf>
    <dxf>
      <numFmt numFmtId="19" formatCode="dd/mm/yyyy"/>
    </dxf>
    <dxf>
      <numFmt numFmtId="166" formatCode="_-* #,##0\ [$CFA-300C]_-;\-* #,##0\ [$CFA-300C]_-;_-* &quot;-&quot;??\ [$CFA-300C]_-;_-@_-"/>
    </dxf>
    <dxf>
      <numFmt numFmtId="169" formatCode="###\ ###\ \F\ \C\F\A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2060"/>
      </font>
      <fill>
        <patternFill>
          <bgColor theme="9" tint="0.5999633777886288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70" formatCode="#,##0\ &quot;CFA&quot;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85725</xdr:rowOff>
    </xdr:from>
    <xdr:to>
      <xdr:col>7</xdr:col>
      <xdr:colOff>1219200</xdr:colOff>
      <xdr:row>8</xdr:row>
      <xdr:rowOff>41475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1C9237D9-13BC-4492-B146-1DA6307767C9}"/>
            </a:ext>
          </a:extLst>
        </xdr:cNvPr>
        <xdr:cNvGrpSpPr/>
      </xdr:nvGrpSpPr>
      <xdr:grpSpPr>
        <a:xfrm>
          <a:off x="9496425" y="466725"/>
          <a:ext cx="1200150" cy="1098750"/>
          <a:chOff x="9496425" y="466725"/>
          <a:chExt cx="1200150" cy="1098750"/>
        </a:xfrm>
      </xdr:grpSpPr>
      <xdr:pic macro="[0]!Ouverture_Formlaire_Efrgl">
        <xdr:nvPicPr>
          <xdr:cNvPr id="4" name="Image 3">
            <a:extLst>
              <a:ext uri="{FF2B5EF4-FFF2-40B4-BE49-F238E27FC236}">
                <a16:creationId xmlns:a16="http://schemas.microsoft.com/office/drawing/2014/main" id="{D3A2D6BE-6252-461E-B0FB-7EAC746909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36500" y="466725"/>
            <a:ext cx="720000" cy="720000"/>
          </a:xfrm>
          <a:prstGeom prst="rect">
            <a:avLst/>
          </a:prstGeom>
        </xdr:spPr>
      </xdr:pic>
      <xdr:sp macro="[0]!Ouverture_Formlaire_Efrgl" textlink="">
        <xdr:nvSpPr>
          <xdr:cNvPr id="5" name="ZoneTexte 4">
            <a:extLst>
              <a:ext uri="{FF2B5EF4-FFF2-40B4-BE49-F238E27FC236}">
                <a16:creationId xmlns:a16="http://schemas.microsoft.com/office/drawing/2014/main" id="{37C61E34-1DAA-4269-A0CD-1BC1C8DA6989}"/>
              </a:ext>
            </a:extLst>
          </xdr:cNvPr>
          <xdr:cNvSpPr txBox="1"/>
        </xdr:nvSpPr>
        <xdr:spPr>
          <a:xfrm>
            <a:off x="9496425" y="1133475"/>
            <a:ext cx="120015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Effectuer un règlement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39B7644-FACC-4A76-8B90-1142AE18AFAA}"/>
            </a:ext>
          </a:extLst>
        </xdr:cNvPr>
        <xdr:cNvSpPr/>
      </xdr:nvSpPr>
      <xdr:spPr>
        <a:xfrm>
          <a:off x="19050" y="1112308"/>
          <a:ext cx="3251200" cy="496359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CF90C48-84EF-44E3-BA37-00BB6905D521}"/>
            </a:ext>
          </a:extLst>
        </xdr:cNvPr>
        <xdr:cNvSpPr/>
      </xdr:nvSpPr>
      <xdr:spPr>
        <a:xfrm>
          <a:off x="4476750" y="1148292"/>
          <a:ext cx="3767667" cy="496359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11751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C68859D-BAE6-4F00-9DB8-D91C999B6C48}"/>
            </a:ext>
          </a:extLst>
        </xdr:cNvPr>
        <xdr:cNvGrpSpPr/>
      </xdr:nvGrpSpPr>
      <xdr:grpSpPr>
        <a:xfrm>
          <a:off x="8286750" y="1809750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A879596B-B35D-49E4-8C02-2E314A55526E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EC9855D2-A3AD-4562-AB42-2B08B70D35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78318</xdr:rowOff>
    </xdr:from>
    <xdr:to>
      <xdr:col>7</xdr:col>
      <xdr:colOff>1152000</xdr:colOff>
      <xdr:row>16</xdr:row>
      <xdr:rowOff>118733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D20525C0-723F-4DCD-B8BB-61324C14A5E2}"/>
            </a:ext>
          </a:extLst>
        </xdr:cNvPr>
        <xdr:cNvGrpSpPr/>
      </xdr:nvGrpSpPr>
      <xdr:grpSpPr>
        <a:xfrm>
          <a:off x="8466750" y="2914651"/>
          <a:ext cx="972000" cy="1003499"/>
          <a:chOff x="8867775" y="2895601"/>
          <a:chExt cx="972000" cy="1003499"/>
        </a:xfrm>
      </xdr:grpSpPr>
      <xdr:pic macro="[0]!ouverture_formulaire">
        <xdr:nvPicPr>
          <xdr:cNvPr id="12" name="Image 11">
            <a:extLst>
              <a:ext uri="{FF2B5EF4-FFF2-40B4-BE49-F238E27FC236}">
                <a16:creationId xmlns:a16="http://schemas.microsoft.com/office/drawing/2014/main" id="{AB1E0B3A-2ED9-43E1-88B5-9249A8BB72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" textlink="">
        <xdr:nvSpPr>
          <xdr:cNvPr id="13" name="ZoneTexte 12">
            <a:extLst>
              <a:ext uri="{FF2B5EF4-FFF2-40B4-BE49-F238E27FC236}">
                <a16:creationId xmlns:a16="http://schemas.microsoft.com/office/drawing/2014/main" id="{4E5177AD-07A1-47F2-AA0D-377DA238AA3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0BC903E-DEFA-4950-BC41-5BBA4DC6A6DA}"/>
            </a:ext>
          </a:extLst>
        </xdr:cNvPr>
        <xdr:cNvSpPr/>
      </xdr:nvSpPr>
      <xdr:spPr>
        <a:xfrm>
          <a:off x="19050" y="1101725"/>
          <a:ext cx="3373967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FA32513-C66F-494C-9158-26997416DF77}"/>
            </a:ext>
          </a:extLst>
        </xdr:cNvPr>
        <xdr:cNvSpPr/>
      </xdr:nvSpPr>
      <xdr:spPr>
        <a:xfrm>
          <a:off x="4472517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1721BAD-9250-48C2-AC39-2A603DC12CA1}"/>
            </a:ext>
          </a:extLst>
        </xdr:cNvPr>
        <xdr:cNvGrpSpPr/>
      </xdr:nvGrpSpPr>
      <xdr:grpSpPr>
        <a:xfrm>
          <a:off x="837247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91D44394-B3FD-49F4-8FF7-E534C9750E53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90DBFACA-F911-4C58-9A25-65F0973E23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D366B20D-9F8F-4284-A108-A14566C26D74}"/>
            </a:ext>
          </a:extLst>
        </xdr:cNvPr>
        <xdr:cNvGrpSpPr/>
      </xdr:nvGrpSpPr>
      <xdr:grpSpPr>
        <a:xfrm>
          <a:off x="8552475" y="2905126"/>
          <a:ext cx="972000" cy="100349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D58DA6C0-8172-4568-9380-6D259C153F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26F39AC3-EDF8-47F0-88F6-C8247D6F87A9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6B3D4CD-2B43-4A68-9AB9-138848B6DBB3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C2E4B80-52BA-40E9-9B34-43EA6F2EE7F3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6D67C669-4B58-4ABE-AF90-3A3E1DBE36A9}"/>
            </a:ext>
          </a:extLst>
        </xdr:cNvPr>
        <xdr:cNvGrpSpPr/>
      </xdr:nvGrpSpPr>
      <xdr:grpSpPr>
        <a:xfrm>
          <a:off x="839152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4C0FE1F1-24B9-4E62-85D8-442D4DBADCFB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01EAEC30-95FC-4E4B-BD16-6B2C8082D8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891C3C32-7A64-413B-9FF7-B98542170214}"/>
            </a:ext>
          </a:extLst>
        </xdr:cNvPr>
        <xdr:cNvGrpSpPr/>
      </xdr:nvGrpSpPr>
      <xdr:grpSpPr>
        <a:xfrm>
          <a:off x="8571525" y="2905126"/>
          <a:ext cx="972000" cy="100349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02F9D1E0-DC18-42A1-B96F-7595BE2001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BFB6BCA-76C6-48E1-A1D9-E7156B4E58D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91D295-48A0-4AA4-A73A-868E82F5CC8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2379852-4997-4EBD-98B8-B18D85699BAC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901103AE-7C7A-4E0A-A0E1-1DC2EE09E9C5}"/>
            </a:ext>
          </a:extLst>
        </xdr:cNvPr>
        <xdr:cNvGrpSpPr/>
      </xdr:nvGrpSpPr>
      <xdr:grpSpPr>
        <a:xfrm>
          <a:off x="8420100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042F43B-3B6B-4380-A269-E661CC3DD97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904A9FE0-5D27-4E91-A060-953B12472D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5E76AE90-7854-482B-BB9C-5A75EBA114DC}"/>
            </a:ext>
          </a:extLst>
        </xdr:cNvPr>
        <xdr:cNvGrpSpPr/>
      </xdr:nvGrpSpPr>
      <xdr:grpSpPr>
        <a:xfrm>
          <a:off x="8600100" y="2905126"/>
          <a:ext cx="972000" cy="100349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B7E84FC5-9844-40CC-8436-FA37DA37C1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BE4D8E13-12E4-4004-A0A4-FC0A26E4A82C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E517DA1-66A2-4077-AC3B-C18701FF3CE3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4BA7F5E-D537-4280-B5E0-7DEBAA845BC7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A94D3C4-375A-4F6B-807C-110DDD7D27A4}"/>
            </a:ext>
          </a:extLst>
        </xdr:cNvPr>
        <xdr:cNvGrpSpPr/>
      </xdr:nvGrpSpPr>
      <xdr:grpSpPr>
        <a:xfrm>
          <a:off x="8410575" y="180022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B17670F-DDAA-4D57-9AF0-C7C7FB938D29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33D03B64-1D90-4EFD-95B2-8DD05DC359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22557D0-DB07-4F40-8FB4-A5A5605A0DD3}"/>
            </a:ext>
          </a:extLst>
        </xdr:cNvPr>
        <xdr:cNvGrpSpPr/>
      </xdr:nvGrpSpPr>
      <xdr:grpSpPr>
        <a:xfrm>
          <a:off x="8590575" y="2905126"/>
          <a:ext cx="972000" cy="100349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DAC56B4B-37B1-47F2-A9E1-C446EB79DF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3B4802E7-CBE9-4B74-9C03-C1AA28064695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76DB87D-5A67-4965-AEB1-8B3993D82534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A820346-8D68-4F1B-AE50-A356A6A6E72B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65175</xdr:colOff>
      <xdr:row>10</xdr:row>
      <xdr:rowOff>12809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9E4635B-96AA-4270-8EA8-5F01CEE293C4}"/>
            </a:ext>
          </a:extLst>
        </xdr:cNvPr>
        <xdr:cNvGrpSpPr/>
      </xdr:nvGrpSpPr>
      <xdr:grpSpPr>
        <a:xfrm>
          <a:off x="8477250" y="2124075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8801FADA-4673-4FA0-AB10-20410EB3D37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82C09033-DB85-4C5E-BCE9-6DA38DE054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76201</xdr:rowOff>
    </xdr:from>
    <xdr:to>
      <xdr:col>7</xdr:col>
      <xdr:colOff>1152000</xdr:colOff>
      <xdr:row>16</xdr:row>
      <xdr:rowOff>117675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1B93DBA-3B5C-42A4-8699-2DEF6CCB6FB8}"/>
            </a:ext>
          </a:extLst>
        </xdr:cNvPr>
        <xdr:cNvGrpSpPr/>
      </xdr:nvGrpSpPr>
      <xdr:grpSpPr>
        <a:xfrm>
          <a:off x="8657250" y="3228976"/>
          <a:ext cx="972000" cy="100349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DBA378A0-AD6A-4849-B5B3-88B9193361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50A37946-C005-4074-BA49-89AC854D7E7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B5994F6-3E1D-4A8D-ACC8-EC43E006B7BA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D53FEC5-D9ED-4AF3-9B5E-DF846DF7062D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69937</xdr:colOff>
      <xdr:row>10</xdr:row>
      <xdr:rowOff>10428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9FC814CC-77F3-4F9A-AE0E-5017878366F9}"/>
            </a:ext>
          </a:extLst>
        </xdr:cNvPr>
        <xdr:cNvGrpSpPr/>
      </xdr:nvGrpSpPr>
      <xdr:grpSpPr>
        <a:xfrm>
          <a:off x="8582025" y="2076450"/>
          <a:ext cx="1336762" cy="78195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E7CF4FCE-9976-4BD9-8308-A31964EA73E9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DB9E9B8D-166C-48B4-ACD1-EB0A2A6FF3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69058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8BEE65DC-2C38-4788-819D-B5007AC8B834}"/>
            </a:ext>
          </a:extLst>
        </xdr:cNvPr>
        <xdr:cNvGrpSpPr/>
      </xdr:nvGrpSpPr>
      <xdr:grpSpPr>
        <a:xfrm>
          <a:off x="8762025" y="3174208"/>
          <a:ext cx="972000" cy="1001117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33DCEB5F-5F82-4455-8167-31186B38F1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3D079FC-818E-41BE-843B-3C53EBCA124A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58D07CF-5B4A-429A-BFC8-4A2E26FFF2D5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E3F3FB4-6C35-4B5D-AF28-DDBBFDED4281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6459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64FFD8F-D164-4100-BCB1-D2F51FB164FB}"/>
            </a:ext>
          </a:extLst>
        </xdr:cNvPr>
        <xdr:cNvGrpSpPr/>
      </xdr:nvGrpSpPr>
      <xdr:grpSpPr>
        <a:xfrm>
          <a:off x="8458200" y="1800225"/>
          <a:ext cx="1328825" cy="77798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54E1D82D-02DC-4B64-911E-5D2859799FCF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C8C8CCB2-8238-43FA-9A35-27C5394318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73026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CCEF98F9-A17B-44DB-A0AE-5C47D4FA9DB4}"/>
            </a:ext>
          </a:extLst>
        </xdr:cNvPr>
        <xdr:cNvGrpSpPr/>
      </xdr:nvGrpSpPr>
      <xdr:grpSpPr>
        <a:xfrm>
          <a:off x="8638200" y="2901951"/>
          <a:ext cx="972000" cy="99714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D59A2403-4AD8-4512-B4EC-EFB4A6142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E3435C9A-084C-40CC-B2DA-80986075E51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C56A2EA-8B08-4BF7-9E5B-9185CF11D882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0212955-5482-4CE9-B938-72466663D640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62000</xdr:colOff>
      <xdr:row>10</xdr:row>
      <xdr:rowOff>6459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E15AC8E5-6E74-4A87-80F0-1CE86D3C7CE9}"/>
            </a:ext>
          </a:extLst>
        </xdr:cNvPr>
        <xdr:cNvGrpSpPr/>
      </xdr:nvGrpSpPr>
      <xdr:grpSpPr>
        <a:xfrm>
          <a:off x="8477250" y="1800225"/>
          <a:ext cx="1328825" cy="77798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437B858B-0FB7-43CC-9D78-CE18A72900B6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35F7CA8-000D-4F4B-B885-B77A916C10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73026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F59B5364-45A9-4922-8D52-DAE54BF1E1A1}"/>
            </a:ext>
          </a:extLst>
        </xdr:cNvPr>
        <xdr:cNvGrpSpPr/>
      </xdr:nvGrpSpPr>
      <xdr:grpSpPr>
        <a:xfrm>
          <a:off x="8657250" y="2901951"/>
          <a:ext cx="972000" cy="997149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10CD1FD0-78FB-468D-891F-57C0FA8A85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B9534A1B-2838-4D41-A94C-0FDC13382BA8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45C0C9D-C685-4B63-9E3C-24AB597D4D38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E2F6020-B979-44A8-8322-A4C77024E191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69938</xdr:colOff>
      <xdr:row>10</xdr:row>
      <xdr:rowOff>10428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79FB3519-E328-4A74-AA53-B3F7752B738E}"/>
            </a:ext>
          </a:extLst>
        </xdr:cNvPr>
        <xdr:cNvGrpSpPr/>
      </xdr:nvGrpSpPr>
      <xdr:grpSpPr>
        <a:xfrm>
          <a:off x="8553450" y="1800225"/>
          <a:ext cx="1336763" cy="78195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DEC54F0C-D23F-44AD-A51A-B1CC3AE5793A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B34D263-378E-4FBC-8B8D-CE9A3647B6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69057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BDDFC313-250E-423F-835C-C8BE1D6F77CD}"/>
            </a:ext>
          </a:extLst>
        </xdr:cNvPr>
        <xdr:cNvGrpSpPr/>
      </xdr:nvGrpSpPr>
      <xdr:grpSpPr>
        <a:xfrm>
          <a:off x="8733450" y="2897982"/>
          <a:ext cx="972000" cy="1001118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AD83EED5-AE51-435F-AD2B-74984607F3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22A503FD-A1F3-498E-B310-09D3A0021857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41DC4AB-340D-49E3-89E7-2FD67021D31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981DBB-7DA8-441A-AB4B-CE4D8A67EFEB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66535</xdr:colOff>
      <xdr:row>10</xdr:row>
      <xdr:rowOff>8727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5CE28F3-9BD0-47A3-B56E-3DB5FA2A015C}"/>
            </a:ext>
          </a:extLst>
        </xdr:cNvPr>
        <xdr:cNvGrpSpPr/>
      </xdr:nvGrpSpPr>
      <xdr:grpSpPr>
        <a:xfrm>
          <a:off x="8486775" y="1800225"/>
          <a:ext cx="1333360" cy="780252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2738B09A-9F6E-4742-967F-E2F9B7FE7A4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E3B21B48-8DA7-4B25-9B74-D031EAA3F9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70758</xdr:rowOff>
    </xdr:from>
    <xdr:to>
      <xdr:col>7</xdr:col>
      <xdr:colOff>1152000</xdr:colOff>
      <xdr:row>16</xdr:row>
      <xdr:rowOff>108150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AA3F8300-D3C7-459B-B413-6351B3611FFF}"/>
            </a:ext>
          </a:extLst>
        </xdr:cNvPr>
        <xdr:cNvGrpSpPr/>
      </xdr:nvGrpSpPr>
      <xdr:grpSpPr>
        <a:xfrm>
          <a:off x="8666775" y="2899683"/>
          <a:ext cx="972000" cy="999417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6624FA91-E4E3-4A2A-ABFA-3C7C9C822D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AC577E86-4439-48DF-8032-09429F788A7F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484A0D1-3E9C-46C6-A1E2-9892E96284EC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1861012-1665-4248-9928-3287C627C985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67773</xdr:colOff>
      <xdr:row>10</xdr:row>
      <xdr:rowOff>13675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3E98FDF-524C-439C-9B6A-650A6C4F77D0}"/>
            </a:ext>
          </a:extLst>
        </xdr:cNvPr>
        <xdr:cNvGrpSpPr/>
      </xdr:nvGrpSpPr>
      <xdr:grpSpPr>
        <a:xfrm>
          <a:off x="8442614" y="1809750"/>
          <a:ext cx="1332000" cy="784334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9632E163-EB31-49CC-B751-9F48D5F0DC95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4F2C048C-9693-458F-A85D-F8173AC577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74469</xdr:rowOff>
    </xdr:from>
    <xdr:to>
      <xdr:col>7</xdr:col>
      <xdr:colOff>1152000</xdr:colOff>
      <xdr:row>16</xdr:row>
      <xdr:rowOff>116809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94BCFDD7-EA88-42E9-B48F-B8EE47FF00C6}"/>
            </a:ext>
          </a:extLst>
        </xdr:cNvPr>
        <xdr:cNvGrpSpPr/>
      </xdr:nvGrpSpPr>
      <xdr:grpSpPr>
        <a:xfrm>
          <a:off x="8622614" y="2914651"/>
          <a:ext cx="972000" cy="1003499"/>
          <a:chOff x="8867775" y="2895601"/>
          <a:chExt cx="972000" cy="1003499"/>
        </a:xfrm>
      </xdr:grpSpPr>
      <xdr:pic macro="[0]!ouverture_formulaire">
        <xdr:nvPicPr>
          <xdr:cNvPr id="12" name="Image 11">
            <a:extLst>
              <a:ext uri="{FF2B5EF4-FFF2-40B4-BE49-F238E27FC236}">
                <a16:creationId xmlns:a16="http://schemas.microsoft.com/office/drawing/2014/main" id="{0662E5F0-D055-4187-B8AA-1FD9D6131A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ouverture_formulaire" textlink="">
        <xdr:nvSpPr>
          <xdr:cNvPr id="13" name="ZoneTexte 12">
            <a:extLst>
              <a:ext uri="{FF2B5EF4-FFF2-40B4-BE49-F238E27FC236}">
                <a16:creationId xmlns:a16="http://schemas.microsoft.com/office/drawing/2014/main" id="{D81816B3-4B8E-44A4-BABC-C9B60AC9EB6A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B82FB9B-6019-4342-B588-1E847025F1E1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BE37508-024F-4162-85BF-7BA8370E3062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55650</xdr:colOff>
      <xdr:row>10</xdr:row>
      <xdr:rowOff>3284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7FC6D0E8-279B-4B18-BCD4-4012BBCCAF63}"/>
            </a:ext>
          </a:extLst>
        </xdr:cNvPr>
        <xdr:cNvGrpSpPr/>
      </xdr:nvGrpSpPr>
      <xdr:grpSpPr>
        <a:xfrm>
          <a:off x="8390659" y="2052205"/>
          <a:ext cx="1319877" cy="773943"/>
          <a:chOff x="10182224" y="3714749"/>
          <a:chExt cx="1595111" cy="939264"/>
        </a:xfrm>
      </xdr:grpSpPr>
      <xdr:sp macro="[0]!SaisirFacture" textlink="">
        <xdr:nvSpPr>
          <xdr:cNvPr id="9" name="ZoneTexte 8">
            <a:extLst>
              <a:ext uri="{FF2B5EF4-FFF2-40B4-BE49-F238E27FC236}">
                <a16:creationId xmlns:a16="http://schemas.microsoft.com/office/drawing/2014/main" id="{B79CA7A2-8031-43F5-94BD-7233509B72C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0" name="Image 9">
            <a:extLst>
              <a:ext uri="{FF2B5EF4-FFF2-40B4-BE49-F238E27FC236}">
                <a16:creationId xmlns:a16="http://schemas.microsoft.com/office/drawing/2014/main" id="{DDF611B2-428E-480D-9BBE-EC8C05FD0B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180000</xdr:colOff>
      <xdr:row>11</xdr:row>
      <xdr:rowOff>57151</xdr:rowOff>
    </xdr:from>
    <xdr:to>
      <xdr:col>7</xdr:col>
      <xdr:colOff>1152000</xdr:colOff>
      <xdr:row>16</xdr:row>
      <xdr:rowOff>89100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EA2AD4F5-5225-4D6B-A999-3F277A7B3954}"/>
            </a:ext>
          </a:extLst>
        </xdr:cNvPr>
        <xdr:cNvGrpSpPr/>
      </xdr:nvGrpSpPr>
      <xdr:grpSpPr>
        <a:xfrm>
          <a:off x="8570659" y="3139787"/>
          <a:ext cx="972000" cy="993108"/>
          <a:chOff x="8867775" y="2895601"/>
          <a:chExt cx="972000" cy="1003499"/>
        </a:xfrm>
      </xdr:grpSpPr>
      <xdr:pic macro="[0]!PreparerRegl">
        <xdr:nvPicPr>
          <xdr:cNvPr id="12" name="Image 11">
            <a:extLst>
              <a:ext uri="{FF2B5EF4-FFF2-40B4-BE49-F238E27FC236}">
                <a16:creationId xmlns:a16="http://schemas.microsoft.com/office/drawing/2014/main" id="{18AA820E-950E-46E0-B01C-3A0E0336EC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3" name="ZoneTexte 12">
            <a:extLst>
              <a:ext uri="{FF2B5EF4-FFF2-40B4-BE49-F238E27FC236}">
                <a16:creationId xmlns:a16="http://schemas.microsoft.com/office/drawing/2014/main" id="{6DA19F7C-306D-4FDA-B3B8-BDFFD02015E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244475</xdr:rowOff>
    </xdr:from>
    <xdr:to>
      <xdr:col>3</xdr:col>
      <xdr:colOff>21167</xdr:colOff>
      <xdr:row>5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758415F-7D2D-4120-8765-808B0CFEC11A}"/>
            </a:ext>
          </a:extLst>
        </xdr:cNvPr>
        <xdr:cNvSpPr/>
      </xdr:nvSpPr>
      <xdr:spPr>
        <a:xfrm>
          <a:off x="19050" y="1101725"/>
          <a:ext cx="3459692" cy="498475"/>
        </a:xfrm>
        <a:prstGeom prst="roundRect">
          <a:avLst/>
        </a:prstGeom>
        <a:solidFill>
          <a:schemeClr val="bg1">
            <a:lumMod val="50000"/>
          </a:schemeClr>
        </a:solidFill>
        <a:ln w="5715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ECHUES</a:t>
          </a:r>
        </a:p>
      </xdr:txBody>
    </xdr:sp>
    <xdr:clientData/>
  </xdr:twoCellAnchor>
  <xdr:twoCellAnchor>
    <xdr:from>
      <xdr:col>3</xdr:col>
      <xdr:colOff>1100667</xdr:colOff>
      <xdr:row>3</xdr:row>
      <xdr:rowOff>280459</xdr:rowOff>
    </xdr:from>
    <xdr:to>
      <xdr:col>7</xdr:col>
      <xdr:colOff>42334</xdr:colOff>
      <xdr:row>5</xdr:row>
      <xdr:rowOff>35984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8AEBFCD-FE57-45D2-A9C3-C710E47663F7}"/>
            </a:ext>
          </a:extLst>
        </xdr:cNvPr>
        <xdr:cNvSpPr/>
      </xdr:nvSpPr>
      <xdr:spPr>
        <a:xfrm>
          <a:off x="4558242" y="1137709"/>
          <a:ext cx="3761317" cy="498475"/>
        </a:xfrm>
        <a:prstGeom prst="roundRect">
          <a:avLst/>
        </a:prstGeom>
        <a:solidFill>
          <a:srgbClr val="002060"/>
        </a:solidFill>
        <a:ln w="571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I" sz="2000" b="1">
              <a:latin typeface="Arial Black" panose="020B0A04020102020204" pitchFamily="34" charset="0"/>
            </a:rPr>
            <a:t>FACTURES NON</a:t>
          </a:r>
          <a:r>
            <a:rPr lang="fr-CI" sz="2000" b="1" baseline="0">
              <a:latin typeface="Arial Black" panose="020B0A04020102020204" pitchFamily="34" charset="0"/>
            </a:rPr>
            <a:t> </a:t>
          </a:r>
          <a:r>
            <a:rPr lang="fr-CI" sz="2000" b="1">
              <a:latin typeface="Arial Black" panose="020B0A04020102020204" pitchFamily="34" charset="0"/>
            </a:rPr>
            <a:t>ECHUES</a:t>
          </a:r>
        </a:p>
      </xdr:txBody>
    </xdr:sp>
    <xdr:clientData/>
  </xdr:twoCellAnchor>
  <xdr:twoCellAnchor>
    <xdr:from>
      <xdr:col>7</xdr:col>
      <xdr:colOff>4</xdr:colOff>
      <xdr:row>5</xdr:row>
      <xdr:rowOff>190500</xdr:rowOff>
    </xdr:from>
    <xdr:to>
      <xdr:col>8</xdr:col>
      <xdr:colOff>65179</xdr:colOff>
      <xdr:row>10</xdr:row>
      <xdr:rowOff>3284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306FBF3-F76C-46A8-91A7-3B709352A502}"/>
            </a:ext>
          </a:extLst>
        </xdr:cNvPr>
        <xdr:cNvGrpSpPr/>
      </xdr:nvGrpSpPr>
      <xdr:grpSpPr>
        <a:xfrm>
          <a:off x="8362954" y="1790700"/>
          <a:ext cx="1332000" cy="784334"/>
          <a:chOff x="10182224" y="3714749"/>
          <a:chExt cx="1595111" cy="939264"/>
        </a:xfrm>
      </xdr:grpSpPr>
      <xdr:sp macro="[0]!SaisirFacture" textlink="">
        <xdr:nvSpPr>
          <xdr:cNvPr id="2" name="ZoneTexte 1">
            <a:extLst>
              <a:ext uri="{FF2B5EF4-FFF2-40B4-BE49-F238E27FC236}">
                <a16:creationId xmlns:a16="http://schemas.microsoft.com/office/drawing/2014/main" id="{AA5B857C-2FC6-4B8F-8327-5DD66983AFEC}"/>
              </a:ext>
            </a:extLst>
          </xdr:cNvPr>
          <xdr:cNvSpPr txBox="1"/>
        </xdr:nvSpPr>
        <xdr:spPr>
          <a:xfrm>
            <a:off x="10182224" y="4438457"/>
            <a:ext cx="1595111" cy="2155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Saisir une facture</a:t>
            </a:r>
          </a:p>
        </xdr:txBody>
      </xdr:sp>
      <xdr:pic macro="[0]!SaisirFacture">
        <xdr:nvPicPr>
          <xdr:cNvPr id="12" name="Image 11">
            <a:extLst>
              <a:ext uri="{FF2B5EF4-FFF2-40B4-BE49-F238E27FC236}">
                <a16:creationId xmlns:a16="http://schemas.microsoft.com/office/drawing/2014/main" id="{285C5FE8-CDA5-4691-B289-1C46CC38A1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3699" y="3714749"/>
            <a:ext cx="732889" cy="732889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180004</xdr:colOff>
      <xdr:row>11</xdr:row>
      <xdr:rowOff>66676</xdr:rowOff>
    </xdr:from>
    <xdr:to>
      <xdr:col>7</xdr:col>
      <xdr:colOff>1152004</xdr:colOff>
      <xdr:row>16</xdr:row>
      <xdr:rowOff>108150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C1601D8E-81EA-4476-888D-8815A3E578CD}"/>
            </a:ext>
          </a:extLst>
        </xdr:cNvPr>
        <xdr:cNvGrpSpPr/>
      </xdr:nvGrpSpPr>
      <xdr:grpSpPr>
        <a:xfrm>
          <a:off x="8542954" y="2895601"/>
          <a:ext cx="972000" cy="1003499"/>
          <a:chOff x="8867775" y="2895601"/>
          <a:chExt cx="972000" cy="1003499"/>
        </a:xfrm>
      </xdr:grpSpPr>
      <xdr:pic macro="[0]!PreparerRegl">
        <xdr:nvPicPr>
          <xdr:cNvPr id="10" name="Image 9">
            <a:extLst>
              <a:ext uri="{FF2B5EF4-FFF2-40B4-BE49-F238E27FC236}">
                <a16:creationId xmlns:a16="http://schemas.microsoft.com/office/drawing/2014/main" id="{A77294D6-7770-4677-AC52-E03F906341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7775" y="2895601"/>
            <a:ext cx="612000" cy="612000"/>
          </a:xfrm>
          <a:prstGeom prst="rect">
            <a:avLst/>
          </a:prstGeom>
        </xdr:spPr>
      </xdr:pic>
      <xdr:sp macro="[0]!PreparerRegl" textlink="">
        <xdr:nvSpPr>
          <xdr:cNvPr id="14" name="ZoneTexte 13">
            <a:extLst>
              <a:ext uri="{FF2B5EF4-FFF2-40B4-BE49-F238E27FC236}">
                <a16:creationId xmlns:a16="http://schemas.microsoft.com/office/drawing/2014/main" id="{CFAF76D6-DE54-488F-A91D-700CF0DF02D2}"/>
              </a:ext>
            </a:extLst>
          </xdr:cNvPr>
          <xdr:cNvSpPr txBox="1"/>
        </xdr:nvSpPr>
        <xdr:spPr>
          <a:xfrm>
            <a:off x="8867775" y="3467100"/>
            <a:ext cx="972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CI" sz="10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Préparer un règlement</a:t>
            </a:r>
          </a:p>
        </xdr:txBody>
      </xdr:sp>
    </xdr:grpSp>
    <xdr:clientData/>
  </xdr:twoCellAnchor>
  <xdr:oneCellAnchor>
    <xdr:from>
      <xdr:col>9</xdr:col>
      <xdr:colOff>904875</xdr:colOff>
      <xdr:row>11</xdr:row>
      <xdr:rowOff>38100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92E9A93-EBDE-4A9F-9A12-64FDB898ED58}"/>
            </a:ext>
          </a:extLst>
        </xdr:cNvPr>
        <xdr:cNvSpPr txBox="1"/>
      </xdr:nvSpPr>
      <xdr:spPr>
        <a:xfrm>
          <a:off x="11801475" y="286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I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59DDD00-F3E9-415C-9A2C-DB268C01BB71}" name="TFourn" displayName="TFourn" ref="E2:I16" totalsRowShown="0" headerRowDxfId="160">
  <autoFilter ref="E2:I16" xr:uid="{159DDD00-F3E9-415C-9A2C-DB268C01BB71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E3:I16">
    <sortCondition ref="E3:E16"/>
  </sortState>
  <tableColumns count="5">
    <tableColumn id="1" xr3:uid="{B7C01A61-F37C-4DF3-A00C-FA3D95B2927A}" name="Raison Sociale"/>
    <tableColumn id="2" xr3:uid="{EF538203-A9F3-4722-8851-C09476636BC7}" name="Edité le chèque à l'ordre de"/>
    <tableColumn id="5" xr3:uid="{AFAA27F3-ED01-4BDE-B242-3221365DAEE9}" name="CC"/>
    <tableColumn id="4" xr3:uid="{4552C470-172D-419C-85BF-393614C81FF8}" name="Condition"/>
    <tableColumn id="3" xr3:uid="{B59CB9CA-9F19-41D9-9665-DC0A29BFF91C}" name="Feuille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ABAD15B-1B24-4B98-A9EE-853D92E035EE}" name="TBnq" displayName="TBnq" ref="K2:K4" totalsRowShown="0">
  <autoFilter ref="K2:K4" xr:uid="{8ABAD15B-1B24-4B98-A9EE-853D92E035EE}"/>
  <tableColumns count="1">
    <tableColumn id="1" xr3:uid="{325A8787-58FE-41EF-A138-15ECCDD21ADA}" name="Ban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9289F3D-D1CC-4AFE-9AB2-286669568332}" name="Tableau19" displayName="Tableau19" ref="E23:H37" totalsRowShown="0">
  <autoFilter ref="E23:H37" xr:uid="{C9289F3D-D1CC-4AFE-9AB2-286669568332}"/>
  <tableColumns count="4">
    <tableColumn id="1" xr3:uid="{38D4A89F-2F9A-4A5E-AEED-0268F8DB22A7}" name="Nom"/>
    <tableColumn id="2" xr3:uid="{FC2EAB14-2180-480D-90E8-7070C4E86CB0}" name="RS"/>
    <tableColumn id="3" xr3:uid="{03927695-4D5F-4523-B8B8-BECA72975BF4}" name="N°CC"/>
    <tableColumn id="4" xr3:uid="{E1356345-08E7-451B-B3F5-AD854E4D52C3}" name="D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46B0171-666C-412E-9F72-3B1523ED5053}" name="TRgl" displayName="TRgl" ref="A7:F16" totalsRowShown="0" headerRowDxfId="159">
  <autoFilter ref="A7:F16" xr:uid="{E46B0171-666C-412E-9F72-3B1523ED5053}"/>
  <tableColumns count="6">
    <tableColumn id="1" xr3:uid="{73F16354-436D-4258-A482-DE34B1C80ED3}" name="Fournisseur"/>
    <tableColumn id="2" xr3:uid="{8D023649-67C5-4738-97E2-431D526B4DFC}" name="N° Facture" dataDxfId="158"/>
    <tableColumn id="3" xr3:uid="{4C7A91BB-19FE-447D-8261-D439432823FC}" name="Date facture" dataDxfId="157"/>
    <tableColumn id="4" xr3:uid="{1AA5B788-4C46-45B2-83A3-18F8AD9C847F}" name="Montant TTC facturé" dataDxfId="156"/>
    <tableColumn id="5" xr3:uid="{0DC6E5FD-60C8-4CBE-95F0-6406048801EF}" name="Date d'échéance" dataDxfId="155"/>
    <tableColumn id="12" xr3:uid="{49DFDDD4-77A8-4D76-95A4-36E7422C284E}" name="Etat" dataDxfId="154">
      <calculatedColumnFormula>IF(AND(E8&lt;TODAY(),#REF!&gt;0),"Relance",IF(AND(E8&gt;TODAY(),#REF!&gt;0),"En cours","Soldée"))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837E6B-8A05-4A32-AE5D-4610BF27DCF7}" name="Tableau1" displayName="Tableau1" ref="A24:G25" totalsRowShown="0" headerRowDxfId="150">
  <autoFilter ref="A24:G25" xr:uid="{FF837E6B-8A05-4A32-AE5D-4610BF27DCF7}"/>
  <sortState xmlns:xlrd2="http://schemas.microsoft.com/office/spreadsheetml/2017/richdata2" ref="A25:G25">
    <sortCondition ref="B25"/>
  </sortState>
  <tableColumns count="7">
    <tableColumn id="1" xr3:uid="{37F24E88-CF21-473D-BCF9-3BEFD486A26B}" name="N° Facture" dataDxfId="149"/>
    <tableColumn id="2" xr3:uid="{B5938A3E-1376-4D0F-BE72-F29E4B9FCB22}" name="Date facture" dataDxfId="148"/>
    <tableColumn id="3" xr3:uid="{BFB9A218-508F-421F-9E7D-42C18ED60AAC}" name="Montant HT" dataDxfId="147"/>
    <tableColumn id="4" xr3:uid="{6AD3248D-FF62-494A-A9E4-D6F8169569DD}" name="Montant TTC" dataDxfId="146"/>
    <tableColumn id="5" xr3:uid="{43392E80-5C14-4D63-97CB-3D9BE817DBC9}" name="Date échéance" dataDxfId="145">
      <calculatedColumnFormula>IF(Tableau1[[#This Row],[N° Facture]]="","",EOMONTH(Tableau1[[#This Row],[Date facture]],1))</calculatedColumnFormula>
    </tableColumn>
    <tableColumn id="7" xr3:uid="{24711350-8183-4F8B-A164-C6C4CA34928E}" name="Délai" dataDxfId="144">
      <calculatedColumnFormula>IF($G$2-Tableau1[[#This Row],[Date échéance]]&lt;0,-1*($G$2-Tableau1[[#This Row],[Date échéance]])&amp;" jrs d'avance",$G$2-Tableau1[[#This Row],[Date échéance]]&amp;" jrs de retard")</calculatedColumnFormula>
    </tableColumn>
    <tableColumn id="11" xr3:uid="{428E0202-456A-489B-9C0C-8B078A728120}" name="Etat" dataDxfId="143">
      <calculatedColumnFormula>IF($G$2-Tableau1[[#This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EA6342-1310-48CD-8E49-BC1E96EA822A}" name="jadcitab" displayName="jadcitab" ref="A24:G29" totalsRowShown="0" headerRowDxfId="139">
  <autoFilter ref="A24:G29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29">
    <sortCondition ref="B25:B29"/>
  </sortState>
  <tableColumns count="7">
    <tableColumn id="1" xr3:uid="{1145B030-D6EE-4ED6-A9AE-E04BDC587868}" name="N° Facture" dataDxfId="138"/>
    <tableColumn id="2" xr3:uid="{726F2121-3515-46DE-A267-0F887F5DD5CC}" name="Date facture" dataDxfId="137"/>
    <tableColumn id="3" xr3:uid="{341D7B88-F4A8-4180-B738-AD8E6E20DA86}" name="Montant HT" dataDxfId="136"/>
    <tableColumn id="4" xr3:uid="{E03C9F2E-2689-4BC6-BA56-A336B256AEC9}" name="Montant TTC" dataDxfId="135"/>
    <tableColumn id="5" xr3:uid="{C631EB56-A1E3-4D37-84C0-E10DBE70F139}" name="Date échéance" dataDxfId="134">
      <calculatedColumnFormula>IF(jadcitab[[#This Row],[N° Facture]]="","",EOMONTH(jadcitab[[#This Row],[Date facture]],1))</calculatedColumnFormula>
    </tableColumn>
    <tableColumn id="7" xr3:uid="{22137203-3DEA-4EF1-8DCD-1D5D6F32E262}" name="Retard/Avance" dataDxfId="133">
      <calculatedColumnFormula>IF($G$2-jadcitab[[#This Row],[Date échéance]]&lt;0,-1*($G$2-jadcitab[[#This Row],[Date échéance]])&amp;" jrs d'avance",$G$2-jadcitab[[#This Row],[Date échéance]]&amp;" jrs de retard")</calculatedColumnFormula>
    </tableColumn>
    <tableColumn id="11" xr3:uid="{323B0DCF-0BB2-446C-8903-3262E00BB836}" name="Etat" dataDxfId="132">
      <calculatedColumnFormula>IF($G$2-jadcitab[[#This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50F5D2-30EA-45CD-BB4B-59FF7E95086D}" name="dmdtab" displayName="dmdtab" ref="A24:G29" totalsRowShown="0" headerRowDxfId="128">
  <autoFilter ref="A24:G29" xr:uid="{FF837E6B-8A05-4A32-AE5D-4610BF27DCF7}"/>
  <sortState xmlns:xlrd2="http://schemas.microsoft.com/office/spreadsheetml/2017/richdata2" ref="A25:G29">
    <sortCondition ref="B25:B29"/>
  </sortState>
  <tableColumns count="7">
    <tableColumn id="1" xr3:uid="{6E798C85-F5B7-4E40-B00A-1D293BE29732}" name="N° Facture" dataDxfId="127"/>
    <tableColumn id="2" xr3:uid="{EE372F93-C8AB-47E4-AE14-B5A65274DD4C}" name="Date facture" dataDxfId="126"/>
    <tableColumn id="3" xr3:uid="{5492BE32-129F-4D9E-AB88-329D933A6711}" name="Montant HT" dataDxfId="125"/>
    <tableColumn id="4" xr3:uid="{B552DA65-D876-4EA0-B646-7571BDE7289B}" name="Montant TTC" dataDxfId="124"/>
    <tableColumn id="5" xr3:uid="{88931D0F-0015-467C-89D2-3C216899EAE6}" name="Date échéance" dataDxfId="123">
      <calculatedColumnFormula>IF(dmdtab[[#This Row],[N° Facture]]="","",EOMONTH(dmdtab[[#This Row],[Date facture]],2))</calculatedColumnFormula>
    </tableColumn>
    <tableColumn id="7" xr3:uid="{9A068C59-7B5C-4EFD-9B57-8B8335C63D53}" name="Retard/Avance" dataDxfId="122">
      <calculatedColumnFormula>IF($G$2-dmdtab[[#This Row],[Date échéance]]&lt;0,-1*($G$2-dmdtab[[#This Row],[Date échéance]])&amp;" jrs d'avance",$G$2-dmdtab[[#This Row],[Date échéance]]&amp;" jrs de retard")</calculatedColumnFormula>
    </tableColumn>
    <tableColumn id="11" xr3:uid="{0244FF0D-F5BC-47B8-AA0C-1C81D4CB3EF0}" name="Etat" dataDxfId="121">
      <calculatedColumnFormula>IF($G$2-dmdtab[[#This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F2E2A3-D07A-4A4A-9D2A-4022A79C946D}" name="uitab" displayName="uitab" ref="A24:G34" totalsRowShown="0" headerRowDxfId="117">
  <autoFilter ref="A24:G34" xr:uid="{FF837E6B-8A05-4A32-AE5D-4610BF27DCF7}"/>
  <sortState xmlns:xlrd2="http://schemas.microsoft.com/office/spreadsheetml/2017/richdata2" ref="A25:G34">
    <sortCondition ref="B25:B34"/>
  </sortState>
  <tableColumns count="7">
    <tableColumn id="1" xr3:uid="{E575EFD9-7FF6-4FB0-9887-24F46225381C}" name="N° Facture" dataDxfId="116"/>
    <tableColumn id="2" xr3:uid="{71361F92-6933-437E-A192-D80FB417D733}" name="Date facture" dataDxfId="115"/>
    <tableColumn id="3" xr3:uid="{E31F44B1-A37F-475D-92FC-6F4FF6A6FDED}" name="Montant HT" dataDxfId="114"/>
    <tableColumn id="4" xr3:uid="{20C9AE7C-358E-461A-B098-5F1D847B97A5}" name="Montant TTC" dataDxfId="113"/>
    <tableColumn id="5" xr3:uid="{BD0EF83E-B6DC-4047-8001-F1FBB5853DDF}" name="Date échéance" dataDxfId="112">
      <calculatedColumnFormula>IF(uitab[[#This Row],[N° Facture]]="","",EOMONTH(uitab[[#This Row],[Date facture]],1))</calculatedColumnFormula>
    </tableColumn>
    <tableColumn id="7" xr3:uid="{AE64E0DD-8D0A-4C56-A65B-1D18430CB13B}" name="Retard/Avance" dataDxfId="111">
      <calculatedColumnFormula>IF($G$2-uitab[[#This Row],[Date échéance]]&lt;0,-1*($G$2-uitab[[#This Row],[Date échéance]])&amp;" jrs d'avance",$G$2-uitab[[#This Row],[Date échéance]]&amp;" jrs de retard")</calculatedColumnFormula>
    </tableColumn>
    <tableColumn id="11" xr3:uid="{A30A22C9-D7D8-4BF5-9245-971FFD39C93F}" name="Etat" dataDxfId="110">
      <calculatedColumnFormula>IF($G$2-uitab[[#This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5928772-D7C3-457C-8276-6FEC39072179}" name="sotacitab" displayName="sotacitab" ref="A24:G25" totalsRowShown="0" headerRowDxfId="106">
  <autoFilter ref="A24:G25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25">
    <sortCondition ref="B25"/>
  </sortState>
  <tableColumns count="7">
    <tableColumn id="1" xr3:uid="{31B6BB61-F0EA-4623-96C1-143378E03B10}" name="N° Facture" dataDxfId="105"/>
    <tableColumn id="2" xr3:uid="{AD8A2E06-4567-436F-B8CF-4FE83E7F0C4A}" name="Date facture" dataDxfId="104"/>
    <tableColumn id="3" xr3:uid="{B5C6EC49-2416-4EE9-9BF7-3064939B9530}" name="Montant HT" dataDxfId="103"/>
    <tableColumn id="4" xr3:uid="{78BA87EB-12EE-447D-9C5E-21849D10AE6E}" name="Montant TTC" dataDxfId="102"/>
    <tableColumn id="5" xr3:uid="{866FEF6C-4065-40EA-8B58-502461384978}" name="Date échéance" dataDxfId="101">
      <calculatedColumnFormula>IF(sotacitab[[#This Row],[N° Facture]]="","",EOMONTH(sotacitab[[#This Row],[Date facture]],1))</calculatedColumnFormula>
    </tableColumn>
    <tableColumn id="7" xr3:uid="{BB4A9A09-E2C7-44FA-A4F6-63011D0F3BA7}" name="Retard/Avance" dataDxfId="100">
      <calculatedColumnFormula>IF($G$2-sotacitab[[#This Row],[Date échéance]]&lt;0,-1*($G$2-sotacitab[[#This Row],[Date échéance]])&amp;" jrs d'avance",$G$2-sotacitab[[#This Row],[Date échéance]]&amp;" jrs de retard")</calculatedColumnFormula>
    </tableColumn>
    <tableColumn id="11" xr3:uid="{701D76A5-26E6-4F94-9BBA-BAB81A5D425D}" name="Etat" dataDxfId="99">
      <calculatedColumnFormula>IF($G$2-sotacitab[[#This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8FC9FF8-FB8C-4F5A-9665-65D5F119AEF5}" name="biptab" displayName="biptab" ref="A24:G31" totalsRowShown="0" headerRowDxfId="95">
  <autoFilter ref="A24:G31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31">
    <sortCondition ref="B25:B31"/>
  </sortState>
  <tableColumns count="7">
    <tableColumn id="1" xr3:uid="{C9FB64EB-4606-4FB7-B26B-E4A422524A8F}" name="N° Facture" dataDxfId="94"/>
    <tableColumn id="2" xr3:uid="{5B3A8BD7-8CB8-400C-8C20-5406A44EDA90}" name="Date facture" dataDxfId="93"/>
    <tableColumn id="3" xr3:uid="{3D223D4D-7687-4E0D-8BDF-0C05A86E58B1}" name="Montant HT" dataDxfId="92"/>
    <tableColumn id="4" xr3:uid="{ED6913ED-3724-4CB9-A7C0-3E28DD5FBCC3}" name="Montant TTC" dataDxfId="91"/>
    <tableColumn id="5" xr3:uid="{BFE76AAD-A231-4998-9C46-D4D912143707}" name="Date échéance" dataDxfId="90">
      <calculatedColumnFormula>IF(biptab[[#This Row],[N° Facture]]="","",EOMONTH(biptab[[#This Row],[Date facture]],1))</calculatedColumnFormula>
    </tableColumn>
    <tableColumn id="7" xr3:uid="{08A0C079-D9F0-46BC-94D4-A21E0FE9AE02}" name="Retard/Avance" dataDxfId="89">
      <calculatedColumnFormula>IF($G$2-biptab[[#This Row],[Date échéance]]&lt;0,-1*($G$2-biptab[[#This Row],[Date échéance]])&amp;" jrs d'avance",$G$2-biptab[[#This Row],[Date échéance]]&amp;" jrs de retard")</calculatedColumnFormula>
    </tableColumn>
    <tableColumn id="11" xr3:uid="{53EE4A76-21F5-4CF7-BE26-86DACEA772C7}" name="Etat" dataDxfId="88">
      <calculatedColumnFormula>IF($G$2-biptab[[#This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A7723C-3536-4D67-AC0F-9E8EFE028CA9}" name="neucetab" displayName="neucetab" ref="A24:G96" totalsRowShown="0" headerRowDxfId="84">
  <autoFilter ref="A24:G96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96">
    <sortCondition ref="B25:B96"/>
  </sortState>
  <tableColumns count="7">
    <tableColumn id="1" xr3:uid="{6FC13D26-06A1-484E-A54B-E4EDA2FEB924}" name="N° Facture" dataDxfId="83"/>
    <tableColumn id="2" xr3:uid="{DE2CCFDA-1E44-4EB7-AD28-6049E22BAE46}" name="Date facture" dataDxfId="82"/>
    <tableColumn id="3" xr3:uid="{1892B301-DE03-4176-B048-FF9CB60B8813}" name="Montant HT" dataDxfId="81"/>
    <tableColumn id="4" xr3:uid="{3526E159-D61B-4391-B89E-D2298997702F}" name="Montant TTC" dataDxfId="80"/>
    <tableColumn id="5" xr3:uid="{476B7EE7-2DF8-4D2A-ABA4-F7B21A7443A7}" name="Date échéance" dataDxfId="79">
      <calculatedColumnFormula>IF(neucetab[[#This Row],[N° Facture]]="","",EOMONTH(neucetab[[#This Row],[Date facture]],1))</calculatedColumnFormula>
    </tableColumn>
    <tableColumn id="7" xr3:uid="{C9C4FED0-31F1-4B67-A3D6-A3063BBC3820}" name="Retard/Avance" dataDxfId="78">
      <calculatedColumnFormula>IF($G$2-neucetab[[#This Row],[Date échéance]]&lt;0,-1*($G$2-neucetab[[#This Row],[Date échéance]])&amp;" jrs d'avance",$G$2-neucetab[[#This Row],[Date échéance]]&amp;" jrs de retard")</calculatedColumnFormula>
    </tableColumn>
    <tableColumn id="11" xr3:uid="{1DFA5779-DEC9-40A5-AA8B-07268A5BF59D}" name="Etat" dataDxfId="77">
      <calculatedColumnFormula>IF($G$2-neucetab[[#This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6AD4EF0-F3D5-4490-BD65-4B4DD290F35D}" name="ppgtab" displayName="ppgtab" ref="A24:G28" totalsRowShown="0" headerRowDxfId="73">
  <autoFilter ref="A24:G28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28">
    <sortCondition ref="B25:B28"/>
  </sortState>
  <tableColumns count="7">
    <tableColumn id="1" xr3:uid="{6753F070-EE57-413E-BD76-D598BF89D664}" name="N° Facture" dataDxfId="72"/>
    <tableColumn id="2" xr3:uid="{96124315-CC66-420F-9AAB-51CD7C86F96E}" name="Date facture" dataDxfId="71"/>
    <tableColumn id="3" xr3:uid="{A37E260F-FCA0-41C7-AB47-42FDC2A0AF3F}" name="Montant HT" dataDxfId="70"/>
    <tableColumn id="4" xr3:uid="{4B8006BE-2C75-4BB5-8D23-67DF0887B5CA}" name="Montant TTC" dataDxfId="69"/>
    <tableColumn id="5" xr3:uid="{A72FD5E3-71C7-4F97-BDD7-D5B9C272593E}" name="Date échéance" dataDxfId="68">
      <calculatedColumnFormula>IF(ppgtab[[#This Row],[N° Facture]]="","",EOMONTH(ppgtab[[#This Row],[Date facture]],1))</calculatedColumnFormula>
    </tableColumn>
    <tableColumn id="7" xr3:uid="{C1F5B739-81FB-4254-BAD4-F27D007938D3}" name="Délai" dataDxfId="67">
      <calculatedColumnFormula>IF($G$2-ppgtab[[#This Row],[Date échéance]]&lt;0,-1*($G$2-ppgtab[[#This Row],[Date échéance]])&amp;" jrs d'avance",$G$2-ppgtab[[#This Row],[Date échéance]]&amp;" jrs de retard")</calculatedColumnFormula>
    </tableColumn>
    <tableColumn id="11" xr3:uid="{15286B23-0A78-46D5-BC70-27DDEFEC72C7}" name="Etat" dataDxfId="66">
      <calculatedColumnFormula>IF($G$2-ppgtab[[#This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16F843B-3ADF-4798-B469-E54735CCBD64}" name="simctab" displayName="simctab" ref="A24:G35" totalsRowShown="0" headerRowDxfId="62">
  <autoFilter ref="A24:G35" xr:uid="{FF837E6B-8A05-4A32-AE5D-4610BF27DCF7}"/>
  <sortState xmlns:xlrd2="http://schemas.microsoft.com/office/spreadsheetml/2017/richdata2" ref="A25:G35">
    <sortCondition ref="B25:B35"/>
  </sortState>
  <tableColumns count="7">
    <tableColumn id="1" xr3:uid="{8E760A9E-20E0-409F-8894-D226CEACCBAF}" name="N° Facture" dataDxfId="61"/>
    <tableColumn id="2" xr3:uid="{0A86BE1C-7C79-4BD4-93CE-53647442E960}" name="Date facture" dataDxfId="60"/>
    <tableColumn id="3" xr3:uid="{844C9DF4-A959-4597-9925-2F2A17484621}" name="Montant HT" dataDxfId="59"/>
    <tableColumn id="4" xr3:uid="{30695B87-3B61-4CE6-8541-731ABB0C8542}" name="Montant TTC" dataDxfId="58"/>
    <tableColumn id="5" xr3:uid="{02F2E73B-D30B-466C-AF3F-4A28BC19983C}" name="Date échéance" dataDxfId="57">
      <calculatedColumnFormula>IF(simctab[[#This Row],[N° Facture]]="","",EOMONTH(simctab[[#This Row],[Date facture]],2))</calculatedColumnFormula>
    </tableColumn>
    <tableColumn id="7" xr3:uid="{C2DD6FD9-0785-4C42-BC8F-247335A8DFC5}" name="Retard/Avance" dataDxfId="56">
      <calculatedColumnFormula>IF($G$2-simctab[[#This Row],[Date échéance]]&lt;0,-1*($G$2-simctab[[#This Row],[Date échéance]])&amp;" jrs d'avance",$G$2-simctab[[#This Row],[Date échéance]]&amp;" jrs de retard")</calculatedColumnFormula>
    </tableColumn>
    <tableColumn id="11" xr3:uid="{1EB660CB-141C-4B9A-B858-582D8512EAD2}" name="Etat" dataDxfId="55">
      <calculatedColumnFormula>IF($G$2-simctab[[#This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45BB3EC-8230-42F5-929B-2A875AEF48F8}" name="setrtab" displayName="setrtab" ref="A24:G44" totalsRowShown="0" headerRowDxfId="51">
  <autoFilter ref="A24:G44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44">
    <sortCondition ref="B25:B44"/>
  </sortState>
  <tableColumns count="7">
    <tableColumn id="1" xr3:uid="{5E22E449-1FC3-4D23-BB8D-D5A30886AAC1}" name="N° Facture" dataDxfId="50"/>
    <tableColumn id="2" xr3:uid="{91AD1B85-7A11-4E65-8B4A-02DE3B5E583F}" name="Date facture" dataDxfId="49"/>
    <tableColumn id="3" xr3:uid="{B892F23A-E428-4145-9F00-258F06E01F6C}" name="Montant HT" dataDxfId="48"/>
    <tableColumn id="4" xr3:uid="{A1E5B36A-8504-4282-A37F-396B8ECD7C80}" name="Montant TTC" dataDxfId="47"/>
    <tableColumn id="5" xr3:uid="{CB6B57E4-E6AC-470A-B954-C4B99C1F28FC}" name="Date échéance" dataDxfId="46">
      <calculatedColumnFormula>IF(setrtab[[#This Row],[N° Facture]]="","",EOMONTH(setrtab[[#This Row],[Date facture]],1))</calculatedColumnFormula>
    </tableColumn>
    <tableColumn id="7" xr3:uid="{11A0681A-2F2A-42B8-9FA3-269E038EE187}" name="Retard/Avance" dataDxfId="45">
      <calculatedColumnFormula>IF($G$2-setrtab[[#This Row],[Date échéance]]&lt;0,-1*($G$2-setrtab[[#This Row],[Date échéance]])&amp;" jrs d'avance",$G$2-setrtab[[#This Row],[Date échéance]]&amp;" jrs de retard")</calculatedColumnFormula>
    </tableColumn>
    <tableColumn id="11" xr3:uid="{55497443-3C32-496B-8705-442131F3071C}" name="Etat" dataDxfId="44">
      <calculatedColumnFormula>IF($G$2-setrtab[[#This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3D70E81-72AD-4359-9639-A1AFBEBBE388}" name="batiplustab" displayName="batiplustab" ref="A24:G25" totalsRowShown="0" headerRowDxfId="40">
  <autoFilter ref="A24:G25" xr:uid="{FF837E6B-8A05-4A32-AE5D-4610BF27DCF7}"/>
  <sortState xmlns:xlrd2="http://schemas.microsoft.com/office/spreadsheetml/2017/richdata2" ref="A25:G25">
    <sortCondition ref="B25"/>
  </sortState>
  <tableColumns count="7">
    <tableColumn id="1" xr3:uid="{9C3ABEA0-E107-417E-8604-7EFC27773BB8}" name="N° Facture" dataDxfId="39"/>
    <tableColumn id="2" xr3:uid="{5BDC4FAD-C10B-415E-B369-352F5D01A9C4}" name="Date facture" dataDxfId="38"/>
    <tableColumn id="3" xr3:uid="{D6115FC1-0DE9-4790-A44B-846222455E89}" name="Montant HT" dataDxfId="37"/>
    <tableColumn id="4" xr3:uid="{65872E72-3B4E-44CC-AEC3-31BC74B03675}" name="Montant TTC" dataDxfId="36"/>
    <tableColumn id="5" xr3:uid="{9DCCD15B-5FD4-4A8F-8EC3-A770D0D9066B}" name="Date échéance" dataDxfId="35">
      <calculatedColumnFormula>IF(batiplustab[[#This Row],[N° Facture]]="","",EOMONTH(batiplustab[[#This Row],[Date facture]],1))</calculatedColumnFormula>
    </tableColumn>
    <tableColumn id="7" xr3:uid="{BD87DDE7-B5E7-414F-B541-CE996FCE3D4D}" name="Retard/Avance" dataDxfId="34">
      <calculatedColumnFormula>IF($G$2-batiplustab[[#This Row],[Date échéance]]&lt;0,-1*($G$2-batiplustab[[#This Row],[Date échéance]])&amp;" jrs d'avance",$G$2-batiplustab[[#This Row],[Date échéance]]&amp;" jrs de retard")</calculatedColumnFormula>
    </tableColumn>
    <tableColumn id="11" xr3:uid="{37CE4679-E668-4853-8606-19490803CC07}" name="Etat" dataDxfId="33">
      <calculatedColumnFormula>IF($G$2-batiplustab[[#This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C4425FE-2FC7-434B-837F-28CD222607D3}" name="damacitab" displayName="damacitab" ref="A24:G27" totalsRowShown="0" headerRowDxfId="29">
  <autoFilter ref="A24:G27" xr:uid="{FF837E6B-8A05-4A32-AE5D-4610BF27DCF7}"/>
  <sortState xmlns:xlrd2="http://schemas.microsoft.com/office/spreadsheetml/2017/richdata2" ref="A25:G27">
    <sortCondition ref="B25:B27"/>
  </sortState>
  <tableColumns count="7">
    <tableColumn id="1" xr3:uid="{757F7B24-B078-4D3B-9FD4-5425056E7CC3}" name="N° Facture" dataDxfId="28"/>
    <tableColumn id="2" xr3:uid="{9443BB0D-88D3-4CDA-A2C0-E480358C2104}" name="Date facture" dataDxfId="27"/>
    <tableColumn id="3" xr3:uid="{77F66BAA-97D9-4E92-9675-90DF42BF3743}" name="Montant HT" dataDxfId="26"/>
    <tableColumn id="4" xr3:uid="{C2A8E69F-5E9F-421A-9030-A27ED32348E1}" name="Montant TTC" dataDxfId="25"/>
    <tableColumn id="5" xr3:uid="{383203F8-B90A-4C9F-BD12-C9F9ECF3BA11}" name="Date échéance" dataDxfId="24">
      <calculatedColumnFormula>IF(damacitab[[#This Row],[N° Facture]]="","",EOMONTH(damacitab[[#This Row],[Date facture]],1))</calculatedColumnFormula>
    </tableColumn>
    <tableColumn id="7" xr3:uid="{3344DCCA-58DD-42DD-9F32-0777B805C606}" name="Délai" dataDxfId="23">
      <calculatedColumnFormula>IF($G$2-damacitab[[#This Row],[Date échéance]]&lt;0,-1*($G$2-damacitab[[#This Row],[Date échéance]])&amp;" jrs d'avance",$G$2-damacitab[[#This Row],[Date échéance]]&amp;" jrs de retard")</calculatedColumnFormula>
    </tableColumn>
    <tableColumn id="11" xr3:uid="{1FF69850-8D03-40A3-99B2-08A9BAFDCCBF}" name="Etat" dataDxfId="22">
      <calculatedColumnFormula>IF($G$2-damacitab[[#This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935E81E-CB73-41FE-9E06-D334801D60D9}" name="wletab" displayName="wletab" ref="A24:G30" totalsRowShown="0" headerRowDxfId="18">
  <autoFilter ref="A24:G30" xr:uid="{FF837E6B-8A05-4A32-AE5D-4610BF27DCF7}"/>
  <sortState xmlns:xlrd2="http://schemas.microsoft.com/office/spreadsheetml/2017/richdata2" ref="A25:G30">
    <sortCondition ref="B25:B30"/>
  </sortState>
  <tableColumns count="7">
    <tableColumn id="1" xr3:uid="{D016CA21-1B42-4BF1-80E4-ACE63F00AFDF}" name="N° Facture" dataDxfId="17"/>
    <tableColumn id="2" xr3:uid="{4FD6E29F-D1F0-4B98-B87E-8AE27E137245}" name="Date facture" dataDxfId="16"/>
    <tableColumn id="3" xr3:uid="{58EC3E4B-B693-4866-B6F5-8784E329FA2D}" name="Montant HT" dataDxfId="15"/>
    <tableColumn id="4" xr3:uid="{D243A16E-B2F8-4FD1-A171-C3F33612377A}" name="Montant TTC" dataDxfId="14"/>
    <tableColumn id="5" xr3:uid="{D7157F27-9A70-432E-8C13-BFD42D9E9D36}" name="Date échéance" dataDxfId="13">
      <calculatedColumnFormula>IF(wletab[[#This Row],[N° Facture]]="","",EOMONTH(wletab[[#This Row],[Date facture]],1))</calculatedColumnFormula>
    </tableColumn>
    <tableColumn id="7" xr3:uid="{884F033D-C6C1-4E30-B310-9AB31E118983}" name="Retard/Avance" dataDxfId="12">
      <calculatedColumnFormula>IF($G$2-wletab[[#This Row],[Date échéance]]&lt;0,-1*($G$2-wletab[[#This Row],[Date échéance]])&amp;" jrs d'avance",$G$2-wletab[[#This Row],[Date échéance]]&amp;" jrs de retard")</calculatedColumnFormula>
    </tableColumn>
    <tableColumn id="11" xr3:uid="{147B501B-9778-4778-9A91-17E01A529576}" name="Etat" dataDxfId="11">
      <calculatedColumnFormula>IF($G$2-wletab[[#This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9CD6D9-8ECB-4606-9C72-E3D70A15F4F3}" name="seciitab" displayName="seciitab" ref="A24:G27" totalsRowShown="0" headerRowDxfId="7">
  <autoFilter ref="A24:G27" xr:uid="{FF837E6B-8A05-4A32-AE5D-4610BF27DCF7}">
    <filterColumn colId="6">
      <filters>
        <filter val="Impayé"/>
      </filters>
    </filterColumn>
  </autoFilter>
  <sortState xmlns:xlrd2="http://schemas.microsoft.com/office/spreadsheetml/2017/richdata2" ref="A25:G27">
    <sortCondition ref="B25:B27"/>
  </sortState>
  <tableColumns count="7">
    <tableColumn id="1" xr3:uid="{640A14D3-5E24-4AA8-A9AA-707DE4CE08F8}" name="N° Facture" dataDxfId="6"/>
    <tableColumn id="2" xr3:uid="{DA87554A-CC3A-45D0-976C-71EDAEDD5D76}" name="Date facture" dataDxfId="5"/>
    <tableColumn id="3" xr3:uid="{8D1715C7-06A5-42EF-9B3B-185D82DF0EF3}" name="Montant HT" dataDxfId="4"/>
    <tableColumn id="4" xr3:uid="{D7A99C8E-4D04-4757-AE18-3BD1E9FAABC1}" name="Montant TTC" dataDxfId="3"/>
    <tableColumn id="5" xr3:uid="{60480B3F-1EE6-441C-BA87-EDE96AB9F40C}" name="Date échéance" dataDxfId="2">
      <calculatedColumnFormula>IF(seciitab[[#This Row],[N° Facture]]="","",EOMONTH(seciitab[[#This Row],[Date facture]],1))</calculatedColumnFormula>
    </tableColumn>
    <tableColumn id="7" xr3:uid="{B7308466-EE80-4B0F-A820-953191B8543B}" name="Délai" dataDxfId="1">
      <calculatedColumnFormula>IF($G$2-seciitab[[#This Row],[Date échéance]]&lt;0,-1*($G$2-seciitab[[#This Row],[Date échéance]])&amp;" jrs d'avance",$G$2-seciitab[[#This Row],[Date échéance]]&amp;" jrs de retard")</calculatedColumnFormula>
    </tableColumn>
    <tableColumn id="11" xr3:uid="{DB697C2F-7236-45A7-ACC0-B9A63D2FB01C}" name="Etat" dataDxfId="0">
      <calculatedColumnFormula>IF($G$2-seciitab[[#This Row],[Date échéance]]&gt;0,"A régler","En attente")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37856-503E-4EBC-B3CC-2B0486BE9EA5}">
  <sheetPr codeName="Feuil2"/>
  <dimension ref="C1:K37"/>
  <sheetViews>
    <sheetView workbookViewId="0">
      <selection activeCell="L17" sqref="L17"/>
    </sheetView>
  </sheetViews>
  <sheetFormatPr baseColWidth="10" defaultRowHeight="15" x14ac:dyDescent="0.25"/>
  <cols>
    <col min="5" max="5" width="23.42578125" bestFit="1" customWidth="1"/>
    <col min="6" max="6" width="27.42578125" customWidth="1"/>
    <col min="9" max="9" width="35.5703125" bestFit="1" customWidth="1"/>
  </cols>
  <sheetData>
    <row r="1" spans="3:11" x14ac:dyDescent="0.25">
      <c r="E1" s="131" t="s">
        <v>385</v>
      </c>
      <c r="F1" s="131"/>
    </row>
    <row r="2" spans="3:11" x14ac:dyDescent="0.25">
      <c r="C2" s="34" t="s">
        <v>6</v>
      </c>
      <c r="E2" s="34" t="s">
        <v>375</v>
      </c>
      <c r="F2" s="34" t="s">
        <v>376</v>
      </c>
      <c r="G2" s="38" t="s">
        <v>415</v>
      </c>
      <c r="H2" s="38" t="s">
        <v>7</v>
      </c>
      <c r="I2" s="35" t="s">
        <v>386</v>
      </c>
      <c r="K2" t="s">
        <v>391</v>
      </c>
    </row>
    <row r="3" spans="3:11" x14ac:dyDescent="0.25">
      <c r="C3" s="2">
        <v>44562</v>
      </c>
      <c r="E3" t="s">
        <v>32</v>
      </c>
      <c r="F3" t="s">
        <v>380</v>
      </c>
      <c r="G3" t="s">
        <v>449</v>
      </c>
      <c r="H3" t="s">
        <v>399</v>
      </c>
      <c r="I3" t="s">
        <v>369</v>
      </c>
      <c r="K3" t="s">
        <v>393</v>
      </c>
    </row>
    <row r="4" spans="3:11" x14ac:dyDescent="0.25">
      <c r="C4" s="2">
        <v>44593</v>
      </c>
      <c r="E4" t="s">
        <v>36</v>
      </c>
      <c r="F4" t="s">
        <v>36</v>
      </c>
      <c r="G4" t="s">
        <v>448</v>
      </c>
      <c r="H4" t="s">
        <v>399</v>
      </c>
      <c r="I4" t="s">
        <v>36</v>
      </c>
      <c r="K4" t="s">
        <v>394</v>
      </c>
    </row>
    <row r="5" spans="3:11" x14ac:dyDescent="0.25">
      <c r="C5" s="2">
        <v>44621</v>
      </c>
      <c r="E5" t="s">
        <v>8</v>
      </c>
      <c r="F5" t="s">
        <v>377</v>
      </c>
      <c r="G5" t="s">
        <v>416</v>
      </c>
      <c r="H5" t="s">
        <v>399</v>
      </c>
      <c r="I5" t="s">
        <v>388</v>
      </c>
    </row>
    <row r="6" spans="3:11" x14ac:dyDescent="0.25">
      <c r="C6" s="2">
        <v>44652</v>
      </c>
      <c r="E6" t="s">
        <v>34</v>
      </c>
      <c r="F6" t="s">
        <v>384</v>
      </c>
      <c r="G6" t="s">
        <v>417</v>
      </c>
      <c r="H6" t="s">
        <v>399</v>
      </c>
      <c r="I6" t="s">
        <v>34</v>
      </c>
    </row>
    <row r="7" spans="3:11" x14ac:dyDescent="0.25">
      <c r="C7" s="2">
        <v>44682</v>
      </c>
      <c r="E7" t="s">
        <v>39</v>
      </c>
      <c r="F7" t="s">
        <v>379</v>
      </c>
      <c r="G7" t="s">
        <v>418</v>
      </c>
      <c r="H7" t="s">
        <v>414</v>
      </c>
      <c r="I7" t="s">
        <v>39</v>
      </c>
    </row>
    <row r="8" spans="3:11" x14ac:dyDescent="0.25">
      <c r="C8" s="2">
        <v>44713</v>
      </c>
      <c r="E8" t="s">
        <v>356</v>
      </c>
      <c r="F8" t="s">
        <v>378</v>
      </c>
      <c r="G8" t="s">
        <v>419</v>
      </c>
      <c r="H8" t="s">
        <v>399</v>
      </c>
      <c r="I8" t="s">
        <v>356</v>
      </c>
    </row>
    <row r="9" spans="3:11" x14ac:dyDescent="0.25">
      <c r="C9" s="2">
        <v>44743</v>
      </c>
      <c r="E9" t="s">
        <v>22</v>
      </c>
      <c r="F9" t="s">
        <v>381</v>
      </c>
      <c r="G9" t="s">
        <v>420</v>
      </c>
      <c r="H9" t="s">
        <v>399</v>
      </c>
      <c r="I9" t="s">
        <v>387</v>
      </c>
    </row>
    <row r="10" spans="3:11" x14ac:dyDescent="0.25">
      <c r="C10" s="2">
        <v>44774</v>
      </c>
      <c r="E10" t="s">
        <v>35</v>
      </c>
      <c r="F10" t="s">
        <v>382</v>
      </c>
      <c r="G10" t="s">
        <v>421</v>
      </c>
      <c r="H10" t="s">
        <v>399</v>
      </c>
      <c r="I10" t="s">
        <v>35</v>
      </c>
    </row>
    <row r="11" spans="3:11" x14ac:dyDescent="0.25">
      <c r="C11" s="2">
        <v>44805</v>
      </c>
      <c r="E11" t="s">
        <v>40</v>
      </c>
      <c r="F11" t="s">
        <v>40</v>
      </c>
      <c r="H11" t="s">
        <v>399</v>
      </c>
      <c r="I11" t="s">
        <v>40</v>
      </c>
    </row>
    <row r="12" spans="3:11" x14ac:dyDescent="0.25">
      <c r="C12" s="2">
        <v>44835</v>
      </c>
      <c r="E12" t="s">
        <v>37</v>
      </c>
      <c r="F12" t="s">
        <v>383</v>
      </c>
      <c r="G12" t="s">
        <v>422</v>
      </c>
      <c r="H12" t="s">
        <v>399</v>
      </c>
      <c r="I12" t="s">
        <v>37</v>
      </c>
    </row>
    <row r="13" spans="3:11" x14ac:dyDescent="0.25">
      <c r="C13" s="2">
        <v>44866</v>
      </c>
      <c r="E13" t="s">
        <v>38</v>
      </c>
      <c r="F13" t="s">
        <v>38</v>
      </c>
      <c r="G13" t="s">
        <v>423</v>
      </c>
      <c r="H13" t="s">
        <v>414</v>
      </c>
      <c r="I13" t="s">
        <v>38</v>
      </c>
    </row>
    <row r="14" spans="3:11" x14ac:dyDescent="0.25">
      <c r="C14" s="2">
        <v>44896</v>
      </c>
      <c r="E14" t="s">
        <v>33</v>
      </c>
      <c r="F14" t="s">
        <v>33</v>
      </c>
      <c r="G14" t="s">
        <v>447</v>
      </c>
      <c r="H14" t="s">
        <v>399</v>
      </c>
      <c r="I14" t="s">
        <v>33</v>
      </c>
    </row>
    <row r="15" spans="3:11" x14ac:dyDescent="0.25">
      <c r="E15" t="s">
        <v>26</v>
      </c>
      <c r="F15" t="s">
        <v>26</v>
      </c>
      <c r="G15" t="s">
        <v>424</v>
      </c>
      <c r="H15" t="s">
        <v>414</v>
      </c>
      <c r="I15" t="s">
        <v>357</v>
      </c>
    </row>
    <row r="16" spans="3:11" x14ac:dyDescent="0.25">
      <c r="E16" t="s">
        <v>31</v>
      </c>
      <c r="F16" t="s">
        <v>31</v>
      </c>
      <c r="G16" t="s">
        <v>425</v>
      </c>
      <c r="H16" t="s">
        <v>399</v>
      </c>
      <c r="I16" t="s">
        <v>370</v>
      </c>
    </row>
    <row r="19" spans="5:9" x14ac:dyDescent="0.25">
      <c r="I19" s="37" t="s">
        <v>392</v>
      </c>
    </row>
    <row r="20" spans="5:9" x14ac:dyDescent="0.25">
      <c r="E20" s="37" t="s">
        <v>389</v>
      </c>
    </row>
    <row r="21" spans="5:9" x14ac:dyDescent="0.25">
      <c r="E21" s="37" t="s">
        <v>390</v>
      </c>
    </row>
    <row r="23" spans="5:9" x14ac:dyDescent="0.25">
      <c r="E23" t="s">
        <v>427</v>
      </c>
      <c r="F23" t="s">
        <v>426</v>
      </c>
      <c r="G23" t="s">
        <v>428</v>
      </c>
      <c r="H23" t="s">
        <v>429</v>
      </c>
    </row>
    <row r="24" spans="5:9" x14ac:dyDescent="0.25">
      <c r="E24" t="s">
        <v>369</v>
      </c>
      <c r="F24" t="s">
        <v>380</v>
      </c>
      <c r="H24" t="s">
        <v>399</v>
      </c>
    </row>
    <row r="25" spans="5:9" x14ac:dyDescent="0.25">
      <c r="E25" t="s">
        <v>36</v>
      </c>
      <c r="F25" t="s">
        <v>36</v>
      </c>
      <c r="H25" t="s">
        <v>399</v>
      </c>
    </row>
    <row r="26" spans="5:9" x14ac:dyDescent="0.25">
      <c r="E26" t="s">
        <v>8</v>
      </c>
      <c r="F26" t="s">
        <v>377</v>
      </c>
      <c r="G26" t="s">
        <v>416</v>
      </c>
      <c r="H26" t="s">
        <v>399</v>
      </c>
    </row>
    <row r="27" spans="5:9" x14ac:dyDescent="0.25">
      <c r="E27" t="s">
        <v>34</v>
      </c>
      <c r="F27" t="s">
        <v>384</v>
      </c>
      <c r="G27" t="s">
        <v>417</v>
      </c>
      <c r="H27" t="s">
        <v>399</v>
      </c>
    </row>
    <row r="28" spans="5:9" x14ac:dyDescent="0.25">
      <c r="E28" t="s">
        <v>39</v>
      </c>
      <c r="F28" t="s">
        <v>379</v>
      </c>
      <c r="G28" t="s">
        <v>418</v>
      </c>
      <c r="H28" t="s">
        <v>414</v>
      </c>
    </row>
    <row r="29" spans="5:9" x14ac:dyDescent="0.25">
      <c r="E29" t="s">
        <v>356</v>
      </c>
      <c r="F29" t="s">
        <v>378</v>
      </c>
      <c r="G29" t="s">
        <v>419</v>
      </c>
      <c r="H29" t="s">
        <v>399</v>
      </c>
    </row>
    <row r="30" spans="5:9" x14ac:dyDescent="0.25">
      <c r="E30" t="s">
        <v>22</v>
      </c>
      <c r="F30" t="s">
        <v>381</v>
      </c>
      <c r="G30" t="s">
        <v>420</v>
      </c>
      <c r="H30" t="s">
        <v>399</v>
      </c>
    </row>
    <row r="31" spans="5:9" x14ac:dyDescent="0.25">
      <c r="E31" t="s">
        <v>35</v>
      </c>
      <c r="F31" t="s">
        <v>382</v>
      </c>
      <c r="G31" t="s">
        <v>421</v>
      </c>
      <c r="H31" t="s">
        <v>399</v>
      </c>
    </row>
    <row r="32" spans="5:9" x14ac:dyDescent="0.25">
      <c r="E32" t="s">
        <v>40</v>
      </c>
      <c r="F32" t="s">
        <v>40</v>
      </c>
      <c r="H32" t="s">
        <v>399</v>
      </c>
    </row>
    <row r="33" spans="5:8" x14ac:dyDescent="0.25">
      <c r="E33" t="s">
        <v>37</v>
      </c>
      <c r="F33" t="s">
        <v>383</v>
      </c>
      <c r="G33" t="s">
        <v>422</v>
      </c>
      <c r="H33" t="s">
        <v>399</v>
      </c>
    </row>
    <row r="34" spans="5:8" x14ac:dyDescent="0.25">
      <c r="E34" t="s">
        <v>38</v>
      </c>
      <c r="F34" t="s">
        <v>38</v>
      </c>
      <c r="G34" t="s">
        <v>423</v>
      </c>
      <c r="H34" t="s">
        <v>414</v>
      </c>
    </row>
    <row r="35" spans="5:8" x14ac:dyDescent="0.25">
      <c r="E35" t="s">
        <v>33</v>
      </c>
      <c r="F35" t="s">
        <v>33</v>
      </c>
      <c r="H35" t="s">
        <v>399</v>
      </c>
    </row>
    <row r="36" spans="5:8" x14ac:dyDescent="0.25">
      <c r="E36" t="s">
        <v>357</v>
      </c>
      <c r="F36" t="s">
        <v>26</v>
      </c>
      <c r="G36" t="s">
        <v>424</v>
      </c>
      <c r="H36" t="s">
        <v>414</v>
      </c>
    </row>
    <row r="37" spans="5:8" x14ac:dyDescent="0.25">
      <c r="E37" t="s">
        <v>370</v>
      </c>
      <c r="F37" t="s">
        <v>31</v>
      </c>
      <c r="G37" t="s">
        <v>425</v>
      </c>
      <c r="H37" t="s">
        <v>399</v>
      </c>
    </row>
  </sheetData>
  <sortState xmlns:xlrd2="http://schemas.microsoft.com/office/spreadsheetml/2017/richdata2" ref="E3:F16">
    <sortCondition ref="E3:E16"/>
  </sortState>
  <mergeCells count="1">
    <mergeCell ref="E1:F1"/>
  </mergeCells>
  <phoneticPr fontId="4" type="noConversion"/>
  <pageMargins left="0.7" right="0.7" top="0.75" bottom="0.75" header="0.3" footer="0.3"/>
  <pageSetup paperSize="9" orientation="portrait" horizontalDpi="4294967295" verticalDpi="4294967295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B7FF-A5B4-4C9A-827B-BABCF1E5CFC1}">
  <sheetPr codeName="Feuil17"/>
  <dimension ref="A2:H16"/>
  <sheetViews>
    <sheetView workbookViewId="0">
      <selection activeCell="G22" sqref="G22"/>
    </sheetView>
  </sheetViews>
  <sheetFormatPr baseColWidth="10" defaultRowHeight="15" x14ac:dyDescent="0.25"/>
  <cols>
    <col min="1" max="1" width="25" customWidth="1"/>
    <col min="2" max="2" width="15.140625" customWidth="1"/>
    <col min="3" max="3" width="17" customWidth="1"/>
    <col min="4" max="4" width="23.7109375" bestFit="1" customWidth="1"/>
    <col min="5" max="5" width="20.28515625" bestFit="1" customWidth="1"/>
    <col min="6" max="6" width="22.5703125" customWidth="1"/>
    <col min="7" max="7" width="18.42578125" customWidth="1"/>
    <col min="8" max="8" width="18.5703125" bestFit="1" customWidth="1"/>
    <col min="9" max="9" width="12.28515625" bestFit="1" customWidth="1"/>
    <col min="10" max="10" width="17.5703125" bestFit="1" customWidth="1"/>
    <col min="11" max="11" width="16.42578125" bestFit="1" customWidth="1"/>
  </cols>
  <sheetData>
    <row r="2" spans="1:8" ht="15" customHeight="1" x14ac:dyDescent="0.25">
      <c r="A2" s="132" t="s">
        <v>395</v>
      </c>
      <c r="B2" s="132"/>
      <c r="C2" s="132"/>
      <c r="D2" s="132"/>
      <c r="E2" s="132"/>
      <c r="F2" s="132"/>
      <c r="G2" s="104"/>
      <c r="H2" s="104"/>
    </row>
    <row r="3" spans="1:8" ht="15" customHeight="1" x14ac:dyDescent="0.25">
      <c r="A3" s="132"/>
      <c r="B3" s="132"/>
      <c r="C3" s="132"/>
      <c r="D3" s="132"/>
      <c r="E3" s="132"/>
      <c r="F3" s="132"/>
      <c r="G3" s="104"/>
      <c r="H3" s="104"/>
    </row>
    <row r="4" spans="1:8" ht="15" customHeight="1" x14ac:dyDescent="0.25">
      <c r="A4" s="132"/>
      <c r="B4" s="132"/>
      <c r="C4" s="132"/>
      <c r="D4" s="132"/>
      <c r="E4" s="132"/>
      <c r="F4" s="132"/>
      <c r="G4" s="104"/>
      <c r="H4" s="104"/>
    </row>
    <row r="5" spans="1:8" ht="15" customHeight="1" x14ac:dyDescent="0.25">
      <c r="A5" s="132"/>
      <c r="B5" s="132"/>
      <c r="C5" s="132"/>
      <c r="D5" s="132"/>
      <c r="E5" s="132"/>
      <c r="F5" s="132"/>
      <c r="G5" s="104"/>
      <c r="H5" s="104"/>
    </row>
    <row r="6" spans="1:8" x14ac:dyDescent="0.25">
      <c r="A6" s="132"/>
      <c r="B6" s="132"/>
      <c r="C6" s="132"/>
      <c r="D6" s="132"/>
      <c r="E6" s="132"/>
      <c r="F6" s="132"/>
    </row>
    <row r="7" spans="1:8" s="33" customFormat="1" x14ac:dyDescent="0.25">
      <c r="A7" s="33" t="s">
        <v>371</v>
      </c>
      <c r="B7" s="33" t="s">
        <v>0</v>
      </c>
      <c r="C7" s="33" t="s">
        <v>1</v>
      </c>
      <c r="D7" s="33" t="s">
        <v>372</v>
      </c>
      <c r="E7" s="33" t="s">
        <v>373</v>
      </c>
      <c r="F7" s="33" t="s">
        <v>10</v>
      </c>
    </row>
    <row r="8" spans="1:8" x14ac:dyDescent="0.25">
      <c r="A8" t="s">
        <v>22</v>
      </c>
      <c r="B8" s="105" t="s">
        <v>143</v>
      </c>
      <c r="C8" s="23" t="s">
        <v>144</v>
      </c>
      <c r="D8" s="5">
        <v>43421.64</v>
      </c>
      <c r="E8" s="15">
        <v>44681</v>
      </c>
      <c r="F8" s="106" t="s">
        <v>444</v>
      </c>
    </row>
    <row r="9" spans="1:8" x14ac:dyDescent="0.25">
      <c r="A9" t="s">
        <v>22</v>
      </c>
      <c r="B9" s="105" t="s">
        <v>145</v>
      </c>
      <c r="C9" s="23" t="s">
        <v>146</v>
      </c>
      <c r="D9" s="5">
        <v>66770.3</v>
      </c>
      <c r="E9" s="15">
        <v>44681</v>
      </c>
      <c r="F9" s="106" t="s">
        <v>444</v>
      </c>
    </row>
    <row r="10" spans="1:8" x14ac:dyDescent="0.25">
      <c r="A10" t="s">
        <v>22</v>
      </c>
      <c r="B10" s="105" t="s">
        <v>140</v>
      </c>
      <c r="C10" s="23" t="s">
        <v>141</v>
      </c>
      <c r="D10" s="5">
        <v>36476.159999999996</v>
      </c>
      <c r="E10" s="15">
        <v>44681</v>
      </c>
      <c r="F10" s="106" t="s">
        <v>444</v>
      </c>
    </row>
    <row r="11" spans="1:8" x14ac:dyDescent="0.25">
      <c r="A11" t="s">
        <v>22</v>
      </c>
      <c r="B11" s="105" t="s">
        <v>148</v>
      </c>
      <c r="C11" s="23" t="s">
        <v>141</v>
      </c>
      <c r="D11" s="5">
        <v>9535.58</v>
      </c>
      <c r="E11" s="15">
        <v>44681</v>
      </c>
      <c r="F11" s="106" t="s">
        <v>444</v>
      </c>
    </row>
    <row r="12" spans="1:8" x14ac:dyDescent="0.25">
      <c r="A12" t="s">
        <v>37</v>
      </c>
      <c r="B12" s="105" t="s">
        <v>440</v>
      </c>
      <c r="C12" s="23" t="s">
        <v>43</v>
      </c>
      <c r="D12" s="5">
        <v>929014</v>
      </c>
      <c r="E12" s="15">
        <v>44742</v>
      </c>
      <c r="F12" s="106" t="s">
        <v>444</v>
      </c>
    </row>
    <row r="13" spans="1:8" x14ac:dyDescent="0.25">
      <c r="A13" t="s">
        <v>37</v>
      </c>
      <c r="B13" s="105" t="s">
        <v>441</v>
      </c>
      <c r="C13" s="23" t="s">
        <v>299</v>
      </c>
      <c r="D13" s="5">
        <v>914264</v>
      </c>
      <c r="E13" s="15">
        <v>44742</v>
      </c>
      <c r="F13" s="106" t="s">
        <v>444</v>
      </c>
    </row>
    <row r="14" spans="1:8" x14ac:dyDescent="0.25">
      <c r="A14" t="s">
        <v>37</v>
      </c>
      <c r="B14" s="105" t="s">
        <v>442</v>
      </c>
      <c r="C14" s="23" t="s">
        <v>121</v>
      </c>
      <c r="D14" s="5">
        <v>54999.799999999996</v>
      </c>
      <c r="E14" s="15">
        <v>44742</v>
      </c>
      <c r="F14" s="106" t="s">
        <v>444</v>
      </c>
    </row>
    <row r="15" spans="1:8" x14ac:dyDescent="0.25">
      <c r="A15" t="s">
        <v>37</v>
      </c>
      <c r="B15" s="105" t="s">
        <v>443</v>
      </c>
      <c r="C15" s="23" t="s">
        <v>63</v>
      </c>
      <c r="D15" s="5">
        <v>365092</v>
      </c>
      <c r="E15" s="15">
        <v>44742</v>
      </c>
      <c r="F15" s="106" t="s">
        <v>444</v>
      </c>
    </row>
    <row r="16" spans="1:8" x14ac:dyDescent="0.25">
      <c r="A16" t="s">
        <v>379</v>
      </c>
      <c r="B16" s="105"/>
      <c r="C16" s="15"/>
      <c r="D16" s="130"/>
      <c r="E16" s="15"/>
      <c r="F16" s="106"/>
    </row>
  </sheetData>
  <mergeCells count="1">
    <mergeCell ref="A2:F6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D99B5-3329-4CF1-80B2-AF771BDA0984}">
  <sheetPr codeName="Feuil18"/>
  <dimension ref="A2:H19"/>
  <sheetViews>
    <sheetView workbookViewId="0">
      <selection activeCell="A8" sqref="A8:H19"/>
    </sheetView>
  </sheetViews>
  <sheetFormatPr baseColWidth="10" defaultRowHeight="15" x14ac:dyDescent="0.25"/>
  <cols>
    <col min="1" max="1" width="25" customWidth="1"/>
    <col min="2" max="2" width="15.140625" customWidth="1"/>
    <col min="3" max="3" width="17" customWidth="1"/>
    <col min="4" max="4" width="23.7109375" bestFit="1" customWidth="1"/>
    <col min="5" max="5" width="20.28515625" bestFit="1" customWidth="1"/>
    <col min="6" max="6" width="22.5703125" style="122" customWidth="1"/>
    <col min="7" max="7" width="18.42578125" style="15" customWidth="1"/>
    <col min="8" max="8" width="19.85546875" style="122" customWidth="1"/>
    <col min="9" max="9" width="17.5703125" bestFit="1" customWidth="1"/>
    <col min="10" max="10" width="16.42578125" bestFit="1" customWidth="1"/>
  </cols>
  <sheetData>
    <row r="2" spans="1:8" ht="15" customHeight="1" x14ac:dyDescent="0.25">
      <c r="A2" s="133" t="s">
        <v>439</v>
      </c>
      <c r="B2" s="133"/>
      <c r="C2" s="133"/>
      <c r="D2" s="133"/>
      <c r="E2" s="133"/>
      <c r="F2" s="133"/>
      <c r="G2" s="133"/>
      <c r="H2" s="133"/>
    </row>
    <row r="3" spans="1:8" ht="15" customHeight="1" x14ac:dyDescent="0.25">
      <c r="A3" s="133"/>
      <c r="B3" s="133"/>
      <c r="C3" s="133"/>
      <c r="D3" s="133"/>
      <c r="E3" s="133"/>
      <c r="F3" s="133"/>
      <c r="G3" s="133"/>
      <c r="H3" s="133"/>
    </row>
    <row r="4" spans="1:8" ht="15" customHeight="1" x14ac:dyDescent="0.25">
      <c r="A4" s="133"/>
      <c r="B4" s="133"/>
      <c r="C4" s="133"/>
      <c r="D4" s="133"/>
      <c r="E4" s="133"/>
      <c r="F4" s="133"/>
      <c r="G4" s="133"/>
      <c r="H4" s="133"/>
    </row>
    <row r="5" spans="1:8" ht="15" customHeight="1" x14ac:dyDescent="0.25">
      <c r="A5" s="133"/>
      <c r="B5" s="133"/>
      <c r="C5" s="133"/>
      <c r="D5" s="133"/>
      <c r="E5" s="133"/>
      <c r="F5" s="133"/>
      <c r="G5" s="133"/>
      <c r="H5" s="133"/>
    </row>
    <row r="7" spans="1:8" s="33" customFormat="1" ht="15.75" thickBot="1" x14ac:dyDescent="0.3">
      <c r="A7" s="107" t="s">
        <v>371</v>
      </c>
      <c r="B7" s="108" t="s">
        <v>0</v>
      </c>
      <c r="C7" s="108" t="s">
        <v>1</v>
      </c>
      <c r="D7" s="108" t="s">
        <v>372</v>
      </c>
      <c r="E7" s="108" t="s">
        <v>373</v>
      </c>
      <c r="F7" s="108" t="s">
        <v>374</v>
      </c>
      <c r="G7" s="119" t="s">
        <v>438</v>
      </c>
      <c r="H7" s="108" t="s">
        <v>437</v>
      </c>
    </row>
    <row r="8" spans="1:8" ht="15.75" customHeight="1" thickTop="1" x14ac:dyDescent="0.25">
      <c r="A8" s="134" t="s">
        <v>445</v>
      </c>
      <c r="B8" s="134"/>
      <c r="C8" s="134"/>
      <c r="D8" s="134"/>
      <c r="E8" s="134"/>
      <c r="F8" s="135"/>
      <c r="G8" s="124">
        <v>44799</v>
      </c>
      <c r="H8" s="123">
        <v>156204</v>
      </c>
    </row>
    <row r="9" spans="1:8" x14ac:dyDescent="0.25">
      <c r="A9" s="109" t="s">
        <v>22</v>
      </c>
      <c r="B9" s="110" t="s">
        <v>143</v>
      </c>
      <c r="C9" s="111" t="s">
        <v>144</v>
      </c>
      <c r="D9" s="112">
        <v>43421.64</v>
      </c>
      <c r="E9" s="113">
        <v>44681</v>
      </c>
      <c r="F9" s="120">
        <f>D9</f>
        <v>43421.64</v>
      </c>
      <c r="G9" s="113"/>
      <c r="H9" s="120"/>
    </row>
    <row r="10" spans="1:8" x14ac:dyDescent="0.25">
      <c r="A10" s="114" t="s">
        <v>22</v>
      </c>
      <c r="B10" s="115" t="s">
        <v>145</v>
      </c>
      <c r="C10" s="116" t="s">
        <v>146</v>
      </c>
      <c r="D10" s="117">
        <v>66770.3</v>
      </c>
      <c r="E10" s="118">
        <v>44681</v>
      </c>
      <c r="F10" s="121">
        <f>D10</f>
        <v>66770.3</v>
      </c>
      <c r="G10" s="118"/>
      <c r="H10" s="121"/>
    </row>
    <row r="11" spans="1:8" x14ac:dyDescent="0.25">
      <c r="A11" s="109" t="s">
        <v>22</v>
      </c>
      <c r="B11" s="110" t="s">
        <v>140</v>
      </c>
      <c r="C11" s="111" t="s">
        <v>141</v>
      </c>
      <c r="D11" s="112">
        <v>36476.159999999996</v>
      </c>
      <c r="E11" s="113">
        <v>44681</v>
      </c>
      <c r="F11" s="120">
        <f>D11</f>
        <v>36476.159999999996</v>
      </c>
      <c r="G11" s="113"/>
      <c r="H11" s="120"/>
    </row>
    <row r="12" spans="1:8" x14ac:dyDescent="0.25">
      <c r="A12" s="114" t="s">
        <v>22</v>
      </c>
      <c r="B12" s="115" t="s">
        <v>148</v>
      </c>
      <c r="C12" s="116" t="s">
        <v>141</v>
      </c>
      <c r="D12" s="117">
        <v>9535.58</v>
      </c>
      <c r="E12" s="118">
        <v>44681</v>
      </c>
      <c r="F12" s="121">
        <f>D12</f>
        <v>9535.58</v>
      </c>
      <c r="G12" s="118"/>
      <c r="H12" s="121"/>
    </row>
    <row r="13" spans="1:8" x14ac:dyDescent="0.25">
      <c r="A13" s="136" t="s">
        <v>446</v>
      </c>
      <c r="B13" s="136"/>
      <c r="C13" s="136"/>
      <c r="D13" s="136"/>
      <c r="E13" s="136"/>
      <c r="F13" s="137"/>
      <c r="G13" s="126">
        <v>44799</v>
      </c>
      <c r="H13" s="125">
        <v>2263370</v>
      </c>
    </row>
    <row r="14" spans="1:8" x14ac:dyDescent="0.25">
      <c r="A14" s="114" t="s">
        <v>37</v>
      </c>
      <c r="B14" s="115" t="s">
        <v>440</v>
      </c>
      <c r="C14" s="116" t="s">
        <v>43</v>
      </c>
      <c r="D14" s="117">
        <v>929014</v>
      </c>
      <c r="E14" s="118">
        <v>44742</v>
      </c>
      <c r="F14" s="121">
        <f>D14</f>
        <v>929014</v>
      </c>
      <c r="G14" s="118"/>
      <c r="H14" s="121"/>
    </row>
    <row r="15" spans="1:8" x14ac:dyDescent="0.25">
      <c r="A15" s="109" t="s">
        <v>37</v>
      </c>
      <c r="B15" s="110" t="s">
        <v>441</v>
      </c>
      <c r="C15" s="111" t="s">
        <v>299</v>
      </c>
      <c r="D15" s="112">
        <v>914264</v>
      </c>
      <c r="E15" s="113">
        <v>44742</v>
      </c>
      <c r="F15" s="120">
        <f>D15</f>
        <v>914264</v>
      </c>
      <c r="G15" s="113"/>
      <c r="H15" s="120"/>
    </row>
    <row r="16" spans="1:8" x14ac:dyDescent="0.25">
      <c r="A16" s="114" t="s">
        <v>37</v>
      </c>
      <c r="B16" s="115" t="s">
        <v>442</v>
      </c>
      <c r="C16" s="116" t="s">
        <v>121</v>
      </c>
      <c r="D16" s="117">
        <v>54999.799999999996</v>
      </c>
      <c r="E16" s="118">
        <v>44742</v>
      </c>
      <c r="F16" s="121">
        <f>D16</f>
        <v>54999.799999999996</v>
      </c>
      <c r="G16" s="118"/>
      <c r="H16" s="121"/>
    </row>
    <row r="17" spans="1:8" x14ac:dyDescent="0.25">
      <c r="A17" s="109" t="s">
        <v>37</v>
      </c>
      <c r="B17" s="110" t="s">
        <v>443</v>
      </c>
      <c r="C17" s="111" t="s">
        <v>63</v>
      </c>
      <c r="D17" s="112">
        <v>365092</v>
      </c>
      <c r="E17" s="113">
        <v>44742</v>
      </c>
      <c r="F17" s="120">
        <f>D17</f>
        <v>365092</v>
      </c>
      <c r="G17" s="113"/>
      <c r="H17" s="120"/>
    </row>
    <row r="18" spans="1:8" x14ac:dyDescent="0.25">
      <c r="A18" s="127"/>
      <c r="B18" s="127"/>
      <c r="C18" s="127"/>
      <c r="D18" s="127"/>
      <c r="E18" s="127"/>
      <c r="F18" s="128"/>
      <c r="G18" s="129"/>
      <c r="H18" s="128"/>
    </row>
    <row r="19" spans="1:8" x14ac:dyDescent="0.25">
      <c r="A19" s="114" t="s">
        <v>8</v>
      </c>
      <c r="B19" s="115"/>
      <c r="C19" s="116"/>
      <c r="D19" s="117"/>
      <c r="E19" s="118"/>
      <c r="F19" s="121"/>
      <c r="G19" s="118"/>
      <c r="H19" s="121"/>
    </row>
  </sheetData>
  <mergeCells count="3">
    <mergeCell ref="A2:H5"/>
    <mergeCell ref="A8:F8"/>
    <mergeCell ref="A13:F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5DA4-E2CE-4A93-B274-47FEF6D9F6D1}">
  <sheetPr codeName="Feuil1"/>
  <dimension ref="A1:L25"/>
  <sheetViews>
    <sheetView showGridLines="0" tabSelected="1" zoomScale="90" zoomScaleNormal="90" workbookViewId="0">
      <pane ySplit="24" topLeftCell="A25" activePane="bottomLeft" state="frozen"/>
      <selection pane="bottomLeft" activeCell="F15" sqref="F15"/>
    </sheetView>
  </sheetViews>
  <sheetFormatPr baseColWidth="10" defaultRowHeight="15" x14ac:dyDescent="0.25"/>
  <cols>
    <col min="1" max="1" width="17.42578125" customWidth="1"/>
    <col min="2" max="2" width="17" style="15" bestFit="1" customWidth="1"/>
    <col min="3" max="3" width="17.42578125" style="19" bestFit="1" customWidth="1"/>
    <col min="4" max="4" width="18.28515625" style="5" bestFit="1" customWidth="1"/>
    <col min="5" max="5" width="18.85546875" bestFit="1" customWidth="1"/>
    <col min="6" max="6" width="16.140625" style="14" bestFit="1" customWidth="1"/>
    <col min="7" max="7" width="19" style="2" customWidth="1"/>
    <col min="8" max="8" width="19" style="15" customWidth="1"/>
    <col min="9" max="9" width="19" style="25" customWidth="1"/>
    <col min="10" max="10" width="19" customWidth="1"/>
    <col min="11" max="11" width="12.5703125" customWidth="1"/>
    <col min="12" max="12" width="14.28515625" bestFit="1" customWidth="1"/>
  </cols>
  <sheetData>
    <row r="1" spans="1:10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</row>
    <row r="2" spans="1:10" ht="33.75" x14ac:dyDescent="0.65">
      <c r="A2" s="154" t="s">
        <v>377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39"/>
      <c r="J2" s="39"/>
    </row>
    <row r="3" spans="1:10" x14ac:dyDescent="0.25">
      <c r="A3" s="7"/>
      <c r="B3" s="16"/>
      <c r="C3" s="17"/>
      <c r="D3" s="3"/>
      <c r="G3" s="36"/>
    </row>
    <row r="4" spans="1:10" ht="43.5" customHeight="1" x14ac:dyDescent="0.25">
      <c r="A4" s="8"/>
      <c r="B4" s="10"/>
      <c r="C4" s="18"/>
      <c r="D4" s="11"/>
      <c r="E4" s="9"/>
      <c r="F4" s="12"/>
      <c r="H4" s="12"/>
      <c r="I4" s="26"/>
    </row>
    <row r="5" spans="1:10" x14ac:dyDescent="0.25">
      <c r="A5" s="7"/>
      <c r="B5" s="16"/>
      <c r="C5" s="17"/>
      <c r="D5" s="3"/>
    </row>
    <row r="6" spans="1:10" ht="15.75" thickBot="1" x14ac:dyDescent="0.3"/>
    <row r="7" spans="1:10" x14ac:dyDescent="0.25">
      <c r="A7" s="143" t="s">
        <v>411</v>
      </c>
      <c r="B7" s="61" t="s">
        <v>412</v>
      </c>
      <c r="C7" s="62" cm="1">
        <f t="array" aca="1" ref="C7" ca="1">SUMPRODUCT(($G$2&gt;Echeance)+COUNT(Num_fact))</f>
        <v>1</v>
      </c>
      <c r="E7" s="146" t="s">
        <v>411</v>
      </c>
      <c r="F7" s="53" t="s">
        <v>412</v>
      </c>
      <c r="G7" s="87">
        <f ca="1">G21-C7</f>
        <v>0</v>
      </c>
    </row>
    <row r="8" spans="1:10" x14ac:dyDescent="0.25">
      <c r="A8" s="144"/>
      <c r="B8" s="63" t="s">
        <v>435</v>
      </c>
      <c r="C8" s="64" cm="1">
        <f t="array" aca="1" ref="C8" ca="1">SUMPRODUCT(($G$2&gt;Echeance)*(Montant))</f>
        <v>34200</v>
      </c>
      <c r="E8" s="147"/>
      <c r="F8" s="55" t="s">
        <v>435</v>
      </c>
      <c r="G8" s="56" cm="1">
        <f t="array" aca="1" ref="G8" ca="1">SUMPRODUCT(($G$2&lt;Echeance)*(Montant))</f>
        <v>0</v>
      </c>
    </row>
    <row r="9" spans="1:10" x14ac:dyDescent="0.25">
      <c r="A9" s="144"/>
      <c r="B9" s="65" t="s">
        <v>405</v>
      </c>
      <c r="C9" s="78">
        <f ca="1">(C8/118)*18</f>
        <v>5216.9491525423728</v>
      </c>
      <c r="E9" s="147"/>
      <c r="F9" s="57" t="s">
        <v>413</v>
      </c>
      <c r="G9" s="58">
        <f ca="1">(G8/118)*18</f>
        <v>0</v>
      </c>
    </row>
    <row r="10" spans="1:10" ht="15.75" thickBot="1" x14ac:dyDescent="0.3">
      <c r="A10" s="145"/>
      <c r="B10" s="91" t="s">
        <v>407</v>
      </c>
      <c r="C10" s="92" cm="1">
        <f t="array" aca="1" ref="C10" ca="1">SUMPRODUCT((($G$2)&gt;(Echeance))+(Date_val=""))/COUNTA(Num_fact)</f>
        <v>1</v>
      </c>
      <c r="E10" s="148"/>
      <c r="F10" s="59" t="s">
        <v>406</v>
      </c>
      <c r="G10" s="60" cm="1">
        <f t="array" aca="1" ref="G10" ca="1">SUMPRODUCT((($G$2)&lt;(Echeance))+(Delai="En attente"))/COUNTA(Num_fact)</f>
        <v>0</v>
      </c>
    </row>
    <row r="11" spans="1:10" ht="20.25" thickBot="1" x14ac:dyDescent="0.3">
      <c r="B11" s="43"/>
      <c r="C11" s="44"/>
      <c r="E11" s="42"/>
      <c r="F11" s="27"/>
      <c r="G11" s="27"/>
      <c r="H11" s="27"/>
    </row>
    <row r="12" spans="1:10" x14ac:dyDescent="0.25">
      <c r="A12" s="140" t="s">
        <v>410</v>
      </c>
      <c r="B12" s="66" t="s">
        <v>402</v>
      </c>
      <c r="C12" s="79">
        <v>44743</v>
      </c>
      <c r="E12" s="149" t="s">
        <v>410</v>
      </c>
      <c r="F12" s="71" t="s">
        <v>402</v>
      </c>
      <c r="G12" s="80">
        <v>44774</v>
      </c>
      <c r="H12" s="30"/>
    </row>
    <row r="13" spans="1:10" x14ac:dyDescent="0.25">
      <c r="A13" s="141"/>
      <c r="B13" s="45" t="s">
        <v>403</v>
      </c>
      <c r="C13" s="67" cm="1">
        <f t="array" aca="1" ref="C13" ca="1">SUMPRODUCT(((($G$2)&gt;(Echeance)) )*(MONTH(Echeance) = MONTH(C12)))</f>
        <v>0</v>
      </c>
      <c r="E13" s="150"/>
      <c r="F13" s="52" t="s">
        <v>403</v>
      </c>
      <c r="G13" s="86" cm="1">
        <f t="array" aca="1" ref="G13" ca="1">SUMPRODUCT(((($G$2)&lt;(Echeance)) )*(MONTH(Echeance) = MONTH(G12)))</f>
        <v>0</v>
      </c>
      <c r="H13" s="30"/>
    </row>
    <row r="14" spans="1:10" x14ac:dyDescent="0.25">
      <c r="A14" s="141"/>
      <c r="B14" s="46" t="s">
        <v>435</v>
      </c>
      <c r="C14" s="68" cm="1">
        <f t="array" aca="1" ref="C14" ca="1">SUMPRODUCT(((($G$2)&gt;(Echeance)) )*(MONTH(Echeance) = MONTH(C12))*(Montant))</f>
        <v>0</v>
      </c>
      <c r="E14" s="150"/>
      <c r="F14" s="51" t="s">
        <v>435</v>
      </c>
      <c r="G14" s="73" cm="1">
        <f t="array" aca="1" ref="G14" ca="1">SUMPRODUCT(((($G$2)&lt;(Echeance)) )*(MONTH(Echeance) = MONTH(G12))*(Montant))</f>
        <v>0</v>
      </c>
      <c r="H14" s="30"/>
    </row>
    <row r="15" spans="1:10" x14ac:dyDescent="0.25">
      <c r="A15" s="141"/>
      <c r="B15" s="45" t="s">
        <v>405</v>
      </c>
      <c r="C15" s="81">
        <f ca="1">(C14/118)*18</f>
        <v>0</v>
      </c>
      <c r="E15" s="150"/>
      <c r="F15" s="52" t="s">
        <v>405</v>
      </c>
      <c r="G15" s="74">
        <f ca="1">(G14/118)*18</f>
        <v>0</v>
      </c>
      <c r="H15" s="30"/>
    </row>
    <row r="16" spans="1:10" ht="15.75" thickBot="1" x14ac:dyDescent="0.3">
      <c r="A16" s="142"/>
      <c r="B16" s="69" t="s">
        <v>407</v>
      </c>
      <c r="C16" s="70" t="str" cm="1">
        <f t="array" aca="1" ref="C16" ca="1">IF(C13=0,"",SUMPRODUCT(((($G$2)&gt;(Echeance)))*(MONTH(Echeance)=MONTH(C12)))/SUMPRODUCT((MONTH(Echeance)=MONTH(C12))*1))</f>
        <v/>
      </c>
      <c r="E16" s="151"/>
      <c r="F16" s="75" t="s">
        <v>406</v>
      </c>
      <c r="G16" s="76" t="str" cm="1">
        <f t="array" aca="1" ref="G16" ca="1">IF(G13=0,"",SUMPRODUCT(((($G$2)&lt;(Echeance)))*(MONTH(Echeance)=MONTH(G12)))/SUMPRODUCT((MONTH(Echeance)=MONTH(G12))*1))</f>
        <v/>
      </c>
      <c r="H16" s="30"/>
    </row>
    <row r="17" spans="1:12" x14ac:dyDescent="0.25">
      <c r="C17" s="40"/>
      <c r="D17" s="41"/>
      <c r="F17" s="28"/>
      <c r="G17" s="29"/>
      <c r="H17" s="30"/>
    </row>
    <row r="18" spans="1:12" x14ac:dyDescent="0.25">
      <c r="C18" s="40"/>
      <c r="F18" s="28"/>
      <c r="G18" s="29"/>
      <c r="H18" s="30"/>
    </row>
    <row r="19" spans="1:12" x14ac:dyDescent="0.25">
      <c r="F19" s="28"/>
      <c r="G19" s="29"/>
      <c r="H19" s="30"/>
    </row>
    <row r="20" spans="1:12" ht="20.25" customHeight="1" x14ac:dyDescent="0.25">
      <c r="H20" s="31"/>
      <c r="I20" s="31"/>
      <c r="J20" s="31"/>
      <c r="K20" s="31"/>
      <c r="L20" s="31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SUMPRODUCT((($G$2)&gt;(Echeance))+(($G$2)&lt;(Echeance)))</f>
        <v>1</v>
      </c>
      <c r="H21" s="31"/>
      <c r="I21" s="31"/>
      <c r="J21" s="31"/>
      <c r="K21" s="31"/>
    </row>
    <row r="22" spans="1:12" s="32" customFormat="1" ht="18.75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SUMPRODUCT(((($G$2)&gt;(Echeance)) + (($G$2)&lt;(Echeance)))*(Montant))</f>
        <v>34200</v>
      </c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358</v>
      </c>
      <c r="G24" s="4" t="s">
        <v>10</v>
      </c>
      <c r="H24"/>
      <c r="I24"/>
    </row>
    <row r="25" spans="1:12" x14ac:dyDescent="0.25">
      <c r="A25" s="102" t="s">
        <v>433</v>
      </c>
      <c r="B25" s="23">
        <v>44754</v>
      </c>
      <c r="C25" s="22">
        <v>28983</v>
      </c>
      <c r="D25" s="5">
        <v>34200</v>
      </c>
      <c r="E25" s="21">
        <f>IF(Tableau1[[#This Row],[N° Facture]]="","",EOMONTH(Tableau1[[#This Row],[Date facture]],1))</f>
        <v>44804</v>
      </c>
      <c r="F25" s="14" t="str">
        <f ca="1">IF($G$2-Tableau1[[#This Row],[Date échéance]]&lt;0,-1*($G$2-Tableau1[[#This Row],[Date échéance]])&amp;" jrs d'avance",$G$2-Tableau1[[#This Row],[Date échéance]]&amp;" jrs de retard")</f>
        <v>1 jrs de retard</v>
      </c>
      <c r="G25" s="15" t="str">
        <f ca="1">IF($G$2-Tableau1[[#This Row],[Date échéance]]&gt;0,"A régler","En attente")</f>
        <v>A régler</v>
      </c>
      <c r="H25"/>
      <c r="I25"/>
    </row>
  </sheetData>
  <mergeCells count="13">
    <mergeCell ref="G1:H1"/>
    <mergeCell ref="A21:E22"/>
    <mergeCell ref="A12:A16"/>
    <mergeCell ref="A7:A10"/>
    <mergeCell ref="E7:E10"/>
    <mergeCell ref="E12:E16"/>
    <mergeCell ref="A1:B1"/>
    <mergeCell ref="C1:D1"/>
    <mergeCell ref="E1:F1"/>
    <mergeCell ref="A2:B2"/>
    <mergeCell ref="C2:D2"/>
    <mergeCell ref="E2:F2"/>
    <mergeCell ref="G2:H2"/>
  </mergeCells>
  <conditionalFormatting sqref="A25:G25">
    <cfRule type="expression" dxfId="153" priority="14">
      <formula>OR($E25="",$G$2&lt;$E25)</formula>
    </cfRule>
    <cfRule type="expression" dxfId="152" priority="15">
      <formula>AND(MONTH($E25)=MONTH($C$12),OR($E25="",$G$2&gt;$E25))</formula>
    </cfRule>
    <cfRule type="expression" dxfId="151" priority="16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77A3782-4FF6-4FEB-A41F-1FC418E7ABB8}">
          <x14:formula1>
            <xm:f>BDD!$C$3:$C$14</xm:f>
          </x14:formula1>
          <xm:sqref>C12 G12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2ACF-3C6F-4B8F-8DA8-389702450BD0}">
  <sheetPr codeName="Feuil5"/>
  <dimension ref="A1:L29"/>
  <sheetViews>
    <sheetView showGridLines="0" workbookViewId="0">
      <pane ySplit="24" topLeftCell="A25" activePane="bottomLeft" state="frozen"/>
      <selection pane="bottomLeft" activeCell="F15" sqref="F15"/>
    </sheetView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9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</row>
    <row r="2" spans="1:9" ht="33.75" x14ac:dyDescent="0.65">
      <c r="A2" s="154" t="s">
        <v>378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</row>
    <row r="3" spans="1:9" x14ac:dyDescent="0.25">
      <c r="A3" s="77"/>
      <c r="B3" s="16"/>
      <c r="C3" s="17"/>
      <c r="D3" s="3"/>
      <c r="G3" s="36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7"/>
      <c r="B5" s="16"/>
      <c r="C5" s="17"/>
      <c r="D5" s="3"/>
    </row>
    <row r="6" spans="1:9" ht="15.75" thickBot="1" x14ac:dyDescent="0.3"/>
    <row r="7" spans="1:9" x14ac:dyDescent="0.25">
      <c r="A7" s="143" t="s">
        <v>411</v>
      </c>
      <c r="B7" s="61" t="s">
        <v>412</v>
      </c>
      <c r="C7" s="62" cm="1">
        <f t="array" aca="1" ref="C7" ca="1">SUMPRODUCT(($G$2&gt;jadEcheance)+COUNT(jadNum_fact))</f>
        <v>3</v>
      </c>
      <c r="E7" s="146" t="s">
        <v>411</v>
      </c>
      <c r="F7" s="53" t="s">
        <v>412</v>
      </c>
      <c r="G7" s="54">
        <f ca="1">G21-C7</f>
        <v>2</v>
      </c>
    </row>
    <row r="8" spans="1:9" x14ac:dyDescent="0.25">
      <c r="A8" s="144"/>
      <c r="B8" s="63" t="s">
        <v>435</v>
      </c>
      <c r="C8" s="64" cm="1">
        <f t="array" aca="1" ref="C8" ca="1">SUMPRODUCT(($G$2&gt;jadEcheance)*(jadMontant))</f>
        <v>3267538</v>
      </c>
      <c r="E8" s="147"/>
      <c r="F8" s="55" t="s">
        <v>435</v>
      </c>
      <c r="G8" s="56" cm="1">
        <f t="array" aca="1" ref="G8" ca="1">SUMPRODUCT(($G$2&lt;jadEcheance)*(jadMontant))</f>
        <v>1941336</v>
      </c>
    </row>
    <row r="9" spans="1:9" x14ac:dyDescent="0.25">
      <c r="A9" s="144"/>
      <c r="B9" s="65" t="s">
        <v>405</v>
      </c>
      <c r="C9" s="78">
        <f ca="1">(C8/118)*18</f>
        <v>498438</v>
      </c>
      <c r="E9" s="147"/>
      <c r="F9" s="57" t="s">
        <v>413</v>
      </c>
      <c r="G9" s="58">
        <f ca="1">(G8/118)*18</f>
        <v>296136</v>
      </c>
    </row>
    <row r="10" spans="1:9" ht="15.75" thickBot="1" x14ac:dyDescent="0.3">
      <c r="A10" s="145"/>
      <c r="B10" s="91" t="s">
        <v>407</v>
      </c>
      <c r="C10" s="92" cm="1">
        <f t="array" aca="1" ref="C10" ca="1">SUMPRODUCT((($G$2)&gt;(jadEcheance))+(jadDate_val=""))/COUNTA(jadNum_fact)</f>
        <v>0.6</v>
      </c>
      <c r="E10" s="148"/>
      <c r="F10" s="59" t="s">
        <v>406</v>
      </c>
      <c r="G10" s="60" cm="1">
        <f t="array" aca="1" ref="G10" ca="1">SUMPRODUCT((($G$2)&lt;(jadEcheance))+(jadDate_val=""))/COUNTA(jadNum_fact)</f>
        <v>0.4</v>
      </c>
    </row>
    <row r="11" spans="1:9" ht="20.25" thickBot="1" x14ac:dyDescent="0.3">
      <c r="B11" s="43"/>
      <c r="C11" s="44"/>
      <c r="E11" s="42"/>
      <c r="F11" s="27"/>
      <c r="G11" s="27"/>
      <c r="H11" s="27"/>
    </row>
    <row r="12" spans="1:9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</row>
    <row r="13" spans="1:9" x14ac:dyDescent="0.25">
      <c r="A13" s="141"/>
      <c r="B13" s="45" t="s">
        <v>403</v>
      </c>
      <c r="C13" s="67" cm="1">
        <f t="array" aca="1" ref="C13" ca="1">SUMPRODUCT(((($G$2)&gt;(jadEcheance)) )*(MONTH(jadEcheance) = MONTH(C12)))</f>
        <v>2</v>
      </c>
      <c r="E13" s="150"/>
      <c r="F13" s="52" t="s">
        <v>403</v>
      </c>
      <c r="G13" s="72" cm="1">
        <f t="array" aca="1" ref="G13" ca="1">SUMPRODUCT(((($G$2)&lt;(jadEcheance)) )*(MONTH(jadEcheance) = MONTH(G12)))</f>
        <v>0</v>
      </c>
      <c r="H13" s="30"/>
    </row>
    <row r="14" spans="1:9" x14ac:dyDescent="0.25">
      <c r="A14" s="141"/>
      <c r="B14" s="46" t="s">
        <v>435</v>
      </c>
      <c r="C14" s="68" cm="1">
        <f t="array" aca="1" ref="C14" ca="1">SUMPRODUCT(((($G$2)&gt;(jadEcheance)) )*(MONTH(jadEcheance) = MONTH(C12))*(jadMontant))</f>
        <v>1298118</v>
      </c>
      <c r="E14" s="150"/>
      <c r="F14" s="51" t="s">
        <v>435</v>
      </c>
      <c r="G14" s="73" cm="1">
        <f t="array" aca="1" ref="G14" ca="1">SUMPRODUCT(((($G$2)&lt;(jadEcheance)) )*(MONTH(jadEcheance) = MONTH(G12))*(jadMontant))</f>
        <v>0</v>
      </c>
      <c r="H14" s="30"/>
    </row>
    <row r="15" spans="1:9" x14ac:dyDescent="0.25">
      <c r="A15" s="141"/>
      <c r="B15" s="45" t="s">
        <v>405</v>
      </c>
      <c r="C15" s="81">
        <f ca="1">(C14/118)*18</f>
        <v>198018</v>
      </c>
      <c r="E15" s="150"/>
      <c r="F15" s="52" t="s">
        <v>405</v>
      </c>
      <c r="G15" s="74">
        <f ca="1">(G14/118)*18</f>
        <v>0</v>
      </c>
      <c r="H15" s="30"/>
    </row>
    <row r="16" spans="1:9" ht="15.75" thickBot="1" x14ac:dyDescent="0.3">
      <c r="A16" s="142"/>
      <c r="B16" s="69" t="s">
        <v>407</v>
      </c>
      <c r="C16" s="70" cm="1">
        <f t="array" aca="1" ref="C16" ca="1">IF(C13=0,"",SUMPRODUCT(((($G$2)&gt;(jadEcheance)))*(MONTH(jadEcheance)=MONTH(C12)))/SUMPRODUCT((MONTH(jadEcheance)=MONTH(C12))*1))</f>
        <v>1</v>
      </c>
      <c r="E16" s="151"/>
      <c r="F16" s="75" t="s">
        <v>406</v>
      </c>
      <c r="G16" s="76" t="str" cm="1">
        <f t="array" aca="1" ref="G16" ca="1">IF(G13=0,"",SUMPRODUCT(((($G$2)&lt;(jadEcheance)))*(MONTH(jadEcheance)=MONTH(G12)))/SUMPRODUCT((MONTH(jadEcheance)=MONTH(G12))*1))</f>
        <v/>
      </c>
      <c r="H16" s="30"/>
    </row>
    <row r="17" spans="1:12" x14ac:dyDescent="0.25">
      <c r="C17" s="40"/>
      <c r="D17" s="41"/>
      <c r="F17" s="28"/>
      <c r="G17" s="29"/>
      <c r="H17" s="30"/>
    </row>
    <row r="18" spans="1:12" x14ac:dyDescent="0.25">
      <c r="C18" s="40"/>
      <c r="F18" s="28"/>
      <c r="G18" s="29"/>
      <c r="H18" s="30"/>
    </row>
    <row r="19" spans="1:12" x14ac:dyDescent="0.25">
      <c r="F19" s="28"/>
      <c r="G19" s="29"/>
      <c r="H19" s="30"/>
    </row>
    <row r="20" spans="1:12" ht="36" x14ac:dyDescent="0.25">
      <c r="H20" s="31"/>
      <c r="I20" s="31"/>
      <c r="J20" s="31"/>
      <c r="K20" s="31"/>
      <c r="L20" s="31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SUMPRODUCT((($G$2)&gt;(jadEcheance))+(($G$2)&lt;(jadEcheance)))</f>
        <v>5</v>
      </c>
      <c r="H21" s="31"/>
      <c r="I21" s="31"/>
      <c r="J21" s="31"/>
      <c r="K21" s="31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SUMPRODUCT(((($G$2)&gt;(jadEcheance)) + (($G$2)&lt;(jadEcheance)))*(jadMontant))</f>
        <v>5208874</v>
      </c>
      <c r="H22" s="32"/>
      <c r="I22" s="85"/>
      <c r="J22" s="157"/>
      <c r="K22" s="157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102" t="s">
        <v>263</v>
      </c>
      <c r="B25" s="23" t="s">
        <v>63</v>
      </c>
      <c r="C25" s="22" t="s">
        <v>264</v>
      </c>
      <c r="D25" s="5">
        <v>232460</v>
      </c>
      <c r="E25" s="21">
        <f>IF(jadcitab[[#This Row],[N° Facture]]="","",EOMONTH(jadcitab[[#This Row],[Date facture]],1))</f>
        <v>44742</v>
      </c>
      <c r="F25" s="14" t="str">
        <f ca="1">IF($G$2-jadcitab[[#This Row],[Date échéance]]&lt;0,-1*($G$2-jadcitab[[#This Row],[Date échéance]])&amp;" jrs d'avance",$G$2-jadcitab[[#This Row],[Date échéance]]&amp;" jrs de retard")</f>
        <v>63 jrs de retard</v>
      </c>
      <c r="G25" s="15" t="str">
        <f ca="1">IF($G$2-jadcitab[[#This Row],[Date échéance]]&gt;0,"A régler","En attente")</f>
        <v>A régler</v>
      </c>
      <c r="H25"/>
      <c r="I25"/>
    </row>
    <row r="26" spans="1:12" x14ac:dyDescent="0.25">
      <c r="A26" s="102" t="s">
        <v>265</v>
      </c>
      <c r="B26" s="23" t="s">
        <v>63</v>
      </c>
      <c r="C26" s="22" t="s">
        <v>266</v>
      </c>
      <c r="D26" s="5">
        <v>1065658</v>
      </c>
      <c r="E26" s="21">
        <f>IF(jadcitab[[#This Row],[N° Facture]]="","",EOMONTH(jadcitab[[#This Row],[Date facture]],1))</f>
        <v>44742</v>
      </c>
      <c r="F26" s="14" t="str">
        <f ca="1">IF($G$2-jadcitab[[#This Row],[Date échéance]]&lt;0,-1*($G$2-jadcitab[[#This Row],[Date échéance]])&amp;" jrs d'avance",$G$2-jadcitab[[#This Row],[Date échéance]]&amp;" jrs de retard")</f>
        <v>63 jrs de retard</v>
      </c>
      <c r="G26" s="15" t="str">
        <f ca="1">IF($G$2-jadcitab[[#This Row],[Date échéance]]&gt;0,"A régler","En attente")</f>
        <v>A régler</v>
      </c>
      <c r="H26"/>
      <c r="I26"/>
    </row>
    <row r="27" spans="1:12" x14ac:dyDescent="0.25">
      <c r="A27" s="102" t="s">
        <v>29</v>
      </c>
      <c r="B27" s="23" t="s">
        <v>18</v>
      </c>
      <c r="C27" s="22" t="s">
        <v>30</v>
      </c>
      <c r="D27" s="5">
        <v>1969420</v>
      </c>
      <c r="E27" s="21">
        <f>IF(jadcitab[[#This Row],[N° Facture]]="","",EOMONTH(jadcitab[[#This Row],[Date facture]],1))</f>
        <v>44773</v>
      </c>
      <c r="F27" s="14" t="str">
        <f ca="1">IF($G$2-jadcitab[[#This Row],[Date échéance]]&lt;0,-1*($G$2-jadcitab[[#This Row],[Date échéance]])&amp;" jrs d'avance",$G$2-jadcitab[[#This Row],[Date échéance]]&amp;" jrs de retard")</f>
        <v>32 jrs de retard</v>
      </c>
      <c r="G27" s="15" t="str">
        <f ca="1">IF($G$2-jadcitab[[#This Row],[Date échéance]]&gt;0,"A régler","En attente")</f>
        <v>A régler</v>
      </c>
      <c r="H27"/>
      <c r="I27"/>
    </row>
    <row r="28" spans="1:12" x14ac:dyDescent="0.25">
      <c r="A28" s="102" t="s">
        <v>259</v>
      </c>
      <c r="B28" s="23" t="s">
        <v>69</v>
      </c>
      <c r="C28" s="22" t="s">
        <v>260</v>
      </c>
      <c r="D28" s="5">
        <v>1512642</v>
      </c>
      <c r="E28" s="21">
        <f>IF(jadcitab[[#This Row],[N° Facture]]="","",EOMONTH(jadcitab[[#This Row],[Date facture]],1))</f>
        <v>44834</v>
      </c>
      <c r="F28" s="14" t="str">
        <f ca="1">IF($G$2-jadcitab[[#This Row],[Date échéance]]&lt;0,-1*($G$2-jadcitab[[#This Row],[Date échéance]])&amp;" jrs d'avance",$G$2-jadcitab[[#This Row],[Date échéance]]&amp;" jrs de retard")</f>
        <v>29 jrs d'avance</v>
      </c>
      <c r="G28" s="15" t="str">
        <f ca="1">IF($G$2-jadcitab[[#This Row],[Date échéance]]&gt;0,"A régler","En attente")</f>
        <v>En attente</v>
      </c>
      <c r="H28"/>
      <c r="I28"/>
    </row>
    <row r="29" spans="1:12" x14ac:dyDescent="0.25">
      <c r="A29" s="102" t="s">
        <v>261</v>
      </c>
      <c r="B29" s="23" t="s">
        <v>69</v>
      </c>
      <c r="C29" s="22" t="s">
        <v>262</v>
      </c>
      <c r="D29" s="5">
        <v>428694</v>
      </c>
      <c r="E29" s="21">
        <f>IF(jadcitab[[#This Row],[N° Facture]]="","",EOMONTH(jadcitab[[#This Row],[Date facture]],1))</f>
        <v>44834</v>
      </c>
      <c r="F29" s="14" t="str">
        <f ca="1">IF($G$2-jadcitab[[#This Row],[Date échéance]]&lt;0,-1*($G$2-jadcitab[[#This Row],[Date échéance]])&amp;" jrs d'avance",$G$2-jadcitab[[#This Row],[Date échéance]]&amp;" jrs de retard")</f>
        <v>29 jrs d'avance</v>
      </c>
      <c r="G29" s="15" t="str">
        <f ca="1">IF($G$2-jadcitab[[#This Row],[Date échéance]]&gt;0,"A régler","En attente")</f>
        <v>En attente</v>
      </c>
      <c r="H29"/>
      <c r="I29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9">
    <cfRule type="expression" dxfId="142" priority="1">
      <formula>AND(MONTH($E25)=MONTH($D$9),OR($E25="",$G$2&gt;$E25))</formula>
    </cfRule>
    <cfRule type="expression" dxfId="141" priority="2">
      <formula>OR($E25="",$G$2&lt;$E25)</formula>
    </cfRule>
    <cfRule type="expression" dxfId="140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59F8700-E472-4866-BAE5-7031014B72D6}">
          <x14:formula1>
            <xm:f>BDD!$C$3:$C$14</xm:f>
          </x14:formula1>
          <xm:sqref>C12 G12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3C33-F9CA-4C84-92DE-A162B043C684}">
  <sheetPr codeName="Feuil6"/>
  <dimension ref="A1:L29"/>
  <sheetViews>
    <sheetView showGridLines="0" zoomScaleNormal="100" workbookViewId="0">
      <pane ySplit="24" topLeftCell="A25" activePane="bottomLeft" state="frozen"/>
      <selection pane="bottomLeft" activeCell="F15" sqref="F15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430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SUMPRODUCT(($G$2&gt;dmdEcheance)+COUNT(dmdNum_fact))</f>
        <v>1</v>
      </c>
      <c r="E7" s="146" t="s">
        <v>411</v>
      </c>
      <c r="F7" s="53" t="s">
        <v>412</v>
      </c>
      <c r="G7" s="87">
        <f ca="1">G21-C7</f>
        <v>4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SUMPRODUCT(($G$2&gt;dmdEcheance)*(dmdMontant))</f>
        <v>542800</v>
      </c>
      <c r="E8" s="147"/>
      <c r="F8" s="55" t="s">
        <v>435</v>
      </c>
      <c r="G8" s="56" cm="1">
        <f t="array" aca="1" ref="G8" ca="1">SUMPRODUCT(($G$2&lt;dmdEcheance)*(dmdMontant))</f>
        <v>353955.16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82800</v>
      </c>
      <c r="E9" s="147"/>
      <c r="F9" s="57" t="s">
        <v>413</v>
      </c>
      <c r="G9" s="58">
        <f ca="1">(G8/118)*18</f>
        <v>53993.159999999996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SUMPRODUCT((($G$2)&gt;(dmdEcheance))+(dmdDate_val=""))/COUNTA(dmdNum_fact)</f>
        <v>0.2</v>
      </c>
      <c r="E10" s="148"/>
      <c r="F10" s="59" t="s">
        <v>406</v>
      </c>
      <c r="G10" s="60" cm="1">
        <f t="array" aca="1" ref="G10" ca="1">SUMPRODUCT((($G$2)&lt;(dmdEcheance))+(dmdDate_val=""))/COUNTA(dmdNum_fact)</f>
        <v>0.8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SUMPRODUCT(((($G$2)&gt;(dmdEcheance)) )*(MONTH(dmdEcheance) = MONTH(C12)))</f>
        <v>0</v>
      </c>
      <c r="E13" s="150"/>
      <c r="F13" s="52" t="s">
        <v>403</v>
      </c>
      <c r="G13" s="86" cm="1">
        <f t="array" aca="1" ref="G13" ca="1">SUMPRODUCT(((($G$2)&lt;(dmdEcheance)) )*(MONTH(dmdEcheance)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SUMPRODUCT(((($G$2)&gt;(dmdEcheance)) )*(MONTH(dmdEcheance) = MONTH(C12))*(dmdMontant))</f>
        <v>0</v>
      </c>
      <c r="E14" s="150"/>
      <c r="F14" s="51" t="s">
        <v>435</v>
      </c>
      <c r="G14" s="73" cm="1">
        <f t="array" aca="1" ref="G14" ca="1">SUMPRODUCT(((($G$2)&lt;(dmdEcheance)) )*(MONTH(dmdEcheance) = MONTH(G12))*(dmdMontant))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0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93" t="str" cm="1">
        <f t="array" aca="1" ref="C16" ca="1">IF(C13=0,"",SUMPRODUCT(((($G$2)&gt;(dmdEcheance)))*(MONTH(dmdEcheance)=MONTH(C12)))/SUMPRODUCT((MONTH(dmdEcheance)=MONTH(C12))*1))</f>
        <v/>
      </c>
      <c r="E16" s="151"/>
      <c r="F16" s="75" t="s">
        <v>406</v>
      </c>
      <c r="G16" s="76" t="str" cm="1">
        <f t="array" aca="1" ref="G16" ca="1">IF(G13=0,"",SUMPRODUCT(((($G$2)&lt;(dmdEcheance)))*(MONTH(dmdEcheance)=MONTH(G12)))/SUMPRODUCT((MONTH(dmdEcheance)=MONTH(G12))*1))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SUMPRODUCT((($G$2)&gt;(dmdEcheance))+(($G$2)&lt;(dmdEcheance)))</f>
        <v>5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SUMPRODUCT(((($G$2)&gt;(dmdEcheance)) + (($G$2)&lt;(dmdEcheance)))*(dmdMontant))</f>
        <v>896755.15999999992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338</v>
      </c>
      <c r="B25" s="23" t="s">
        <v>276</v>
      </c>
      <c r="C25" s="22" t="s">
        <v>339</v>
      </c>
      <c r="D25" s="5">
        <v>542800</v>
      </c>
      <c r="E25" s="21">
        <f>IF(dmdtab[[#This Row],[N° Facture]]="","",EOMONTH(dmdtab[[#This Row],[Date facture]],2))</f>
        <v>44804</v>
      </c>
      <c r="F25" s="14" t="str">
        <f ca="1">IF($G$2-dmdtab[[#This Row],[Date échéance]]&lt;0,-1*($G$2-dmdtab[[#This Row],[Date échéance]])&amp;" jrs d'avance",$G$2-dmdtab[[#This Row],[Date échéance]]&amp;" jrs de retard")</f>
        <v>1 jrs de retard</v>
      </c>
      <c r="G25" s="15" t="str">
        <f ca="1">IF($G$2-dmdtab[[#This Row],[Date échéance]]&gt;0,"A régler","En attente")</f>
        <v>A régler</v>
      </c>
      <c r="H25"/>
      <c r="I25"/>
    </row>
    <row r="26" spans="1:12" x14ac:dyDescent="0.25">
      <c r="A26" s="23" t="s">
        <v>340</v>
      </c>
      <c r="B26" s="23" t="s">
        <v>318</v>
      </c>
      <c r="C26" s="22" t="s">
        <v>341</v>
      </c>
      <c r="D26" s="5">
        <v>73499.839999999997</v>
      </c>
      <c r="E26" s="21">
        <f>IF(dmdtab[[#This Row],[N° Facture]]="","",EOMONTH(dmdtab[[#This Row],[Date facture]],2))</f>
        <v>44834</v>
      </c>
      <c r="F26" s="14" t="str">
        <f ca="1">IF($G$2-dmdtab[[#This Row],[Date échéance]]&lt;0,-1*($G$2-dmdtab[[#This Row],[Date échéance]])&amp;" jrs d'avance",$G$2-dmdtab[[#This Row],[Date échéance]]&amp;" jrs de retard")</f>
        <v>29 jrs d'avance</v>
      </c>
      <c r="G26" s="15" t="str">
        <f ca="1">IF($G$2-dmdtab[[#This Row],[Date échéance]]&gt;0,"A régler","En attente")</f>
        <v>En attente</v>
      </c>
      <c r="H26"/>
      <c r="I26"/>
    </row>
    <row r="27" spans="1:12" x14ac:dyDescent="0.25">
      <c r="A27" s="23" t="s">
        <v>342</v>
      </c>
      <c r="B27" s="23" t="s">
        <v>343</v>
      </c>
      <c r="C27" s="22" t="s">
        <v>344</v>
      </c>
      <c r="D27" s="5">
        <v>137579.74</v>
      </c>
      <c r="E27" s="21">
        <f>IF(dmdtab[[#This Row],[N° Facture]]="","",EOMONTH(dmdtab[[#This Row],[Date facture]],2))</f>
        <v>44834</v>
      </c>
      <c r="F27" s="14" t="str">
        <f ca="1">IF($G$2-dmdtab[[#This Row],[Date échéance]]&lt;0,-1*($G$2-dmdtab[[#This Row],[Date échéance]])&amp;" jrs d'avance",$G$2-dmdtab[[#This Row],[Date échéance]]&amp;" jrs de retard")</f>
        <v>29 jrs d'avance</v>
      </c>
      <c r="G27" s="15" t="str">
        <f ca="1">IF($G$2-dmdtab[[#This Row],[Date échéance]]&gt;0,"A régler","En attente")</f>
        <v>En attente</v>
      </c>
      <c r="H27"/>
      <c r="I27"/>
    </row>
    <row r="28" spans="1:12" x14ac:dyDescent="0.25">
      <c r="A28" s="23" t="s">
        <v>345</v>
      </c>
      <c r="B28" s="23" t="s">
        <v>285</v>
      </c>
      <c r="C28" s="22" t="s">
        <v>346</v>
      </c>
      <c r="D28" s="5">
        <v>63375.439999999995</v>
      </c>
      <c r="E28" s="21">
        <f>IF(dmdtab[[#This Row],[N° Facture]]="","",EOMONTH(dmdtab[[#This Row],[Date facture]],2))</f>
        <v>44834</v>
      </c>
      <c r="F28" s="14" t="str">
        <f ca="1">IF($G$2-dmdtab[[#This Row],[Date échéance]]&lt;0,-1*($G$2-dmdtab[[#This Row],[Date échéance]])&amp;" jrs d'avance",$G$2-dmdtab[[#This Row],[Date échéance]]&amp;" jrs de retard")</f>
        <v>29 jrs d'avance</v>
      </c>
      <c r="G28" s="15" t="str">
        <f ca="1">IF($G$2-dmdtab[[#This Row],[Date échéance]]&gt;0,"A régler","En attente")</f>
        <v>En attente</v>
      </c>
      <c r="H28"/>
      <c r="I28"/>
    </row>
    <row r="29" spans="1:12" x14ac:dyDescent="0.25">
      <c r="A29" s="23" t="s">
        <v>347</v>
      </c>
      <c r="B29" s="23" t="s">
        <v>285</v>
      </c>
      <c r="C29" s="22" t="s">
        <v>348</v>
      </c>
      <c r="D29" s="5">
        <v>79500.14</v>
      </c>
      <c r="E29" s="21">
        <f>IF(dmdtab[[#This Row],[N° Facture]]="","",EOMONTH(dmdtab[[#This Row],[Date facture]],2))</f>
        <v>44834</v>
      </c>
      <c r="F29" s="14" t="str">
        <f ca="1">IF($G$2-dmdtab[[#This Row],[Date échéance]]&lt;0,-1*($G$2-dmdtab[[#This Row],[Date échéance]])&amp;" jrs d'avance",$G$2-dmdtab[[#This Row],[Date échéance]]&amp;" jrs de retard")</f>
        <v>29 jrs d'avance</v>
      </c>
      <c r="G29" s="15" t="str">
        <f ca="1">IF($G$2-dmdtab[[#This Row],[Date échéance]]&gt;0,"A régler","En attente")</f>
        <v>En attente</v>
      </c>
      <c r="H29"/>
      <c r="I29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9">
    <cfRule type="expression" dxfId="131" priority="1">
      <formula>AND(MONTH($E25)=MONTH($C$12),OR($E25="",$G$2&gt;$E25))</formula>
    </cfRule>
    <cfRule type="expression" dxfId="130" priority="2">
      <formula>OR($E25="",$G$2&lt;$E25)</formula>
    </cfRule>
    <cfRule type="expression" dxfId="129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C89A72-1930-47EA-A862-2A57E6D689E3}">
          <x14:formula1>
            <xm:f>BDD!$C$3:$C$14</xm:f>
          </x14:formula1>
          <xm:sqref>C12 G12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37E9A-4458-4DBF-9734-423024AF115E}">
  <sheetPr codeName="Feuil4"/>
  <dimension ref="A1:M34"/>
  <sheetViews>
    <sheetView showGridLines="0" zoomScaleNormal="100" workbookViewId="0">
      <pane ySplit="24" topLeftCell="A25" activePane="bottomLeft" state="frozen"/>
      <selection pane="bottomLeft" activeCell="C15" sqref="C15"/>
    </sheetView>
  </sheetViews>
  <sheetFormatPr baseColWidth="10" defaultRowHeight="15" x14ac:dyDescent="0.25"/>
  <cols>
    <col min="1" max="1" width="17.71093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13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3" ht="33.75" x14ac:dyDescent="0.65">
      <c r="A2" s="154" t="s">
        <v>377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3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3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3" x14ac:dyDescent="0.25">
      <c r="A5" s="77"/>
      <c r="B5" s="16"/>
      <c r="C5" s="17"/>
      <c r="D5" s="3"/>
      <c r="I5" s="82"/>
      <c r="J5" s="83"/>
      <c r="K5" s="83"/>
      <c r="L5" s="83"/>
      <c r="M5" s="24"/>
    </row>
    <row r="6" spans="1:13" ht="15.75" thickBot="1" x14ac:dyDescent="0.3">
      <c r="I6" s="82"/>
      <c r="J6" s="83"/>
      <c r="K6" s="83"/>
      <c r="L6" s="83"/>
    </row>
    <row r="7" spans="1:13" x14ac:dyDescent="0.25">
      <c r="A7" s="143" t="s">
        <v>411</v>
      </c>
      <c r="B7" s="61" t="s">
        <v>412</v>
      </c>
      <c r="C7" s="62" cm="1">
        <f t="array" aca="1" ref="C7" ca="1">SUMPRODUCT(($G$2&gt;uiEcheance)+COUNT(uiNum_fact))</f>
        <v>9</v>
      </c>
      <c r="E7" s="146" t="s">
        <v>411</v>
      </c>
      <c r="F7" s="53" t="s">
        <v>412</v>
      </c>
      <c r="G7" s="87">
        <f ca="1">G21-C7</f>
        <v>1</v>
      </c>
      <c r="I7" s="82"/>
      <c r="J7" s="83"/>
      <c r="K7" s="83"/>
      <c r="L7" s="83"/>
    </row>
    <row r="8" spans="1:13" x14ac:dyDescent="0.25">
      <c r="A8" s="144"/>
      <c r="B8" s="63" t="s">
        <v>434</v>
      </c>
      <c r="C8" s="64" cm="1">
        <f t="array" aca="1" ref="C8" ca="1">SUMPRODUCT(($G$2&gt;uiEcheance)*(uiMontant))</f>
        <v>8673999.4599999972</v>
      </c>
      <c r="E8" s="147"/>
      <c r="F8" s="55" t="s">
        <v>435</v>
      </c>
      <c r="G8" s="56" cm="1">
        <f t="array" aca="1" ref="G8" ca="1">SUMPRODUCT(($G$2&lt;uiEcheance)*(uiMontant))</f>
        <v>1070999.8599999999</v>
      </c>
      <c r="I8" s="82"/>
      <c r="J8" s="83"/>
      <c r="K8" s="83"/>
      <c r="L8" s="83"/>
    </row>
    <row r="9" spans="1:13" x14ac:dyDescent="0.25">
      <c r="A9" s="144"/>
      <c r="B9" s="65" t="s">
        <v>405</v>
      </c>
      <c r="C9" s="78">
        <f ca="1">(C8/118)*18</f>
        <v>1323152.4599999995</v>
      </c>
      <c r="E9" s="147"/>
      <c r="F9" s="57" t="s">
        <v>413</v>
      </c>
      <c r="G9" s="58">
        <f ca="1">(G8/118)*18</f>
        <v>163372.85999999999</v>
      </c>
      <c r="I9" s="82"/>
      <c r="J9" s="83"/>
      <c r="K9" s="83"/>
      <c r="L9" s="83"/>
    </row>
    <row r="10" spans="1:13" ht="15.75" thickBot="1" x14ac:dyDescent="0.3">
      <c r="A10" s="145"/>
      <c r="B10" s="91" t="s">
        <v>407</v>
      </c>
      <c r="C10" s="92" cm="1">
        <f t="array" aca="1" ref="C10" ca="1">SUMPRODUCT((($G$2)&gt;(uiEcheance))+(uiDate_val=""))/COUNTA(uiNum_fact)</f>
        <v>0.9</v>
      </c>
      <c r="E10" s="148"/>
      <c r="F10" s="59" t="s">
        <v>406</v>
      </c>
      <c r="G10" s="60" cm="1">
        <f t="array" aca="1" ref="G10" ca="1">SUMPRODUCT((($G$2)&lt;(uiEcheance))+(uiDate_val=""))/COUNTA(uiNum_fact)</f>
        <v>0.1</v>
      </c>
      <c r="I10" s="82"/>
      <c r="J10" s="83"/>
      <c r="K10" s="83"/>
      <c r="L10" s="83"/>
    </row>
    <row r="11" spans="1:13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3" x14ac:dyDescent="0.25">
      <c r="A12" s="140" t="s">
        <v>410</v>
      </c>
      <c r="B12" s="66" t="s">
        <v>402</v>
      </c>
      <c r="C12" s="79">
        <v>44743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3" x14ac:dyDescent="0.25">
      <c r="A13" s="141"/>
      <c r="B13" s="45" t="s">
        <v>403</v>
      </c>
      <c r="C13" s="67" cm="1">
        <f t="array" aca="1" ref="C13" ca="1">SUMPRODUCT(((($G$2)&gt;(uiEcheance)) )*(MONTH(uiEcheance) = MONTH(C12)))</f>
        <v>5</v>
      </c>
      <c r="E13" s="150"/>
      <c r="F13" s="52" t="s">
        <v>403</v>
      </c>
      <c r="G13" s="86" cm="1">
        <f t="array" aca="1" ref="G13" ca="1">SUMPRODUCT(((($G$2)&lt;(uiEcheance)) )*(MONTH(uiEcheance) = MONTH(G12)))</f>
        <v>0</v>
      </c>
      <c r="H13" s="30"/>
      <c r="I13" s="82"/>
      <c r="J13" s="83"/>
      <c r="K13" s="83"/>
      <c r="L13" s="83"/>
    </row>
    <row r="14" spans="1:13" x14ac:dyDescent="0.25">
      <c r="A14" s="141"/>
      <c r="B14" s="46" t="s">
        <v>435</v>
      </c>
      <c r="C14" s="68" cm="1">
        <f t="array" aca="1" ref="C14" ca="1">SUMPRODUCT(((($G$2)&gt;(uiEcheance)) )*(MONTH(uiEcheance) = MONTH(C12))*(uiMontant))</f>
        <v>1009998.5799999998</v>
      </c>
      <c r="E14" s="150"/>
      <c r="F14" s="51" t="s">
        <v>435</v>
      </c>
      <c r="G14" s="73" cm="1">
        <f t="array" aca="1" ref="G14" ca="1">SUMPRODUCT(((($G$2)&lt;(uiEcheance)) )*(MONTH(uiEcheance) = MONTH(G12))*(uiMontant))</f>
        <v>0</v>
      </c>
      <c r="H14" s="30"/>
      <c r="I14" s="82"/>
      <c r="J14" s="83"/>
      <c r="K14" s="83"/>
      <c r="L14" s="83"/>
    </row>
    <row r="15" spans="1:13" x14ac:dyDescent="0.25">
      <c r="A15" s="141"/>
      <c r="B15" s="45" t="s">
        <v>405</v>
      </c>
      <c r="C15" s="81">
        <f ca="1">(C14/118)*18</f>
        <v>154067.57999999999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3" ht="15.75" thickBot="1" x14ac:dyDescent="0.3">
      <c r="A16" s="142"/>
      <c r="B16" s="69" t="s">
        <v>407</v>
      </c>
      <c r="C16" s="70" cm="1">
        <f t="array" aca="1" ref="C16" ca="1">IF(C13=0,"",SUMPRODUCT(((($G$2)&gt;(uiEcheance)))*(MONTH(uiEcheance)=MONTH(C12)))/SUMPRODUCT((MONTH(uiEcheance)=MONTH(C12))*1))</f>
        <v>1</v>
      </c>
      <c r="E16" s="151"/>
      <c r="F16" s="75" t="s">
        <v>406</v>
      </c>
      <c r="G16" s="76" t="str" cm="1">
        <f t="array" aca="1" ref="G16" ca="1">IF(G13=0,"",SUMPRODUCT(((($G$2)&lt;(uiEcheance)))*(MONTH(uiEcheance)=MONTH(G12)))/SUMPRODUCT((MONTH(uiEcheance)=MONTH(G12))*1))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SUMPRODUCT((($G$2)&gt;(uiEcheance))+(($G$2)&lt;(uiEcheance)))</f>
        <v>10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SUMPRODUCT(((($G$2)&gt;(uiEcheance)) + (($G$2)&lt;(uiEcheance)))*(uiMontant))</f>
        <v>9744999.3199999966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270</v>
      </c>
      <c r="B25" s="23" t="s">
        <v>271</v>
      </c>
      <c r="C25" s="22" t="s">
        <v>272</v>
      </c>
      <c r="D25" s="5">
        <v>5615999.96</v>
      </c>
      <c r="E25" s="21">
        <f>IF(uitab[[#This Row],[N° Facture]]="","",EOMONTH(uitab[[#This Row],[Date facture]],1))</f>
        <v>44712</v>
      </c>
      <c r="F25" s="14" t="str">
        <f ca="1">IF($G$2-uitab[[#This Row],[Date échéance]]&lt;0,-1*($G$2-uitab[[#This Row],[Date échéance]])&amp;" jrs d'avance",$G$2-uitab[[#This Row],[Date échéance]]&amp;" jrs de retard")</f>
        <v>93 jrs de retard</v>
      </c>
      <c r="G25" s="15" t="str">
        <f ca="1">IF($G$2-uitab[[#This Row],[Date échéance]]&gt;0,"A régler","En attente")</f>
        <v>A régler</v>
      </c>
      <c r="H25"/>
      <c r="I25"/>
    </row>
    <row r="26" spans="1:12" x14ac:dyDescent="0.25">
      <c r="A26" s="23" t="s">
        <v>267</v>
      </c>
      <c r="B26" s="23" t="s">
        <v>268</v>
      </c>
      <c r="C26" s="22" t="s">
        <v>269</v>
      </c>
      <c r="D26" s="5">
        <v>646001.62</v>
      </c>
      <c r="E26" s="21">
        <f>IF(uitab[[#This Row],[N° Facture]]="","",EOMONTH(uitab[[#This Row],[Date facture]],1))</f>
        <v>44712</v>
      </c>
      <c r="F26" s="14" t="str">
        <f ca="1">IF($G$2-uitab[[#This Row],[Date échéance]]&lt;0,-1*($G$2-uitab[[#This Row],[Date échéance]])&amp;" jrs d'avance",$G$2-uitab[[#This Row],[Date échéance]]&amp;" jrs de retard")</f>
        <v>93 jrs de retard</v>
      </c>
      <c r="G26" s="15" t="str">
        <f ca="1">IF($G$2-uitab[[#This Row],[Date échéance]]&gt;0,"A régler","En attente")</f>
        <v>A régler</v>
      </c>
      <c r="H26"/>
      <c r="I26"/>
    </row>
    <row r="27" spans="1:12" x14ac:dyDescent="0.25">
      <c r="A27" s="23" t="s">
        <v>273</v>
      </c>
      <c r="B27" s="23" t="s">
        <v>130</v>
      </c>
      <c r="C27" s="22" t="s">
        <v>274</v>
      </c>
      <c r="D27" s="5">
        <v>1316999.18</v>
      </c>
      <c r="E27" s="21">
        <f>IF(uitab[[#This Row],[N° Facture]]="","",EOMONTH(uitab[[#This Row],[Date facture]],1))</f>
        <v>44742</v>
      </c>
      <c r="F27" s="14" t="str">
        <f ca="1">IF($G$2-uitab[[#This Row],[Date échéance]]&lt;0,-1*($G$2-uitab[[#This Row],[Date échéance]])&amp;" jrs d'avance",$G$2-uitab[[#This Row],[Date échéance]]&amp;" jrs de retard")</f>
        <v>63 jrs de retard</v>
      </c>
      <c r="G27" s="15" t="str">
        <f ca="1">IF($G$2-uitab[[#This Row],[Date échéance]]&gt;0,"A régler","En attente")</f>
        <v>A régler</v>
      </c>
      <c r="H27"/>
      <c r="I27"/>
    </row>
    <row r="28" spans="1:12" x14ac:dyDescent="0.25">
      <c r="A28" s="23" t="s">
        <v>280</v>
      </c>
      <c r="B28" s="23" t="s">
        <v>11</v>
      </c>
      <c r="C28" s="22" t="s">
        <v>281</v>
      </c>
      <c r="D28" s="5">
        <v>350900.13999999996</v>
      </c>
      <c r="E28" s="21">
        <f>IF(uitab[[#This Row],[N° Facture]]="","",EOMONTH(uitab[[#This Row],[Date facture]],1))</f>
        <v>44773</v>
      </c>
      <c r="F28" s="14" t="str">
        <f ca="1">IF($G$2-uitab[[#This Row],[Date échéance]]&lt;0,-1*($G$2-uitab[[#This Row],[Date échéance]])&amp;" jrs d'avance",$G$2-uitab[[#This Row],[Date échéance]]&amp;" jrs de retard")</f>
        <v>32 jrs de retard</v>
      </c>
      <c r="G28" s="15" t="str">
        <f ca="1">IF($G$2-uitab[[#This Row],[Date échéance]]&gt;0,"A régler","En attente")</f>
        <v>A régler</v>
      </c>
      <c r="H28"/>
      <c r="I28"/>
    </row>
    <row r="29" spans="1:12" x14ac:dyDescent="0.25">
      <c r="A29" s="23" t="s">
        <v>282</v>
      </c>
      <c r="B29" s="23" t="s">
        <v>11</v>
      </c>
      <c r="C29" s="22" t="s">
        <v>283</v>
      </c>
      <c r="D29" s="5">
        <v>17998.539999999997</v>
      </c>
      <c r="E29" s="21">
        <f>IF(uitab[[#This Row],[N° Facture]]="","",EOMONTH(uitab[[#This Row],[Date facture]],1))</f>
        <v>44773</v>
      </c>
      <c r="F29" s="14" t="str">
        <f ca="1">IF($G$2-uitab[[#This Row],[Date échéance]]&lt;0,-1*($G$2-uitab[[#This Row],[Date échéance]])&amp;" jrs d'avance",$G$2-uitab[[#This Row],[Date échéance]]&amp;" jrs de retard")</f>
        <v>32 jrs de retard</v>
      </c>
      <c r="G29" s="15" t="str">
        <f ca="1">IF($G$2-uitab[[#This Row],[Date échéance]]&gt;0,"A régler","En attente")</f>
        <v>A régler</v>
      </c>
      <c r="H29"/>
      <c r="I29"/>
    </row>
    <row r="30" spans="1:12" x14ac:dyDescent="0.25">
      <c r="A30" s="23" t="s">
        <v>27</v>
      </c>
      <c r="B30" s="23" t="s">
        <v>20</v>
      </c>
      <c r="C30" s="22" t="s">
        <v>28</v>
      </c>
      <c r="D30" s="5">
        <v>450000.07999999996</v>
      </c>
      <c r="E30" s="21">
        <f>IF(uitab[[#This Row],[N° Facture]]="","",EOMONTH(uitab[[#This Row],[Date facture]],1))</f>
        <v>44773</v>
      </c>
      <c r="F30" s="14" t="str">
        <f ca="1">IF($G$2-uitab[[#This Row],[Date échéance]]&lt;0,-1*($G$2-uitab[[#This Row],[Date échéance]])&amp;" jrs d'avance",$G$2-uitab[[#This Row],[Date échéance]]&amp;" jrs de retard")</f>
        <v>32 jrs de retard</v>
      </c>
      <c r="G30" s="15" t="str">
        <f ca="1">IF($G$2-uitab[[#This Row],[Date échéance]]&gt;0,"A régler","En attente")</f>
        <v>A régler</v>
      </c>
      <c r="H30"/>
      <c r="I30"/>
    </row>
    <row r="31" spans="1:12" x14ac:dyDescent="0.25">
      <c r="A31" s="23" t="s">
        <v>275</v>
      </c>
      <c r="B31" s="23" t="s">
        <v>276</v>
      </c>
      <c r="C31" s="22" t="s">
        <v>277</v>
      </c>
      <c r="D31" s="5">
        <v>45499.619999999995</v>
      </c>
      <c r="E31" s="21">
        <f>IF(uitab[[#This Row],[N° Facture]]="","",EOMONTH(uitab[[#This Row],[Date facture]],1))</f>
        <v>44773</v>
      </c>
      <c r="F31" s="14" t="str">
        <f ca="1">IF($G$2-uitab[[#This Row],[Date échéance]]&lt;0,-1*($G$2-uitab[[#This Row],[Date échéance]])&amp;" jrs d'avance",$G$2-uitab[[#This Row],[Date échéance]]&amp;" jrs de retard")</f>
        <v>32 jrs de retard</v>
      </c>
      <c r="G31" s="15" t="str">
        <f ca="1">IF($G$2-uitab[[#This Row],[Date échéance]]&gt;0,"A régler","En attente")</f>
        <v>A régler</v>
      </c>
      <c r="H31"/>
      <c r="I31"/>
    </row>
    <row r="32" spans="1:12" x14ac:dyDescent="0.25">
      <c r="A32" s="23" t="s">
        <v>278</v>
      </c>
      <c r="B32" s="23" t="s">
        <v>276</v>
      </c>
      <c r="C32" s="22" t="s">
        <v>279</v>
      </c>
      <c r="D32" s="5">
        <v>145600.19999999998</v>
      </c>
      <c r="E32" s="21">
        <f>IF(uitab[[#This Row],[N° Facture]]="","",EOMONTH(uitab[[#This Row],[Date facture]],1))</f>
        <v>44773</v>
      </c>
      <c r="F32" s="14" t="str">
        <f ca="1">IF($G$2-uitab[[#This Row],[Date échéance]]&lt;0,-1*($G$2-uitab[[#This Row],[Date échéance]])&amp;" jrs d'avance",$G$2-uitab[[#This Row],[Date échéance]]&amp;" jrs de retard")</f>
        <v>32 jrs de retard</v>
      </c>
      <c r="G32" s="15" t="str">
        <f ca="1">IF($G$2-uitab[[#This Row],[Date échéance]]&gt;0,"A régler","En attente")</f>
        <v>A régler</v>
      </c>
      <c r="H32"/>
      <c r="I32"/>
    </row>
    <row r="33" spans="1:9" x14ac:dyDescent="0.25">
      <c r="A33" s="23" t="s">
        <v>284</v>
      </c>
      <c r="B33" s="23" t="s">
        <v>285</v>
      </c>
      <c r="C33" s="22" t="s">
        <v>286</v>
      </c>
      <c r="D33" s="5">
        <v>85000.12</v>
      </c>
      <c r="E33" s="21">
        <f>IF(uitab[[#This Row],[N° Facture]]="","",EOMONTH(uitab[[#This Row],[Date facture]],1))</f>
        <v>44804</v>
      </c>
      <c r="F33" s="14" t="str">
        <f ca="1">IF($G$2-uitab[[#This Row],[Date échéance]]&lt;0,-1*($G$2-uitab[[#This Row],[Date échéance]])&amp;" jrs d'avance",$G$2-uitab[[#This Row],[Date échéance]]&amp;" jrs de retard")</f>
        <v>1 jrs de retard</v>
      </c>
      <c r="G33" s="15" t="str">
        <f ca="1">IF($G$2-uitab[[#This Row],[Date échéance]]&gt;0,"A régler","En attente")</f>
        <v>A régler</v>
      </c>
      <c r="H33"/>
      <c r="I33"/>
    </row>
    <row r="34" spans="1:9" x14ac:dyDescent="0.25">
      <c r="A34" s="23" t="s">
        <v>359</v>
      </c>
      <c r="B34" s="23" t="s">
        <v>69</v>
      </c>
      <c r="C34" s="22" t="s">
        <v>360</v>
      </c>
      <c r="D34" s="5">
        <v>1070999.8599999999</v>
      </c>
      <c r="E34" s="21">
        <f>IF(uitab[[#This Row],[N° Facture]]="","",EOMONTH(uitab[[#This Row],[Date facture]],1))</f>
        <v>44834</v>
      </c>
      <c r="F34" s="14" t="str">
        <f ca="1">IF($G$2-uitab[[#This Row],[Date échéance]]&lt;0,-1*($G$2-uitab[[#This Row],[Date échéance]])&amp;" jrs d'avance",$G$2-uitab[[#This Row],[Date échéance]]&amp;" jrs de retard")</f>
        <v>29 jrs d'avance</v>
      </c>
      <c r="G34" s="15" t="str">
        <f ca="1">IF($G$2-uitab[[#This Row],[Date échéance]]&gt;0,"A régler","En attente")</f>
        <v>En attente</v>
      </c>
      <c r="H34"/>
      <c r="I34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34">
    <cfRule type="expression" dxfId="120" priority="1">
      <formula>AND(MONTH($E25)=MONTH($C$12),OR($E25="",$G$2&gt;$E25))</formula>
    </cfRule>
    <cfRule type="expression" dxfId="119" priority="2">
      <formula>OR($E25="",$G$2&lt;$E25)</formula>
    </cfRule>
    <cfRule type="expression" dxfId="118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E68511-66F5-4B32-B82A-1553F1B74A01}">
          <x14:formula1>
            <xm:f>BDD!$C$3:$C$14</xm:f>
          </x14:formula1>
          <xm:sqref>C12 G12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861D-1490-42F4-827B-EE0DB2C30E41}">
  <sheetPr codeName="Feuil12"/>
  <dimension ref="A1:L25"/>
  <sheetViews>
    <sheetView showGridLines="0" workbookViewId="0">
      <pane ySplit="24" topLeftCell="A25" activePane="bottomLeft" state="frozen"/>
      <selection pane="bottomLeft" activeCell="G9" sqref="G9"/>
    </sheetView>
  </sheetViews>
  <sheetFormatPr baseColWidth="10" defaultRowHeight="15" x14ac:dyDescent="0.25"/>
  <cols>
    <col min="1" max="1" width="17.57031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25.5703125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33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SUMPRODUCT(($G$2&gt;sotaciEcheance)+COUNT(sotaciNum_fact))</f>
        <v>1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SUMPRODUCT(($G$2&gt;sotaciEcheance)*(sotaciMontant))</f>
        <v>367983</v>
      </c>
      <c r="E8" s="147"/>
      <c r="F8" s="55" t="s">
        <v>435</v>
      </c>
      <c r="G8" s="56" cm="1">
        <f t="array" aca="1" ref="G8" ca="1">SUMPRODUCT(($G$2&lt;sotaciEcheance)*(sotaciMontant))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56133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SUMPRODUCT((($G$2)&gt;(sotaciEcheance))+(sotaciDate_val=""))/COUNTA(sotaciNum_fact)</f>
        <v>1</v>
      </c>
      <c r="E10" s="148"/>
      <c r="F10" s="59" t="s">
        <v>406</v>
      </c>
      <c r="G10" s="60" cm="1">
        <f t="array" aca="1" ref="G10" ca="1">SUMPRODUCT((($G$2)&lt;(sotaciEcheance))+(sotaciDate_val=""))/COUNTA(sotaciNum_fact)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SUMPRODUCT(((($G$2)&gt;(sotaciEcheance)) )*(MONTH(sotaciEcheance) = MONTH(C12)))</f>
        <v>1</v>
      </c>
      <c r="E13" s="150"/>
      <c r="F13" s="52" t="s">
        <v>403</v>
      </c>
      <c r="G13" s="86" cm="1">
        <f t="array" aca="1" ref="G13" ca="1">SUMPRODUCT(((($G$2)&lt;(sotaciEcheance)) )*(MONTH(sotaciEcheance)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SUMPRODUCT(((($G$2)&gt;(sotaciEcheance)) )*(MONTH(sotaciEcheance) = MONTH(C12))*(sotaciMontant))</f>
        <v>367983</v>
      </c>
      <c r="E14" s="150"/>
      <c r="F14" s="51" t="s">
        <v>435</v>
      </c>
      <c r="G14" s="73" cm="1">
        <f t="array" aca="1" ref="G14" ca="1">SUMPRODUCT(((($G$2)&lt;(sotaciEcheance)) )*(MONTH(sotaciEcheance) = MONTH(G12))*(sotaciMontant))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56133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IF(C13=0,"",SUMPRODUCT(((($G$2)&gt;(sotaciEcheance)))*(MONTH(sotaciEcheance)=MONTH(C12)))/SUMPRODUCT((MONTH(sotaciEcheance)=MONTH(C12))*1))</f>
        <v>1</v>
      </c>
      <c r="E16" s="151"/>
      <c r="F16" s="75" t="s">
        <v>406</v>
      </c>
      <c r="G16" s="76" t="str" cm="1">
        <f t="array" aca="1" ref="G16" ca="1">IF(G13=0,"",SUMPRODUCT(((($G$2)&lt;(sotaciEcheance)))*(MONTH(sotaciEcheance)=MONTH(G12)))/SUMPRODUCT((MONTH(sotaciEcheance)=MONTH(G12))*1))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SUMPRODUCT((($G$2)&gt;(sotaciEcheance))+(($G$2)&lt;(sotaciEcheance)))</f>
        <v>1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SUMPRODUCT(((($G$2)&gt;(sotaciEcheance)) + (($G$2)&lt;(sotaciEcheance)))*(sotaciMontant))</f>
        <v>367983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52</v>
      </c>
      <c r="B25" s="23" t="s">
        <v>53</v>
      </c>
      <c r="C25" s="22" t="s">
        <v>54</v>
      </c>
      <c r="D25" s="5">
        <v>367983</v>
      </c>
      <c r="E25" s="21">
        <f>IF(sotacitab[[#This Row],[N° Facture]]="","",EOMONTH(sotacitab[[#This Row],[Date facture]],1))</f>
        <v>44742</v>
      </c>
      <c r="F25" s="14" t="str">
        <f ca="1">IF($G$2-sotacitab[[#This Row],[Date échéance]]&lt;0,-1*($G$2-sotacitab[[#This Row],[Date échéance]])&amp;" jrs d'avance",$G$2-sotacitab[[#This Row],[Date échéance]]&amp;" jrs de retard")</f>
        <v>63 jrs de retard</v>
      </c>
      <c r="G25" s="15" t="str">
        <f ca="1">IF($G$2-sotacitab[[#This Row],[Date échéance]]&gt;0,"A régler","En attente")</f>
        <v>A régler</v>
      </c>
      <c r="H25"/>
      <c r="I25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5">
    <cfRule type="expression" dxfId="109" priority="1">
      <formula>AND(MONTH($E25)=MONTH($C$12),OR($E25="",$G$2&gt;$E25))</formula>
    </cfRule>
    <cfRule type="expression" dxfId="108" priority="2">
      <formula>OR($E25="",$G$2&lt;$E25)</formula>
    </cfRule>
    <cfRule type="expression" dxfId="107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FD4A1E-2713-4BF8-BFEB-3075B9C69E61}">
          <x14:formula1>
            <xm:f>BDD!$C$3:$C$14</xm:f>
          </x14:formula1>
          <xm:sqref>C12 G12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0ED7C-5044-465F-A138-CC95A2924529}">
  <sheetPr codeName="Feuil13"/>
  <dimension ref="A1:L31"/>
  <sheetViews>
    <sheetView showGridLines="0" workbookViewId="0">
      <pane ySplit="24" topLeftCell="A25" activePane="bottomLeft" state="frozen"/>
      <selection pane="bottomLeft" activeCell="G9" sqref="G9"/>
    </sheetView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0.7109375" style="21" bestFit="1" customWidth="1"/>
    <col min="8" max="9" width="19" style="15" customWidth="1"/>
    <col min="10" max="10" width="19" customWidth="1"/>
    <col min="11" max="11" width="12.5703125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s="96" customFormat="1" ht="59.25" customHeight="1" x14ac:dyDescent="0.25">
      <c r="A2" s="159" t="s">
        <v>380</v>
      </c>
      <c r="B2" s="159"/>
      <c r="C2" s="159" t="s">
        <v>399</v>
      </c>
      <c r="D2" s="159"/>
      <c r="E2" s="160" t="s">
        <v>400</v>
      </c>
      <c r="F2" s="160"/>
      <c r="G2" s="161">
        <f ca="1">TODAY()</f>
        <v>44805</v>
      </c>
      <c r="H2" s="161"/>
      <c r="I2" s="94"/>
      <c r="J2" s="95"/>
      <c r="K2" s="95"/>
      <c r="L2" s="95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SUMPRODUCT(($G$2&gt;bipEcheance)+COUNT(bipNum_fact))</f>
        <v>7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SUMPRODUCT(($G$2&gt;bipEcheance)*(bipMontant))</f>
        <v>25692309.719999999</v>
      </c>
      <c r="E8" s="147"/>
      <c r="F8" s="55" t="s">
        <v>435</v>
      </c>
      <c r="G8" s="56" cm="1">
        <f t="array" aca="1" ref="G8" ca="1">SUMPRODUCT(($G$2&lt;bipEcheance)*(bipMontant))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3919165.8894915255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SUMPRODUCT((($G$2)&gt;(bipEcheance))+(bipDate_val=""))/COUNTA(bipNum_fact)</f>
        <v>1</v>
      </c>
      <c r="E10" s="148"/>
      <c r="F10" s="59" t="s">
        <v>406</v>
      </c>
      <c r="G10" s="60" cm="1">
        <f t="array" aca="1" ref="G10" ca="1">SUMPRODUCT((($G$2)&lt;(bipEcheance))+(bipDate_val=""))/COUNTA(bipNum_fact)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SUMPRODUCT(((($G$2)&gt;(bipEcheance)) )*(MONTH(bipEcheance) = MONTH(C12)))</f>
        <v>2</v>
      </c>
      <c r="E13" s="150"/>
      <c r="F13" s="52" t="s">
        <v>403</v>
      </c>
      <c r="G13" s="86" cm="1">
        <f t="array" aca="1" ref="G13" ca="1">SUMPRODUCT(((($G$2)&lt;(bipEcheance)) )*(MONTH(bipEcheance)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SUMPRODUCT(((($G$2)&gt;(bipEcheance)) )*(MONTH(bipEcheance) = MONTH(C12))*(bipMontant))</f>
        <v>11409993.48</v>
      </c>
      <c r="E14" s="150"/>
      <c r="F14" s="51" t="s">
        <v>435</v>
      </c>
      <c r="G14" s="73" cm="1">
        <f t="array" aca="1" ref="G14" ca="1">SUMPRODUCT(((($G$2)&lt;(bipEcheance)) )*(MONTH(bipEcheance) = MONTH(G12))*(bipMontant))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1740507.48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IF(C13=0,"",SUMPRODUCT(((($G$2)&gt;(bipEcheance)))*(MONTH(bipEcheance)=MONTH(C12)))/SUMPRODUCT((MONTH(bipEcheance)=MONTH(C12))*1))</f>
        <v>1</v>
      </c>
      <c r="E16" s="151"/>
      <c r="F16" s="75" t="s">
        <v>406</v>
      </c>
      <c r="G16" s="76" t="str" cm="1">
        <f t="array" aca="1" ref="G16" ca="1">IF(G13=0,"",SUMPRODUCT(((($G$2)&lt;(bipEcheance)))*(MONTH(bipEcheance)=MONTH(G12)))/SUMPRODUCT((MONTH(bipEcheance)=MONTH(G12))*1))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SUMPRODUCT((($G$2)&gt;(bipEcheance))+(($G$2)&lt;(bipEcheance)))</f>
        <v>7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SUMPRODUCT(((($G$2)&gt;(bipEcheance)) + (($G$2)&lt;(bipEcheance)))*(bipMontant))</f>
        <v>25692309.719999999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65</v>
      </c>
      <c r="B25" s="23" t="s">
        <v>66</v>
      </c>
      <c r="C25" s="103" t="s">
        <v>67</v>
      </c>
      <c r="D25" s="5">
        <v>3849997.8</v>
      </c>
      <c r="E25" s="21">
        <f>IF(biptab[[#This Row],[N° Facture]]="","",EOMONTH(biptab[[#This Row],[Date facture]],1))</f>
        <v>44742</v>
      </c>
      <c r="F25" s="14" t="str">
        <f ca="1">IF($G$2-biptab[[#This Row],[Date échéance]]&lt;0,-1*($G$2-biptab[[#This Row],[Date échéance]])&amp;" jrs d'avance",$G$2-biptab[[#This Row],[Date échéance]]&amp;" jrs de retard")</f>
        <v>63 jrs de retard</v>
      </c>
      <c r="G25" s="15" t="str">
        <f ca="1">IF($G$2-biptab[[#This Row],[Date échéance]]&gt;0,"A régler","En attente")</f>
        <v>A régler</v>
      </c>
      <c r="H25"/>
      <c r="I25"/>
    </row>
    <row r="26" spans="1:12" x14ac:dyDescent="0.25">
      <c r="A26" s="23" t="s">
        <v>62</v>
      </c>
      <c r="B26" s="23" t="s">
        <v>63</v>
      </c>
      <c r="C26" s="103" t="s">
        <v>64</v>
      </c>
      <c r="D26" s="5">
        <v>7559995.6799999997</v>
      </c>
      <c r="E26" s="21">
        <f>IF(biptab[[#This Row],[N° Facture]]="","",EOMONTH(biptab[[#This Row],[Date facture]],1))</f>
        <v>44742</v>
      </c>
      <c r="F26" s="14" t="str">
        <f ca="1">IF($G$2-biptab[[#This Row],[Date échéance]]&lt;0,-1*($G$2-biptab[[#This Row],[Date échéance]])&amp;" jrs d'avance",$G$2-biptab[[#This Row],[Date échéance]]&amp;" jrs de retard")</f>
        <v>63 jrs de retard</v>
      </c>
      <c r="G26" s="15" t="str">
        <f ca="1">IF($G$2-biptab[[#This Row],[Date échéance]]&gt;0,"A régler","En attente")</f>
        <v>A régler</v>
      </c>
      <c r="H26"/>
      <c r="I26"/>
    </row>
    <row r="27" spans="1:12" x14ac:dyDescent="0.25">
      <c r="A27" s="23" t="s">
        <v>55</v>
      </c>
      <c r="B27" s="23" t="s">
        <v>17</v>
      </c>
      <c r="C27" s="103" t="s">
        <v>56</v>
      </c>
      <c r="D27" s="5">
        <v>2183000</v>
      </c>
      <c r="E27" s="21">
        <f>IF(biptab[[#This Row],[N° Facture]]="","",EOMONTH(biptab[[#This Row],[Date facture]],1))</f>
        <v>44773</v>
      </c>
      <c r="F27" s="14" t="str">
        <f ca="1">IF($G$2-biptab[[#This Row],[Date échéance]]&lt;0,-1*($G$2-biptab[[#This Row],[Date échéance]])&amp;" jrs d'avance",$G$2-biptab[[#This Row],[Date échéance]]&amp;" jrs de retard")</f>
        <v>32 jrs de retard</v>
      </c>
      <c r="G27" s="15" t="str">
        <f ca="1">IF($G$2-biptab[[#This Row],[Date échéance]]&gt;0,"A régler","En attente")</f>
        <v>A régler</v>
      </c>
      <c r="H27"/>
      <c r="I27"/>
    </row>
    <row r="28" spans="1:12" x14ac:dyDescent="0.25">
      <c r="A28" s="23" t="s">
        <v>57</v>
      </c>
      <c r="B28" s="23" t="s">
        <v>17</v>
      </c>
      <c r="C28" s="103" t="s">
        <v>58</v>
      </c>
      <c r="D28" s="5">
        <v>891490</v>
      </c>
      <c r="E28" s="21">
        <f>IF(biptab[[#This Row],[N° Facture]]="","",EOMONTH(biptab[[#This Row],[Date facture]],1))</f>
        <v>44773</v>
      </c>
      <c r="F28" s="14" t="str">
        <f ca="1">IF($G$2-biptab[[#This Row],[Date échéance]]&lt;0,-1*($G$2-biptab[[#This Row],[Date échéance]])&amp;" jrs d'avance",$G$2-biptab[[#This Row],[Date échéance]]&amp;" jrs de retard")</f>
        <v>32 jrs de retard</v>
      </c>
      <c r="G28" s="15" t="str">
        <f ca="1">IF($G$2-biptab[[#This Row],[Date échéance]]&gt;0,"A régler","En attente")</f>
        <v>A régler</v>
      </c>
      <c r="H28"/>
      <c r="I28"/>
    </row>
    <row r="29" spans="1:12" x14ac:dyDescent="0.25">
      <c r="A29" s="23" t="s">
        <v>59</v>
      </c>
      <c r="B29" s="23" t="s">
        <v>60</v>
      </c>
      <c r="C29" s="103" t="s">
        <v>61</v>
      </c>
      <c r="D29" s="5">
        <v>7840000.2399999993</v>
      </c>
      <c r="E29" s="21">
        <f>IF(biptab[[#This Row],[N° Facture]]="","",EOMONTH(biptab[[#This Row],[Date facture]],1))</f>
        <v>44773</v>
      </c>
      <c r="F29" s="14" t="str">
        <f ca="1">IF($G$2-biptab[[#This Row],[Date échéance]]&lt;0,-1*($G$2-biptab[[#This Row],[Date échéance]])&amp;" jrs d'avance",$G$2-biptab[[#This Row],[Date échéance]]&amp;" jrs de retard")</f>
        <v>32 jrs de retard</v>
      </c>
      <c r="G29" s="15" t="str">
        <f ca="1">IF($G$2-biptab[[#This Row],[Date échéance]]&gt;0,"A régler","En attente")</f>
        <v>A régler</v>
      </c>
      <c r="H29"/>
      <c r="I29"/>
    </row>
    <row r="30" spans="1:12" x14ac:dyDescent="0.25">
      <c r="A30" s="23" t="s">
        <v>156</v>
      </c>
      <c r="B30" s="23">
        <v>44769</v>
      </c>
      <c r="C30" s="103">
        <v>771190</v>
      </c>
      <c r="D30" s="5">
        <v>910004</v>
      </c>
      <c r="E30" s="21">
        <f>IF(biptab[[#This Row],[N° Facture]]="","",EOMONTH(biptab[[#This Row],[Date facture]],1))</f>
        <v>44804</v>
      </c>
      <c r="F30" s="14" t="str">
        <f ca="1">IF($G$2-biptab[[#This Row],[Date échéance]]&lt;0,-1*($G$2-biptab[[#This Row],[Date échéance]])&amp;" jrs d'avance",$G$2-biptab[[#This Row],[Date échéance]]&amp;" jrs de retard")</f>
        <v>1 jrs de retard</v>
      </c>
      <c r="G30" s="15" t="str">
        <f ca="1">IF($G$2-biptab[[#This Row],[Date échéance]]&gt;0,"A régler","En attente")</f>
        <v>A régler</v>
      </c>
    </row>
    <row r="31" spans="1:12" x14ac:dyDescent="0.25">
      <c r="A31" s="23" t="s">
        <v>153</v>
      </c>
      <c r="B31" s="23">
        <v>44769</v>
      </c>
      <c r="C31" s="103">
        <v>2082900</v>
      </c>
      <c r="D31" s="5">
        <v>2457822</v>
      </c>
      <c r="E31" s="21">
        <f>IF(biptab[[#This Row],[N° Facture]]="","",EOMONTH(biptab[[#This Row],[Date facture]],1))</f>
        <v>44804</v>
      </c>
      <c r="F31" s="14" t="str">
        <f ca="1">IF($G$2-biptab[[#This Row],[Date échéance]]&lt;0,-1*($G$2-biptab[[#This Row],[Date échéance]])&amp;" jrs d'avance",$G$2-biptab[[#This Row],[Date échéance]]&amp;" jrs de retard")</f>
        <v>1 jrs de retard</v>
      </c>
      <c r="G31" s="15" t="str">
        <f ca="1">IF($G$2-biptab[[#This Row],[Date échéance]]&gt;0,"A régler","En attente")</f>
        <v>A régler</v>
      </c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31">
    <cfRule type="expression" dxfId="98" priority="1">
      <formula>AND(MONTH($E25)=MONTH($C$12),OR($E25="",$G$2&gt;$E25))</formula>
    </cfRule>
    <cfRule type="expression" dxfId="97" priority="2">
      <formula>OR($E25="",$G$2&lt;$E25)</formula>
    </cfRule>
    <cfRule type="expression" dxfId="96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F87C7A-DCD3-4670-854E-B66B9FEAA649}">
          <x14:formula1>
            <xm:f>BDD!$C$3:$C$14</xm:f>
          </x14:formula1>
          <xm:sqref>C12 G12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C4EEC-07C3-4B8C-AD6D-847025342233}">
  <sheetPr codeName="Feuil3"/>
  <dimension ref="A1:L96"/>
  <sheetViews>
    <sheetView showGridLines="0" zoomScaleNormal="100" workbookViewId="0">
      <pane ySplit="24" topLeftCell="A25" activePane="bottomLeft" state="frozen"/>
      <selection pane="bottomLeft" activeCell="E25" sqref="E25:E28"/>
    </sheetView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9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0.7109375" style="21" bestFit="1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s="96" customFormat="1" ht="55.5" customHeight="1" x14ac:dyDescent="0.25">
      <c r="A2" s="159" t="s">
        <v>381</v>
      </c>
      <c r="B2" s="159"/>
      <c r="C2" s="159" t="s">
        <v>399</v>
      </c>
      <c r="D2" s="159"/>
      <c r="E2" s="160" t="s">
        <v>400</v>
      </c>
      <c r="F2" s="160"/>
      <c r="G2" s="161">
        <f ca="1">TODAY()</f>
        <v>44805</v>
      </c>
      <c r="H2" s="161"/>
      <c r="I2" s="94"/>
      <c r="J2" s="95"/>
      <c r="K2" s="95"/>
      <c r="L2" s="95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SUMPRODUCT(($G$2&gt;nEcheance)+COUNT(nNum_fact))</f>
        <v>72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SUMPRODUCT(($G$2&gt;nEcheance)*(nMontant))</f>
        <v>11848206.540000008</v>
      </c>
      <c r="E8" s="147"/>
      <c r="F8" s="55" t="s">
        <v>435</v>
      </c>
      <c r="G8" s="56" cm="1">
        <f t="array" aca="1" ref="G8" ca="1">SUMPRODUCT(($G$2&lt;nEcheance)*(nMontant))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1807353.5400000012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SUMPRODUCT((($G$2)&gt;(nEcheance))+(nDate_val=""))/COUNTA(nNum_fact)</f>
        <v>1</v>
      </c>
      <c r="E10" s="148"/>
      <c r="F10" s="59" t="s">
        <v>406</v>
      </c>
      <c r="G10" s="60" cm="1">
        <f t="array" aca="1" ref="G10" ca="1">SUMPRODUCT((($G$2)&lt;(nEcheance))+(nDate_val=""))/COUNTA(nNum_fact)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SUMPRODUCT(((($G$2)&gt;(nEcheance)) )*(MONTH(nEcheance) = MONTH(C12)))</f>
        <v>33</v>
      </c>
      <c r="E13" s="150"/>
      <c r="F13" s="52" t="s">
        <v>403</v>
      </c>
      <c r="G13" s="86" cm="1">
        <f t="array" aca="1" ref="G13" ca="1">SUMPRODUCT(((($G$2)&lt;(nEcheance)) )*(MONTH(nEcheance)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SUMPRODUCT(((($G$2)&gt;(nEcheance)) )*(MONTH(nEcheance) = MONTH(C12))*(nMontant))</f>
        <v>4043467.0600000005</v>
      </c>
      <c r="E14" s="150"/>
      <c r="F14" s="51" t="s">
        <v>435</v>
      </c>
      <c r="G14" s="73" cm="1">
        <f t="array" aca="1" ref="G14" ca="1">SUMPRODUCT(((($G$2)&lt;(nEcheance)) )*(MONTH(nEcheance) = MONTH(G12))*(nMontant))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616800.06000000006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IF(C13=0,"",SUMPRODUCT(((($G$2)&gt;(nEcheance)))*(MONTH(nEcheance)=MONTH(C12)))/SUMPRODUCT((MONTH(nEcheance)=MONTH(C12))*1))</f>
        <v>1</v>
      </c>
      <c r="E16" s="151"/>
      <c r="F16" s="75" t="s">
        <v>406</v>
      </c>
      <c r="G16" s="76" t="str" cm="1">
        <f t="array" aca="1" ref="G16" ca="1">IF(G13=0,"",SUMPRODUCT(((($G$2)&lt;(nEcheance)))*(MONTH(nEcheance)=MONTH(G12)))/SUMPRODUCT((MONTH(nEcheance)=MONTH(G12))*1))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20.25" customHeight="1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SUMPRODUCT((($G$2)&gt;(nEcheance))+(($G$2)&lt;(nEcheance)))</f>
        <v>72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SUMPRODUCT(((($G$2)&gt;(nEcheance)) + (($G$2)&lt;(nEcheance)))*(nMontant))</f>
        <v>11848206.540000008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143</v>
      </c>
      <c r="B25" s="23" t="s">
        <v>144</v>
      </c>
      <c r="C25" s="22" t="s">
        <v>23</v>
      </c>
      <c r="D25" s="5">
        <v>43421.64</v>
      </c>
      <c r="E25" s="21">
        <f>IF(neucetab[[#This Row],[N° Facture]]="","",EOMONTH(neucetab[[#This Row],[Date facture]],1))</f>
        <v>44681</v>
      </c>
      <c r="F25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25" s="15" t="str">
        <f ca="1">IF($G$2-neucetab[[#This Row],[Date échéance]]&gt;0,"A régler","En attente")</f>
        <v>A régler</v>
      </c>
      <c r="H25"/>
      <c r="I25"/>
    </row>
    <row r="26" spans="1:12" x14ac:dyDescent="0.25">
      <c r="A26" s="23" t="s">
        <v>145</v>
      </c>
      <c r="B26" s="23" t="s">
        <v>146</v>
      </c>
      <c r="C26" s="22" t="s">
        <v>147</v>
      </c>
      <c r="D26" s="5">
        <v>66770.3</v>
      </c>
      <c r="E26" s="21">
        <f>IF(neucetab[[#This Row],[N° Facture]]="","",EOMONTH(neucetab[[#This Row],[Date facture]],1))</f>
        <v>44681</v>
      </c>
      <c r="F26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26" s="15" t="str">
        <f ca="1">IF($G$2-neucetab[[#This Row],[Date échéance]]&gt;0,"A régler","En attente")</f>
        <v>A régler</v>
      </c>
      <c r="H26"/>
      <c r="I26"/>
    </row>
    <row r="27" spans="1:12" x14ac:dyDescent="0.25">
      <c r="A27" s="23" t="s">
        <v>140</v>
      </c>
      <c r="B27" s="23" t="s">
        <v>141</v>
      </c>
      <c r="C27" s="22" t="s">
        <v>142</v>
      </c>
      <c r="D27" s="5">
        <v>36476.159999999996</v>
      </c>
      <c r="E27" s="21">
        <f>IF(neucetab[[#This Row],[N° Facture]]="","",EOMONTH(neucetab[[#This Row],[Date facture]],1))</f>
        <v>44681</v>
      </c>
      <c r="F27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27" s="15" t="str">
        <f ca="1">IF($G$2-neucetab[[#This Row],[Date échéance]]&gt;0,"A régler","En attente")</f>
        <v>A régler</v>
      </c>
      <c r="H27"/>
      <c r="I27"/>
    </row>
    <row r="28" spans="1:12" x14ac:dyDescent="0.25">
      <c r="A28" s="23" t="s">
        <v>148</v>
      </c>
      <c r="B28" s="23" t="s">
        <v>141</v>
      </c>
      <c r="C28" s="22" t="s">
        <v>149</v>
      </c>
      <c r="D28" s="5">
        <v>9535.58</v>
      </c>
      <c r="E28" s="21">
        <f>IF(neucetab[[#This Row],[N° Facture]]="","",EOMONTH(neucetab[[#This Row],[Date facture]],1))</f>
        <v>44681</v>
      </c>
      <c r="F28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28" s="15" t="str">
        <f ca="1">IF($G$2-neucetab[[#This Row],[Date échéance]]&gt;0,"A régler","En attente")</f>
        <v>A régler</v>
      </c>
      <c r="H28"/>
      <c r="I28"/>
    </row>
    <row r="29" spans="1:12" x14ac:dyDescent="0.25">
      <c r="A29" s="23" t="s">
        <v>171</v>
      </c>
      <c r="B29" s="23" t="s">
        <v>172</v>
      </c>
      <c r="C29" s="22" t="s">
        <v>173</v>
      </c>
      <c r="D29" s="5">
        <v>20806.939999999999</v>
      </c>
      <c r="E29" s="21">
        <f>IF(neucetab[[#This Row],[N° Facture]]="","",EOMONTH(neucetab[[#This Row],[Date facture]],1))</f>
        <v>44681</v>
      </c>
      <c r="F29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29" s="15" t="str">
        <f ca="1">IF($G$2-neucetab[[#This Row],[Date échéance]]&gt;0,"A régler","En attente")</f>
        <v>A régler</v>
      </c>
      <c r="H29"/>
      <c r="I29"/>
    </row>
    <row r="30" spans="1:12" x14ac:dyDescent="0.25">
      <c r="A30" s="23" t="s">
        <v>150</v>
      </c>
      <c r="B30" s="23" t="s">
        <v>151</v>
      </c>
      <c r="C30" s="22" t="s">
        <v>152</v>
      </c>
      <c r="D30" s="5">
        <v>448890.88</v>
      </c>
      <c r="E30" s="21">
        <f>IF(neucetab[[#This Row],[N° Facture]]="","",EOMONTH(neucetab[[#This Row],[Date facture]],1))</f>
        <v>44681</v>
      </c>
      <c r="F30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0" s="15" t="str">
        <f ca="1">IF($G$2-neucetab[[#This Row],[Date échéance]]&gt;0,"A régler","En attente")</f>
        <v>A régler</v>
      </c>
      <c r="H30"/>
      <c r="I30"/>
    </row>
    <row r="31" spans="1:12" x14ac:dyDescent="0.25">
      <c r="A31" s="23" t="s">
        <v>153</v>
      </c>
      <c r="B31" s="23" t="s">
        <v>154</v>
      </c>
      <c r="C31" s="22" t="s">
        <v>155</v>
      </c>
      <c r="D31" s="5">
        <v>4733188.8599999994</v>
      </c>
      <c r="E31" s="21">
        <f>IF(neucetab[[#This Row],[N° Facture]]="","",EOMONTH(neucetab[[#This Row],[Date facture]],1))</f>
        <v>44681</v>
      </c>
      <c r="F31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1" s="15" t="str">
        <f ca="1">IF($G$2-neucetab[[#This Row],[Date échéance]]&gt;0,"A régler","En attente")</f>
        <v>A régler</v>
      </c>
      <c r="H31"/>
      <c r="I31"/>
    </row>
    <row r="32" spans="1:12" x14ac:dyDescent="0.25">
      <c r="A32" s="23" t="s">
        <v>156</v>
      </c>
      <c r="B32" s="23" t="s">
        <v>154</v>
      </c>
      <c r="C32" s="22" t="s">
        <v>157</v>
      </c>
      <c r="D32" s="5">
        <v>261126.91999999998</v>
      </c>
      <c r="E32" s="21">
        <f>IF(neucetab[[#This Row],[N° Facture]]="","",EOMONTH(neucetab[[#This Row],[Date facture]],1))</f>
        <v>44681</v>
      </c>
      <c r="F32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2" s="15" t="str">
        <f ca="1">IF($G$2-neucetab[[#This Row],[Date échéance]]&gt;0,"A régler","En attente")</f>
        <v>A régler</v>
      </c>
      <c r="H32"/>
      <c r="I32"/>
    </row>
    <row r="33" spans="1:9" x14ac:dyDescent="0.25">
      <c r="A33" s="23" t="s">
        <v>176</v>
      </c>
      <c r="B33" s="23" t="s">
        <v>134</v>
      </c>
      <c r="C33" s="22" t="s">
        <v>177</v>
      </c>
      <c r="D33" s="5">
        <v>251541.78</v>
      </c>
      <c r="E33" s="21">
        <f>IF(neucetab[[#This Row],[N° Facture]]="","",EOMONTH(neucetab[[#This Row],[Date facture]],1))</f>
        <v>44681</v>
      </c>
      <c r="F33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3" s="15" t="str">
        <f ca="1">IF($G$2-neucetab[[#This Row],[Date échéance]]&gt;0,"A régler","En attente")</f>
        <v>A régler</v>
      </c>
      <c r="H33"/>
      <c r="I33"/>
    </row>
    <row r="34" spans="1:9" x14ac:dyDescent="0.25">
      <c r="A34" s="23" t="s">
        <v>133</v>
      </c>
      <c r="B34" s="23" t="s">
        <v>134</v>
      </c>
      <c r="C34" s="22" t="s">
        <v>135</v>
      </c>
      <c r="D34" s="5">
        <v>30924.26</v>
      </c>
      <c r="E34" s="21">
        <f>IF(neucetab[[#This Row],[N° Facture]]="","",EOMONTH(neucetab[[#This Row],[Date facture]],1))</f>
        <v>44681</v>
      </c>
      <c r="F34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4" s="15" t="str">
        <f ca="1">IF($G$2-neucetab[[#This Row],[Date échéance]]&gt;0,"A régler","En attente")</f>
        <v>A régler</v>
      </c>
      <c r="H34"/>
      <c r="I34"/>
    </row>
    <row r="35" spans="1:9" x14ac:dyDescent="0.25">
      <c r="A35" s="23" t="s">
        <v>158</v>
      </c>
      <c r="B35" s="23" t="s">
        <v>159</v>
      </c>
      <c r="C35" s="22" t="s">
        <v>160</v>
      </c>
      <c r="D35" s="5">
        <v>16765.439999999999</v>
      </c>
      <c r="E35" s="21">
        <f>IF(neucetab[[#This Row],[N° Facture]]="","",EOMONTH(neucetab[[#This Row],[Date facture]],1))</f>
        <v>44681</v>
      </c>
      <c r="F35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5" s="15" t="str">
        <f ca="1">IF($G$2-neucetab[[#This Row],[Date échéance]]&gt;0,"A régler","En attente")</f>
        <v>A régler</v>
      </c>
      <c r="H35"/>
      <c r="I35"/>
    </row>
    <row r="36" spans="1:9" x14ac:dyDescent="0.25">
      <c r="A36" s="23" t="s">
        <v>161</v>
      </c>
      <c r="B36" s="23" t="s">
        <v>159</v>
      </c>
      <c r="C36" s="22" t="s">
        <v>162</v>
      </c>
      <c r="D36" s="5">
        <v>121173.01999999999</v>
      </c>
      <c r="E36" s="21">
        <f>IF(neucetab[[#This Row],[N° Facture]]="","",EOMONTH(neucetab[[#This Row],[Date facture]],1))</f>
        <v>44681</v>
      </c>
      <c r="F36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6" s="15" t="str">
        <f ca="1">IF($G$2-neucetab[[#This Row],[Date échéance]]&gt;0,"A régler","En attente")</f>
        <v>A régler</v>
      </c>
      <c r="H36"/>
      <c r="I36"/>
    </row>
    <row r="37" spans="1:9" x14ac:dyDescent="0.25">
      <c r="A37" s="23" t="s">
        <v>163</v>
      </c>
      <c r="B37" s="23" t="s">
        <v>159</v>
      </c>
      <c r="C37" s="22" t="s">
        <v>164</v>
      </c>
      <c r="D37" s="5">
        <v>22755.119999999999</v>
      </c>
      <c r="E37" s="21">
        <f>IF(neucetab[[#This Row],[N° Facture]]="","",EOMONTH(neucetab[[#This Row],[Date facture]],1))</f>
        <v>44681</v>
      </c>
      <c r="F37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7" s="15" t="str">
        <f ca="1">IF($G$2-neucetab[[#This Row],[Date échéance]]&gt;0,"A régler","En attente")</f>
        <v>A régler</v>
      </c>
      <c r="H37"/>
      <c r="I37"/>
    </row>
    <row r="38" spans="1:9" x14ac:dyDescent="0.25">
      <c r="A38" s="23" t="s">
        <v>165</v>
      </c>
      <c r="B38" s="23" t="s">
        <v>166</v>
      </c>
      <c r="C38" s="22" t="s">
        <v>167</v>
      </c>
      <c r="D38" s="5">
        <v>26547.64</v>
      </c>
      <c r="E38" s="21">
        <f>IF(neucetab[[#This Row],[N° Facture]]="","",EOMONTH(neucetab[[#This Row],[Date facture]],1))</f>
        <v>44681</v>
      </c>
      <c r="F38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8" s="15" t="str">
        <f ca="1">IF($G$2-neucetab[[#This Row],[Date échéance]]&gt;0,"A régler","En attente")</f>
        <v>A régler</v>
      </c>
      <c r="H38"/>
      <c r="I38"/>
    </row>
    <row r="39" spans="1:9" x14ac:dyDescent="0.25">
      <c r="A39" s="23" t="s">
        <v>168</v>
      </c>
      <c r="B39" s="23" t="s">
        <v>169</v>
      </c>
      <c r="C39" s="22" t="s">
        <v>170</v>
      </c>
      <c r="D39" s="5">
        <v>7585.04</v>
      </c>
      <c r="E39" s="21">
        <f>IF(neucetab[[#This Row],[N° Facture]]="","",EOMONTH(neucetab[[#This Row],[Date facture]],1))</f>
        <v>44681</v>
      </c>
      <c r="F39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39" s="15" t="str">
        <f ca="1">IF($G$2-neucetab[[#This Row],[Date échéance]]&gt;0,"A régler","En attente")</f>
        <v>A régler</v>
      </c>
      <c r="H39"/>
      <c r="I39"/>
    </row>
    <row r="40" spans="1:9" x14ac:dyDescent="0.25">
      <c r="A40" s="23" t="s">
        <v>174</v>
      </c>
      <c r="B40" s="23" t="s">
        <v>46</v>
      </c>
      <c r="C40" s="22" t="s">
        <v>175</v>
      </c>
      <c r="D40" s="5">
        <v>34470.159999999996</v>
      </c>
      <c r="E40" s="21">
        <f>IF(neucetab[[#This Row],[N° Facture]]="","",EOMONTH(neucetab[[#This Row],[Date facture]],1))</f>
        <v>44681</v>
      </c>
      <c r="F40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40" s="15" t="str">
        <f ca="1">IF($G$2-neucetab[[#This Row],[Date échéance]]&gt;0,"A régler","En attente")</f>
        <v>A régler</v>
      </c>
      <c r="H40"/>
      <c r="I40"/>
    </row>
    <row r="41" spans="1:9" x14ac:dyDescent="0.25">
      <c r="A41" s="23" t="s">
        <v>136</v>
      </c>
      <c r="B41" s="23" t="s">
        <v>46</v>
      </c>
      <c r="C41" s="22" t="s">
        <v>137</v>
      </c>
      <c r="D41" s="5">
        <v>18238.079999999998</v>
      </c>
      <c r="E41" s="21">
        <f>IF(neucetab[[#This Row],[N° Facture]]="","",EOMONTH(neucetab[[#This Row],[Date facture]],1))</f>
        <v>44681</v>
      </c>
      <c r="F41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41" s="15" t="str">
        <f ca="1">IF($G$2-neucetab[[#This Row],[Date échéance]]&gt;0,"A régler","En attente")</f>
        <v>A régler</v>
      </c>
      <c r="H41"/>
      <c r="I41"/>
    </row>
    <row r="42" spans="1:9" x14ac:dyDescent="0.25">
      <c r="A42" s="23" t="s">
        <v>138</v>
      </c>
      <c r="B42" s="23" t="s">
        <v>139</v>
      </c>
      <c r="C42" s="22" t="s">
        <v>23</v>
      </c>
      <c r="D42" s="5">
        <v>43421.64</v>
      </c>
      <c r="E42" s="21">
        <f>IF(neucetab[[#This Row],[N° Facture]]="","",EOMONTH(neucetab[[#This Row],[Date facture]],1))</f>
        <v>44681</v>
      </c>
      <c r="F42" s="14" t="str">
        <f ca="1">IF($G$2-neucetab[[#This Row],[Date échéance]]&lt;0,-1*($G$2-neucetab[[#This Row],[Date échéance]])&amp;" jrs d'avance",$G$2-neucetab[[#This Row],[Date échéance]]&amp;" jrs de retard")</f>
        <v>124 jrs de retard</v>
      </c>
      <c r="G42" s="15" t="str">
        <f ca="1">IF($G$2-neucetab[[#This Row],[Date échéance]]&gt;0,"A régler","En attente")</f>
        <v>A régler</v>
      </c>
      <c r="H42"/>
      <c r="I42"/>
    </row>
    <row r="43" spans="1:9" x14ac:dyDescent="0.25">
      <c r="A43" s="23" t="s">
        <v>178</v>
      </c>
      <c r="B43" s="23" t="s">
        <v>179</v>
      </c>
      <c r="C43" s="22" t="s">
        <v>180</v>
      </c>
      <c r="D43" s="5">
        <v>193237.97999999998</v>
      </c>
      <c r="E43" s="21">
        <f>IF(neucetab[[#This Row],[N° Facture]]="","",EOMONTH(neucetab[[#This Row],[Date facture]],1))</f>
        <v>44742</v>
      </c>
      <c r="F43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3" s="15" t="str">
        <f ca="1">IF($G$2-neucetab[[#This Row],[Date échéance]]&gt;0,"A régler","En attente")</f>
        <v>A régler</v>
      </c>
      <c r="H43"/>
      <c r="I43"/>
    </row>
    <row r="44" spans="1:9" x14ac:dyDescent="0.25">
      <c r="A44" s="23" t="s">
        <v>226</v>
      </c>
      <c r="B44" s="23" t="s">
        <v>179</v>
      </c>
      <c r="C44" s="22" t="s">
        <v>208</v>
      </c>
      <c r="D44" s="5">
        <v>184194.46</v>
      </c>
      <c r="E44" s="21">
        <f>IF(neucetab[[#This Row],[N° Facture]]="","",EOMONTH(neucetab[[#This Row],[Date facture]],1))</f>
        <v>44742</v>
      </c>
      <c r="F44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4" s="15" t="str">
        <f ca="1">IF($G$2-neucetab[[#This Row],[Date échéance]]&gt;0,"A régler","En attente")</f>
        <v>A régler</v>
      </c>
      <c r="H44"/>
      <c r="I44"/>
    </row>
    <row r="45" spans="1:9" x14ac:dyDescent="0.25">
      <c r="A45" s="23" t="s">
        <v>229</v>
      </c>
      <c r="B45" s="23" t="s">
        <v>230</v>
      </c>
      <c r="C45" s="22" t="s">
        <v>231</v>
      </c>
      <c r="D45" s="5">
        <v>43615.159999999996</v>
      </c>
      <c r="E45" s="21">
        <f>IF(neucetab[[#This Row],[N° Facture]]="","",EOMONTH(neucetab[[#This Row],[Date facture]],1))</f>
        <v>44742</v>
      </c>
      <c r="F45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5" s="15" t="str">
        <f ca="1">IF($G$2-neucetab[[#This Row],[Date échéance]]&gt;0,"A régler","En attente")</f>
        <v>A régler</v>
      </c>
      <c r="H45"/>
      <c r="I45"/>
    </row>
    <row r="46" spans="1:9" x14ac:dyDescent="0.25">
      <c r="A46" s="23" t="s">
        <v>105</v>
      </c>
      <c r="B46" s="23" t="s">
        <v>98</v>
      </c>
      <c r="C46" s="22" t="s">
        <v>106</v>
      </c>
      <c r="D46" s="5">
        <v>11946.32</v>
      </c>
      <c r="E46" s="21">
        <f>IF(neucetab[[#This Row],[N° Facture]]="","",EOMONTH(neucetab[[#This Row],[Date facture]],1))</f>
        <v>44742</v>
      </c>
      <c r="F46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6" s="15" t="str">
        <f ca="1">IF($G$2-neucetab[[#This Row],[Date échéance]]&gt;0,"A régler","En attente")</f>
        <v>A régler</v>
      </c>
      <c r="H46"/>
      <c r="I46"/>
    </row>
    <row r="47" spans="1:9" x14ac:dyDescent="0.25">
      <c r="A47" s="23" t="s">
        <v>181</v>
      </c>
      <c r="B47" s="23" t="s">
        <v>98</v>
      </c>
      <c r="C47" s="22" t="s">
        <v>182</v>
      </c>
      <c r="D47" s="5">
        <v>4578.3999999999996</v>
      </c>
      <c r="E47" s="21">
        <f>IF(neucetab[[#This Row],[N° Facture]]="","",EOMONTH(neucetab[[#This Row],[Date facture]],1))</f>
        <v>44742</v>
      </c>
      <c r="F47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7" s="15" t="str">
        <f ca="1">IF($G$2-neucetab[[#This Row],[Date échéance]]&gt;0,"A régler","En attente")</f>
        <v>A régler</v>
      </c>
      <c r="H47"/>
      <c r="I47"/>
    </row>
    <row r="48" spans="1:9" x14ac:dyDescent="0.25">
      <c r="A48" s="23" t="s">
        <v>188</v>
      </c>
      <c r="B48" s="23" t="s">
        <v>184</v>
      </c>
      <c r="C48" s="22" t="s">
        <v>189</v>
      </c>
      <c r="D48" s="5">
        <v>380555.89999999997</v>
      </c>
      <c r="E48" s="21">
        <f>IF(neucetab[[#This Row],[N° Facture]]="","",EOMONTH(neucetab[[#This Row],[Date facture]],1))</f>
        <v>44742</v>
      </c>
      <c r="F48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8" s="15" t="str">
        <f ca="1">IF($G$2-neucetab[[#This Row],[Date échéance]]&gt;0,"A régler","En attente")</f>
        <v>A régler</v>
      </c>
      <c r="H48"/>
      <c r="I48"/>
    </row>
    <row r="49" spans="1:9" x14ac:dyDescent="0.25">
      <c r="A49" s="23" t="s">
        <v>183</v>
      </c>
      <c r="B49" s="23" t="s">
        <v>184</v>
      </c>
      <c r="C49" s="22" t="s">
        <v>185</v>
      </c>
      <c r="D49" s="5">
        <v>11179.32</v>
      </c>
      <c r="E49" s="21">
        <f>IF(neucetab[[#This Row],[N° Facture]]="","",EOMONTH(neucetab[[#This Row],[Date facture]],1))</f>
        <v>44742</v>
      </c>
      <c r="F49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49" s="15" t="str">
        <f ca="1">IF($G$2-neucetab[[#This Row],[Date échéance]]&gt;0,"A régler","En attente")</f>
        <v>A régler</v>
      </c>
      <c r="H49"/>
      <c r="I49"/>
    </row>
    <row r="50" spans="1:9" x14ac:dyDescent="0.25">
      <c r="A50" s="23" t="s">
        <v>190</v>
      </c>
      <c r="B50" s="23" t="s">
        <v>184</v>
      </c>
      <c r="C50" s="22" t="s">
        <v>191</v>
      </c>
      <c r="D50" s="5">
        <v>271825.98</v>
      </c>
      <c r="E50" s="21">
        <f>IF(neucetab[[#This Row],[N° Facture]]="","",EOMONTH(neucetab[[#This Row],[Date facture]],1))</f>
        <v>44742</v>
      </c>
      <c r="F50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0" s="15" t="str">
        <f ca="1">IF($G$2-neucetab[[#This Row],[Date échéance]]&gt;0,"A régler","En attente")</f>
        <v>A régler</v>
      </c>
      <c r="H50"/>
      <c r="I50"/>
    </row>
    <row r="51" spans="1:9" x14ac:dyDescent="0.25">
      <c r="A51" s="23" t="s">
        <v>192</v>
      </c>
      <c r="B51" s="23" t="s">
        <v>193</v>
      </c>
      <c r="C51" s="22" t="s">
        <v>194</v>
      </c>
      <c r="D51" s="5">
        <v>84696.86</v>
      </c>
      <c r="E51" s="21">
        <f>IF(neucetab[[#This Row],[N° Facture]]="","",EOMONTH(neucetab[[#This Row],[Date facture]],1))</f>
        <v>44742</v>
      </c>
      <c r="F51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1" s="15" t="str">
        <f ca="1">IF($G$2-neucetab[[#This Row],[Date échéance]]&gt;0,"A régler","En attente")</f>
        <v>A régler</v>
      </c>
      <c r="H51"/>
      <c r="I51"/>
    </row>
    <row r="52" spans="1:9" x14ac:dyDescent="0.25">
      <c r="A52" s="23" t="s">
        <v>195</v>
      </c>
      <c r="B52" s="23" t="s">
        <v>193</v>
      </c>
      <c r="C52" s="22" t="s">
        <v>196</v>
      </c>
      <c r="D52" s="5">
        <v>75767.8</v>
      </c>
      <c r="E52" s="21">
        <f>IF(neucetab[[#This Row],[N° Facture]]="","",EOMONTH(neucetab[[#This Row],[Date facture]],1))</f>
        <v>44742</v>
      </c>
      <c r="F52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2" s="15" t="str">
        <f ca="1">IF($G$2-neucetab[[#This Row],[Date échéance]]&gt;0,"A régler","En attente")</f>
        <v>A régler</v>
      </c>
      <c r="H52"/>
      <c r="I52"/>
    </row>
    <row r="53" spans="1:9" x14ac:dyDescent="0.25">
      <c r="A53" s="23" t="s">
        <v>199</v>
      </c>
      <c r="B53" s="23" t="s">
        <v>193</v>
      </c>
      <c r="C53" s="22" t="s">
        <v>200</v>
      </c>
      <c r="D53" s="5">
        <v>534016.07999999996</v>
      </c>
      <c r="E53" s="21">
        <f>IF(neucetab[[#This Row],[N° Facture]]="","",EOMONTH(neucetab[[#This Row],[Date facture]],1))</f>
        <v>44742</v>
      </c>
      <c r="F53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3" s="15" t="str">
        <f ca="1">IF($G$2-neucetab[[#This Row],[Date échéance]]&gt;0,"A régler","En attente")</f>
        <v>A régler</v>
      </c>
      <c r="H53"/>
      <c r="I53"/>
    </row>
    <row r="54" spans="1:9" x14ac:dyDescent="0.25">
      <c r="A54" s="23" t="s">
        <v>227</v>
      </c>
      <c r="B54" s="23" t="s">
        <v>193</v>
      </c>
      <c r="C54" s="22" t="s">
        <v>217</v>
      </c>
      <c r="D54" s="5">
        <v>125179.12</v>
      </c>
      <c r="E54" s="21">
        <f>IF(neucetab[[#This Row],[N° Facture]]="","",EOMONTH(neucetab[[#This Row],[Date facture]],1))</f>
        <v>44742</v>
      </c>
      <c r="F54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4" s="15" t="str">
        <f ca="1">IF($G$2-neucetab[[#This Row],[Date échéance]]&gt;0,"A régler","En attente")</f>
        <v>A régler</v>
      </c>
      <c r="H54"/>
      <c r="I54"/>
    </row>
    <row r="55" spans="1:9" x14ac:dyDescent="0.25">
      <c r="A55" s="23" t="s">
        <v>186</v>
      </c>
      <c r="B55" s="23" t="s">
        <v>95</v>
      </c>
      <c r="C55" s="22" t="s">
        <v>187</v>
      </c>
      <c r="D55" s="5">
        <v>5402.04</v>
      </c>
      <c r="E55" s="21">
        <f>IF(neucetab[[#This Row],[N° Facture]]="","",EOMONTH(neucetab[[#This Row],[Date facture]],1))</f>
        <v>44742</v>
      </c>
      <c r="F55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5" s="15" t="str">
        <f ca="1">IF($G$2-neucetab[[#This Row],[Date échéance]]&gt;0,"A régler","En attente")</f>
        <v>A régler</v>
      </c>
      <c r="H55"/>
      <c r="I55"/>
    </row>
    <row r="56" spans="1:9" x14ac:dyDescent="0.25">
      <c r="A56" s="23" t="s">
        <v>197</v>
      </c>
      <c r="B56" s="23" t="s">
        <v>95</v>
      </c>
      <c r="C56" s="22" t="s">
        <v>198</v>
      </c>
      <c r="D56" s="5">
        <v>159019.16</v>
      </c>
      <c r="E56" s="21">
        <f>IF(neucetab[[#This Row],[N° Facture]]="","",EOMONTH(neucetab[[#This Row],[Date facture]],1))</f>
        <v>44742</v>
      </c>
      <c r="F56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6" s="15" t="str">
        <f ca="1">IF($G$2-neucetab[[#This Row],[Date échéance]]&gt;0,"A régler","En attente")</f>
        <v>A régler</v>
      </c>
      <c r="H56"/>
      <c r="I56"/>
    </row>
    <row r="57" spans="1:9" x14ac:dyDescent="0.25">
      <c r="A57" s="23" t="s">
        <v>201</v>
      </c>
      <c r="B57" s="23" t="s">
        <v>95</v>
      </c>
      <c r="C57" s="22" t="s">
        <v>202</v>
      </c>
      <c r="D57" s="5">
        <v>19864.12</v>
      </c>
      <c r="E57" s="21">
        <f>IF(neucetab[[#This Row],[N° Facture]]="","",EOMONTH(neucetab[[#This Row],[Date facture]],1))</f>
        <v>44742</v>
      </c>
      <c r="F57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7" s="15" t="str">
        <f ca="1">IF($G$2-neucetab[[#This Row],[Date échéance]]&gt;0,"A régler","En attente")</f>
        <v>A régler</v>
      </c>
      <c r="H57"/>
      <c r="I57"/>
    </row>
    <row r="58" spans="1:9" x14ac:dyDescent="0.25">
      <c r="A58" s="23" t="s">
        <v>224</v>
      </c>
      <c r="B58" s="23" t="s">
        <v>95</v>
      </c>
      <c r="C58" s="22" t="s">
        <v>225</v>
      </c>
      <c r="D58" s="5">
        <v>113281.18</v>
      </c>
      <c r="E58" s="21">
        <f>IF(neucetab[[#This Row],[N° Facture]]="","",EOMONTH(neucetab[[#This Row],[Date facture]],1))</f>
        <v>44742</v>
      </c>
      <c r="F58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8" s="15" t="str">
        <f ca="1">IF($G$2-neucetab[[#This Row],[Date échéance]]&gt;0,"A régler","En attente")</f>
        <v>A régler</v>
      </c>
      <c r="H58"/>
      <c r="I58"/>
    </row>
    <row r="59" spans="1:9" x14ac:dyDescent="0.25">
      <c r="A59" s="23" t="s">
        <v>228</v>
      </c>
      <c r="B59" s="23" t="s">
        <v>95</v>
      </c>
      <c r="C59" s="22" t="s">
        <v>147</v>
      </c>
      <c r="D59" s="5">
        <v>66770.3</v>
      </c>
      <c r="E59" s="21">
        <f>IF(neucetab[[#This Row],[N° Facture]]="","",EOMONTH(neucetab[[#This Row],[Date facture]],1))</f>
        <v>44742</v>
      </c>
      <c r="F59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59" s="15" t="str">
        <f ca="1">IF($G$2-neucetab[[#This Row],[Date échéance]]&gt;0,"A régler","En attente")</f>
        <v>A régler</v>
      </c>
      <c r="H59"/>
      <c r="I59"/>
    </row>
    <row r="60" spans="1:9" x14ac:dyDescent="0.25">
      <c r="A60" s="23" t="s">
        <v>215</v>
      </c>
      <c r="B60" s="23" t="s">
        <v>43</v>
      </c>
      <c r="C60" s="22" t="s">
        <v>198</v>
      </c>
      <c r="D60" s="5">
        <v>159019.16</v>
      </c>
      <c r="E60" s="21">
        <f>IF(neucetab[[#This Row],[N° Facture]]="","",EOMONTH(neucetab[[#This Row],[Date facture]],1))</f>
        <v>44742</v>
      </c>
      <c r="F60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0" s="15" t="str">
        <f ca="1">IF($G$2-neucetab[[#This Row],[Date échéance]]&gt;0,"A régler","En attente")</f>
        <v>A régler</v>
      </c>
      <c r="H60"/>
      <c r="I60"/>
    </row>
    <row r="61" spans="1:9" x14ac:dyDescent="0.25">
      <c r="A61" s="23" t="s">
        <v>216</v>
      </c>
      <c r="B61" s="23" t="s">
        <v>43</v>
      </c>
      <c r="C61" s="22" t="s">
        <v>217</v>
      </c>
      <c r="D61" s="5">
        <v>125179.12</v>
      </c>
      <c r="E61" s="21">
        <f>IF(neucetab[[#This Row],[N° Facture]]="","",EOMONTH(neucetab[[#This Row],[Date facture]],1))</f>
        <v>44742</v>
      </c>
      <c r="F61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1" s="15" t="str">
        <f ca="1">IF($G$2-neucetab[[#This Row],[Date échéance]]&gt;0,"A régler","En attente")</f>
        <v>A régler</v>
      </c>
      <c r="H61"/>
      <c r="I61"/>
    </row>
    <row r="62" spans="1:9" x14ac:dyDescent="0.25">
      <c r="A62" s="23" t="s">
        <v>212</v>
      </c>
      <c r="B62" s="23" t="s">
        <v>213</v>
      </c>
      <c r="C62" s="22" t="s">
        <v>214</v>
      </c>
      <c r="D62" s="5">
        <v>92097.819999999992</v>
      </c>
      <c r="E62" s="21">
        <f>IF(neucetab[[#This Row],[N° Facture]]="","",EOMONTH(neucetab[[#This Row],[Date facture]],1))</f>
        <v>44742</v>
      </c>
      <c r="F62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2" s="15" t="str">
        <f ca="1">IF($G$2-neucetab[[#This Row],[Date échéance]]&gt;0,"A régler","En attente")</f>
        <v>A régler</v>
      </c>
      <c r="H62"/>
      <c r="I62"/>
    </row>
    <row r="63" spans="1:9" x14ac:dyDescent="0.25">
      <c r="A63" s="23" t="s">
        <v>120</v>
      </c>
      <c r="B63" s="23" t="s">
        <v>121</v>
      </c>
      <c r="C63" s="22" t="s">
        <v>122</v>
      </c>
      <c r="D63" s="5">
        <v>33384.559999999998</v>
      </c>
      <c r="E63" s="21">
        <f>IF(neucetab[[#This Row],[N° Facture]]="","",EOMONTH(neucetab[[#This Row],[Date facture]],1))</f>
        <v>44742</v>
      </c>
      <c r="F63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3" s="15" t="str">
        <f ca="1">IF($G$2-neucetab[[#This Row],[Date échéance]]&gt;0,"A régler","En attente")</f>
        <v>A régler</v>
      </c>
      <c r="H63"/>
      <c r="I63"/>
    </row>
    <row r="64" spans="1:9" x14ac:dyDescent="0.25">
      <c r="A64" s="23" t="s">
        <v>207</v>
      </c>
      <c r="B64" s="23" t="s">
        <v>121</v>
      </c>
      <c r="C64" s="22" t="s">
        <v>208</v>
      </c>
      <c r="D64" s="5">
        <v>184194.46</v>
      </c>
      <c r="E64" s="21">
        <f>IF(neucetab[[#This Row],[N° Facture]]="","",EOMONTH(neucetab[[#This Row],[Date facture]],1))</f>
        <v>44742</v>
      </c>
      <c r="F64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4" s="15" t="str">
        <f ca="1">IF($G$2-neucetab[[#This Row],[Date échéance]]&gt;0,"A régler","En attente")</f>
        <v>A régler</v>
      </c>
      <c r="H64"/>
      <c r="I64"/>
    </row>
    <row r="65" spans="1:9" x14ac:dyDescent="0.25">
      <c r="A65" s="23" t="s">
        <v>123</v>
      </c>
      <c r="B65" s="23" t="s">
        <v>90</v>
      </c>
      <c r="C65" s="22" t="s">
        <v>23</v>
      </c>
      <c r="D65" s="5">
        <v>43421.64</v>
      </c>
      <c r="E65" s="21">
        <f>IF(neucetab[[#This Row],[N° Facture]]="","",EOMONTH(neucetab[[#This Row],[Date facture]],1))</f>
        <v>44742</v>
      </c>
      <c r="F65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5" s="15" t="str">
        <f ca="1">IF($G$2-neucetab[[#This Row],[Date échéance]]&gt;0,"A régler","En attente")</f>
        <v>A régler</v>
      </c>
      <c r="H65"/>
      <c r="I65"/>
    </row>
    <row r="66" spans="1:9" x14ac:dyDescent="0.25">
      <c r="A66" s="23" t="s">
        <v>129</v>
      </c>
      <c r="B66" s="23" t="s">
        <v>130</v>
      </c>
      <c r="C66" s="22" t="s">
        <v>131</v>
      </c>
      <c r="D66" s="5">
        <v>19960.879999999997</v>
      </c>
      <c r="E66" s="21">
        <f>IF(neucetab[[#This Row],[N° Facture]]="","",EOMONTH(neucetab[[#This Row],[Date facture]],1))</f>
        <v>44742</v>
      </c>
      <c r="F66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6" s="15" t="str">
        <f ca="1">IF($G$2-neucetab[[#This Row],[Date échéance]]&gt;0,"A régler","En attente")</f>
        <v>A régler</v>
      </c>
      <c r="H66"/>
      <c r="I66"/>
    </row>
    <row r="67" spans="1:9" x14ac:dyDescent="0.25">
      <c r="A67" s="23" t="s">
        <v>203</v>
      </c>
      <c r="B67" s="23" t="s">
        <v>130</v>
      </c>
      <c r="C67" s="22" t="s">
        <v>204</v>
      </c>
      <c r="D67" s="5">
        <v>70592.319999999992</v>
      </c>
      <c r="E67" s="21">
        <f>IF(neucetab[[#This Row],[N° Facture]]="","",EOMONTH(neucetab[[#This Row],[Date facture]],1))</f>
        <v>44742</v>
      </c>
      <c r="F67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7" s="15" t="str">
        <f ca="1">IF($G$2-neucetab[[#This Row],[Date échéance]]&gt;0,"A régler","En attente")</f>
        <v>A régler</v>
      </c>
      <c r="H67"/>
      <c r="I67"/>
    </row>
    <row r="68" spans="1:9" x14ac:dyDescent="0.25">
      <c r="A68" s="23" t="s">
        <v>210</v>
      </c>
      <c r="B68" s="23" t="s">
        <v>130</v>
      </c>
      <c r="C68" s="22" t="s">
        <v>211</v>
      </c>
      <c r="D68" s="5">
        <v>81043.58</v>
      </c>
      <c r="E68" s="21">
        <f>IF(neucetab[[#This Row],[N° Facture]]="","",EOMONTH(neucetab[[#This Row],[Date facture]],1))</f>
        <v>44742</v>
      </c>
      <c r="F68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8" s="15" t="str">
        <f ca="1">IF($G$2-neucetab[[#This Row],[Date échéance]]&gt;0,"A régler","En attente")</f>
        <v>A régler</v>
      </c>
      <c r="H68"/>
      <c r="I68"/>
    </row>
    <row r="69" spans="1:9" x14ac:dyDescent="0.25">
      <c r="A69" s="23" t="s">
        <v>218</v>
      </c>
      <c r="B69" s="23" t="s">
        <v>130</v>
      </c>
      <c r="C69" s="22" t="s">
        <v>219</v>
      </c>
      <c r="D69" s="5">
        <v>79457.659999999989</v>
      </c>
      <c r="E69" s="21">
        <f>IF(neucetab[[#This Row],[N° Facture]]="","",EOMONTH(neucetab[[#This Row],[Date facture]],1))</f>
        <v>44742</v>
      </c>
      <c r="F69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69" s="15" t="str">
        <f ca="1">IF($G$2-neucetab[[#This Row],[Date échéance]]&gt;0,"A régler","En attente")</f>
        <v>A régler</v>
      </c>
      <c r="H69"/>
      <c r="I69"/>
    </row>
    <row r="70" spans="1:9" x14ac:dyDescent="0.25">
      <c r="A70" s="23" t="s">
        <v>127</v>
      </c>
      <c r="B70" s="23" t="s">
        <v>87</v>
      </c>
      <c r="C70" s="22" t="s">
        <v>128</v>
      </c>
      <c r="D70" s="5">
        <v>378836.63999999996</v>
      </c>
      <c r="E70" s="21">
        <f>IF(neucetab[[#This Row],[N° Facture]]="","",EOMONTH(neucetab[[#This Row],[Date facture]],1))</f>
        <v>44742</v>
      </c>
      <c r="F70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0" s="15" t="str">
        <f ca="1">IF($G$2-neucetab[[#This Row],[Date échéance]]&gt;0,"A régler","En attente")</f>
        <v>A régler</v>
      </c>
      <c r="H70"/>
      <c r="I70"/>
    </row>
    <row r="71" spans="1:9" x14ac:dyDescent="0.25">
      <c r="A71" s="23" t="s">
        <v>124</v>
      </c>
      <c r="B71" s="23" t="s">
        <v>125</v>
      </c>
      <c r="C71" s="22" t="s">
        <v>126</v>
      </c>
      <c r="D71" s="5">
        <v>151534.41999999998</v>
      </c>
      <c r="E71" s="21">
        <f>IF(neucetab[[#This Row],[N° Facture]]="","",EOMONTH(neucetab[[#This Row],[Date facture]],1))</f>
        <v>44742</v>
      </c>
      <c r="F71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1" s="15" t="str">
        <f ca="1">IF($G$2-neucetab[[#This Row],[Date échéance]]&gt;0,"A régler","En attente")</f>
        <v>A régler</v>
      </c>
      <c r="H71"/>
      <c r="I71"/>
    </row>
    <row r="72" spans="1:9" x14ac:dyDescent="0.25">
      <c r="A72" s="23" t="s">
        <v>205</v>
      </c>
      <c r="B72" s="23" t="s">
        <v>66</v>
      </c>
      <c r="C72" s="22" t="s">
        <v>206</v>
      </c>
      <c r="D72" s="5">
        <v>122722.36</v>
      </c>
      <c r="E72" s="21">
        <f>IF(neucetab[[#This Row],[N° Facture]]="","",EOMONTH(neucetab[[#This Row],[Date facture]],1))</f>
        <v>44742</v>
      </c>
      <c r="F72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2" s="15" t="str">
        <f ca="1">IF($G$2-neucetab[[#This Row],[Date échéance]]&gt;0,"A régler","En attente")</f>
        <v>A régler</v>
      </c>
      <c r="H72"/>
      <c r="I72"/>
    </row>
    <row r="73" spans="1:9" x14ac:dyDescent="0.25">
      <c r="A73" s="23" t="s">
        <v>222</v>
      </c>
      <c r="B73" s="23" t="s">
        <v>66</v>
      </c>
      <c r="C73" s="22" t="s">
        <v>223</v>
      </c>
      <c r="D73" s="5">
        <v>5006.74</v>
      </c>
      <c r="E73" s="21">
        <f>IF(neucetab[[#This Row],[N° Facture]]="","",EOMONTH(neucetab[[#This Row],[Date facture]],1))</f>
        <v>44742</v>
      </c>
      <c r="F73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3" s="15" t="str">
        <f ca="1">IF($G$2-neucetab[[#This Row],[Date échéance]]&gt;0,"A régler","En attente")</f>
        <v>A régler</v>
      </c>
      <c r="H73"/>
      <c r="I73"/>
    </row>
    <row r="74" spans="1:9" x14ac:dyDescent="0.25">
      <c r="A74" s="23" t="s">
        <v>209</v>
      </c>
      <c r="B74" s="23" t="s">
        <v>63</v>
      </c>
      <c r="C74" s="22" t="s">
        <v>208</v>
      </c>
      <c r="D74" s="5">
        <v>184194.46</v>
      </c>
      <c r="E74" s="21">
        <f>IF(neucetab[[#This Row],[N° Facture]]="","",EOMONTH(neucetab[[#This Row],[Date facture]],1))</f>
        <v>44742</v>
      </c>
      <c r="F74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4" s="15" t="str">
        <f ca="1">IF($G$2-neucetab[[#This Row],[Date échéance]]&gt;0,"A régler","En attente")</f>
        <v>A régler</v>
      </c>
      <c r="H74"/>
      <c r="I74"/>
    </row>
    <row r="75" spans="1:9" x14ac:dyDescent="0.25">
      <c r="A75" s="23" t="s">
        <v>220</v>
      </c>
      <c r="B75" s="23" t="s">
        <v>63</v>
      </c>
      <c r="C75" s="22" t="s">
        <v>221</v>
      </c>
      <c r="D75" s="5">
        <v>27691.059999999998</v>
      </c>
      <c r="E75" s="21">
        <f>IF(neucetab[[#This Row],[N° Facture]]="","",EOMONTH(neucetab[[#This Row],[Date facture]],1))</f>
        <v>44742</v>
      </c>
      <c r="F75" s="14" t="str">
        <f ca="1">IF($G$2-neucetab[[#This Row],[Date échéance]]&lt;0,-1*($G$2-neucetab[[#This Row],[Date échéance]])&amp;" jrs d'avance",$G$2-neucetab[[#This Row],[Date échéance]]&amp;" jrs de retard")</f>
        <v>63 jrs de retard</v>
      </c>
      <c r="G75" s="15" t="str">
        <f ca="1">IF($G$2-neucetab[[#This Row],[Date échéance]]&gt;0,"A régler","En attente")</f>
        <v>A régler</v>
      </c>
      <c r="H75"/>
      <c r="I75"/>
    </row>
    <row r="76" spans="1:9" x14ac:dyDescent="0.25">
      <c r="A76" s="23" t="s">
        <v>247</v>
      </c>
      <c r="B76" s="23" t="s">
        <v>12</v>
      </c>
      <c r="C76" s="22" t="s">
        <v>214</v>
      </c>
      <c r="D76" s="5">
        <v>92097.819999999992</v>
      </c>
      <c r="E76" s="21">
        <f>IF(neucetab[[#This Row],[N° Facture]]="","",EOMONTH(neucetab[[#This Row],[Date facture]],1))</f>
        <v>44773</v>
      </c>
      <c r="F76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76" s="15" t="str">
        <f ca="1">IF($G$2-neucetab[[#This Row],[Date échéance]]&gt;0,"A régler","En attente")</f>
        <v>A régler</v>
      </c>
      <c r="H76"/>
      <c r="I76"/>
    </row>
    <row r="77" spans="1:9" x14ac:dyDescent="0.25">
      <c r="A77" s="23" t="s">
        <v>118</v>
      </c>
      <c r="B77" s="23" t="s">
        <v>114</v>
      </c>
      <c r="C77" s="22" t="s">
        <v>119</v>
      </c>
      <c r="D77" s="5">
        <v>11974.64</v>
      </c>
      <c r="E77" s="21">
        <f>IF(neucetab[[#This Row],[N° Facture]]="","",EOMONTH(neucetab[[#This Row],[Date facture]],1))</f>
        <v>44773</v>
      </c>
      <c r="F77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77" s="15" t="str">
        <f ca="1">IF($G$2-neucetab[[#This Row],[Date échéance]]&gt;0,"A régler","En attente")</f>
        <v>A régler</v>
      </c>
      <c r="H77"/>
      <c r="I77"/>
    </row>
    <row r="78" spans="1:9" x14ac:dyDescent="0.25">
      <c r="A78" s="23" t="s">
        <v>116</v>
      </c>
      <c r="B78" s="23" t="s">
        <v>114</v>
      </c>
      <c r="C78" s="22" t="s">
        <v>117</v>
      </c>
      <c r="D78" s="5">
        <v>29614.46</v>
      </c>
      <c r="E78" s="21">
        <f>IF(neucetab[[#This Row],[N° Facture]]="","",EOMONTH(neucetab[[#This Row],[Date facture]],1))</f>
        <v>44773</v>
      </c>
      <c r="F78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78" s="15" t="str">
        <f ca="1">IF($G$2-neucetab[[#This Row],[Date échéance]]&gt;0,"A régler","En attente")</f>
        <v>A régler</v>
      </c>
      <c r="H78"/>
      <c r="I78"/>
    </row>
    <row r="79" spans="1:9" x14ac:dyDescent="0.25">
      <c r="A79" s="23" t="s">
        <v>113</v>
      </c>
      <c r="B79" s="23" t="s">
        <v>114</v>
      </c>
      <c r="C79" s="22" t="s">
        <v>115</v>
      </c>
      <c r="D79" s="5">
        <v>129817.7</v>
      </c>
      <c r="E79" s="21">
        <f>IF(neucetab[[#This Row],[N° Facture]]="","",EOMONTH(neucetab[[#This Row],[Date facture]],1))</f>
        <v>44773</v>
      </c>
      <c r="F79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79" s="15" t="str">
        <f ca="1">IF($G$2-neucetab[[#This Row],[Date échéance]]&gt;0,"A régler","En attente")</f>
        <v>A régler</v>
      </c>
      <c r="H79"/>
      <c r="I79"/>
    </row>
    <row r="80" spans="1:9" x14ac:dyDescent="0.25">
      <c r="A80" s="23" t="s">
        <v>245</v>
      </c>
      <c r="B80" s="23" t="s">
        <v>114</v>
      </c>
      <c r="C80" s="22" t="s">
        <v>246</v>
      </c>
      <c r="D80" s="5">
        <v>14689.82</v>
      </c>
      <c r="E80" s="21">
        <f>IF(neucetab[[#This Row],[N° Facture]]="","",EOMONTH(neucetab[[#This Row],[Date facture]],1))</f>
        <v>44773</v>
      </c>
      <c r="F80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0" s="15" t="str">
        <f ca="1">IF($G$2-neucetab[[#This Row],[Date échéance]]&gt;0,"A régler","En attente")</f>
        <v>A régler</v>
      </c>
      <c r="H80"/>
      <c r="I80"/>
    </row>
    <row r="81" spans="1:9" x14ac:dyDescent="0.25">
      <c r="A81" s="23" t="s">
        <v>111</v>
      </c>
      <c r="B81" s="23" t="s">
        <v>17</v>
      </c>
      <c r="C81" s="22" t="s">
        <v>112</v>
      </c>
      <c r="D81" s="5">
        <v>100616.23999999999</v>
      </c>
      <c r="E81" s="21">
        <f>IF(neucetab[[#This Row],[N° Facture]]="","",EOMONTH(neucetab[[#This Row],[Date facture]],1))</f>
        <v>44773</v>
      </c>
      <c r="F81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1" s="15" t="str">
        <f ca="1">IF($G$2-neucetab[[#This Row],[Date échéance]]&gt;0,"A régler","En attente")</f>
        <v>A régler</v>
      </c>
      <c r="H81"/>
      <c r="I81"/>
    </row>
    <row r="82" spans="1:9" x14ac:dyDescent="0.25">
      <c r="A82" s="23" t="s">
        <v>109</v>
      </c>
      <c r="B82" s="23" t="s">
        <v>20</v>
      </c>
      <c r="C82" s="22" t="s">
        <v>110</v>
      </c>
      <c r="D82" s="5">
        <v>142538.1</v>
      </c>
      <c r="E82" s="21">
        <f>IF(neucetab[[#This Row],[N° Facture]]="","",EOMONTH(neucetab[[#This Row],[Date facture]],1))</f>
        <v>44773</v>
      </c>
      <c r="F82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2" s="15" t="str">
        <f ca="1">IF($G$2-neucetab[[#This Row],[Date échéance]]&gt;0,"A régler","En attente")</f>
        <v>A régler</v>
      </c>
      <c r="H82"/>
      <c r="I82"/>
    </row>
    <row r="83" spans="1:9" x14ac:dyDescent="0.25">
      <c r="A83" s="23" t="s">
        <v>237</v>
      </c>
      <c r="B83" s="23" t="s">
        <v>20</v>
      </c>
      <c r="C83" s="22" t="s">
        <v>238</v>
      </c>
      <c r="D83" s="5">
        <v>138279.47999999998</v>
      </c>
      <c r="E83" s="21">
        <f>IF(neucetab[[#This Row],[N° Facture]]="","",EOMONTH(neucetab[[#This Row],[Date facture]],1))</f>
        <v>44773</v>
      </c>
      <c r="F83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3" s="15" t="str">
        <f ca="1">IF($G$2-neucetab[[#This Row],[Date échéance]]&gt;0,"A régler","En attente")</f>
        <v>A régler</v>
      </c>
      <c r="H83"/>
      <c r="I83"/>
    </row>
    <row r="84" spans="1:9" x14ac:dyDescent="0.25">
      <c r="A84" s="23" t="s">
        <v>235</v>
      </c>
      <c r="B84" s="23" t="s">
        <v>19</v>
      </c>
      <c r="C84" s="22" t="s">
        <v>236</v>
      </c>
      <c r="D84" s="5">
        <v>131082.66</v>
      </c>
      <c r="E84" s="21">
        <f>IF(neucetab[[#This Row],[N° Facture]]="","",EOMONTH(neucetab[[#This Row],[Date facture]],1))</f>
        <v>44773</v>
      </c>
      <c r="F84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4" s="15" t="str">
        <f ca="1">IF($G$2-neucetab[[#This Row],[Date échéance]]&gt;0,"A régler","En attente")</f>
        <v>A régler</v>
      </c>
      <c r="H84"/>
      <c r="I84"/>
    </row>
    <row r="85" spans="1:9" x14ac:dyDescent="0.25">
      <c r="A85" s="23" t="s">
        <v>132</v>
      </c>
      <c r="B85" s="23" t="s">
        <v>14</v>
      </c>
      <c r="C85" s="22" t="s">
        <v>23</v>
      </c>
      <c r="D85" s="5">
        <v>43421.64</v>
      </c>
      <c r="E85" s="21">
        <f>IF(neucetab[[#This Row],[N° Facture]]="","",EOMONTH(neucetab[[#This Row],[Date facture]],1))</f>
        <v>44773</v>
      </c>
      <c r="F85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5" s="15" t="str">
        <f ca="1">IF($G$2-neucetab[[#This Row],[Date échéance]]&gt;0,"A régler","En attente")</f>
        <v>A régler</v>
      </c>
      <c r="H85"/>
      <c r="I85"/>
    </row>
    <row r="86" spans="1:9" x14ac:dyDescent="0.25">
      <c r="A86" s="23" t="s">
        <v>239</v>
      </c>
      <c r="B86" s="23" t="s">
        <v>14</v>
      </c>
      <c r="C86" s="22" t="s">
        <v>240</v>
      </c>
      <c r="D86" s="5">
        <v>32209.279999999999</v>
      </c>
      <c r="E86" s="21">
        <f>IF(neucetab[[#This Row],[N° Facture]]="","",EOMONTH(neucetab[[#This Row],[Date facture]],1))</f>
        <v>44773</v>
      </c>
      <c r="F86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6" s="15" t="str">
        <f ca="1">IF($G$2-neucetab[[#This Row],[Date échéance]]&gt;0,"A régler","En attente")</f>
        <v>A régler</v>
      </c>
      <c r="H86"/>
      <c r="I86"/>
    </row>
    <row r="87" spans="1:9" x14ac:dyDescent="0.25">
      <c r="A87" s="23" t="s">
        <v>241</v>
      </c>
      <c r="B87" s="23" t="s">
        <v>14</v>
      </c>
      <c r="C87" s="22" t="s">
        <v>242</v>
      </c>
      <c r="D87" s="5">
        <v>40043.299999999996</v>
      </c>
      <c r="E87" s="21">
        <f>IF(neucetab[[#This Row],[N° Facture]]="","",EOMONTH(neucetab[[#This Row],[Date facture]],1))</f>
        <v>44773</v>
      </c>
      <c r="F87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7" s="15" t="str">
        <f ca="1">IF($G$2-neucetab[[#This Row],[Date échéance]]&gt;0,"A régler","En attente")</f>
        <v>A régler</v>
      </c>
      <c r="H87"/>
      <c r="I87"/>
    </row>
    <row r="88" spans="1:9" x14ac:dyDescent="0.25">
      <c r="A88" s="23" t="s">
        <v>243</v>
      </c>
      <c r="B88" s="23" t="s">
        <v>244</v>
      </c>
      <c r="C88" s="22" t="s">
        <v>135</v>
      </c>
      <c r="D88" s="5">
        <v>30924.26</v>
      </c>
      <c r="E88" s="21">
        <f>IF(neucetab[[#This Row],[N° Facture]]="","",EOMONTH(neucetab[[#This Row],[Date facture]],1))</f>
        <v>44773</v>
      </c>
      <c r="F88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8" s="15" t="str">
        <f ca="1">IF($G$2-neucetab[[#This Row],[Date échéance]]&gt;0,"A régler","En attente")</f>
        <v>A régler</v>
      </c>
      <c r="H88"/>
      <c r="I88"/>
    </row>
    <row r="89" spans="1:9" x14ac:dyDescent="0.25">
      <c r="A89" s="23" t="s">
        <v>232</v>
      </c>
      <c r="B89" s="23" t="s">
        <v>24</v>
      </c>
      <c r="C89" s="22" t="s">
        <v>25</v>
      </c>
      <c r="D89" s="5">
        <v>85059.12</v>
      </c>
      <c r="E89" s="21">
        <f>IF(neucetab[[#This Row],[N° Facture]]="","",EOMONTH(neucetab[[#This Row],[Date facture]],1))</f>
        <v>44773</v>
      </c>
      <c r="F89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89" s="15" t="str">
        <f ca="1">IF($G$2-neucetab[[#This Row],[Date échéance]]&gt;0,"A régler","En attente")</f>
        <v>A régler</v>
      </c>
      <c r="H89"/>
      <c r="I89"/>
    </row>
    <row r="90" spans="1:9" x14ac:dyDescent="0.25">
      <c r="A90" s="23" t="s">
        <v>233</v>
      </c>
      <c r="B90" s="23" t="s">
        <v>24</v>
      </c>
      <c r="C90" s="22" t="s">
        <v>234</v>
      </c>
      <c r="D90" s="5">
        <v>82374.62</v>
      </c>
      <c r="E90" s="21">
        <f>IF(neucetab[[#This Row],[N° Facture]]="","",EOMONTH(neucetab[[#This Row],[Date facture]],1))</f>
        <v>44773</v>
      </c>
      <c r="F90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90" s="15" t="str">
        <f ca="1">IF($G$2-neucetab[[#This Row],[Date échéance]]&gt;0,"A régler","En attente")</f>
        <v>A régler</v>
      </c>
      <c r="H90"/>
      <c r="I90"/>
    </row>
    <row r="91" spans="1:9" x14ac:dyDescent="0.25">
      <c r="A91" s="23" t="s">
        <v>107</v>
      </c>
      <c r="B91" s="23" t="s">
        <v>75</v>
      </c>
      <c r="C91" s="22" t="s">
        <v>108</v>
      </c>
      <c r="D91" s="5">
        <v>126075.92</v>
      </c>
      <c r="E91" s="21">
        <f>IF(neucetab[[#This Row],[N° Facture]]="","",EOMONTH(neucetab[[#This Row],[Date facture]],1))</f>
        <v>44773</v>
      </c>
      <c r="F91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91" s="15" t="str">
        <f ca="1">IF($G$2-neucetab[[#This Row],[Date échéance]]&gt;0,"A régler","En attente")</f>
        <v>A régler</v>
      </c>
      <c r="H91"/>
      <c r="I91"/>
    </row>
    <row r="92" spans="1:9" x14ac:dyDescent="0.25">
      <c r="A92" s="23" t="s">
        <v>248</v>
      </c>
      <c r="B92" s="23" t="s">
        <v>13</v>
      </c>
      <c r="C92" s="22" t="s">
        <v>214</v>
      </c>
      <c r="D92" s="5">
        <v>92097.819999999992</v>
      </c>
      <c r="E92" s="21">
        <f>IF(neucetab[[#This Row],[N° Facture]]="","",EOMONTH(neucetab[[#This Row],[Date facture]],1))</f>
        <v>44773</v>
      </c>
      <c r="F92" s="14" t="str">
        <f ca="1">IF($G$2-neucetab[[#This Row],[Date échéance]]&lt;0,-1*($G$2-neucetab[[#This Row],[Date échéance]])&amp;" jrs d'avance",$G$2-neucetab[[#This Row],[Date échéance]]&amp;" jrs de retard")</f>
        <v>32 jrs de retard</v>
      </c>
      <c r="G92" s="15" t="str">
        <f ca="1">IF($G$2-neucetab[[#This Row],[Date échéance]]&gt;0,"A régler","En attente")</f>
        <v>A régler</v>
      </c>
      <c r="H92"/>
      <c r="I92"/>
    </row>
    <row r="93" spans="1:9" x14ac:dyDescent="0.25">
      <c r="A93" s="23" t="s">
        <v>249</v>
      </c>
      <c r="B93" s="23" t="s">
        <v>250</v>
      </c>
      <c r="C93" s="22" t="s">
        <v>194</v>
      </c>
      <c r="D93" s="5">
        <v>84696.86</v>
      </c>
      <c r="E93" s="21">
        <f>IF(neucetab[[#This Row],[N° Facture]]="","",EOMONTH(neucetab[[#This Row],[Date facture]],1))</f>
        <v>44804</v>
      </c>
      <c r="F93" s="14" t="str">
        <f ca="1">IF($G$2-neucetab[[#This Row],[Date échéance]]&lt;0,-1*($G$2-neucetab[[#This Row],[Date échéance]])&amp;" jrs d'avance",$G$2-neucetab[[#This Row],[Date échéance]]&amp;" jrs de retard")</f>
        <v>1 jrs de retard</v>
      </c>
      <c r="G93" s="15" t="str">
        <f ca="1">IF($G$2-neucetab[[#This Row],[Date échéance]]&gt;0,"A régler","En attente")</f>
        <v>A régler</v>
      </c>
      <c r="H93"/>
      <c r="I93"/>
    </row>
    <row r="94" spans="1:9" x14ac:dyDescent="0.25">
      <c r="A94" s="23" t="s">
        <v>251</v>
      </c>
      <c r="B94" s="23" t="s">
        <v>21</v>
      </c>
      <c r="C94" s="22" t="s">
        <v>252</v>
      </c>
      <c r="D94" s="5">
        <v>119185.9</v>
      </c>
      <c r="E94" s="21">
        <f>IF(neucetab[[#This Row],[N° Facture]]="","",EOMONTH(neucetab[[#This Row],[Date facture]],1))</f>
        <v>44804</v>
      </c>
      <c r="F94" s="14" t="str">
        <f ca="1">IF($G$2-neucetab[[#This Row],[Date échéance]]&lt;0,-1*($G$2-neucetab[[#This Row],[Date échéance]])&amp;" jrs d'avance",$G$2-neucetab[[#This Row],[Date échéance]]&amp;" jrs de retard")</f>
        <v>1 jrs de retard</v>
      </c>
      <c r="G94" s="15" t="str">
        <f ca="1">IF($G$2-neucetab[[#This Row],[Date échéance]]&gt;0,"A régler","En attente")</f>
        <v>A régler</v>
      </c>
      <c r="H94"/>
      <c r="I94"/>
    </row>
    <row r="95" spans="1:9" x14ac:dyDescent="0.25">
      <c r="A95" s="23" t="s">
        <v>256</v>
      </c>
      <c r="B95" s="23" t="s">
        <v>257</v>
      </c>
      <c r="C95" s="22" t="s">
        <v>258</v>
      </c>
      <c r="D95" s="5">
        <v>62589.56</v>
      </c>
      <c r="E95" s="21">
        <f>IF(neucetab[[#This Row],[N° Facture]]="","",EOMONTH(neucetab[[#This Row],[Date facture]],1))</f>
        <v>44804</v>
      </c>
      <c r="F95" s="14" t="str">
        <f ca="1">IF($G$2-neucetab[[#This Row],[Date échéance]]&lt;0,-1*($G$2-neucetab[[#This Row],[Date échéance]])&amp;" jrs d'avance",$G$2-neucetab[[#This Row],[Date échéance]]&amp;" jrs de retard")</f>
        <v>1 jrs de retard</v>
      </c>
      <c r="G95" s="15" t="str">
        <f ca="1">IF($G$2-neucetab[[#This Row],[Date échéance]]&gt;0,"A régler","En attente")</f>
        <v>A régler</v>
      </c>
      <c r="H95"/>
      <c r="I95"/>
    </row>
    <row r="96" spans="1:9" x14ac:dyDescent="0.25">
      <c r="A96" s="23" t="s">
        <v>253</v>
      </c>
      <c r="B96" s="23" t="s">
        <v>254</v>
      </c>
      <c r="C96" s="22" t="s">
        <v>255</v>
      </c>
      <c r="D96" s="5">
        <v>21710.82</v>
      </c>
      <c r="E96" s="21">
        <f>IF(neucetab[[#This Row],[N° Facture]]="","",EOMONTH(neucetab[[#This Row],[Date facture]],1))</f>
        <v>44804</v>
      </c>
      <c r="F96" s="14" t="str">
        <f ca="1">IF($G$2-neucetab[[#This Row],[Date échéance]]&lt;0,-1*($G$2-neucetab[[#This Row],[Date échéance]])&amp;" jrs d'avance",$G$2-neucetab[[#This Row],[Date échéance]]&amp;" jrs de retard")</f>
        <v>1 jrs de retard</v>
      </c>
      <c r="G96" s="15" t="str">
        <f ca="1">IF($G$2-neucetab[[#This Row],[Date échéance]]&gt;0,"A régler","En attente")</f>
        <v>A régler</v>
      </c>
      <c r="H96"/>
      <c r="I96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96">
    <cfRule type="expression" dxfId="87" priority="1">
      <formula>AND(MONTH($E25)=MONTH($C$12),OR($E25="",$G$2&gt;$E25))</formula>
    </cfRule>
    <cfRule type="expression" dxfId="86" priority="3">
      <formula>OR($E25="",$G$2&lt;$E25)</formula>
    </cfRule>
    <cfRule type="expression" dxfId="85" priority="4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321B1E-F8EC-4793-94D8-1153AB01343C}">
          <x14:formula1>
            <xm:f>BDD!$C$3:$C$14</xm:f>
          </x14:formula1>
          <xm:sqref>C12 G12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8AE9E-0F65-4B8D-851C-5B37CA20BA29}">
  <sheetPr codeName="Feuil10"/>
  <dimension ref="A1:L28"/>
  <sheetViews>
    <sheetView showGridLines="0" zoomScaleNormal="100" workbookViewId="0">
      <pane ySplit="24" topLeftCell="A25" activePane="bottomLeft" state="frozen"/>
      <selection pane="bottomLeft" activeCell="G16" sqref="G16"/>
    </sheetView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19" style="21" customWidth="1"/>
    <col min="8" max="9" width="19" style="15" customWidth="1"/>
    <col min="10" max="10" width="19" customWidth="1"/>
    <col min="11" max="11" width="12.5703125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382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SUMPRODUCT(($G$2&gt;ppgEcheance)+COUNT(ppgNum_fact))</f>
        <v>4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SUMPRODUCT(($G$2&gt;ppgEcheance)*(ppgMontant))</f>
        <v>84207.159999999989</v>
      </c>
      <c r="E8" s="147"/>
      <c r="F8" s="55" t="s">
        <v>435</v>
      </c>
      <c r="G8" s="56" cm="1">
        <f t="array" aca="1" ref="G8" ca="1">SUMPRODUCT(($G$2&lt;ppgEcheance)*(ppgMontant))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12845.159999999998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SUMPRODUCT((($G$2)&gt;(ppgEcheance))+(ppgDate_val=""))/COUNTA(ppgNum_fact)</f>
        <v>1</v>
      </c>
      <c r="E10" s="148"/>
      <c r="F10" s="59" t="s">
        <v>406</v>
      </c>
      <c r="G10" s="60" cm="1">
        <f t="array" aca="1" ref="G10" ca="1">SUMPRODUCT((($G$2)&lt;(ppgEcheance))+(ppgDate_val=""))/COUNTA(ppgNum_fact)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SUMPRODUCT(((($G$2)&gt;(ppgEcheance)) )*(MONTH(ppgEcheance) = MONTH(C12)))</f>
        <v>2</v>
      </c>
      <c r="E13" s="150"/>
      <c r="F13" s="52" t="s">
        <v>403</v>
      </c>
      <c r="G13" s="86" cm="1">
        <f t="array" aca="1" ref="G13" ca="1">SUMPRODUCT(((($G$2)&lt;(ppgEcheance)) )*(MONTH(ppgEcheance)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SUMPRODUCT(((($G$2)&gt;(ppgEcheance)) )*(MONTH(ppgEcheance) = MONTH(C12))*(ppgMontant))</f>
        <v>42686.5</v>
      </c>
      <c r="E14" s="150"/>
      <c r="F14" s="51" t="s">
        <v>435</v>
      </c>
      <c r="G14" s="73" cm="1">
        <f t="array" aca="1" ref="G14" ca="1">SUMPRODUCT(((($G$2)&lt;(ppgEcheance)) )*(MONTH(ppgEcheance) = MONTH(G12))*(ppgMontant))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6511.5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IF(C13=0,"",SUMPRODUCT(((($G$2)&gt;(ppgEcheance)))*(MONTH(ppgEcheance)=MONTH(C12)))/SUMPRODUCT((MONTH(ppgEcheance)=MONTH(C12))*1))</f>
        <v>1</v>
      </c>
      <c r="E16" s="151"/>
      <c r="F16" s="75" t="s">
        <v>406</v>
      </c>
      <c r="G16" s="76" t="str" cm="1">
        <f t="array" aca="1" ref="G16" ca="1">IF(G13=0,"",SUMPRODUCT(((($G$2)&lt;(ppgEcheance)))*(MONTH(ppgEcheance)=MONTH(G12)))/SUMPRODUCT((MONTH(ppgEcheance)=MONTH(G12))*1))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ht="2.25" customHeight="1" x14ac:dyDescent="0.25">
      <c r="C18" s="40"/>
      <c r="F18" s="28"/>
      <c r="G18" s="29"/>
      <c r="H18" s="30"/>
      <c r="I18" s="82"/>
      <c r="J18" s="83"/>
      <c r="K18" s="83"/>
      <c r="L18" s="83"/>
    </row>
    <row r="19" spans="1:12" hidden="1" x14ac:dyDescent="0.25">
      <c r="F19" s="28"/>
      <c r="G19" s="29"/>
      <c r="H19" s="30"/>
      <c r="I19" s="82"/>
      <c r="J19" s="83"/>
      <c r="K19" s="83"/>
      <c r="L19" s="83"/>
    </row>
    <row r="20" spans="1:12" ht="12.75" customHeight="1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SUMPRODUCT((($G$2)&gt;(ppgEcheance))+(($G$2)&lt;(ppgEcheance)))</f>
        <v>4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436</v>
      </c>
      <c r="G22" s="50" cm="1">
        <f t="array" aca="1" ref="G22" ca="1">SUMPRODUCT(((($G$2)&gt;(ppgEcheance)) + (($G$2)&lt;(ppgEcheance)))*(ppgMontant))</f>
        <v>84207.159999999989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358</v>
      </c>
      <c r="G24" s="4" t="s">
        <v>10</v>
      </c>
      <c r="H24"/>
      <c r="I24"/>
    </row>
    <row r="25" spans="1:12" x14ac:dyDescent="0.25">
      <c r="A25" s="102" t="s">
        <v>349</v>
      </c>
      <c r="B25" s="23" t="s">
        <v>350</v>
      </c>
      <c r="C25" s="22" t="s">
        <v>351</v>
      </c>
      <c r="D25" s="5">
        <v>37116.9</v>
      </c>
      <c r="E25" s="21">
        <f>IF(ppgtab[[#This Row],[N° Facture]]="","",EOMONTH(ppgtab[[#This Row],[Date facture]],1))</f>
        <v>44712</v>
      </c>
      <c r="F25" s="14" t="str">
        <f ca="1">IF($G$2-ppgtab[[#This Row],[Date échéance]]&lt;0,-1*($G$2-ppgtab[[#This Row],[Date échéance]])&amp;" jrs d'avance",$G$2-ppgtab[[#This Row],[Date échéance]]&amp;" jrs de retard")</f>
        <v>93 jrs de retard</v>
      </c>
      <c r="G25" s="15" t="str">
        <f ca="1">IF($G$2-ppgtab[[#This Row],[Date échéance]]&gt;0,"A régler","En attente")</f>
        <v>A régler</v>
      </c>
      <c r="H25"/>
      <c r="I25"/>
    </row>
    <row r="26" spans="1:12" x14ac:dyDescent="0.25">
      <c r="A26" s="102" t="s">
        <v>354</v>
      </c>
      <c r="B26" s="23" t="s">
        <v>213</v>
      </c>
      <c r="C26" s="22" t="s">
        <v>355</v>
      </c>
      <c r="D26" s="5">
        <v>32268.28</v>
      </c>
      <c r="E26" s="21">
        <f>IF(ppgtab[[#This Row],[N° Facture]]="","",EOMONTH(ppgtab[[#This Row],[Date facture]],1))</f>
        <v>44742</v>
      </c>
      <c r="F26" s="14" t="str">
        <f ca="1">IF($G$2-ppgtab[[#This Row],[Date échéance]]&lt;0,-1*($G$2-ppgtab[[#This Row],[Date échéance]])&amp;" jrs d'avance",$G$2-ppgtab[[#This Row],[Date échéance]]&amp;" jrs de retard")</f>
        <v>63 jrs de retard</v>
      </c>
      <c r="G26" s="15" t="str">
        <f ca="1">IF($G$2-ppgtab[[#This Row],[Date échéance]]&gt;0,"A régler","En attente")</f>
        <v>A régler</v>
      </c>
      <c r="H26"/>
      <c r="I26"/>
    </row>
    <row r="27" spans="1:12" x14ac:dyDescent="0.25">
      <c r="A27" s="102" t="s">
        <v>352</v>
      </c>
      <c r="B27" s="23" t="s">
        <v>66</v>
      </c>
      <c r="C27" s="22" t="s">
        <v>353</v>
      </c>
      <c r="D27" s="5">
        <v>10418.219999999999</v>
      </c>
      <c r="E27" s="21">
        <f>IF(ppgtab[[#This Row],[N° Facture]]="","",EOMONTH(ppgtab[[#This Row],[Date facture]],1))</f>
        <v>44742</v>
      </c>
      <c r="F27" s="14" t="str">
        <f ca="1">IF($G$2-ppgtab[[#This Row],[Date échéance]]&lt;0,-1*($G$2-ppgtab[[#This Row],[Date échéance]])&amp;" jrs d'avance",$G$2-ppgtab[[#This Row],[Date échéance]]&amp;" jrs de retard")</f>
        <v>63 jrs de retard</v>
      </c>
      <c r="G27" s="15" t="str">
        <f ca="1">IF($G$2-ppgtab[[#This Row],[Date échéance]]&gt;0,"A régler","En attente")</f>
        <v>A régler</v>
      </c>
      <c r="H27"/>
      <c r="I27"/>
    </row>
    <row r="28" spans="1:12" x14ac:dyDescent="0.25">
      <c r="A28" s="102" t="s">
        <v>362</v>
      </c>
      <c r="B28" s="23" t="s">
        <v>361</v>
      </c>
      <c r="C28" s="22" t="s">
        <v>363</v>
      </c>
      <c r="D28" s="5">
        <v>4403.76</v>
      </c>
      <c r="E28" s="21">
        <f>IF(ppgtab[[#This Row],[N° Facture]]="","",EOMONTH(ppgtab[[#This Row],[Date facture]],1))</f>
        <v>44804</v>
      </c>
      <c r="F28" s="14" t="str">
        <f ca="1">IF($G$2-ppgtab[[#This Row],[Date échéance]]&lt;0,-1*($G$2-ppgtab[[#This Row],[Date échéance]])&amp;" jrs d'avance",$G$2-ppgtab[[#This Row],[Date échéance]]&amp;" jrs de retard")</f>
        <v>1 jrs de retard</v>
      </c>
      <c r="G28" s="15" t="str">
        <f ca="1">IF($G$2-ppgtab[[#This Row],[Date échéance]]&gt;0,"A régler","En attente")</f>
        <v>A régler</v>
      </c>
      <c r="H28"/>
      <c r="I28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8">
    <cfRule type="expression" dxfId="76" priority="1">
      <formula>AND(MONTH($E25)=MONTH($C$12),OR($E25="",$G$2&gt;$E25))</formula>
    </cfRule>
    <cfRule type="expression" dxfId="75" priority="2">
      <formula>OR($E25="",$G$2&lt;$E25)</formula>
    </cfRule>
    <cfRule type="expression" dxfId="74" priority="4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394A8C-9A0F-4714-AFCB-4CE82D55A35F}">
          <x14:formula1>
            <xm:f>BDD!$C$3:$C$14</xm:f>
          </x14:formula1>
          <xm:sqref>C12 G12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BCE5-2089-4102-BA85-AF98566D8858}">
  <sheetPr codeName="Feuil7"/>
  <dimension ref="A1:L35"/>
  <sheetViews>
    <sheetView showGridLines="0" zoomScaleNormal="100" workbookViewId="0">
      <pane ySplit="24" topLeftCell="A26" activePane="bottomLeft" state="frozen"/>
      <selection pane="bottomLeft" activeCell="A26" sqref="A26:B28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431</v>
      </c>
      <c r="B2" s="154"/>
      <c r="C2" s="154" t="s">
        <v>414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SUMPRODUCT(($G$2&gt;simcEcheance)+COUNT(simcNum_fact))</f>
        <v>11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SUMPRODUCT(($G$2&gt;simcEcheance)*(simcMontant))</f>
        <v>2996874.3200000003</v>
      </c>
      <c r="E8" s="147"/>
      <c r="F8" s="55" t="s">
        <v>435</v>
      </c>
      <c r="G8" s="56" cm="1">
        <f t="array" aca="1" ref="G8" ca="1">SUMPRODUCT(($G$2&lt;simcEcheance)*(simcMontant))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457150.32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SUMPRODUCT((($G$2)&gt;(simcEcheance))+(simcDate_val=""))/COUNTA(simcNum_fact)</f>
        <v>1</v>
      </c>
      <c r="E10" s="148"/>
      <c r="F10" s="59" t="s">
        <v>406</v>
      </c>
      <c r="G10" s="60" cm="1">
        <f t="array" aca="1" ref="G10" ca="1">SUMPRODUCT((($G$2)&lt;(simcEcheance))+(simcDate_val=""))/COUNTA(simcNum_fact)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SUMPRODUCT(((($G$2)&gt;(simcEcheance)) )*(MONTH(simcEcheance) = MONTH(C12)))</f>
        <v>1</v>
      </c>
      <c r="E13" s="150"/>
      <c r="F13" s="52" t="s">
        <v>403</v>
      </c>
      <c r="G13" s="86" cm="1">
        <f t="array" aca="1" ref="G13" ca="1">SUMPRODUCT(((($G$2)&lt;(simcEcheance)) )*(MONTH(simcEcheance)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SUMPRODUCT(((($G$2)&gt;(simcEcheance)) )*(MONTH(simcEcheance) = MONTH(C12))*(simcMontant))</f>
        <v>14830.24</v>
      </c>
      <c r="E14" s="150"/>
      <c r="F14" s="51" t="s">
        <v>435</v>
      </c>
      <c r="G14" s="73" cm="1">
        <f t="array" aca="1" ref="G14" ca="1">SUMPRODUCT(((($G$2)&lt;(simcEcheance)) )*(MONTH(simcEcheance) = MONTH(G12))*(simcMontant))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2262.2399999999998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IF(C13=0,"",SUMPRODUCT(((($G$2)&gt;(simcEcheance)))*(MONTH(simcEcheance)=MONTH(C12)))/SUMPRODUCT((MONTH(simcEcheance)=MONTH(C12))*1))</f>
        <v>1</v>
      </c>
      <c r="E16" s="151"/>
      <c r="F16" s="75" t="s">
        <v>406</v>
      </c>
      <c r="G16" s="76" t="str" cm="1">
        <f t="array" aca="1" ref="G16" ca="1">IF(G13=0,"",SUMPRODUCT(((($G$2)&lt;(simcEcheance)))*(MONTH(simcEcheance)=MONTH(G12)))/SUMPRODUCT((MONTH(simcEcheance)=MONTH(G12))*1))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ht="36" x14ac:dyDescent="0.25">
      <c r="F19" s="28"/>
      <c r="G19" s="29"/>
      <c r="H19" s="30"/>
      <c r="I19" s="89"/>
      <c r="J19" s="89"/>
      <c r="K19" s="89"/>
      <c r="L19" s="89"/>
    </row>
    <row r="20" spans="1:12" ht="36" x14ac:dyDescent="0.25">
      <c r="H20" s="31"/>
      <c r="I20" s="82"/>
      <c r="J20" s="83"/>
      <c r="K20" s="83"/>
      <c r="L20" s="83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SUMPRODUCT((($G$2)&gt;(simcEcheance))+(($G$2)&lt;(simcEcheance)))</f>
        <v>11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436</v>
      </c>
      <c r="G22" s="50" cm="1">
        <f t="array" aca="1" ref="G22" ca="1">SUMPRODUCT(((($G$2)&gt;(simcEcheance)) + (($G$2)&lt;(simcEcheance)))*(simcMontant))</f>
        <v>2996874.3200000003</v>
      </c>
      <c r="H22" s="32"/>
      <c r="I22" s="82"/>
      <c r="J22" s="83"/>
      <c r="K22" s="83"/>
      <c r="L22" s="83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78</v>
      </c>
      <c r="B25" s="23" t="s">
        <v>79</v>
      </c>
      <c r="C25" s="22" t="s">
        <v>80</v>
      </c>
      <c r="D25" s="5">
        <v>14830.24</v>
      </c>
      <c r="E25" s="21">
        <f>IF(simctab[[#This Row],[N° Facture]]="","",EOMONTH(simctab[[#This Row],[Date facture]],2))</f>
        <v>44742</v>
      </c>
      <c r="F25" s="14" t="str">
        <f ca="1">IF($G$2-simctab[[#This Row],[Date échéance]]&lt;0,-1*($G$2-simctab[[#This Row],[Date échéance]])&amp;" jrs d'avance",$G$2-simctab[[#This Row],[Date échéance]]&amp;" jrs de retard")</f>
        <v>63 jrs de retard</v>
      </c>
      <c r="G25" s="15" t="str">
        <f ca="1">IF($G$2-simctab[[#This Row],[Date échéance]]&gt;0,"A régler","En attente")</f>
        <v>A régler</v>
      </c>
      <c r="H25"/>
      <c r="I25"/>
    </row>
    <row r="26" spans="1:12" x14ac:dyDescent="0.25">
      <c r="A26" s="23" t="s">
        <v>81</v>
      </c>
      <c r="B26" s="23" t="s">
        <v>82</v>
      </c>
      <c r="C26" s="22" t="s">
        <v>83</v>
      </c>
      <c r="D26" s="5">
        <v>657624.62</v>
      </c>
      <c r="E26" s="21">
        <f>IF(simctab[[#This Row],[N° Facture]]="","",EOMONTH(simctab[[#This Row],[Date facture]],2))</f>
        <v>44773</v>
      </c>
      <c r="F26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26" s="15" t="str">
        <f ca="1">IF($G$2-simctab[[#This Row],[Date échéance]]&gt;0,"A régler","En attente")</f>
        <v>A régler</v>
      </c>
      <c r="H26"/>
      <c r="I26"/>
    </row>
    <row r="27" spans="1:12" x14ac:dyDescent="0.25">
      <c r="A27" s="23" t="s">
        <v>92</v>
      </c>
      <c r="B27" s="23" t="s">
        <v>82</v>
      </c>
      <c r="C27" s="22" t="s">
        <v>93</v>
      </c>
      <c r="D27" s="5">
        <v>54074.68</v>
      </c>
      <c r="E27" s="21">
        <f>IF(simctab[[#This Row],[N° Facture]]="","",EOMONTH(simctab[[#This Row],[Date facture]],2))</f>
        <v>44773</v>
      </c>
      <c r="F27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27" s="15" t="str">
        <f ca="1">IF($G$2-simctab[[#This Row],[Date échéance]]&gt;0,"A régler","En attente")</f>
        <v>A régler</v>
      </c>
      <c r="H27"/>
      <c r="I27"/>
    </row>
    <row r="28" spans="1:12" x14ac:dyDescent="0.25">
      <c r="A28" s="23" t="s">
        <v>97</v>
      </c>
      <c r="B28" s="23" t="s">
        <v>98</v>
      </c>
      <c r="C28" s="22" t="s">
        <v>99</v>
      </c>
      <c r="D28" s="5">
        <v>37429.599999999999</v>
      </c>
      <c r="E28" s="21">
        <f>IF(simctab[[#This Row],[N° Facture]]="","",EOMONTH(simctab[[#This Row],[Date facture]],2))</f>
        <v>44773</v>
      </c>
      <c r="F28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28" s="15" t="str">
        <f ca="1">IF($G$2-simctab[[#This Row],[Date échéance]]&gt;0,"A régler","En attente")</f>
        <v>A régler</v>
      </c>
      <c r="H28"/>
      <c r="I28"/>
    </row>
    <row r="29" spans="1:12" x14ac:dyDescent="0.25">
      <c r="A29" s="23" t="s">
        <v>94</v>
      </c>
      <c r="B29" s="23" t="s">
        <v>95</v>
      </c>
      <c r="C29" s="22" t="s">
        <v>96</v>
      </c>
      <c r="D29" s="5">
        <v>149625.18</v>
      </c>
      <c r="E29" s="21">
        <f>IF(simctab[[#This Row],[N° Facture]]="","",EOMONTH(simctab[[#This Row],[Date facture]],2))</f>
        <v>44773</v>
      </c>
      <c r="F29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29" s="15" t="str">
        <f ca="1">IF($G$2-simctab[[#This Row],[Date échéance]]&gt;0,"A régler","En attente")</f>
        <v>A régler</v>
      </c>
      <c r="H29"/>
      <c r="I29"/>
    </row>
    <row r="30" spans="1:12" x14ac:dyDescent="0.25">
      <c r="A30" s="23" t="s">
        <v>89</v>
      </c>
      <c r="B30" s="23" t="s">
        <v>90</v>
      </c>
      <c r="C30" s="22" t="s">
        <v>91</v>
      </c>
      <c r="D30" s="5">
        <v>-2925.22</v>
      </c>
      <c r="E30" s="21">
        <f>IF(simctab[[#This Row],[N° Facture]]="","",EOMONTH(simctab[[#This Row],[Date facture]],2))</f>
        <v>44773</v>
      </c>
      <c r="F30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30" s="15" t="str">
        <f ca="1">IF($G$2-simctab[[#This Row],[Date échéance]]&gt;0,"A régler","En attente")</f>
        <v>A régler</v>
      </c>
      <c r="H30"/>
      <c r="I30"/>
    </row>
    <row r="31" spans="1:12" x14ac:dyDescent="0.25">
      <c r="A31" s="23" t="s">
        <v>86</v>
      </c>
      <c r="B31" s="23" t="s">
        <v>87</v>
      </c>
      <c r="C31" s="22" t="s">
        <v>88</v>
      </c>
      <c r="D31" s="5">
        <v>1233750.18</v>
      </c>
      <c r="E31" s="21">
        <f>IF(simctab[[#This Row],[N° Facture]]="","",EOMONTH(simctab[[#This Row],[Date facture]],2))</f>
        <v>44773</v>
      </c>
      <c r="F31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31" s="15" t="str">
        <f ca="1">IF($G$2-simctab[[#This Row],[Date échéance]]&gt;0,"A régler","En attente")</f>
        <v>A régler</v>
      </c>
      <c r="H31"/>
      <c r="I31"/>
    </row>
    <row r="32" spans="1:12" x14ac:dyDescent="0.25">
      <c r="A32" s="23" t="s">
        <v>84</v>
      </c>
      <c r="B32" s="23" t="s">
        <v>63</v>
      </c>
      <c r="C32" s="22" t="s">
        <v>85</v>
      </c>
      <c r="D32" s="5">
        <v>314999.82</v>
      </c>
      <c r="E32" s="21">
        <f>IF(simctab[[#This Row],[N° Facture]]="","",EOMONTH(simctab[[#This Row],[Date facture]],2))</f>
        <v>44773</v>
      </c>
      <c r="F32" s="14" t="str">
        <f ca="1">IF($G$2-simctab[[#This Row],[Date échéance]]&lt;0,-1*($G$2-simctab[[#This Row],[Date échéance]])&amp;" jrs d'avance",$G$2-simctab[[#This Row],[Date échéance]]&amp;" jrs de retard")</f>
        <v>32 jrs de retard</v>
      </c>
      <c r="G32" s="15" t="str">
        <f ca="1">IF($G$2-simctab[[#This Row],[Date échéance]]&gt;0,"A régler","En attente")</f>
        <v>A régler</v>
      </c>
      <c r="H32"/>
      <c r="I32"/>
    </row>
    <row r="33" spans="1:9" x14ac:dyDescent="0.25">
      <c r="A33" s="23" t="s">
        <v>41</v>
      </c>
      <c r="B33" s="23" t="s">
        <v>11</v>
      </c>
      <c r="C33" s="22" t="s">
        <v>42</v>
      </c>
      <c r="D33" s="5">
        <v>184965</v>
      </c>
      <c r="E33" s="21">
        <f>IF(simctab[[#This Row],[N° Facture]]="","",EOMONTH(simctab[[#This Row],[Date facture]],2))</f>
        <v>44804</v>
      </c>
      <c r="F33" s="14" t="str">
        <f ca="1">IF($G$2-simctab[[#This Row],[Date échéance]]&lt;0,-1*($G$2-simctab[[#This Row],[Date échéance]])&amp;" jrs d'avance",$G$2-simctab[[#This Row],[Date échéance]]&amp;" jrs de retard")</f>
        <v>1 jrs de retard</v>
      </c>
      <c r="G33" s="15" t="str">
        <f ca="1">IF($G$2-simctab[[#This Row],[Date échéance]]&gt;0,"A régler","En attente")</f>
        <v>A régler</v>
      </c>
      <c r="H33"/>
      <c r="I33"/>
    </row>
    <row r="34" spans="1:9" x14ac:dyDescent="0.25">
      <c r="A34" s="23" t="s">
        <v>100</v>
      </c>
      <c r="B34" s="23" t="s">
        <v>16</v>
      </c>
      <c r="C34" s="22" t="s">
        <v>101</v>
      </c>
      <c r="D34" s="5">
        <v>157500.5</v>
      </c>
      <c r="E34" s="21">
        <f>IF(simctab[[#This Row],[N° Facture]]="","",EOMONTH(simctab[[#This Row],[Date facture]],2))</f>
        <v>44804</v>
      </c>
      <c r="F34" s="14" t="str">
        <f ca="1">IF($G$2-simctab[[#This Row],[Date échéance]]&lt;0,-1*($G$2-simctab[[#This Row],[Date échéance]])&amp;" jrs d'avance",$G$2-simctab[[#This Row],[Date échéance]]&amp;" jrs de retard")</f>
        <v>1 jrs de retard</v>
      </c>
      <c r="G34" s="15" t="str">
        <f ca="1">IF($G$2-simctab[[#This Row],[Date échéance]]&gt;0,"A régler","En attente")</f>
        <v>A régler</v>
      </c>
      <c r="H34"/>
      <c r="I34"/>
    </row>
    <row r="35" spans="1:9" x14ac:dyDescent="0.25">
      <c r="A35" s="23" t="s">
        <v>102</v>
      </c>
      <c r="B35" s="23" t="s">
        <v>103</v>
      </c>
      <c r="C35" s="22" t="s">
        <v>104</v>
      </c>
      <c r="D35" s="5">
        <v>194999.72</v>
      </c>
      <c r="E35" s="21">
        <f>IF(simctab[[#This Row],[N° Facture]]="","",EOMONTH(simctab[[#This Row],[Date facture]],2))</f>
        <v>44804</v>
      </c>
      <c r="F35" s="14" t="str">
        <f ca="1">IF($G$2-simctab[[#This Row],[Date échéance]]&lt;0,-1*($G$2-simctab[[#This Row],[Date échéance]])&amp;" jrs d'avance",$G$2-simctab[[#This Row],[Date échéance]]&amp;" jrs de retard")</f>
        <v>1 jrs de retard</v>
      </c>
      <c r="G35" s="15" t="str">
        <f ca="1">IF($G$2-simctab[[#This Row],[Date échéance]]&gt;0,"A régler","En attente")</f>
        <v>A régler</v>
      </c>
      <c r="H35"/>
      <c r="I35"/>
    </row>
  </sheetData>
  <mergeCells count="13"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35">
    <cfRule type="expression" dxfId="65" priority="1">
      <formula>AND(MONTH($E25)=MONTH($C$12),OR($E25="",$G$2&gt;$E25))</formula>
    </cfRule>
    <cfRule type="expression" dxfId="64" priority="2">
      <formula>OR($E25="",$G$2&lt;$E25)</formula>
    </cfRule>
    <cfRule type="expression" dxfId="63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2624A50-960E-46DE-B02F-D502DD75789E}">
          <x14:formula1>
            <xm:f>BDD!$C$3:$C$14</xm:f>
          </x14:formula1>
          <xm:sqref>C12 G12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E732F-9A50-4798-84E5-76105A33892B}">
  <sheetPr codeName="Feuil8"/>
  <dimension ref="A1:L44"/>
  <sheetViews>
    <sheetView showGridLines="0" zoomScaleNormal="100" workbookViewId="0">
      <pane ySplit="24" topLeftCell="A29" activePane="bottomLeft" state="frozen"/>
      <selection pane="bottomLeft" activeCell="E29" sqref="E29:E32"/>
    </sheetView>
  </sheetViews>
  <sheetFormatPr baseColWidth="10" defaultRowHeight="15" x14ac:dyDescent="0.25"/>
  <cols>
    <col min="1" max="1" width="18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20.7109375" style="21" bestFit="1" customWidth="1"/>
    <col min="8" max="9" width="19" style="15" customWidth="1"/>
    <col min="10" max="10" width="19" customWidth="1"/>
    <col min="11" max="11" width="12.5703125" customWidth="1"/>
    <col min="12" max="12" width="14.28515625" bestFit="1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383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SUMPRODUCT(($G$2&gt;setrEcheance)+COUNT(setrNum_fact))</f>
        <v>20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SUMPRODUCT(($G$2&gt;setrEcheance)*(setrMontant))</f>
        <v>23112531.380000003</v>
      </c>
      <c r="E8" s="147"/>
      <c r="F8" s="55" t="s">
        <v>435</v>
      </c>
      <c r="G8" s="56" cm="1">
        <f t="array" aca="1" ref="G8" ca="1">SUMPRODUCT(($G$2&lt;setrEcheance)*(setrMontant))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3525640.3800000008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SUMPRODUCT((($G$2)&gt;(setrEcheance))+(setrDate_val=""))/COUNTA(setrNum_fact)</f>
        <v>1</v>
      </c>
      <c r="E10" s="148"/>
      <c r="F10" s="59" t="s">
        <v>406</v>
      </c>
      <c r="G10" s="60" cm="1">
        <f t="array" aca="1" ref="G10" ca="1">SUMPRODUCT((($G$2)&lt;(setrEcheance))+(setrDate_val=""))/COUNTA(setrNum_fact)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SUMPRODUCT(((($G$2)&gt;(setrEcheance)) )*(MONTH(setrEcheance) = MONTH(C12)))</f>
        <v>7</v>
      </c>
      <c r="E13" s="150"/>
      <c r="F13" s="52" t="s">
        <v>403</v>
      </c>
      <c r="G13" s="86" cm="1">
        <f t="array" aca="1" ref="G13" ca="1">SUMPRODUCT(((($G$2)&lt;(setrEcheance)) )*(MONTH(setrEcheance)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SUMPRODUCT(((($G$2)&gt;(setrEcheance)) )*(MONTH(setrEcheance) = MONTH(C12))*(setrMontant))</f>
        <v>9010904.8000000007</v>
      </c>
      <c r="E14" s="150"/>
      <c r="F14" s="51" t="s">
        <v>435</v>
      </c>
      <c r="G14" s="73" cm="1">
        <f t="array" aca="1" ref="G14" ca="1">SUMPRODUCT(((($G$2)&lt;(setrEcheance)) )*(MONTH(setrEcheance) = MONTH(G12))*(setrMontant))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1374544.8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IF(C13=0,"",SUMPRODUCT(((($G$2)&gt;(setrEcheance)))*(MONTH(setrEcheance)=MONTH(C12)))/SUMPRODUCT((MONTH(setrEcheance)=MONTH(C12))*1))</f>
        <v>1</v>
      </c>
      <c r="E16" s="151"/>
      <c r="F16" s="75" t="s">
        <v>406</v>
      </c>
      <c r="G16" s="76" t="str" cm="1">
        <f t="array" aca="1" ref="G16" ca="1">IF(G13=0,"",SUMPRODUCT(((($G$2)&lt;(setrEcheance)))*(MONTH(setrEcheance)=MONTH(G12)))/SUMPRODUCT((MONTH(setrEcheance)=MONTH(G12))*1))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SUMPRODUCT((($G$2)&gt;(setrEcheance))+(($G$2)&lt;(setrEcheance)))</f>
        <v>20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SUMPRODUCT(((($G$2)&gt;(setrEcheance)) + (($G$2)&lt;(setrEcheance)))*(setrMontant))</f>
        <v>23112531.380000003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311</v>
      </c>
      <c r="B25" s="23" t="s">
        <v>312</v>
      </c>
      <c r="C25" s="22" t="s">
        <v>306</v>
      </c>
      <c r="D25" s="5">
        <v>30000.32</v>
      </c>
      <c r="E25" s="21">
        <f>IF(setrtab[[#This Row],[N° Facture]]="","",EOMONTH(setrtab[[#This Row],[Date facture]],1))</f>
        <v>44712</v>
      </c>
      <c r="F25" s="14" t="str">
        <f ca="1">IF($G$2-setrtab[[#This Row],[Date échéance]]&lt;0,-1*($G$2-setrtab[[#This Row],[Date échéance]])&amp;" jrs d'avance",$G$2-setrtab[[#This Row],[Date échéance]]&amp;" jrs de retard")</f>
        <v>93 jrs de retard</v>
      </c>
      <c r="G25" s="15" t="str">
        <f ca="1">IF($G$2-setrtab[[#This Row],[Date échéance]]&gt;0,"A régler","En attente")</f>
        <v>A régler</v>
      </c>
      <c r="H25"/>
      <c r="I25"/>
    </row>
    <row r="26" spans="1:12" x14ac:dyDescent="0.25">
      <c r="A26" s="23" t="s">
        <v>296</v>
      </c>
      <c r="B26" s="23" t="s">
        <v>230</v>
      </c>
      <c r="C26" s="22" t="s">
        <v>297</v>
      </c>
      <c r="D26" s="5">
        <v>5397615</v>
      </c>
      <c r="E26" s="21">
        <f>IF(setrtab[[#This Row],[N° Facture]]="","",EOMONTH(setrtab[[#This Row],[Date facture]],1))</f>
        <v>44742</v>
      </c>
      <c r="F26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26" s="15" t="str">
        <f ca="1">IF($G$2-setrtab[[#This Row],[Date échéance]]&gt;0,"A régler","En attente")</f>
        <v>A régler</v>
      </c>
      <c r="H26"/>
      <c r="I26"/>
    </row>
    <row r="27" spans="1:12" x14ac:dyDescent="0.25">
      <c r="A27" s="23" t="s">
        <v>301</v>
      </c>
      <c r="B27" s="23" t="s">
        <v>294</v>
      </c>
      <c r="C27" s="22" t="s">
        <v>302</v>
      </c>
      <c r="D27" s="5">
        <v>598260</v>
      </c>
      <c r="E27" s="21">
        <f>IF(setrtab[[#This Row],[N° Facture]]="","",EOMONTH(setrtab[[#This Row],[Date facture]],1))</f>
        <v>44742</v>
      </c>
      <c r="F27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27" s="15" t="str">
        <f ca="1">IF($G$2-setrtab[[#This Row],[Date échéance]]&gt;0,"A régler","En attente")</f>
        <v>A régler</v>
      </c>
      <c r="H27"/>
      <c r="I27"/>
    </row>
    <row r="28" spans="1:12" x14ac:dyDescent="0.25">
      <c r="A28" s="23" t="s">
        <v>293</v>
      </c>
      <c r="B28" s="23" t="s">
        <v>294</v>
      </c>
      <c r="C28" s="22" t="s">
        <v>295</v>
      </c>
      <c r="D28" s="5">
        <v>751660</v>
      </c>
      <c r="E28" s="21">
        <f>IF(setrtab[[#This Row],[N° Facture]]="","",EOMONTH(setrtab[[#This Row],[Date facture]],1))</f>
        <v>44742</v>
      </c>
      <c r="F28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28" s="15" t="str">
        <f ca="1">IF($G$2-setrtab[[#This Row],[Date échéance]]&gt;0,"A régler","En attente")</f>
        <v>A régler</v>
      </c>
      <c r="H28"/>
      <c r="I28"/>
    </row>
    <row r="29" spans="1:12" x14ac:dyDescent="0.25">
      <c r="A29" s="23" t="s">
        <v>303</v>
      </c>
      <c r="B29" s="23" t="s">
        <v>43</v>
      </c>
      <c r="C29" s="22" t="s">
        <v>304</v>
      </c>
      <c r="D29" s="5">
        <v>929014</v>
      </c>
      <c r="E29" s="21">
        <f>IF(setrtab[[#This Row],[N° Facture]]="","",EOMONTH(setrtab[[#This Row],[Date facture]],1))</f>
        <v>44742</v>
      </c>
      <c r="F29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29" s="15" t="str">
        <f ca="1">IF($G$2-setrtab[[#This Row],[Date échéance]]&gt;0,"A régler","En attente")</f>
        <v>A régler</v>
      </c>
      <c r="H29"/>
      <c r="I29"/>
    </row>
    <row r="30" spans="1:12" x14ac:dyDescent="0.25">
      <c r="A30" s="23" t="s">
        <v>298</v>
      </c>
      <c r="B30" s="23" t="s">
        <v>299</v>
      </c>
      <c r="C30" s="22" t="s">
        <v>300</v>
      </c>
      <c r="D30" s="5">
        <v>914264</v>
      </c>
      <c r="E30" s="21">
        <f>IF(setrtab[[#This Row],[N° Facture]]="","",EOMONTH(setrtab[[#This Row],[Date facture]],1))</f>
        <v>44742</v>
      </c>
      <c r="F30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30" s="15" t="str">
        <f ca="1">IF($G$2-setrtab[[#This Row],[Date échéance]]&gt;0,"A régler","En attente")</f>
        <v>A régler</v>
      </c>
      <c r="H30"/>
      <c r="I30"/>
    </row>
    <row r="31" spans="1:12" x14ac:dyDescent="0.25">
      <c r="A31" s="23" t="s">
        <v>287</v>
      </c>
      <c r="B31" s="23" t="s">
        <v>121</v>
      </c>
      <c r="C31" s="22" t="s">
        <v>288</v>
      </c>
      <c r="D31" s="5">
        <v>54999.799999999996</v>
      </c>
      <c r="E31" s="21">
        <f>IF(setrtab[[#This Row],[N° Facture]]="","",EOMONTH(setrtab[[#This Row],[Date facture]],1))</f>
        <v>44742</v>
      </c>
      <c r="F31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31" s="15" t="str">
        <f ca="1">IF($G$2-setrtab[[#This Row],[Date échéance]]&gt;0,"A régler","En attente")</f>
        <v>A régler</v>
      </c>
      <c r="H31"/>
      <c r="I31"/>
    </row>
    <row r="32" spans="1:12" x14ac:dyDescent="0.25">
      <c r="A32" s="23" t="s">
        <v>289</v>
      </c>
      <c r="B32" s="23" t="s">
        <v>63</v>
      </c>
      <c r="C32" s="22" t="s">
        <v>290</v>
      </c>
      <c r="D32" s="5">
        <v>365092</v>
      </c>
      <c r="E32" s="21">
        <f>IF(setrtab[[#This Row],[N° Facture]]="","",EOMONTH(setrtab[[#This Row],[Date facture]],1))</f>
        <v>44742</v>
      </c>
      <c r="F32" s="14" t="str">
        <f ca="1">IF($G$2-setrtab[[#This Row],[Date échéance]]&lt;0,-1*($G$2-setrtab[[#This Row],[Date échéance]])&amp;" jrs d'avance",$G$2-setrtab[[#This Row],[Date échéance]]&amp;" jrs de retard")</f>
        <v>63 jrs de retard</v>
      </c>
      <c r="G32" s="15" t="str">
        <f ca="1">IF($G$2-setrtab[[#This Row],[Date échéance]]&gt;0,"A régler","En attente")</f>
        <v>A régler</v>
      </c>
      <c r="H32"/>
      <c r="I32"/>
    </row>
    <row r="33" spans="1:9" x14ac:dyDescent="0.25">
      <c r="A33" s="23" t="s">
        <v>307</v>
      </c>
      <c r="B33" s="23" t="s">
        <v>12</v>
      </c>
      <c r="C33" s="22" t="s">
        <v>308</v>
      </c>
      <c r="D33" s="5">
        <v>2218164</v>
      </c>
      <c r="E33" s="21">
        <f>IF(setrtab[[#This Row],[N° Facture]]="","",EOMONTH(setrtab[[#This Row],[Date facture]],1))</f>
        <v>44773</v>
      </c>
      <c r="F33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3" s="15" t="str">
        <f ca="1">IF($G$2-setrtab[[#This Row],[Date échéance]]&gt;0,"A régler","En attente")</f>
        <v>A régler</v>
      </c>
      <c r="H33"/>
      <c r="I33"/>
    </row>
    <row r="34" spans="1:9" x14ac:dyDescent="0.25">
      <c r="A34" s="23" t="s">
        <v>291</v>
      </c>
      <c r="B34" s="23" t="s">
        <v>11</v>
      </c>
      <c r="C34" s="22" t="s">
        <v>292</v>
      </c>
      <c r="D34" s="5">
        <v>8322312.2599999998</v>
      </c>
      <c r="E34" s="21">
        <f>IF(setrtab[[#This Row],[N° Facture]]="","",EOMONTH(setrtab[[#This Row],[Date facture]],1))</f>
        <v>44773</v>
      </c>
      <c r="F34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4" s="15" t="str">
        <f ca="1">IF($G$2-setrtab[[#This Row],[Date échéance]]&gt;0,"A régler","En attente")</f>
        <v>A régler</v>
      </c>
      <c r="H34"/>
      <c r="I34"/>
    </row>
    <row r="35" spans="1:9" x14ac:dyDescent="0.25">
      <c r="A35" s="23" t="s">
        <v>309</v>
      </c>
      <c r="B35" s="23" t="s">
        <v>114</v>
      </c>
      <c r="C35" s="22" t="s">
        <v>310</v>
      </c>
      <c r="D35" s="5">
        <v>88972</v>
      </c>
      <c r="E35" s="21">
        <f>IF(setrtab[[#This Row],[N° Facture]]="","",EOMONTH(setrtab[[#This Row],[Date facture]],1))</f>
        <v>44773</v>
      </c>
      <c r="F35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5" s="15" t="str">
        <f ca="1">IF($G$2-setrtab[[#This Row],[Date échéance]]&gt;0,"A régler","En attente")</f>
        <v>A régler</v>
      </c>
      <c r="H35"/>
      <c r="I35"/>
    </row>
    <row r="36" spans="1:9" x14ac:dyDescent="0.25">
      <c r="A36" s="23" t="s">
        <v>305</v>
      </c>
      <c r="B36" s="23" t="s">
        <v>20</v>
      </c>
      <c r="C36" s="22" t="s">
        <v>306</v>
      </c>
      <c r="D36" s="5">
        <v>30000.32</v>
      </c>
      <c r="E36" s="21">
        <f>IF(setrtab[[#This Row],[N° Facture]]="","",EOMONTH(setrtab[[#This Row],[Date facture]],1))</f>
        <v>44773</v>
      </c>
      <c r="F36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6" s="15" t="str">
        <f ca="1">IF($G$2-setrtab[[#This Row],[Date échéance]]&gt;0,"A régler","En attente")</f>
        <v>A régler</v>
      </c>
      <c r="H36"/>
      <c r="I36"/>
    </row>
    <row r="37" spans="1:9" x14ac:dyDescent="0.25">
      <c r="A37" s="23" t="s">
        <v>313</v>
      </c>
      <c r="B37" s="23" t="s">
        <v>15</v>
      </c>
      <c r="C37" s="22" t="s">
        <v>314</v>
      </c>
      <c r="D37" s="5">
        <v>424800</v>
      </c>
      <c r="E37" s="21">
        <f>IF(setrtab[[#This Row],[N° Facture]]="","",EOMONTH(setrtab[[#This Row],[Date facture]],1))</f>
        <v>44773</v>
      </c>
      <c r="F37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7" s="15" t="str">
        <f ca="1">IF($G$2-setrtab[[#This Row],[Date échéance]]&gt;0,"A régler","En attente")</f>
        <v>A régler</v>
      </c>
      <c r="H37"/>
      <c r="I37"/>
    </row>
    <row r="38" spans="1:9" x14ac:dyDescent="0.25">
      <c r="A38" s="23" t="s">
        <v>315</v>
      </c>
      <c r="B38" s="23" t="s">
        <v>15</v>
      </c>
      <c r="C38" s="22" t="s">
        <v>85</v>
      </c>
      <c r="D38" s="5">
        <v>314999.82</v>
      </c>
      <c r="E38" s="21">
        <f>IF(setrtab[[#This Row],[N° Facture]]="","",EOMONTH(setrtab[[#This Row],[Date facture]],1))</f>
        <v>44773</v>
      </c>
      <c r="F38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8" s="15" t="str">
        <f ca="1">IF($G$2-setrtab[[#This Row],[Date échéance]]&gt;0,"A régler","En attente")</f>
        <v>A régler</v>
      </c>
      <c r="H38"/>
      <c r="I38"/>
    </row>
    <row r="39" spans="1:9" x14ac:dyDescent="0.25">
      <c r="A39" s="23" t="s">
        <v>316</v>
      </c>
      <c r="B39" s="23" t="s">
        <v>60</v>
      </c>
      <c r="C39" s="22" t="s">
        <v>306</v>
      </c>
      <c r="D39" s="5">
        <v>30000.32</v>
      </c>
      <c r="E39" s="21">
        <f>IF(setrtab[[#This Row],[N° Facture]]="","",EOMONTH(setrtab[[#This Row],[Date facture]],1))</f>
        <v>44773</v>
      </c>
      <c r="F39" s="14" t="str">
        <f ca="1">IF($G$2-setrtab[[#This Row],[Date échéance]]&lt;0,-1*($G$2-setrtab[[#This Row],[Date échéance]])&amp;" jrs d'avance",$G$2-setrtab[[#This Row],[Date échéance]]&amp;" jrs de retard")</f>
        <v>32 jrs de retard</v>
      </c>
      <c r="G39" s="15" t="str">
        <f ca="1">IF($G$2-setrtab[[#This Row],[Date échéance]]&gt;0,"A régler","En attente")</f>
        <v>A régler</v>
      </c>
      <c r="H39"/>
      <c r="I39"/>
    </row>
    <row r="40" spans="1:9" x14ac:dyDescent="0.25">
      <c r="A40" s="23" t="s">
        <v>320</v>
      </c>
      <c r="B40" s="23" t="s">
        <v>318</v>
      </c>
      <c r="C40" s="22" t="s">
        <v>321</v>
      </c>
      <c r="D40" s="5">
        <v>295295</v>
      </c>
      <c r="E40" s="21">
        <f>IF(setrtab[[#This Row],[N° Facture]]="","",EOMONTH(setrtab[[#This Row],[Date facture]],1))</f>
        <v>44804</v>
      </c>
      <c r="F40" s="14" t="str">
        <f ca="1">IF($G$2-setrtab[[#This Row],[Date échéance]]&lt;0,-1*($G$2-setrtab[[#This Row],[Date échéance]])&amp;" jrs d'avance",$G$2-setrtab[[#This Row],[Date échéance]]&amp;" jrs de retard")</f>
        <v>1 jrs de retard</v>
      </c>
      <c r="G40" s="15" t="str">
        <f ca="1">IF($G$2-setrtab[[#This Row],[Date échéance]]&gt;0,"A régler","En attente")</f>
        <v>A régler</v>
      </c>
      <c r="H40"/>
      <c r="I40"/>
    </row>
    <row r="41" spans="1:9" x14ac:dyDescent="0.25">
      <c r="A41" s="23" t="s">
        <v>317</v>
      </c>
      <c r="B41" s="23" t="s">
        <v>318</v>
      </c>
      <c r="C41" s="22" t="s">
        <v>319</v>
      </c>
      <c r="D41" s="5">
        <v>381228.5</v>
      </c>
      <c r="E41" s="21">
        <f>IF(setrtab[[#This Row],[N° Facture]]="","",EOMONTH(setrtab[[#This Row],[Date facture]],1))</f>
        <v>44804</v>
      </c>
      <c r="F41" s="14" t="str">
        <f ca="1">IF($G$2-setrtab[[#This Row],[Date échéance]]&lt;0,-1*($G$2-setrtab[[#This Row],[Date échéance]])&amp;" jrs d'avance",$G$2-setrtab[[#This Row],[Date échéance]]&amp;" jrs de retard")</f>
        <v>1 jrs de retard</v>
      </c>
      <c r="G41" s="15" t="str">
        <f ca="1">IF($G$2-setrtab[[#This Row],[Date échéance]]&gt;0,"A régler","En attente")</f>
        <v>A régler</v>
      </c>
      <c r="H41"/>
      <c r="I41"/>
    </row>
    <row r="42" spans="1:9" x14ac:dyDescent="0.25">
      <c r="A42" s="23" t="s">
        <v>367</v>
      </c>
      <c r="B42" s="23" t="s">
        <v>257</v>
      </c>
      <c r="C42" s="22" t="s">
        <v>368</v>
      </c>
      <c r="D42" s="5">
        <v>48000.04</v>
      </c>
      <c r="E42" s="21">
        <f>IF(setrtab[[#This Row],[N° Facture]]="","",EOMONTH(setrtab[[#This Row],[Date facture]],1))</f>
        <v>44804</v>
      </c>
      <c r="F42" s="14" t="str">
        <f ca="1">IF($G$2-setrtab[[#This Row],[Date échéance]]&lt;0,-1*($G$2-setrtab[[#This Row],[Date échéance]])&amp;" jrs d'avance",$G$2-setrtab[[#This Row],[Date échéance]]&amp;" jrs de retard")</f>
        <v>1 jrs de retard</v>
      </c>
      <c r="G42" s="15" t="str">
        <f ca="1">IF($G$2-setrtab[[#This Row],[Date échéance]]&gt;0,"A régler","En attente")</f>
        <v>A régler</v>
      </c>
      <c r="H42"/>
      <c r="I42"/>
    </row>
    <row r="43" spans="1:9" x14ac:dyDescent="0.25">
      <c r="A43" s="23" t="s">
        <v>322</v>
      </c>
      <c r="B43" s="23" t="s">
        <v>72</v>
      </c>
      <c r="C43" s="22" t="s">
        <v>323</v>
      </c>
      <c r="D43" s="5">
        <v>659620</v>
      </c>
      <c r="E43" s="21">
        <f>IF(setrtab[[#This Row],[N° Facture]]="","",EOMONTH(setrtab[[#This Row],[Date facture]],1))</f>
        <v>44804</v>
      </c>
      <c r="F43" s="14" t="str">
        <f ca="1">IF($G$2-setrtab[[#This Row],[Date échéance]]&lt;0,-1*($G$2-setrtab[[#This Row],[Date échéance]])&amp;" jrs d'avance",$G$2-setrtab[[#This Row],[Date échéance]]&amp;" jrs de retard")</f>
        <v>1 jrs de retard</v>
      </c>
      <c r="G43" s="15" t="str">
        <f ca="1">IF($G$2-setrtab[[#This Row],[Date échéance]]&gt;0,"A régler","En attente")</f>
        <v>A régler</v>
      </c>
      <c r="H43"/>
      <c r="I43"/>
    </row>
    <row r="44" spans="1:9" x14ac:dyDescent="0.25">
      <c r="A44" s="23" t="s">
        <v>364</v>
      </c>
      <c r="B44" s="23" t="s">
        <v>365</v>
      </c>
      <c r="C44" s="22" t="s">
        <v>366</v>
      </c>
      <c r="D44" s="5">
        <v>1258234</v>
      </c>
      <c r="E44" s="21">
        <f>IF(setrtab[[#This Row],[N° Facture]]="","",EOMONTH(setrtab[[#This Row],[Date facture]],1))</f>
        <v>44804</v>
      </c>
      <c r="F44" s="14" t="str">
        <f ca="1">IF($G$2-setrtab[[#This Row],[Date échéance]]&lt;0,-1*($G$2-setrtab[[#This Row],[Date échéance]])&amp;" jrs d'avance",$G$2-setrtab[[#This Row],[Date échéance]]&amp;" jrs de retard")</f>
        <v>1 jrs de retard</v>
      </c>
      <c r="G44" s="15" t="str">
        <f ca="1">IF($G$2-setrtab[[#This Row],[Date échéance]]&gt;0,"A régler","En attente")</f>
        <v>A régler</v>
      </c>
      <c r="H44"/>
      <c r="I44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44">
    <cfRule type="expression" dxfId="54" priority="1">
      <formula>AND(MONTH($E25)=MONTH($C$12),OR($E25="",$G$2&gt;$E25))</formula>
    </cfRule>
    <cfRule type="expression" dxfId="53" priority="2">
      <formula>OR($E25="",$G$2&lt;$E25)</formula>
    </cfRule>
    <cfRule type="expression" dxfId="52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0C38C2-5DC6-49E8-A592-49F1E431DEC2}">
          <x14:formula1>
            <xm:f>BDD!$C$3:$C$14</xm:f>
          </x14:formula1>
          <xm:sqref>C12 G12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0AF9-660C-400F-B609-E6AC1EE304AA}">
  <sheetPr codeName="Feuil9"/>
  <dimension ref="A1:L25"/>
  <sheetViews>
    <sheetView showGridLines="0" zoomScaleNormal="100" workbookViewId="0">
      <pane ySplit="24" topLeftCell="A25" activePane="bottomLeft" state="frozen"/>
      <selection pane="bottomLeft" activeCell="F23" sqref="F23"/>
    </sheetView>
  </sheetViews>
  <sheetFormatPr baseColWidth="10" defaultRowHeight="15" x14ac:dyDescent="0.25"/>
  <cols>
    <col min="1" max="1" width="17.425781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20" style="14" bestFit="1" customWidth="1"/>
    <col min="7" max="7" width="19" style="21" customWidth="1"/>
    <col min="8" max="9" width="19" style="15" customWidth="1"/>
    <col min="10" max="10" width="19" customWidth="1"/>
    <col min="11" max="11" width="12.5703125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ht="33.75" x14ac:dyDescent="0.65">
      <c r="A2" s="154" t="s">
        <v>36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  <c r="I2" s="82"/>
      <c r="J2" s="83"/>
      <c r="K2" s="83"/>
      <c r="L2" s="83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SUMPRODUCT(($G$2&gt;batiplusEcheance)+COUNT(batiplusNum_fact))</f>
        <v>1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SUMPRODUCT(($G$2&gt;batiplusEcheance)*(batiplusMontant))</f>
        <v>69999.959999999992</v>
      </c>
      <c r="E8" s="147"/>
      <c r="F8" s="55" t="s">
        <v>435</v>
      </c>
      <c r="G8" s="56" cm="1">
        <f t="array" aca="1" ref="G8" ca="1">SUMPRODUCT(($G$2&lt;batiplusEcheance)*(batiplusMontant))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78">
        <f ca="1">(C8/118)*18</f>
        <v>10677.96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SUMPRODUCT((($G$2)&gt;(batiplusEcheance))+(batiplusDate_val=""))/COUNTA(batiplusNum_fact)</f>
        <v>1</v>
      </c>
      <c r="E10" s="148"/>
      <c r="F10" s="59" t="s">
        <v>406</v>
      </c>
      <c r="G10" s="60" cm="1">
        <f t="array" aca="1" ref="G10" ca="1">SUMPRODUCT((($G$2)&lt;(batiplusEcheance))+(batiplusDate_val=""))/COUNTA(batiplusNum_fact)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SUMPRODUCT(((($G$2)&gt;(batiplusEcheance)) )*(MONTH(batiplusEcheance) = MONTH(C12)))</f>
        <v>1</v>
      </c>
      <c r="E13" s="150"/>
      <c r="F13" s="52" t="s">
        <v>403</v>
      </c>
      <c r="G13" s="86" cm="1">
        <f t="array" aca="1" ref="G13" ca="1">SUMPRODUCT(((($G$2)&lt;(batiplusEcheance)) )*(MONTH(batiplusEcheance)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SUMPRODUCT(((($G$2)&gt;(batiplusEcheance)) )*(MONTH(batiplusEcheance) = MONTH(C12))*(batiplusMontant))</f>
        <v>69999.959999999992</v>
      </c>
      <c r="E14" s="150"/>
      <c r="F14" s="51" t="s">
        <v>435</v>
      </c>
      <c r="G14" s="73" cm="1">
        <f t="array" aca="1" ref="G14" ca="1">SUMPRODUCT(((($G$2)&lt;(batiplusEcheance)) )*(MONTH(batiplusEcheance) = MONTH(G12))*(batiplusMontant))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10677.96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cm="1">
        <f t="array" aca="1" ref="C16" ca="1">IF(C13=0,"",SUMPRODUCT(((($G$2)&gt;(batiplusEcheance)))*(MONTH(batiplusEcheance)=MONTH(C12)))/SUMPRODUCT((MONTH(batiplusEcheance)=MONTH(C12))*1))</f>
        <v>1</v>
      </c>
      <c r="E16" s="151"/>
      <c r="F16" s="75" t="s">
        <v>406</v>
      </c>
      <c r="G16" s="76" t="str" cm="1">
        <f t="array" aca="1" ref="G16" ca="1">IF(G13=0,"",SUMPRODUCT(((($G$2)&lt;(batiplusEcheance)))*(MONTH(batiplusEcheance)=MONTH(G12)))/SUMPRODUCT((MONTH(batiplusEcheance)=MONTH(G12))*1))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SUMPRODUCT((($G$2)&gt;(batiplusEcheance))+(($G$2)&lt;(batiplusEcheance)))</f>
        <v>1</v>
      </c>
      <c r="H21" s="31"/>
      <c r="I21" s="31"/>
      <c r="J21" s="31"/>
      <c r="K21" s="31"/>
    </row>
    <row r="22" spans="1:12" s="83" customFormat="1" ht="15" customHeight="1" x14ac:dyDescent="0.25">
      <c r="A22" s="139"/>
      <c r="B22" s="139"/>
      <c r="C22" s="139"/>
      <c r="D22" s="139"/>
      <c r="E22" s="139"/>
      <c r="F22" s="49" t="s">
        <v>436</v>
      </c>
      <c r="G22" s="50" cm="1">
        <f t="array" aca="1" ref="G22" ca="1">SUMPRODUCT(((($G$2)&gt;(batiplusEcheance)) + (($G$2)&lt;(batiplusEcheance)))*(batiplusMontant))</f>
        <v>69999.959999999992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45</v>
      </c>
      <c r="B25" s="23" t="s">
        <v>43</v>
      </c>
      <c r="C25" s="22" t="s">
        <v>44</v>
      </c>
      <c r="D25" s="5">
        <v>69999.959999999992</v>
      </c>
      <c r="E25" s="21">
        <f>IF(batiplustab[[#This Row],[N° Facture]]="","",EOMONTH(batiplustab[[#This Row],[Date facture]],1))</f>
        <v>44742</v>
      </c>
      <c r="F25" s="14" t="str">
        <f ca="1">IF($G$2-batiplustab[[#This Row],[Date échéance]]&lt;0,-1*($G$2-batiplustab[[#This Row],[Date échéance]])&amp;" jrs d'avance",$G$2-batiplustab[[#This Row],[Date échéance]]&amp;" jrs de retard")</f>
        <v>63 jrs de retard</v>
      </c>
      <c r="G25" s="15" t="str">
        <f ca="1">IF($G$2-batiplustab[[#This Row],[Date échéance]]&gt;0,"A régler","En attente")</f>
        <v>A régler</v>
      </c>
      <c r="H25"/>
      <c r="I25"/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5">
    <cfRule type="expression" dxfId="43" priority="1">
      <formula>AND(MONTH($E25)=MONTH($C$12),OR($E25="",$G$2&gt;$E25))</formula>
    </cfRule>
    <cfRule type="expression" dxfId="42" priority="2">
      <formula>OR($E25="",$G$2&lt;$E25)</formula>
    </cfRule>
    <cfRule type="expression" dxfId="41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5715BB-181A-497B-BC55-42A9FC426753}">
          <x14:formula1>
            <xm:f>BDD!$C$3:$C$14</xm:f>
          </x14:formula1>
          <xm:sqref>C12 G12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A893E-FF21-4816-8B1F-C7BB13A802A4}">
  <sheetPr codeName="Feuil11"/>
  <dimension ref="A1:L27"/>
  <sheetViews>
    <sheetView showGridLines="0" zoomScale="110" zoomScaleNormal="110" workbookViewId="0">
      <pane ySplit="24" topLeftCell="A25" activePane="bottomLeft" state="frozen"/>
      <selection pane="bottomLeft" activeCell="F15" sqref="F15"/>
    </sheetView>
  </sheetViews>
  <sheetFormatPr baseColWidth="10" defaultRowHeight="15" x14ac:dyDescent="0.25"/>
  <cols>
    <col min="1" max="1" width="17" customWidth="1"/>
    <col min="2" max="2" width="16.42578125" style="15" bestFit="1" customWidth="1"/>
    <col min="3" max="3" width="18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12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  <c r="I1" s="82"/>
      <c r="J1" s="83"/>
      <c r="K1" s="83"/>
      <c r="L1" s="83"/>
    </row>
    <row r="2" spans="1:12" s="99" customFormat="1" ht="33.75" x14ac:dyDescent="0.65">
      <c r="A2" s="162" t="s">
        <v>384</v>
      </c>
      <c r="B2" s="162"/>
      <c r="C2" s="163" t="s">
        <v>399</v>
      </c>
      <c r="D2" s="163"/>
      <c r="E2" s="164" t="s">
        <v>400</v>
      </c>
      <c r="F2" s="164"/>
      <c r="G2" s="165">
        <f ca="1">TODAY()</f>
        <v>44805</v>
      </c>
      <c r="H2" s="165"/>
      <c r="I2" s="97"/>
      <c r="J2" s="98"/>
      <c r="K2" s="98"/>
      <c r="L2" s="98"/>
    </row>
    <row r="3" spans="1:12" x14ac:dyDescent="0.25">
      <c r="A3" s="77"/>
      <c r="B3" s="16"/>
      <c r="C3" s="17"/>
      <c r="D3" s="3"/>
      <c r="G3" s="36"/>
      <c r="I3" s="82"/>
      <c r="J3" s="83"/>
      <c r="K3" s="83"/>
      <c r="L3" s="83"/>
    </row>
    <row r="4" spans="1:12" ht="43.5" customHeight="1" x14ac:dyDescent="0.25">
      <c r="A4" s="8"/>
      <c r="B4" s="10"/>
      <c r="C4" s="18"/>
      <c r="D4" s="11"/>
      <c r="E4" s="9"/>
      <c r="F4" s="12"/>
      <c r="H4" s="12"/>
      <c r="I4" s="88"/>
      <c r="J4" s="83"/>
      <c r="K4" s="83"/>
      <c r="L4" s="83"/>
    </row>
    <row r="5" spans="1:12" x14ac:dyDescent="0.25">
      <c r="A5" s="77"/>
      <c r="B5" s="16"/>
      <c r="C5" s="17"/>
      <c r="D5" s="3"/>
      <c r="I5" s="82"/>
      <c r="J5" s="83"/>
      <c r="K5" s="83"/>
      <c r="L5" s="83"/>
    </row>
    <row r="6" spans="1:12" ht="15.75" thickBot="1" x14ac:dyDescent="0.3">
      <c r="I6" s="82"/>
      <c r="J6" s="83"/>
      <c r="K6" s="83"/>
      <c r="L6" s="83"/>
    </row>
    <row r="7" spans="1:12" x14ac:dyDescent="0.25">
      <c r="A7" s="143" t="s">
        <v>411</v>
      </c>
      <c r="B7" s="61" t="s">
        <v>412</v>
      </c>
      <c r="C7" s="62" cm="1">
        <f t="array" aca="1" ref="C7" ca="1">SUMPRODUCT(($G$2&gt;damaciEcheance)+COUNT(damaciEtat="A régler"))</f>
        <v>3</v>
      </c>
      <c r="E7" s="146" t="s">
        <v>411</v>
      </c>
      <c r="F7" s="53" t="s">
        <v>412</v>
      </c>
      <c r="G7" s="87">
        <f ca="1">G21-C7</f>
        <v>0</v>
      </c>
      <c r="I7" s="82"/>
      <c r="J7" s="83"/>
      <c r="K7" s="83"/>
      <c r="L7" s="83"/>
    </row>
    <row r="8" spans="1:12" x14ac:dyDescent="0.25">
      <c r="A8" s="144"/>
      <c r="B8" s="63" t="s">
        <v>435</v>
      </c>
      <c r="C8" s="64" cm="1">
        <f t="array" aca="1" ref="C8" ca="1">SUMPRODUCT(($G$2&gt;damaciEcheance)*(damaciMontant))</f>
        <v>1244064.3999999999</v>
      </c>
      <c r="E8" s="147"/>
      <c r="F8" s="55" t="s">
        <v>435</v>
      </c>
      <c r="G8" s="56" cm="1">
        <f t="array" aca="1" ref="G8" ca="1">SUMPRODUCT(($G$2&lt;damaciEcheance)*(damaciMontant))</f>
        <v>0</v>
      </c>
      <c r="I8" s="82"/>
      <c r="J8" s="83"/>
      <c r="K8" s="83"/>
      <c r="L8" s="83"/>
    </row>
    <row r="9" spans="1:12" x14ac:dyDescent="0.25">
      <c r="A9" s="144"/>
      <c r="B9" s="65" t="s">
        <v>405</v>
      </c>
      <c r="C9" s="100">
        <f ca="1">(C8/118)*18</f>
        <v>189772.53559322032</v>
      </c>
      <c r="E9" s="147"/>
      <c r="F9" s="57" t="s">
        <v>413</v>
      </c>
      <c r="G9" s="58">
        <f ca="1">(G8/118)*18</f>
        <v>0</v>
      </c>
      <c r="I9" s="82"/>
      <c r="J9" s="83"/>
      <c r="K9" s="83"/>
      <c r="L9" s="83"/>
    </row>
    <row r="10" spans="1:12" ht="15.75" thickBot="1" x14ac:dyDescent="0.3">
      <c r="A10" s="145"/>
      <c r="B10" s="91" t="s">
        <v>407</v>
      </c>
      <c r="C10" s="92" cm="1">
        <f t="array" aca="1" ref="C10" ca="1">SUMPRODUCT((($G$2)&gt;(damaciEcheance))+(damaciDate_val=""))/COUNTA(damaciNum_fact)</f>
        <v>1</v>
      </c>
      <c r="E10" s="148"/>
      <c r="F10" s="59" t="s">
        <v>406</v>
      </c>
      <c r="G10" s="60" cm="1">
        <f t="array" aca="1" ref="G10" ca="1">SUMPRODUCT((($G$2)&lt;(damaciEcheance))+(damaciDate_val=""))/COUNTA(damaciNum_fact)</f>
        <v>0</v>
      </c>
      <c r="I10" s="82"/>
      <c r="J10" s="83"/>
      <c r="K10" s="83"/>
      <c r="L10" s="83"/>
    </row>
    <row r="11" spans="1:12" ht="20.25" thickBot="1" x14ac:dyDescent="0.3">
      <c r="B11" s="43"/>
      <c r="C11" s="44"/>
      <c r="E11" s="42"/>
      <c r="F11" s="27"/>
      <c r="G11" s="27"/>
      <c r="H11" s="27"/>
      <c r="I11" s="82"/>
      <c r="J11" s="83"/>
      <c r="K11" s="83"/>
      <c r="L11" s="83"/>
    </row>
    <row r="12" spans="1:12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  <c r="I12" s="82"/>
      <c r="J12" s="83"/>
      <c r="K12" s="83"/>
      <c r="L12" s="83"/>
    </row>
    <row r="13" spans="1:12" x14ac:dyDescent="0.25">
      <c r="A13" s="141"/>
      <c r="B13" s="45" t="s">
        <v>403</v>
      </c>
      <c r="C13" s="67" cm="1">
        <f t="array" aca="1" ref="C13" ca="1">SUMPRODUCT(((($G$2)&gt;(damaciEcheance)) )*(MONTH(damaciEcheance) = MONTH(C12)))</f>
        <v>0</v>
      </c>
      <c r="E13" s="150"/>
      <c r="F13" s="52" t="s">
        <v>403</v>
      </c>
      <c r="G13" s="86" cm="1">
        <f t="array" aca="1" ref="G13" ca="1">SUMPRODUCT(((($G$2)&lt;(damaciEcheance)) )*(MONTH(damaciEcheance) = MONTH(G12)))</f>
        <v>0</v>
      </c>
      <c r="H13" s="30"/>
      <c r="I13" s="82"/>
      <c r="J13" s="83"/>
      <c r="K13" s="83"/>
      <c r="L13" s="83"/>
    </row>
    <row r="14" spans="1:12" x14ac:dyDescent="0.25">
      <c r="A14" s="141"/>
      <c r="B14" s="46" t="s">
        <v>435</v>
      </c>
      <c r="C14" s="68" cm="1">
        <f t="array" aca="1" ref="C14" ca="1">SUMPRODUCT(((($G$2)&gt;(damaciEcheance)) )*(MONTH(damaciEcheance) = MONTH(C12))*(damaciMontant))</f>
        <v>0</v>
      </c>
      <c r="E14" s="150"/>
      <c r="F14" s="51" t="s">
        <v>435</v>
      </c>
      <c r="G14" s="73" cm="1">
        <f t="array" aca="1" ref="G14" ca="1">SUMPRODUCT(((($G$2)&lt;(damaciEcheance)) )*(MONTH(damaciEcheance) = MONTH(G12))*(damaciMontant))</f>
        <v>0</v>
      </c>
      <c r="H14" s="30"/>
      <c r="I14" s="82"/>
      <c r="J14" s="83"/>
      <c r="K14" s="83"/>
      <c r="L14" s="83"/>
    </row>
    <row r="15" spans="1:12" x14ac:dyDescent="0.25">
      <c r="A15" s="141"/>
      <c r="B15" s="45" t="s">
        <v>405</v>
      </c>
      <c r="C15" s="81">
        <f ca="1">(C14/118)*18</f>
        <v>0</v>
      </c>
      <c r="E15" s="150"/>
      <c r="F15" s="52" t="s">
        <v>405</v>
      </c>
      <c r="G15" s="74">
        <f ca="1">(G14/118)*18</f>
        <v>0</v>
      </c>
      <c r="H15" s="30"/>
      <c r="I15" s="82"/>
      <c r="J15" s="83"/>
      <c r="K15" s="83"/>
      <c r="L15" s="83"/>
    </row>
    <row r="16" spans="1:12" ht="15.75" thickBot="1" x14ac:dyDescent="0.3">
      <c r="A16" s="142"/>
      <c r="B16" s="69" t="s">
        <v>407</v>
      </c>
      <c r="C16" s="70" t="str" cm="1">
        <f t="array" aca="1" ref="C16" ca="1">IF(C13=0,"",SUMPRODUCT(((($G$2)&gt;(damaciEcheance)))*(MONTH(damaciEcheance)=MONTH(C12)))/SUMPRODUCT((MONTH(damaciEcheance)=MONTH(C12))*1))</f>
        <v/>
      </c>
      <c r="E16" s="151"/>
      <c r="F16" s="75" t="s">
        <v>406</v>
      </c>
      <c r="G16" s="76" t="str" cm="1">
        <f t="array" aca="1" ref="G16" ca="1">IF(G13=0,"",SUMPRODUCT(((($G$2)&lt;(damaciEcheance)))*(MONTH(damaciEcheance)=MONTH(G12)))/SUMPRODUCT((MONTH(damaciEcheance)=MONTH(G12))*1))</f>
        <v/>
      </c>
      <c r="H16" s="30"/>
      <c r="I16" s="82"/>
      <c r="J16" s="83"/>
      <c r="K16" s="83"/>
      <c r="L16" s="83"/>
    </row>
    <row r="17" spans="1:12" x14ac:dyDescent="0.25">
      <c r="C17" s="40"/>
      <c r="D17" s="41"/>
      <c r="F17" s="28"/>
      <c r="G17" s="29"/>
      <c r="H17" s="30"/>
      <c r="I17" s="82"/>
      <c r="J17" s="83"/>
      <c r="K17" s="83"/>
      <c r="L17" s="83"/>
    </row>
    <row r="18" spans="1:12" x14ac:dyDescent="0.25">
      <c r="C18" s="40"/>
      <c r="F18" s="28"/>
      <c r="G18" s="29"/>
      <c r="H18" s="30"/>
      <c r="I18" s="82"/>
      <c r="J18" s="83"/>
      <c r="K18" s="83"/>
      <c r="L18" s="83"/>
    </row>
    <row r="19" spans="1:12" x14ac:dyDescent="0.25">
      <c r="F19" s="28"/>
      <c r="G19" s="29"/>
      <c r="H19" s="30"/>
      <c r="I19" s="82"/>
      <c r="J19" s="83"/>
      <c r="K19" s="83"/>
      <c r="L19" s="83"/>
    </row>
    <row r="20" spans="1:12" ht="36" x14ac:dyDescent="0.25">
      <c r="H20" s="31"/>
      <c r="I20" s="89"/>
      <c r="J20" s="89"/>
      <c r="K20" s="89"/>
      <c r="L20" s="89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SUMPRODUCT((($G$2)&gt;(damaciEcheance))+(($G$2)&lt;(damaciEcheance)))</f>
        <v>3</v>
      </c>
      <c r="H21" s="31"/>
      <c r="I21" s="89"/>
      <c r="J21" s="89"/>
      <c r="K21" s="89"/>
      <c r="L21" s="83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SUMPRODUCT(((($G$2)&gt;(damaciEcheance)) + (($G$2)&lt;(damaciEcheance)))*(damaciMontant))</f>
        <v>1244064.3999999999</v>
      </c>
      <c r="H22" s="32"/>
      <c r="I22" s="90"/>
      <c r="J22" s="158"/>
      <c r="K22" s="158"/>
      <c r="L22" s="84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358</v>
      </c>
      <c r="G24" s="4" t="s">
        <v>10</v>
      </c>
      <c r="H24"/>
      <c r="I24"/>
    </row>
    <row r="25" spans="1:12" x14ac:dyDescent="0.25">
      <c r="A25" s="23" t="s">
        <v>432</v>
      </c>
      <c r="B25" s="23">
        <v>44724</v>
      </c>
      <c r="C25" s="22">
        <v>551262</v>
      </c>
      <c r="D25" s="5">
        <v>650489</v>
      </c>
      <c r="E25" s="21">
        <f>IF(damacitab[[#This Row],[N° Facture]]="","",EOMONTH(damacitab[[#This Row],[Date facture]],1))</f>
        <v>44773</v>
      </c>
      <c r="F25" s="14" t="str">
        <f ca="1">IF($G$2-damacitab[[#This Row],[Date échéance]]&lt;0,-1*($G$2-damacitab[[#This Row],[Date échéance]])&amp;" jrs d'avance",$G$2-damacitab[[#This Row],[Date échéance]]&amp;" jrs de retard")</f>
        <v>32 jrs de retard</v>
      </c>
      <c r="G25" s="15" t="str">
        <f ca="1">IF($G$2-damacitab[[#This Row],[Date échéance]]&gt;0,"A régler","En attente")</f>
        <v>A régler</v>
      </c>
      <c r="H25"/>
      <c r="I25"/>
    </row>
    <row r="26" spans="1:12" x14ac:dyDescent="0.25">
      <c r="A26" s="23" t="s">
        <v>47</v>
      </c>
      <c r="B26" s="23" t="s">
        <v>48</v>
      </c>
      <c r="C26" s="22" t="s">
        <v>49</v>
      </c>
      <c r="D26" s="5">
        <v>350970.94</v>
      </c>
      <c r="E26" s="21">
        <f>IF(damacitab[[#This Row],[N° Facture]]="","",EOMONTH(damacitab[[#This Row],[Date facture]],1))</f>
        <v>44773</v>
      </c>
      <c r="F26" s="14" t="str">
        <f ca="1">IF($G$2-damacitab[[#This Row],[Date échéance]]&lt;0,-1*($G$2-damacitab[[#This Row],[Date échéance]])&amp;" jrs d'avance",$G$2-damacitab[[#This Row],[Date échéance]]&amp;" jrs de retard")</f>
        <v>32 jrs de retard</v>
      </c>
      <c r="G26" s="15" t="str">
        <f ca="1">IF($G$2-damacitab[[#This Row],[Date échéance]]&gt;0,"A régler","En attente")</f>
        <v>A régler</v>
      </c>
      <c r="H26"/>
      <c r="I26"/>
    </row>
    <row r="27" spans="1:12" x14ac:dyDescent="0.25">
      <c r="A27" s="23" t="s">
        <v>50</v>
      </c>
      <c r="B27" s="23" t="s">
        <v>13</v>
      </c>
      <c r="C27" s="22" t="s">
        <v>51</v>
      </c>
      <c r="D27" s="5">
        <v>242604.46</v>
      </c>
      <c r="E27" s="21">
        <f>IF(damacitab[[#This Row],[N° Facture]]="","",EOMONTH(damacitab[[#This Row],[Date facture]],1))</f>
        <v>44773</v>
      </c>
      <c r="F27" s="14" t="str">
        <f ca="1">IF($G$2-damacitab[[#This Row],[Date échéance]]&lt;0,-1*($G$2-damacitab[[#This Row],[Date échéance]])&amp;" jrs d'avance",$G$2-damacitab[[#This Row],[Date échéance]]&amp;" jrs de retard")</f>
        <v>32 jrs de retard</v>
      </c>
      <c r="G27" s="15" t="str">
        <f ca="1">IF($G$2-damacitab[[#This Row],[Date échéance]]&gt;0,"A régler","En attente")</f>
        <v>A régler</v>
      </c>
    </row>
  </sheetData>
  <mergeCells count="14">
    <mergeCell ref="J22:K22"/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7">
    <cfRule type="expression" dxfId="32" priority="1">
      <formula>AND(MONTH($E25)=MONTH($C$12),OR($E25="",$G$2&gt;$E25))</formula>
    </cfRule>
    <cfRule type="expression" dxfId="31" priority="2">
      <formula>OR($E25="",$G$2&lt;$E25)</formula>
    </cfRule>
    <cfRule type="expression" dxfId="30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D4B209-00EC-4A5B-BF8D-4A4AB062D4A2}">
          <x14:formula1>
            <xm:f>BDD!$C$3:$C$14</xm:f>
          </x14:formula1>
          <xm:sqref>C12 G12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3D2F-F184-478B-BF9B-D7E1BBAFDF44}">
  <sheetPr codeName="Feuil14"/>
  <dimension ref="A1:L30"/>
  <sheetViews>
    <sheetView showGridLines="0" zoomScale="110" zoomScaleNormal="110" workbookViewId="0">
      <pane ySplit="24" topLeftCell="A41" activePane="bottomLeft" state="frozen"/>
      <selection pane="bottomLeft" activeCell="F15" sqref="F15"/>
    </sheetView>
  </sheetViews>
  <sheetFormatPr baseColWidth="10" defaultRowHeight="15" x14ac:dyDescent="0.25"/>
  <cols>
    <col min="1" max="1" width="17.2851562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</row>
    <row r="2" spans="1:9" s="96" customFormat="1" ht="53.25" customHeight="1" x14ac:dyDescent="0.25">
      <c r="A2" s="166" t="s">
        <v>31</v>
      </c>
      <c r="B2" s="166"/>
      <c r="C2" s="159" t="s">
        <v>399</v>
      </c>
      <c r="D2" s="159"/>
      <c r="E2" s="160" t="s">
        <v>400</v>
      </c>
      <c r="F2" s="160"/>
      <c r="G2" s="161">
        <f ca="1">TODAY()</f>
        <v>44805</v>
      </c>
      <c r="H2" s="161"/>
      <c r="I2" s="101"/>
    </row>
    <row r="3" spans="1:9" x14ac:dyDescent="0.25">
      <c r="A3" s="77"/>
      <c r="B3" s="16"/>
      <c r="C3" s="17"/>
      <c r="D3" s="3"/>
      <c r="G3" s="36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7"/>
      <c r="B5" s="16"/>
      <c r="C5" s="17"/>
      <c r="D5" s="3"/>
    </row>
    <row r="6" spans="1:9" ht="15.75" thickBot="1" x14ac:dyDescent="0.3"/>
    <row r="7" spans="1:9" x14ac:dyDescent="0.25">
      <c r="A7" s="143" t="s">
        <v>411</v>
      </c>
      <c r="B7" s="61" t="s">
        <v>412</v>
      </c>
      <c r="C7" s="62" cm="1">
        <f t="array" aca="1" ref="C7" ca="1">SUMPRODUCT(($G$2&gt;wleEcheance)+COUNT(wleNum_fact))</f>
        <v>5</v>
      </c>
      <c r="E7" s="146" t="s">
        <v>411</v>
      </c>
      <c r="F7" s="53" t="s">
        <v>412</v>
      </c>
      <c r="G7" s="87">
        <f ca="1">G21-C7</f>
        <v>1</v>
      </c>
    </row>
    <row r="8" spans="1:9" x14ac:dyDescent="0.25">
      <c r="A8" s="144"/>
      <c r="B8" s="63" t="s">
        <v>435</v>
      </c>
      <c r="C8" s="64" cm="1">
        <f t="array" aca="1" ref="C8" ca="1">SUMPRODUCT(($G$2&gt;wleEcheance)*(wleMontant))</f>
        <v>1536629.0399999998</v>
      </c>
      <c r="E8" s="147"/>
      <c r="F8" s="55" t="s">
        <v>435</v>
      </c>
      <c r="G8" s="56" cm="1">
        <f t="array" aca="1" ref="G8" ca="1">SUMPRODUCT(($G$2&lt;wleEcheance)*(wleMontant))</f>
        <v>4524.12</v>
      </c>
    </row>
    <row r="9" spans="1:9" x14ac:dyDescent="0.25">
      <c r="A9" s="144"/>
      <c r="B9" s="65" t="s">
        <v>405</v>
      </c>
      <c r="C9" s="100">
        <f ca="1">(C8/118)*18</f>
        <v>234401.03999999998</v>
      </c>
      <c r="E9" s="147"/>
      <c r="F9" s="57" t="s">
        <v>413</v>
      </c>
      <c r="G9" s="58">
        <f ca="1">(G8/118)*18</f>
        <v>690.11999999999989</v>
      </c>
    </row>
    <row r="10" spans="1:9" ht="15.75" thickBot="1" x14ac:dyDescent="0.3">
      <c r="A10" s="145"/>
      <c r="B10" s="91" t="s">
        <v>407</v>
      </c>
      <c r="C10" s="92" cm="1">
        <f t="array" aca="1" ref="C10" ca="1">SUMPRODUCT((($G$2)&gt;(wleEcheance))+(wleDate_val=""))/COUNTA(wleNum_fact)</f>
        <v>0.83333333333333337</v>
      </c>
      <c r="E10" s="148"/>
      <c r="F10" s="59" t="s">
        <v>406</v>
      </c>
      <c r="G10" s="60" cm="1">
        <f t="array" aca="1" ref="G10" ca="1">SUMPRODUCT((($G$2)&lt;(wleEcheance))+(wleDate_val=""))/COUNTA(wleNum_fact)</f>
        <v>0.16666666666666666</v>
      </c>
    </row>
    <row r="11" spans="1:9" ht="20.25" thickBot="1" x14ac:dyDescent="0.3">
      <c r="B11" s="43"/>
      <c r="C11" s="44"/>
      <c r="E11" s="42"/>
      <c r="F11" s="27"/>
      <c r="G11" s="27"/>
      <c r="H11" s="27"/>
    </row>
    <row r="12" spans="1:9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</row>
    <row r="13" spans="1:9" x14ac:dyDescent="0.25">
      <c r="A13" s="141"/>
      <c r="B13" s="45" t="s">
        <v>403</v>
      </c>
      <c r="C13" s="67" cm="1">
        <f t="array" aca="1" ref="C13" ca="1">SUMPRODUCT(((($G$2)&gt;(wleEcheance)) )*(MONTH(wleEcheance) = MONTH(C12)))</f>
        <v>0</v>
      </c>
      <c r="E13" s="150"/>
      <c r="F13" s="52" t="s">
        <v>403</v>
      </c>
      <c r="G13" s="86" cm="1">
        <f t="array" aca="1" ref="G13" ca="1">SUMPRODUCT(((($G$2)&lt;(wleEcheance)) )*(MONTH(wleEcheance) = MONTH(G12)))</f>
        <v>0</v>
      </c>
      <c r="H13" s="30"/>
    </row>
    <row r="14" spans="1:9" x14ac:dyDescent="0.25">
      <c r="A14" s="141"/>
      <c r="B14" s="46" t="s">
        <v>435</v>
      </c>
      <c r="C14" s="68" cm="1">
        <f t="array" aca="1" ref="C14" ca="1">SUMPRODUCT(((($G$2)&gt;(wleEcheance)) )*(MONTH(wleEcheance) = MONTH(C12))*(wleMontant))</f>
        <v>0</v>
      </c>
      <c r="E14" s="150"/>
      <c r="F14" s="51" t="s">
        <v>435</v>
      </c>
      <c r="G14" s="73" cm="1">
        <f t="array" aca="1" ref="G14" ca="1">SUMPRODUCT(((($G$2)&lt;(wleEcheance)) )*(MONTH(wleEcheance) = MONTH(G12))*(wleMontant))</f>
        <v>0</v>
      </c>
      <c r="H14" s="30"/>
    </row>
    <row r="15" spans="1:9" x14ac:dyDescent="0.25">
      <c r="A15" s="141"/>
      <c r="B15" s="45" t="s">
        <v>405</v>
      </c>
      <c r="C15" s="81">
        <f ca="1">(C14/118)*18</f>
        <v>0</v>
      </c>
      <c r="E15" s="150"/>
      <c r="F15" s="52" t="s">
        <v>405</v>
      </c>
      <c r="G15" s="74">
        <f ca="1">(G14/118)*18</f>
        <v>0</v>
      </c>
      <c r="H15" s="30"/>
    </row>
    <row r="16" spans="1:9" ht="15.75" thickBot="1" x14ac:dyDescent="0.3">
      <c r="A16" s="142"/>
      <c r="B16" s="69" t="s">
        <v>407</v>
      </c>
      <c r="C16" s="70" t="str" cm="1">
        <f t="array" aca="1" ref="C16" ca="1">IF(C13=0,"",SUMPRODUCT(((($G$2)&gt;(wleEcheance)))*(MONTH(wleEcheance)=MONTH(C12)))/SUMPRODUCT((MONTH(wleEcheance)=MONTH(C12))*1))</f>
        <v/>
      </c>
      <c r="E16" s="151"/>
      <c r="F16" s="75" t="s">
        <v>406</v>
      </c>
      <c r="G16" s="76" t="str" cm="1">
        <f t="array" aca="1" ref="G16" ca="1">IF(G13=0,"",SUMPRODUCT(((($G$2)&lt;(wleEcheance)))*(MONTH(wleEcheance)=MONTH(G12)))/SUMPRODUCT((MONTH(wleEcheance)=MONTH(G12))*1))</f>
        <v/>
      </c>
      <c r="H16" s="30"/>
    </row>
    <row r="17" spans="1:12" x14ac:dyDescent="0.25">
      <c r="C17" s="40"/>
      <c r="D17" s="41"/>
      <c r="F17" s="28"/>
      <c r="G17" s="29"/>
      <c r="H17" s="30"/>
    </row>
    <row r="18" spans="1:12" x14ac:dyDescent="0.25">
      <c r="C18" s="40"/>
      <c r="F18" s="28"/>
      <c r="G18" s="29"/>
      <c r="H18" s="30"/>
    </row>
    <row r="19" spans="1:12" ht="36" x14ac:dyDescent="0.25">
      <c r="F19" s="28"/>
      <c r="G19" s="29"/>
      <c r="H19" s="30"/>
      <c r="I19" s="31"/>
      <c r="J19" s="31"/>
      <c r="K19" s="31"/>
      <c r="L19" s="31"/>
    </row>
    <row r="20" spans="1:12" ht="36" x14ac:dyDescent="0.25">
      <c r="H20" s="31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SUMPRODUCT((($G$2)&gt;(wleEcheance))+(($G$2)&lt;(wleEcheance)))</f>
        <v>6</v>
      </c>
      <c r="H21" s="31"/>
      <c r="I21" s="31"/>
      <c r="J21" s="31"/>
      <c r="K21" s="31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SUMPRODUCT(((($G$2)&gt;(wleEcheance)) + (($G$2)&lt;(wleEcheance)))*(wleMontant))</f>
        <v>1541153.16</v>
      </c>
      <c r="H22" s="32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9</v>
      </c>
      <c r="G24" s="4" t="s">
        <v>10</v>
      </c>
      <c r="H24"/>
      <c r="I24"/>
    </row>
    <row r="25" spans="1:12" x14ac:dyDescent="0.25">
      <c r="A25" s="23" t="s">
        <v>332</v>
      </c>
      <c r="B25" s="23" t="s">
        <v>333</v>
      </c>
      <c r="C25" s="22" t="s">
        <v>334</v>
      </c>
      <c r="D25" s="5">
        <v>23218.86</v>
      </c>
      <c r="E25" s="21">
        <f>IF(wletab[[#This Row],[N° Facture]]="","",EOMONTH(wletab[[#This Row],[Date facture]],1))</f>
        <v>44620</v>
      </c>
      <c r="F25" s="14" t="str">
        <f ca="1">IF($G$2-wletab[[#This Row],[Date échéance]]&lt;0,-1*($G$2-wletab[[#This Row],[Date échéance]])&amp;" jrs d'avance",$G$2-wletab[[#This Row],[Date échéance]]&amp;" jrs de retard")</f>
        <v>185 jrs de retard</v>
      </c>
      <c r="G25" s="15" t="str">
        <f ca="1">IF($G$2-wletab[[#This Row],[Date échéance]]&gt;0,"A régler","En attente")</f>
        <v>A régler</v>
      </c>
      <c r="H25"/>
      <c r="I25"/>
    </row>
    <row r="26" spans="1:12" x14ac:dyDescent="0.25">
      <c r="A26" s="23" t="s">
        <v>335</v>
      </c>
      <c r="B26" s="23" t="s">
        <v>336</v>
      </c>
      <c r="C26" s="22" t="s">
        <v>337</v>
      </c>
      <c r="D26" s="5">
        <v>752067.1</v>
      </c>
      <c r="E26" s="21">
        <f>IF(wletab[[#This Row],[N° Facture]]="","",EOMONTH(wletab[[#This Row],[Date facture]],1))</f>
        <v>44651</v>
      </c>
      <c r="F26" s="14" t="str">
        <f ca="1">IF($G$2-wletab[[#This Row],[Date échéance]]&lt;0,-1*($G$2-wletab[[#This Row],[Date échéance]])&amp;" jrs d'avance",$G$2-wletab[[#This Row],[Date échéance]]&amp;" jrs de retard")</f>
        <v>154 jrs de retard</v>
      </c>
      <c r="G26" s="15" t="str">
        <f ca="1">IF($G$2-wletab[[#This Row],[Date échéance]]&gt;0,"A régler","En attente")</f>
        <v>A régler</v>
      </c>
      <c r="H26"/>
      <c r="I26"/>
    </row>
    <row r="27" spans="1:12" x14ac:dyDescent="0.25">
      <c r="A27" s="23" t="s">
        <v>327</v>
      </c>
      <c r="B27" s="23" t="s">
        <v>328</v>
      </c>
      <c r="C27" s="22" t="s">
        <v>329</v>
      </c>
      <c r="D27" s="5">
        <v>75520</v>
      </c>
      <c r="E27" s="21">
        <f>IF(wletab[[#This Row],[N° Facture]]="","",EOMONTH(wletab[[#This Row],[Date facture]],1))</f>
        <v>44712</v>
      </c>
      <c r="F27" s="14" t="str">
        <f ca="1">IF($G$2-wletab[[#This Row],[Date échéance]]&lt;0,-1*($G$2-wletab[[#This Row],[Date échéance]])&amp;" jrs d'avance",$G$2-wletab[[#This Row],[Date échéance]]&amp;" jrs de retard")</f>
        <v>93 jrs de retard</v>
      </c>
      <c r="G27" s="15" t="str">
        <f ca="1">IF($G$2-wletab[[#This Row],[Date échéance]]&gt;0,"A régler","En attente")</f>
        <v>A régler</v>
      </c>
      <c r="H27"/>
      <c r="I27"/>
    </row>
    <row r="28" spans="1:12" x14ac:dyDescent="0.25">
      <c r="A28" s="23" t="s">
        <v>330</v>
      </c>
      <c r="B28" s="23" t="s">
        <v>16</v>
      </c>
      <c r="C28" s="22" t="s">
        <v>331</v>
      </c>
      <c r="D28" s="5">
        <v>559243.29999999993</v>
      </c>
      <c r="E28" s="21">
        <f>IF(wletab[[#This Row],[N° Facture]]="","",EOMONTH(wletab[[#This Row],[Date facture]],1))</f>
        <v>44773</v>
      </c>
      <c r="F28" s="14" t="str">
        <f ca="1">IF($G$2-wletab[[#This Row],[Date échéance]]&lt;0,-1*($G$2-wletab[[#This Row],[Date échéance]])&amp;" jrs d'avance",$G$2-wletab[[#This Row],[Date échéance]]&amp;" jrs de retard")</f>
        <v>32 jrs de retard</v>
      </c>
      <c r="G28" s="15" t="str">
        <f ca="1">IF($G$2-wletab[[#This Row],[Date échéance]]&gt;0,"A régler","En attente")</f>
        <v>A régler</v>
      </c>
      <c r="H28"/>
      <c r="I28"/>
    </row>
    <row r="29" spans="1:12" x14ac:dyDescent="0.25">
      <c r="A29" s="23" t="s">
        <v>324</v>
      </c>
      <c r="B29" s="23" t="s">
        <v>325</v>
      </c>
      <c r="C29" s="22" t="s">
        <v>326</v>
      </c>
      <c r="D29" s="5">
        <v>126579.78</v>
      </c>
      <c r="E29" s="21">
        <f>IF(wletab[[#This Row],[N° Facture]]="","",EOMONTH(wletab[[#This Row],[Date facture]],1))</f>
        <v>44804</v>
      </c>
      <c r="F29" s="14" t="str">
        <f ca="1">IF($G$2-wletab[[#This Row],[Date échéance]]&lt;0,-1*($G$2-wletab[[#This Row],[Date échéance]])&amp;" jrs d'avance",$G$2-wletab[[#This Row],[Date échéance]]&amp;" jrs de retard")</f>
        <v>1 jrs de retard</v>
      </c>
      <c r="G29" s="15" t="str">
        <f ca="1">IF($G$2-wletab[[#This Row],[Date échéance]]&gt;0,"A régler","En attente")</f>
        <v>A régler</v>
      </c>
      <c r="H29"/>
      <c r="I29"/>
    </row>
    <row r="30" spans="1:12" x14ac:dyDescent="0.25">
      <c r="A30" s="23" t="s">
        <v>68</v>
      </c>
      <c r="B30" s="23" t="s">
        <v>69</v>
      </c>
      <c r="C30" s="22" t="s">
        <v>70</v>
      </c>
      <c r="D30" s="5">
        <v>4524.12</v>
      </c>
      <c r="E30" s="21">
        <f>IF(wletab[[#This Row],[N° Facture]]="","",EOMONTH(wletab[[#This Row],[Date facture]],1))</f>
        <v>44834</v>
      </c>
      <c r="F30" s="14" t="str">
        <f ca="1">IF($G$2-wletab[[#This Row],[Date échéance]]&lt;0,-1*($G$2-wletab[[#This Row],[Date échéance]])&amp;" jrs d'avance",$G$2-wletab[[#This Row],[Date échéance]]&amp;" jrs de retard")</f>
        <v>29 jrs d'avance</v>
      </c>
      <c r="G30" s="15" t="str">
        <f ca="1">IF($G$2-wletab[[#This Row],[Date échéance]]&gt;0,"A régler","En attente")</f>
        <v>En attente</v>
      </c>
      <c r="H30"/>
      <c r="I30"/>
    </row>
  </sheetData>
  <mergeCells count="13"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30">
    <cfRule type="expression" dxfId="21" priority="1">
      <formula>AND(MONTH($E25)=MONTH($C$12),OR($E25="",$G$2&gt;$E25))</formula>
    </cfRule>
    <cfRule type="expression" dxfId="20" priority="2">
      <formula>OR($E25="",$G$2&gt;$E25)</formula>
    </cfRule>
    <cfRule type="expression" dxfId="19" priority="3">
      <formula>OR($E25="",$G$2&lt;$E25)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BBE6F8-071F-46DD-8D30-ABAD94117601}">
          <x14:formula1>
            <xm:f>BDD!$C$3:$C$14</xm:f>
          </x14:formula1>
          <xm:sqref>C12 G12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4975-3560-4A89-AECC-653374D61085}">
  <sheetPr codeName="Feuil15"/>
  <dimension ref="A1:L27"/>
  <sheetViews>
    <sheetView showGridLines="0" zoomScaleNormal="100" workbookViewId="0">
      <pane ySplit="24" topLeftCell="A25" activePane="bottomLeft" state="frozen"/>
      <selection pane="bottomLeft" activeCell="G16" sqref="G16"/>
    </sheetView>
  </sheetViews>
  <sheetFormatPr baseColWidth="10" defaultRowHeight="15" x14ac:dyDescent="0.25"/>
  <cols>
    <col min="1" max="1" width="16.85546875" customWidth="1"/>
    <col min="2" max="2" width="16.42578125" style="15" bestFit="1" customWidth="1"/>
    <col min="3" max="3" width="17.42578125" style="19" bestFit="1" customWidth="1"/>
    <col min="4" max="4" width="18.28515625" style="5" bestFit="1" customWidth="1"/>
    <col min="5" max="5" width="18.7109375" bestFit="1" customWidth="1"/>
    <col min="6" max="6" width="18.7109375" style="14" customWidth="1"/>
    <col min="7" max="7" width="19" style="21" customWidth="1"/>
    <col min="8" max="9" width="19" style="15" customWidth="1"/>
    <col min="10" max="10" width="19" customWidth="1"/>
    <col min="11" max="11" width="12.5703125" customWidth="1"/>
    <col min="12" max="12" width="12.5703125" bestFit="1" customWidth="1"/>
  </cols>
  <sheetData>
    <row r="1" spans="1:9" ht="18.75" x14ac:dyDescent="0.3">
      <c r="A1" s="152" t="s">
        <v>396</v>
      </c>
      <c r="B1" s="152"/>
      <c r="C1" s="153" t="s">
        <v>397</v>
      </c>
      <c r="D1" s="153"/>
      <c r="E1" s="152" t="s">
        <v>398</v>
      </c>
      <c r="F1" s="152"/>
      <c r="G1" s="138" t="s">
        <v>401</v>
      </c>
      <c r="H1" s="138"/>
    </row>
    <row r="2" spans="1:9" ht="33.75" x14ac:dyDescent="0.65">
      <c r="A2" s="154" t="s">
        <v>40</v>
      </c>
      <c r="B2" s="154"/>
      <c r="C2" s="154" t="s">
        <v>399</v>
      </c>
      <c r="D2" s="154"/>
      <c r="E2" s="155" t="s">
        <v>400</v>
      </c>
      <c r="F2" s="155"/>
      <c r="G2" s="156">
        <f ca="1">TODAY()</f>
        <v>44805</v>
      </c>
      <c r="H2" s="156"/>
    </row>
    <row r="3" spans="1:9" x14ac:dyDescent="0.25">
      <c r="A3" s="77"/>
      <c r="B3" s="16"/>
      <c r="C3" s="17"/>
      <c r="D3" s="3"/>
      <c r="G3" s="36"/>
    </row>
    <row r="4" spans="1:9" ht="43.5" customHeight="1" x14ac:dyDescent="0.25">
      <c r="A4" s="8"/>
      <c r="B4" s="10"/>
      <c r="C4" s="18"/>
      <c r="D4" s="11"/>
      <c r="E4" s="9"/>
      <c r="F4" s="12"/>
      <c r="H4" s="12"/>
      <c r="I4" s="12"/>
    </row>
    <row r="5" spans="1:9" x14ac:dyDescent="0.25">
      <c r="A5" s="77"/>
      <c r="B5" s="16"/>
      <c r="C5" s="17"/>
      <c r="D5" s="3"/>
    </row>
    <row r="6" spans="1:9" ht="15.75" thickBot="1" x14ac:dyDescent="0.3"/>
    <row r="7" spans="1:9" x14ac:dyDescent="0.25">
      <c r="A7" s="143" t="s">
        <v>411</v>
      </c>
      <c r="B7" s="61" t="s">
        <v>412</v>
      </c>
      <c r="C7" s="62" cm="1">
        <f t="array" aca="1" ref="C7" ca="1">SUMPRODUCT(($G$2&gt;seciiEcheance)+COUNT(seciiEtat="A régler"))</f>
        <v>3</v>
      </c>
      <c r="E7" s="146" t="s">
        <v>411</v>
      </c>
      <c r="F7" s="53" t="s">
        <v>412</v>
      </c>
      <c r="G7" s="87">
        <f ca="1">G21-C7</f>
        <v>0</v>
      </c>
    </row>
    <row r="8" spans="1:9" x14ac:dyDescent="0.25">
      <c r="A8" s="144"/>
      <c r="B8" s="63" t="s">
        <v>404</v>
      </c>
      <c r="C8" s="64" cm="1">
        <f t="array" aca="1" ref="C8" ca="1">SUMPRODUCT(($G$2&gt;seciiEcheance)*(seciiMontant))</f>
        <v>621999.24</v>
      </c>
      <c r="E8" s="147"/>
      <c r="F8" s="55" t="s">
        <v>404</v>
      </c>
      <c r="G8" s="56" cm="1">
        <f t="array" aca="1" ref="G8" ca="1">SUMPRODUCT(($G$2&lt;seciiEcheance)*(seciiMontant))</f>
        <v>0</v>
      </c>
    </row>
    <row r="9" spans="1:9" x14ac:dyDescent="0.25">
      <c r="A9" s="144"/>
      <c r="B9" s="65" t="s">
        <v>405</v>
      </c>
      <c r="C9" s="78">
        <f ca="1">(C8/118)*18</f>
        <v>94881.24</v>
      </c>
      <c r="E9" s="147"/>
      <c r="F9" s="57" t="s">
        <v>413</v>
      </c>
      <c r="G9" s="58">
        <f ca="1">(G8/118)*18</f>
        <v>0</v>
      </c>
    </row>
    <row r="10" spans="1:9" ht="15.75" thickBot="1" x14ac:dyDescent="0.3">
      <c r="A10" s="145"/>
      <c r="B10" s="91" t="s">
        <v>407</v>
      </c>
      <c r="C10" s="92" cm="1">
        <f t="array" aca="1" ref="C10" ca="1">SUMPRODUCT((($G$2)&gt;(seciiEcheance))+(seciiDate_val=""))/COUNTA(seciiNum_fact)</f>
        <v>1</v>
      </c>
      <c r="E10" s="148"/>
      <c r="F10" s="59" t="s">
        <v>406</v>
      </c>
      <c r="G10" s="60" cm="1">
        <f t="array" aca="1" ref="G10" ca="1">SUMPRODUCT((($G$2)&lt;(seciiEcheance))+(seciiDate_val=""))/COUNTA(seciiNum_fact)</f>
        <v>0</v>
      </c>
    </row>
    <row r="11" spans="1:9" ht="20.25" thickBot="1" x14ac:dyDescent="0.3">
      <c r="B11" s="43"/>
      <c r="C11" s="44"/>
      <c r="E11" s="42"/>
      <c r="F11" s="27"/>
      <c r="G11" s="27"/>
      <c r="H11" s="27"/>
    </row>
    <row r="12" spans="1:9" x14ac:dyDescent="0.25">
      <c r="A12" s="140" t="s">
        <v>410</v>
      </c>
      <c r="B12" s="66" t="s">
        <v>402</v>
      </c>
      <c r="C12" s="79">
        <v>44713</v>
      </c>
      <c r="E12" s="149" t="s">
        <v>410</v>
      </c>
      <c r="F12" s="71" t="s">
        <v>402</v>
      </c>
      <c r="G12" s="80">
        <v>44774</v>
      </c>
      <c r="H12" s="30"/>
    </row>
    <row r="13" spans="1:9" x14ac:dyDescent="0.25">
      <c r="A13" s="141"/>
      <c r="B13" s="45" t="s">
        <v>403</v>
      </c>
      <c r="C13" s="67" cm="1">
        <f t="array" aca="1" ref="C13" ca="1">SUMPRODUCT(((($G$2)&gt;(seciiEcheance)) )*(MONTH(seciiEcheance) = MONTH(C12)))</f>
        <v>0</v>
      </c>
      <c r="E13" s="150"/>
      <c r="F13" s="52" t="s">
        <v>403</v>
      </c>
      <c r="G13" s="86" cm="1">
        <f t="array" aca="1" ref="G13" ca="1">SUMPRODUCT(((($G$2)&lt;(seciiEcheance)) )*(MONTH(seciiEcheance) = MONTH(G12)))</f>
        <v>0</v>
      </c>
      <c r="H13" s="30"/>
    </row>
    <row r="14" spans="1:9" x14ac:dyDescent="0.25">
      <c r="A14" s="141"/>
      <c r="B14" s="46" t="s">
        <v>404</v>
      </c>
      <c r="C14" s="68" cm="1">
        <f t="array" aca="1" ref="C14" ca="1">SUMPRODUCT(((($G$2)&gt;(seciiEcheance)) )*(MONTH(seciiEcheance) = MONTH(C12))*(seciiMontant))</f>
        <v>0</v>
      </c>
      <c r="E14" s="150"/>
      <c r="F14" s="51" t="s">
        <v>404</v>
      </c>
      <c r="G14" s="73" cm="1">
        <f t="array" aca="1" ref="G14" ca="1">SUMPRODUCT(((($G$2)&lt;(seciiEcheance)) )*(MONTH(seciiEcheance) = MONTH(G12))*(seciiMontant))</f>
        <v>0</v>
      </c>
      <c r="H14" s="30"/>
    </row>
    <row r="15" spans="1:9" x14ac:dyDescent="0.25">
      <c r="A15" s="141"/>
      <c r="B15" s="45" t="s">
        <v>405</v>
      </c>
      <c r="C15" s="81">
        <f ca="1">(C14/118)*18</f>
        <v>0</v>
      </c>
      <c r="E15" s="150"/>
      <c r="F15" s="52" t="s">
        <v>405</v>
      </c>
      <c r="G15" s="74">
        <f ca="1">(G14/118)*18</f>
        <v>0</v>
      </c>
      <c r="H15" s="30"/>
    </row>
    <row r="16" spans="1:9" ht="15.75" thickBot="1" x14ac:dyDescent="0.3">
      <c r="A16" s="142"/>
      <c r="B16" s="69" t="s">
        <v>407</v>
      </c>
      <c r="C16" s="70" t="str" cm="1">
        <f t="array" aca="1" ref="C16" ca="1">IF(C13=0,"",SUMPRODUCT(((($G$2)&gt;(seciiEcheance)))*(MONTH(seciiEcheance)=MONTH(C12)))/SUMPRODUCT((MONTH(seciiEcheance)=MONTH(C12))*1))</f>
        <v/>
      </c>
      <c r="E16" s="151"/>
      <c r="F16" s="75" t="s">
        <v>406</v>
      </c>
      <c r="G16" s="76" t="str" cm="1">
        <f t="array" aca="1" ref="G16" ca="1">IF(G13=0,"",SUMPRODUCT(((($G$2)&lt;(seciiEcheance)))*(MONTH(seciiEcheance)=MONTH(G12)))/SUMPRODUCT((MONTH(seciiEcheance)=MONTH(G12))*1))</f>
        <v/>
      </c>
      <c r="H16" s="30"/>
    </row>
    <row r="17" spans="1:12" x14ac:dyDescent="0.25">
      <c r="C17" s="40"/>
      <c r="D17" s="41"/>
      <c r="F17" s="28"/>
      <c r="G17" s="29"/>
      <c r="H17" s="30"/>
    </row>
    <row r="18" spans="1:12" x14ac:dyDescent="0.25">
      <c r="C18" s="40"/>
      <c r="F18" s="28"/>
      <c r="G18" s="29"/>
      <c r="H18" s="30"/>
    </row>
    <row r="19" spans="1:12" ht="36" x14ac:dyDescent="0.25">
      <c r="F19" s="28"/>
      <c r="G19" s="29"/>
      <c r="H19" s="30"/>
      <c r="I19" s="31"/>
      <c r="J19" s="31"/>
      <c r="K19" s="31"/>
      <c r="L19" s="31"/>
    </row>
    <row r="20" spans="1:12" ht="36" x14ac:dyDescent="0.25">
      <c r="H20" s="31"/>
    </row>
    <row r="21" spans="1:12" ht="15" customHeight="1" x14ac:dyDescent="0.4">
      <c r="A21" s="139" t="s">
        <v>5</v>
      </c>
      <c r="B21" s="139"/>
      <c r="C21" s="139"/>
      <c r="D21" s="139"/>
      <c r="E21" s="139"/>
      <c r="F21" s="47" t="s">
        <v>408</v>
      </c>
      <c r="G21" s="48" cm="1">
        <f t="array" aca="1" ref="G21" ca="1">SUMPRODUCT((($G$2)&gt;(seciiEcheance))+(($G$2)&lt;(seciiEcheance)))</f>
        <v>3</v>
      </c>
      <c r="H21" s="31"/>
      <c r="I21" s="31"/>
      <c r="J21" s="31"/>
      <c r="K21" s="31"/>
    </row>
    <row r="22" spans="1:12" ht="15" customHeight="1" x14ac:dyDescent="0.25">
      <c r="A22" s="139"/>
      <c r="B22" s="139"/>
      <c r="C22" s="139"/>
      <c r="D22" s="139"/>
      <c r="E22" s="139"/>
      <c r="F22" s="49" t="s">
        <v>409</v>
      </c>
      <c r="G22" s="50" cm="1">
        <f t="array" aca="1" ref="G22" ca="1">SUMPRODUCT(((($G$2)&gt;(seciiEcheance)) + (($G$2)&lt;(seciiEcheance)))*(seciiMontant))</f>
        <v>621999.24</v>
      </c>
      <c r="H22" s="32"/>
    </row>
    <row r="23" spans="1:12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2" x14ac:dyDescent="0.25">
      <c r="A24" s="1" t="s">
        <v>0</v>
      </c>
      <c r="B24" s="4" t="s">
        <v>1</v>
      </c>
      <c r="C24" s="20" t="s">
        <v>2</v>
      </c>
      <c r="D24" s="6" t="s">
        <v>3</v>
      </c>
      <c r="E24" s="1" t="s">
        <v>4</v>
      </c>
      <c r="F24" s="13" t="s">
        <v>358</v>
      </c>
      <c r="G24" s="4" t="s">
        <v>10</v>
      </c>
      <c r="H24"/>
      <c r="I24"/>
    </row>
    <row r="25" spans="1:12" x14ac:dyDescent="0.25">
      <c r="A25" s="23" t="s">
        <v>76</v>
      </c>
      <c r="B25" s="23" t="s">
        <v>18</v>
      </c>
      <c r="C25" s="22" t="s">
        <v>77</v>
      </c>
      <c r="D25" s="5">
        <v>271999.44</v>
      </c>
      <c r="E25" s="21">
        <f>IF(seciitab[[#This Row],[N° Facture]]="","",EOMONTH(seciitab[[#This Row],[Date facture]],1))</f>
        <v>44773</v>
      </c>
      <c r="F25" s="14" t="str">
        <f ca="1">IF($G$2-seciitab[[#This Row],[Date échéance]]&lt;0,-1*($G$2-seciitab[[#This Row],[Date échéance]])&amp;" jrs d'avance",$G$2-seciitab[[#This Row],[Date échéance]]&amp;" jrs de retard")</f>
        <v>32 jrs de retard</v>
      </c>
      <c r="G25" s="15" t="str">
        <f ca="1">IF($G$2-seciitab[[#This Row],[Date échéance]]&gt;0,"A régler","En attente")</f>
        <v>A régler</v>
      </c>
      <c r="H25"/>
      <c r="I25"/>
    </row>
    <row r="26" spans="1:12" x14ac:dyDescent="0.25">
      <c r="A26" s="23" t="s">
        <v>74</v>
      </c>
      <c r="B26" s="23" t="s">
        <v>75</v>
      </c>
      <c r="C26" s="22" t="s">
        <v>73</v>
      </c>
      <c r="D26" s="5">
        <v>174999.9</v>
      </c>
      <c r="E26" s="21">
        <f>IF(seciitab[[#This Row],[N° Facture]]="","",EOMONTH(seciitab[[#This Row],[Date facture]],1))</f>
        <v>44773</v>
      </c>
      <c r="F26" s="14" t="str">
        <f ca="1">IF($G$2-seciitab[[#This Row],[Date échéance]]&lt;0,-1*($G$2-seciitab[[#This Row],[Date échéance]])&amp;" jrs d'avance",$G$2-seciitab[[#This Row],[Date échéance]]&amp;" jrs de retard")</f>
        <v>32 jrs de retard</v>
      </c>
      <c r="G26" s="15" t="str">
        <f ca="1">IF($G$2-seciitab[[#This Row],[Date échéance]]&gt;0,"A régler","En attente")</f>
        <v>A régler</v>
      </c>
      <c r="H26"/>
      <c r="I26"/>
    </row>
    <row r="27" spans="1:12" x14ac:dyDescent="0.25">
      <c r="A27" s="23" t="s">
        <v>71</v>
      </c>
      <c r="B27" s="23" t="s">
        <v>72</v>
      </c>
      <c r="C27" s="22" t="s">
        <v>73</v>
      </c>
      <c r="D27" s="5">
        <v>174999.9</v>
      </c>
      <c r="E27" s="21">
        <f>IF(seciitab[[#This Row],[N° Facture]]="","",EOMONTH(seciitab[[#This Row],[Date facture]],1))</f>
        <v>44804</v>
      </c>
      <c r="F27" s="14" t="str">
        <f ca="1">IF($G$2-seciitab[[#This Row],[Date échéance]]&lt;0,-1*($G$2-seciitab[[#This Row],[Date échéance]])&amp;" jrs d'avance",$G$2-seciitab[[#This Row],[Date échéance]]&amp;" jrs de retard")</f>
        <v>1 jrs de retard</v>
      </c>
      <c r="G27" s="15" t="str">
        <f ca="1">IF($G$2-seciitab[[#This Row],[Date échéance]]&gt;0,"A régler","En attente")</f>
        <v>A régler</v>
      </c>
      <c r="H27"/>
      <c r="I27"/>
    </row>
  </sheetData>
  <mergeCells count="13">
    <mergeCell ref="A7:A10"/>
    <mergeCell ref="E7:E10"/>
    <mergeCell ref="A12:A16"/>
    <mergeCell ref="E12:E16"/>
    <mergeCell ref="A21:E22"/>
    <mergeCell ref="A1:B1"/>
    <mergeCell ref="C1:D1"/>
    <mergeCell ref="E1:F1"/>
    <mergeCell ref="G1:H1"/>
    <mergeCell ref="A2:B2"/>
    <mergeCell ref="C2:D2"/>
    <mergeCell ref="E2:F2"/>
    <mergeCell ref="G2:H2"/>
  </mergeCells>
  <conditionalFormatting sqref="A25:G27">
    <cfRule type="expression" dxfId="10" priority="1">
      <formula>AND(MONTH($E25)=MONTH($D$9),OR($E25="",$G$2&gt;$E25))</formula>
    </cfRule>
    <cfRule type="expression" dxfId="9" priority="2">
      <formula>OR($E25="",$G$2&lt;$E25)</formula>
    </cfRule>
    <cfRule type="expression" dxfId="8" priority="3">
      <formula>OR($E25="",$G$2&gt;$E25)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FCF72D4-E0E1-4852-A5C2-ADD52FE26C14}">
          <x14:formula1>
            <xm:f>BDD!$C$3:$C$14</xm:f>
          </x14:formula1>
          <xm:sqref>C12 G12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67</vt:i4>
      </vt:variant>
    </vt:vector>
  </HeadingPairs>
  <TitlesOfParts>
    <vt:vector size="84" baseType="lpstr">
      <vt:lpstr>BDD</vt:lpstr>
      <vt:lpstr>FACTURES A REGLER</vt:lpstr>
      <vt:lpstr>FACTURES REGLEES</vt:lpstr>
      <vt:lpstr>BERNABE</vt:lpstr>
      <vt:lpstr>JADCI</vt:lpstr>
      <vt:lpstr>DMD</vt:lpstr>
      <vt:lpstr>UI</vt:lpstr>
      <vt:lpstr>SOTACI</vt:lpstr>
      <vt:lpstr>BIP</vt:lpstr>
      <vt:lpstr>NEUCE</vt:lpstr>
      <vt:lpstr>PPG</vt:lpstr>
      <vt:lpstr>SIMC</vt:lpstr>
      <vt:lpstr>SETR</vt:lpstr>
      <vt:lpstr>BATIPLUS</vt:lpstr>
      <vt:lpstr>DAMACI</vt:lpstr>
      <vt:lpstr>WLE</vt:lpstr>
      <vt:lpstr>SECII</vt:lpstr>
      <vt:lpstr>BATIPLUS!batiplusDate_val</vt:lpstr>
      <vt:lpstr>BATIPLUS!batiplusEcheance</vt:lpstr>
      <vt:lpstr>BATIPLUS!batiplusMontant</vt:lpstr>
      <vt:lpstr>BATIPLUS!batiplusNum_fact</vt:lpstr>
      <vt:lpstr>BIP!bipDate_val</vt:lpstr>
      <vt:lpstr>BIP!bipEcheance</vt:lpstr>
      <vt:lpstr>BIP!bipMontant</vt:lpstr>
      <vt:lpstr>BIP!bipNum_fact</vt:lpstr>
      <vt:lpstr>DAMACI!damaciDate_val</vt:lpstr>
      <vt:lpstr>DAMACI!damaciEcheance</vt:lpstr>
      <vt:lpstr>'FACTURES REGLEES'!damaciEtat</vt:lpstr>
      <vt:lpstr>damaciEtat</vt:lpstr>
      <vt:lpstr>DAMACI!damaciMontant</vt:lpstr>
      <vt:lpstr>DAMACI!damaciNum_fact</vt:lpstr>
      <vt:lpstr>Date_val</vt:lpstr>
      <vt:lpstr>'FACTURES REGLEES'!Delai</vt:lpstr>
      <vt:lpstr>Delai</vt:lpstr>
      <vt:lpstr>DMD!dmdDate_val</vt:lpstr>
      <vt:lpstr>DMD!dmdEcheance</vt:lpstr>
      <vt:lpstr>DMD!dmdMontant</vt:lpstr>
      <vt:lpstr>DMD!dmdNum_fact</vt:lpstr>
      <vt:lpstr>Echeance</vt:lpstr>
      <vt:lpstr>'FACTURES REGLEES'!etat</vt:lpstr>
      <vt:lpstr>etat</vt:lpstr>
      <vt:lpstr>JADCI!jadDate_val</vt:lpstr>
      <vt:lpstr>JADCI!jadEcheance</vt:lpstr>
      <vt:lpstr>JADCI!jadMontant</vt:lpstr>
      <vt:lpstr>JADCI!jadNum_fact</vt:lpstr>
      <vt:lpstr>listfourn</vt:lpstr>
      <vt:lpstr>Montant</vt:lpstr>
      <vt:lpstr>NEUCE!nDate_val</vt:lpstr>
      <vt:lpstr>NEUCE!nEcheance</vt:lpstr>
      <vt:lpstr>NEUCE!nMontant</vt:lpstr>
      <vt:lpstr>NEUCE!nNum_fact</vt:lpstr>
      <vt:lpstr>Num_fact</vt:lpstr>
      <vt:lpstr>PPG!ppgDate_val</vt:lpstr>
      <vt:lpstr>PPG!ppgEcheance</vt:lpstr>
      <vt:lpstr>PPG!ppgMontant</vt:lpstr>
      <vt:lpstr>PPG!ppgNum_fact</vt:lpstr>
      <vt:lpstr>SECII!seciiDate_val</vt:lpstr>
      <vt:lpstr>SECII!seciiEcheance</vt:lpstr>
      <vt:lpstr>'FACTURES REGLEES'!seciiEtat</vt:lpstr>
      <vt:lpstr>seciiEtat</vt:lpstr>
      <vt:lpstr>SECII!seciiMontant</vt:lpstr>
      <vt:lpstr>SECII!seciiNum_fact</vt:lpstr>
      <vt:lpstr>SETR!setrDate_val</vt:lpstr>
      <vt:lpstr>SETR!setrEcheance</vt:lpstr>
      <vt:lpstr>SETR!setrMontant</vt:lpstr>
      <vt:lpstr>SETR!setrNum_fact</vt:lpstr>
      <vt:lpstr>SIMC!simcDate_val</vt:lpstr>
      <vt:lpstr>SIMC!simcEcheance</vt:lpstr>
      <vt:lpstr>SIMC!simcMontant</vt:lpstr>
      <vt:lpstr>SIMC!simcNum_fact</vt:lpstr>
      <vt:lpstr>SOTACI!sotaciDate_val</vt:lpstr>
      <vt:lpstr>SOTACI!sotaciEcheance</vt:lpstr>
      <vt:lpstr>SOTACI!sotaciMontant</vt:lpstr>
      <vt:lpstr>SOTACI!sotaciNum_fact</vt:lpstr>
      <vt:lpstr>'FACTURES REGLEES'!source</vt:lpstr>
      <vt:lpstr>source</vt:lpstr>
      <vt:lpstr>UI!uiDate_val</vt:lpstr>
      <vt:lpstr>UI!uiEcheance</vt:lpstr>
      <vt:lpstr>UI!uiMontant</vt:lpstr>
      <vt:lpstr>UI!uiNum_fact</vt:lpstr>
      <vt:lpstr>WLE!wleDate_val</vt:lpstr>
      <vt:lpstr>WLE!wleEcheance</vt:lpstr>
      <vt:lpstr>WLE!wleMontant</vt:lpstr>
      <vt:lpstr>WLE!wleNum_fact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 AMON</dc:creator>
  <cp:lastModifiedBy>Davy AMON</cp:lastModifiedBy>
  <dcterms:created xsi:type="dcterms:W3CDTF">2022-07-28T14:41:47Z</dcterms:created>
  <dcterms:modified xsi:type="dcterms:W3CDTF">2022-09-01T13:08:40Z</dcterms:modified>
</cp:coreProperties>
</file>