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7" i="1" l="1"/>
  <c r="D8" i="1"/>
  <c r="C8" i="1"/>
  <c r="D7" i="1"/>
  <c r="C7" i="1"/>
  <c r="G20" i="1"/>
  <c r="B10" i="1" l="1"/>
  <c r="B9" i="1"/>
  <c r="F8" i="1"/>
  <c r="E8" i="1"/>
  <c r="F7" i="1"/>
  <c r="X6" i="1"/>
  <c r="W6" i="1"/>
  <c r="V6" i="1"/>
  <c r="U6" i="1"/>
  <c r="T6" i="1"/>
  <c r="S6" i="1"/>
  <c r="R6" i="1"/>
  <c r="Q6" i="1"/>
  <c r="P6" i="1"/>
  <c r="O6" i="1"/>
  <c r="N6" i="1"/>
  <c r="M6" i="1"/>
  <c r="F6" i="1"/>
  <c r="E6" i="1"/>
  <c r="E10" i="1" s="1"/>
  <c r="X5" i="1"/>
  <c r="W5" i="1"/>
  <c r="V5" i="1"/>
  <c r="U5" i="1"/>
  <c r="T5" i="1"/>
  <c r="S5" i="1"/>
  <c r="R5" i="1"/>
  <c r="Q5" i="1"/>
  <c r="P5" i="1"/>
  <c r="O5" i="1"/>
  <c r="N5" i="1"/>
  <c r="M5" i="1"/>
  <c r="F5" i="1"/>
  <c r="E5" i="1"/>
  <c r="X4" i="1"/>
  <c r="W4" i="1"/>
  <c r="V4" i="1"/>
  <c r="U4" i="1"/>
  <c r="T4" i="1"/>
  <c r="S4" i="1"/>
  <c r="R4" i="1"/>
  <c r="Q4" i="1"/>
  <c r="P4" i="1"/>
  <c r="O4" i="1"/>
  <c r="N4" i="1"/>
  <c r="F4" i="1"/>
  <c r="E4" i="1"/>
  <c r="F3" i="1"/>
  <c r="E3" i="1"/>
  <c r="F2" i="1"/>
  <c r="E2" i="1"/>
  <c r="E9" i="1" l="1"/>
  <c r="F10" i="1"/>
  <c r="F9" i="1"/>
</calcChain>
</file>

<file path=xl/comments1.xml><?xml version="1.0" encoding="utf-8"?>
<comments xmlns="http://schemas.openxmlformats.org/spreadsheetml/2006/main">
  <authors>
    <author>Palud Guenole</author>
  </authors>
  <commentList>
    <comment ref="H1" authorId="0" shapeId="0">
      <text>
        <r>
          <rPr>
            <b/>
            <sz val="9"/>
            <color indexed="81"/>
            <rFont val="Tahoma"/>
            <family val="2"/>
          </rPr>
          <t>Palud Guenole:</t>
        </r>
        <r>
          <rPr>
            <sz val="9"/>
            <color indexed="81"/>
            <rFont val="Tahoma"/>
            <family val="2"/>
          </rPr>
          <t xml:space="preserve">
Choisir ligne f(Matériau)
Choisir colonne-1  f(°C)
Choisir colonne-2 f(Ds/Di)
Choisir colonne-3 f(Tol-/Tol+)</t>
        </r>
      </text>
    </comment>
  </commentList>
</comments>
</file>

<file path=xl/sharedStrings.xml><?xml version="1.0" encoding="utf-8"?>
<sst xmlns="http://schemas.openxmlformats.org/spreadsheetml/2006/main" count="39" uniqueCount="22">
  <si>
    <t>Nominal</t>
  </si>
  <si>
    <t>Tol-</t>
  </si>
  <si>
    <t>Tol+</t>
  </si>
  <si>
    <t>Min Dim</t>
  </si>
  <si>
    <t>Max Dim</t>
  </si>
  <si>
    <t>Matériau</t>
  </si>
  <si>
    <t>Température</t>
  </si>
  <si>
    <t>ØAlésage</t>
  </si>
  <si>
    <t>X</t>
  </si>
  <si>
    <t>Øi</t>
  </si>
  <si>
    <t>Øs</t>
  </si>
  <si>
    <t>ØArbre</t>
  </si>
  <si>
    <t>ØGorge</t>
  </si>
  <si>
    <t>Largeur Gorge</t>
  </si>
  <si>
    <t>FKM</t>
  </si>
  <si>
    <t>R</t>
  </si>
  <si>
    <t>EPDM</t>
  </si>
  <si>
    <t>ØiJoint</t>
  </si>
  <si>
    <t>ØsJoint</t>
  </si>
  <si>
    <t>ØsCorrJoint</t>
  </si>
  <si>
    <t>Agorge</t>
  </si>
  <si>
    <r>
      <t xml:space="preserve">case a remplir en fonction du choix </t>
    </r>
    <r>
      <rPr>
        <b/>
        <sz val="13"/>
        <color rgb="FFFF0000"/>
        <rFont val="Verdana"/>
        <family val="2"/>
      </rPr>
      <t xml:space="preserve">matériaux </t>
    </r>
    <r>
      <rPr>
        <sz val="10"/>
        <color theme="1"/>
        <rFont val="Verdana"/>
        <family val="2"/>
      </rPr>
      <t xml:space="preserve">( X , FKM , EPDM) et </t>
    </r>
    <r>
      <rPr>
        <b/>
        <sz val="13"/>
        <color theme="7"/>
        <rFont val="Verdana"/>
        <family val="2"/>
      </rPr>
      <t>temperature</t>
    </r>
    <r>
      <rPr>
        <sz val="10"/>
        <color theme="1"/>
        <rFont val="Verdana"/>
        <family val="2"/>
      </rPr>
      <t xml:space="preserve"> ( -30 , 23 , 120)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</si>
</sst>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theme="1"/>
      <name val="Verdana"/>
      <family val="2"/>
    </font>
    <font>
      <b/>
      <sz val="10"/>
      <color theme="1"/>
      <name val="Verdana"/>
      <family val="2"/>
    </font>
    <font>
      <sz val="10"/>
      <color rgb="FF000000"/>
      <name val="Verdana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3"/>
      <color rgb="FFFF0000"/>
      <name val="Verdana"/>
      <family val="2"/>
    </font>
    <font>
      <b/>
      <sz val="13"/>
      <color theme="7"/>
      <name val="Verdana"/>
      <family val="2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0" xfId="0" applyAlignment="1">
      <alignment horizontal="center"/>
    </xf>
    <xf numFmtId="0" fontId="1" fillId="2" borderId="6" xfId="0" applyFont="1" applyFill="1" applyBorder="1"/>
    <xf numFmtId="2" fontId="0" fillId="0" borderId="7" xfId="0" applyNumberFormat="1" applyBorder="1" applyAlignment="1">
      <alignment horizontal="right"/>
    </xf>
    <xf numFmtId="0" fontId="0" fillId="0" borderId="8" xfId="0" applyBorder="1"/>
    <xf numFmtId="0" fontId="0" fillId="0" borderId="9" xfId="0" applyBorder="1"/>
    <xf numFmtId="2" fontId="0" fillId="6" borderId="10" xfId="0" applyNumberFormat="1" applyFill="1" applyBorder="1"/>
    <xf numFmtId="2" fontId="0" fillId="6" borderId="9" xfId="0" applyNumberFormat="1" applyFill="1" applyBorder="1"/>
    <xf numFmtId="0" fontId="0" fillId="0" borderId="11" xfId="0" quotePrefix="1" applyBorder="1"/>
    <xf numFmtId="0" fontId="0" fillId="0" borderId="11" xfId="0" applyBorder="1"/>
    <xf numFmtId="0" fontId="1" fillId="2" borderId="12" xfId="0" applyFont="1" applyFill="1" applyBorder="1"/>
    <xf numFmtId="2" fontId="0" fillId="0" borderId="13" xfId="0" applyNumberFormat="1" applyBorder="1" applyAlignment="1">
      <alignment horizontal="right"/>
    </xf>
    <xf numFmtId="0" fontId="0" fillId="0" borderId="14" xfId="0" applyBorder="1"/>
    <xf numFmtId="0" fontId="0" fillId="0" borderId="15" xfId="0" applyBorder="1"/>
    <xf numFmtId="2" fontId="0" fillId="6" borderId="16" xfId="0" applyNumberFormat="1" applyFill="1" applyBorder="1"/>
    <xf numFmtId="2" fontId="0" fillId="6" borderId="15" xfId="0" applyNumberFormat="1" applyFill="1" applyBorder="1"/>
    <xf numFmtId="0" fontId="0" fillId="9" borderId="7" xfId="0" applyFill="1" applyBorder="1" applyAlignment="1">
      <alignment horizontal="center"/>
    </xf>
    <xf numFmtId="0" fontId="0" fillId="10" borderId="7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0" fontId="0" fillId="10" borderId="6" xfId="0" applyFill="1" applyBorder="1" applyAlignment="1">
      <alignment horizontal="center"/>
    </xf>
    <xf numFmtId="0" fontId="0" fillId="10" borderId="18" xfId="0" applyFill="1" applyBorder="1" applyAlignment="1">
      <alignment horizontal="center"/>
    </xf>
    <xf numFmtId="0" fontId="0" fillId="11" borderId="7" xfId="0" quotePrefix="1" applyFill="1" applyBorder="1" applyAlignment="1">
      <alignment horizontal="center"/>
    </xf>
    <xf numFmtId="2" fontId="2" fillId="0" borderId="13" xfId="0" applyNumberFormat="1" applyFont="1" applyBorder="1" applyAlignment="1">
      <alignment horizontal="center" vertical="center" readingOrder="1"/>
    </xf>
    <xf numFmtId="2" fontId="0" fillId="0" borderId="13" xfId="0" applyNumberFormat="1" applyBorder="1" applyAlignment="1">
      <alignment horizontal="center" vertical="center" readingOrder="1"/>
    </xf>
    <xf numFmtId="2" fontId="2" fillId="0" borderId="12" xfId="0" applyNumberFormat="1" applyFont="1" applyBorder="1" applyAlignment="1">
      <alignment horizontal="center" vertical="center" wrapText="1" readingOrder="1"/>
    </xf>
    <xf numFmtId="2" fontId="2" fillId="0" borderId="7" xfId="0" applyNumberFormat="1" applyFont="1" applyBorder="1" applyAlignment="1">
      <alignment horizontal="center" vertical="center" readingOrder="1"/>
    </xf>
    <xf numFmtId="2" fontId="2" fillId="0" borderId="19" xfId="0" applyNumberFormat="1" applyFont="1" applyBorder="1" applyAlignment="1">
      <alignment horizontal="center" vertical="center" readingOrder="1"/>
    </xf>
    <xf numFmtId="2" fontId="0" fillId="0" borderId="12" xfId="0" applyNumberFormat="1" applyBorder="1" applyAlignment="1">
      <alignment horizontal="center" vertical="center" wrapText="1" readingOrder="1"/>
    </xf>
    <xf numFmtId="2" fontId="0" fillId="0" borderId="13" xfId="0" applyNumberFormat="1" applyBorder="1" applyAlignment="1">
      <alignment horizontal="center" wrapText="1" readingOrder="1"/>
    </xf>
    <xf numFmtId="0" fontId="0" fillId="12" borderId="20" xfId="0" applyFill="1" applyBorder="1" applyAlignment="1">
      <alignment horizontal="center"/>
    </xf>
    <xf numFmtId="2" fontId="0" fillId="0" borderId="13" xfId="0" applyNumberFormat="1" applyBorder="1" applyAlignment="1">
      <alignment horizontal="center" vertical="center" wrapText="1"/>
    </xf>
    <xf numFmtId="2" fontId="2" fillId="0" borderId="13" xfId="0" applyNumberFormat="1" applyFont="1" applyBorder="1" applyAlignment="1">
      <alignment horizontal="center" vertical="center" wrapText="1" readingOrder="1"/>
    </xf>
    <xf numFmtId="2" fontId="0" fillId="0" borderId="12" xfId="0" applyNumberFormat="1" applyBorder="1" applyAlignment="1">
      <alignment horizontal="center" vertical="center" wrapText="1"/>
    </xf>
    <xf numFmtId="0" fontId="0" fillId="13" borderId="21" xfId="0" applyFill="1" applyBorder="1" applyAlignment="1">
      <alignment horizontal="center"/>
    </xf>
    <xf numFmtId="2" fontId="2" fillId="0" borderId="21" xfId="0" applyNumberFormat="1" applyFont="1" applyBorder="1" applyAlignment="1">
      <alignment horizontal="center" vertical="center" readingOrder="1"/>
    </xf>
    <xf numFmtId="0" fontId="2" fillId="0" borderId="21" xfId="0" applyFont="1" applyBorder="1" applyAlignment="1">
      <alignment horizontal="center" vertical="center" readingOrder="1"/>
    </xf>
    <xf numFmtId="2" fontId="2" fillId="0" borderId="22" xfId="0" applyNumberFormat="1" applyFont="1" applyBorder="1" applyAlignment="1">
      <alignment horizontal="center" vertical="center" readingOrder="1"/>
    </xf>
    <xf numFmtId="2" fontId="2" fillId="0" borderId="21" xfId="0" applyNumberFormat="1" applyFont="1" applyBorder="1" applyAlignment="1">
      <alignment horizontal="center" vertical="center" wrapText="1" readingOrder="1"/>
    </xf>
    <xf numFmtId="2" fontId="2" fillId="0" borderId="23" xfId="0" applyNumberFormat="1" applyFont="1" applyBorder="1" applyAlignment="1">
      <alignment horizontal="center" vertical="center" readingOrder="1"/>
    </xf>
    <xf numFmtId="0" fontId="0" fillId="0" borderId="0" xfId="0" quotePrefix="1"/>
    <xf numFmtId="0" fontId="1" fillId="2" borderId="22" xfId="0" applyFont="1" applyFill="1" applyBorder="1"/>
    <xf numFmtId="2" fontId="0" fillId="0" borderId="21" xfId="0" applyNumberFormat="1" applyBorder="1" applyAlignment="1">
      <alignment horizontal="right"/>
    </xf>
    <xf numFmtId="2" fontId="0" fillId="6" borderId="25" xfId="0" applyNumberFormat="1" applyFill="1" applyBorder="1" applyAlignment="1">
      <alignment horizontal="right"/>
    </xf>
    <xf numFmtId="2" fontId="0" fillId="6" borderId="24" xfId="0" applyNumberFormat="1" applyFill="1" applyBorder="1" applyAlignment="1">
      <alignment horizontal="right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800100</xdr:colOff>
      <xdr:row>7</xdr:row>
      <xdr:rowOff>133350</xdr:rowOff>
    </xdr:from>
    <xdr:to>
      <xdr:col>5</xdr:col>
      <xdr:colOff>133351</xdr:colOff>
      <xdr:row>16</xdr:row>
      <xdr:rowOff>114300</xdr:rowOff>
    </xdr:to>
    <xdr:cxnSp macro="">
      <xdr:nvCxnSpPr>
        <xdr:cNvPr id="3" name="Connecteur droit avec flèche 2"/>
        <xdr:cNvCxnSpPr/>
      </xdr:nvCxnSpPr>
      <xdr:spPr>
        <a:xfrm flipH="1" flipV="1">
          <a:off x="2476500" y="1304925"/>
          <a:ext cx="1847851" cy="1457325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133350</xdr:colOff>
      <xdr:row>4</xdr:row>
      <xdr:rowOff>57150</xdr:rowOff>
    </xdr:from>
    <xdr:to>
      <xdr:col>11</xdr:col>
      <xdr:colOff>0</xdr:colOff>
      <xdr:row>16</xdr:row>
      <xdr:rowOff>85725</xdr:rowOff>
    </xdr:to>
    <xdr:cxnSp macro="">
      <xdr:nvCxnSpPr>
        <xdr:cNvPr id="9" name="Connecteur droit avec flèche 8"/>
        <xdr:cNvCxnSpPr/>
      </xdr:nvCxnSpPr>
      <xdr:spPr>
        <a:xfrm flipV="1">
          <a:off x="6838950" y="733425"/>
          <a:ext cx="2381250" cy="2000250"/>
        </a:xfrm>
        <a:prstGeom prst="straightConnector1">
          <a:avLst/>
        </a:prstGeom>
        <a:ln>
          <a:tailEnd type="arrow"/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10</xdr:col>
      <xdr:colOff>457200</xdr:colOff>
      <xdr:row>0</xdr:row>
      <xdr:rowOff>123825</xdr:rowOff>
    </xdr:from>
    <xdr:to>
      <xdr:col>13</xdr:col>
      <xdr:colOff>123825</xdr:colOff>
      <xdr:row>16</xdr:row>
      <xdr:rowOff>66675</xdr:rowOff>
    </xdr:to>
    <xdr:cxnSp macro="">
      <xdr:nvCxnSpPr>
        <xdr:cNvPr id="13" name="Connecteur droit avec flèche 12"/>
        <xdr:cNvCxnSpPr/>
      </xdr:nvCxnSpPr>
      <xdr:spPr>
        <a:xfrm flipV="1">
          <a:off x="8839200" y="123825"/>
          <a:ext cx="2181225" cy="2590800"/>
        </a:xfrm>
        <a:prstGeom prst="straightConnector1">
          <a:avLst/>
        </a:prstGeom>
        <a:ln>
          <a:tailEnd type="arrow"/>
        </a:ln>
      </xdr:spPr>
      <xdr:style>
        <a:lnRef idx="3">
          <a:schemeClr val="accent1"/>
        </a:lnRef>
        <a:fillRef idx="0">
          <a:schemeClr val="accent1"/>
        </a:fillRef>
        <a:effectRef idx="2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20"/>
  <sheetViews>
    <sheetView tabSelected="1" workbookViewId="0">
      <selection activeCell="C7" sqref="C7"/>
    </sheetView>
  </sheetViews>
  <sheetFormatPr defaultColWidth="10.90625" defaultRowHeight="12.6" x14ac:dyDescent="0.2"/>
  <sheetData>
    <row r="1" spans="1:24" ht="13.2" thickBot="1" x14ac:dyDescent="0.25">
      <c r="B1" s="1" t="s">
        <v>0</v>
      </c>
      <c r="C1" s="2" t="s">
        <v>1</v>
      </c>
      <c r="D1" s="2" t="s">
        <v>2</v>
      </c>
      <c r="E1" s="2" t="s">
        <v>3</v>
      </c>
      <c r="F1" s="3" t="s">
        <v>4</v>
      </c>
      <c r="H1" s="4" t="s">
        <v>5</v>
      </c>
      <c r="I1" s="4" t="s">
        <v>6</v>
      </c>
      <c r="L1" s="5"/>
      <c r="M1" s="52">
        <v>-30</v>
      </c>
      <c r="N1" s="53"/>
      <c r="O1" s="54">
        <v>-30</v>
      </c>
      <c r="P1" s="53"/>
      <c r="Q1" s="55">
        <v>23</v>
      </c>
      <c r="R1" s="56"/>
      <c r="S1" s="57">
        <v>23</v>
      </c>
      <c r="T1" s="56"/>
      <c r="U1" s="58">
        <v>120</v>
      </c>
      <c r="V1" s="59"/>
      <c r="W1" s="60">
        <v>120</v>
      </c>
      <c r="X1" s="59"/>
    </row>
    <row r="2" spans="1:24" ht="13.2" thickBot="1" x14ac:dyDescent="0.25">
      <c r="A2" s="6" t="s">
        <v>7</v>
      </c>
      <c r="B2" s="7">
        <v>45</v>
      </c>
      <c r="C2" s="8">
        <v>-0.1</v>
      </c>
      <c r="D2" s="9">
        <v>0.1</v>
      </c>
      <c r="E2" s="10">
        <f>B2+C2</f>
        <v>44.9</v>
      </c>
      <c r="F2" s="11">
        <f>B2+D2</f>
        <v>45.1</v>
      </c>
      <c r="H2" s="12" t="s">
        <v>8</v>
      </c>
      <c r="I2" s="13">
        <v>-30</v>
      </c>
      <c r="L2" s="5"/>
      <c r="M2" s="48" t="s">
        <v>9</v>
      </c>
      <c r="N2" s="49"/>
      <c r="O2" s="50" t="s">
        <v>10</v>
      </c>
      <c r="P2" s="51"/>
      <c r="Q2" s="48" t="s">
        <v>9</v>
      </c>
      <c r="R2" s="49"/>
      <c r="S2" s="50" t="s">
        <v>10</v>
      </c>
      <c r="T2" s="51"/>
      <c r="U2" s="48" t="s">
        <v>9</v>
      </c>
      <c r="V2" s="49"/>
      <c r="W2" s="50" t="s">
        <v>10</v>
      </c>
      <c r="X2" s="51"/>
    </row>
    <row r="3" spans="1:24" ht="13.2" thickBot="1" x14ac:dyDescent="0.25">
      <c r="A3" s="14" t="s">
        <v>11</v>
      </c>
      <c r="B3" s="15">
        <v>44</v>
      </c>
      <c r="C3" s="16">
        <v>-0.25</v>
      </c>
      <c r="D3" s="17">
        <v>-0.2</v>
      </c>
      <c r="E3" s="18">
        <f t="shared" ref="E3:E8" si="0">B3+C3</f>
        <v>43.75</v>
      </c>
      <c r="F3" s="19">
        <f t="shared" ref="F3:F8" si="1">B3+D3</f>
        <v>43.8</v>
      </c>
      <c r="L3" s="5"/>
      <c r="M3" s="20" t="s">
        <v>1</v>
      </c>
      <c r="N3" s="21" t="s">
        <v>2</v>
      </c>
      <c r="O3" s="20" t="s">
        <v>1</v>
      </c>
      <c r="P3" s="22" t="s">
        <v>2</v>
      </c>
      <c r="Q3" s="20" t="s">
        <v>1</v>
      </c>
      <c r="R3" s="21" t="s">
        <v>2</v>
      </c>
      <c r="S3" s="20" t="s">
        <v>1</v>
      </c>
      <c r="T3" s="23" t="s">
        <v>2</v>
      </c>
      <c r="U3" s="20" t="s">
        <v>1</v>
      </c>
      <c r="V3" s="24" t="s">
        <v>2</v>
      </c>
      <c r="W3" s="20" t="s">
        <v>1</v>
      </c>
      <c r="X3" s="21" t="s">
        <v>2</v>
      </c>
    </row>
    <row r="4" spans="1:24" x14ac:dyDescent="0.2">
      <c r="A4" s="14" t="s">
        <v>12</v>
      </c>
      <c r="B4" s="15">
        <v>42.5</v>
      </c>
      <c r="C4" s="16">
        <v>-0.5</v>
      </c>
      <c r="D4" s="17">
        <v>0.5</v>
      </c>
      <c r="E4" s="18">
        <f t="shared" si="0"/>
        <v>42</v>
      </c>
      <c r="F4" s="19">
        <f t="shared" si="1"/>
        <v>43</v>
      </c>
      <c r="L4" s="25" t="s">
        <v>8</v>
      </c>
      <c r="M4" s="26">
        <v>1</v>
      </c>
      <c r="N4" s="27">
        <f>0.0069*B7+0.1321</f>
        <v>0.4219</v>
      </c>
      <c r="O4" s="28">
        <f>-0.0153*B8-0.0487</f>
        <v>-9.7659999999999997E-2</v>
      </c>
      <c r="P4" s="29">
        <f>0.0153*B8+0.0487</f>
        <v>9.7659999999999997E-2</v>
      </c>
      <c r="Q4" s="30">
        <f>-0.0067*B7-0.1463</f>
        <v>-0.42769999999999997</v>
      </c>
      <c r="R4" s="26">
        <f>0.0069*B7+0.1321</f>
        <v>0.4219</v>
      </c>
      <c r="S4" s="26">
        <f>-0.0153*B8-0.0487</f>
        <v>-9.7659999999999997E-2</v>
      </c>
      <c r="T4" s="31">
        <f>0.0153*B8+0.0487</f>
        <v>9.7659999999999997E-2</v>
      </c>
      <c r="U4" s="26">
        <f>-0.0067*B7-0.1463</f>
        <v>-0.42769999999999997</v>
      </c>
      <c r="V4" s="30">
        <f>0.0069*B7+0.1321</f>
        <v>0.4219</v>
      </c>
      <c r="W4" s="32">
        <f>-0.0153*B8-0.0487</f>
        <v>-9.7659999999999997E-2</v>
      </c>
      <c r="X4" s="26">
        <f>0.0153*B8+0.0487</f>
        <v>9.7659999999999997E-2</v>
      </c>
    </row>
    <row r="5" spans="1:24" x14ac:dyDescent="0.2">
      <c r="A5" s="14" t="s">
        <v>13</v>
      </c>
      <c r="B5" s="15">
        <v>3.15</v>
      </c>
      <c r="C5" s="16">
        <v>0</v>
      </c>
      <c r="D5" s="17">
        <v>0</v>
      </c>
      <c r="E5" s="18">
        <f t="shared" si="0"/>
        <v>3.15</v>
      </c>
      <c r="F5" s="19">
        <f t="shared" si="1"/>
        <v>3.15</v>
      </c>
      <c r="L5" s="33" t="s">
        <v>14</v>
      </c>
      <c r="M5" s="34">
        <f>(-0.02*B7)-0.1305</f>
        <v>-0.97049999999999992</v>
      </c>
      <c r="N5" s="35">
        <f>(-0.0065*B7)+0.1305</f>
        <v>-0.14249999999999996</v>
      </c>
      <c r="O5" s="36">
        <f>-0.0284*B8-0.0481</f>
        <v>-0.13898000000000002</v>
      </c>
      <c r="P5" s="26">
        <f>0.0019*B8+0.048</f>
        <v>5.4080000000000003E-2</v>
      </c>
      <c r="Q5" s="30">
        <f>-0.0069*B7-0.1321</f>
        <v>-0.4219</v>
      </c>
      <c r="R5" s="34">
        <f>0.0069*B7+0.1312</f>
        <v>0.42100000000000004</v>
      </c>
      <c r="S5" s="34">
        <f>-0.0153*B8-0.0487</f>
        <v>-9.7659999999999997E-2</v>
      </c>
      <c r="T5" s="36">
        <f>0.0153*B8+0.0487</f>
        <v>9.7659999999999997E-2</v>
      </c>
      <c r="U5" s="26">
        <f>0.0172*B7-0.1354</f>
        <v>0.58700000000000008</v>
      </c>
      <c r="V5" s="30">
        <f>0.0313*B7+0.1353</f>
        <v>1.4499</v>
      </c>
      <c r="W5" s="34">
        <f>0.0085*B8-0.0495</f>
        <v>-2.23E-2</v>
      </c>
      <c r="X5" s="34">
        <f>0.04*B8+0.0495</f>
        <v>0.17749999999999999</v>
      </c>
    </row>
    <row r="6" spans="1:24" ht="13.2" thickBot="1" x14ac:dyDescent="0.25">
      <c r="A6" s="14" t="s">
        <v>15</v>
      </c>
      <c r="B6" s="15">
        <v>0.4</v>
      </c>
      <c r="C6" s="16">
        <v>0</v>
      </c>
      <c r="D6" s="17">
        <v>0</v>
      </c>
      <c r="E6" s="18">
        <f t="shared" si="0"/>
        <v>0.4</v>
      </c>
      <c r="F6" s="19">
        <f t="shared" si="1"/>
        <v>0.4</v>
      </c>
      <c r="L6" s="37" t="s">
        <v>16</v>
      </c>
      <c r="M6" s="38">
        <f>-0.0161*B7-0.1308</f>
        <v>-0.80700000000000005</v>
      </c>
      <c r="N6" s="39">
        <f>-0.0025*B7+0.131</f>
        <v>2.6000000000000009E-2</v>
      </c>
      <c r="O6" s="40">
        <f>-0.0245*B8-0.0483</f>
        <v>-0.12670000000000001</v>
      </c>
      <c r="P6" s="41">
        <f>0.0059*B8+0.0482</f>
        <v>6.7080000000000001E-2</v>
      </c>
      <c r="Q6" s="42">
        <f>-0.0069*B7-0.1321</f>
        <v>-0.4219</v>
      </c>
      <c r="R6" s="38">
        <f>0.0069*B7+0.1321</f>
        <v>0.4219</v>
      </c>
      <c r="S6" s="38">
        <f>-0.0153*B8-0.0487</f>
        <v>-9.7659999999999997E-2</v>
      </c>
      <c r="T6" s="40">
        <f>0.0115*B8+0.0607</f>
        <v>9.7500000000000003E-2</v>
      </c>
      <c r="U6" s="38">
        <f>0.01*B7-0.1343</f>
        <v>0.28569999999999995</v>
      </c>
      <c r="V6" s="42">
        <f>0.0239*B7+0.1344</f>
        <v>1.1382000000000001</v>
      </c>
      <c r="W6" s="38">
        <f>0.0013*B8-0.0492</f>
        <v>-4.5040000000000004E-2</v>
      </c>
      <c r="X6" s="38">
        <f>0.0326*B8+0.0493</f>
        <v>0.15361999999999998</v>
      </c>
    </row>
    <row r="7" spans="1:24" x14ac:dyDescent="0.2">
      <c r="A7" s="14" t="s">
        <v>17</v>
      </c>
      <c r="B7" s="15">
        <v>42</v>
      </c>
      <c r="C7">
        <f>VLOOKUP($H$2,$L$4:X6,MATCH($I$2,$M$1:$X$1,0)+1,0)</f>
        <v>1</v>
      </c>
      <c r="D7">
        <f>VLOOKUP($H$2,$L$4:Y6,MATCH($I$2,$M$1:$X$1,0)+2,0)</f>
        <v>0.4219</v>
      </c>
      <c r="E7" s="18">
        <f>B7+C7</f>
        <v>43</v>
      </c>
      <c r="F7" s="19">
        <f t="shared" si="1"/>
        <v>42.421900000000001</v>
      </c>
      <c r="G7" s="43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</row>
    <row r="8" spans="1:24" x14ac:dyDescent="0.2">
      <c r="A8" s="14" t="s">
        <v>18</v>
      </c>
      <c r="B8" s="15">
        <v>3.2</v>
      </c>
      <c r="C8">
        <f>VLOOKUP($H$2,$L$4:X7,MATCH($I$2,$M$1:$X$1,0)+3,0)</f>
        <v>-9.7659999999999997E-2</v>
      </c>
      <c r="D8">
        <f>VLOOKUP($H$2,$L$4:Y7,MATCH($I$2,$M$1:$X$1,0)+4,0)</f>
        <v>9.7659999999999997E-2</v>
      </c>
      <c r="E8" s="18">
        <f t="shared" si="0"/>
        <v>3.1023400000000003</v>
      </c>
      <c r="F8" s="19">
        <f t="shared" si="1"/>
        <v>3.29766</v>
      </c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</row>
    <row r="9" spans="1:24" x14ac:dyDescent="0.2">
      <c r="A9" s="14" t="s">
        <v>19</v>
      </c>
      <c r="B9" s="15">
        <f>B8*SQRT(B7/B3)</f>
        <v>3.1264269469388624</v>
      </c>
      <c r="C9" s="61"/>
      <c r="D9" s="61"/>
      <c r="E9" s="18">
        <f>E8*SQRT(E7/F4)</f>
        <v>3.1023400000000003</v>
      </c>
      <c r="F9" s="19">
        <f>F8*SQRT(F7/E4)</f>
        <v>3.3141815029964343</v>
      </c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</row>
    <row r="10" spans="1:24" ht="13.2" thickBot="1" x14ac:dyDescent="0.25">
      <c r="A10" s="44" t="s">
        <v>20</v>
      </c>
      <c r="B10" s="45">
        <f>(2*(B6*(B12-B6)))+(0.5*(PI()*(B6^2)))+((B5-2*B6))*B12</f>
        <v>-6.8672587712816591E-2</v>
      </c>
      <c r="C10" s="61"/>
      <c r="D10" s="61"/>
      <c r="E10" s="46">
        <f>(2*(E6*(C12-E6)))+(0.5*(PI()*(E6^2)))+((E5-2*E6))*C12</f>
        <v>-6.8672587712816591E-2</v>
      </c>
      <c r="F10" s="47">
        <f>(2*(F6*(D12-F6)))+(0.5*(PI()*(F6^2)))+((F5-2*F6))*D12</f>
        <v>-6.8672587712816591E-2</v>
      </c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</row>
    <row r="17" spans="6:7" ht="16.2" x14ac:dyDescent="0.25">
      <c r="F17" t="s">
        <v>21</v>
      </c>
    </row>
    <row r="20" spans="6:7" x14ac:dyDescent="0.2">
      <c r="G20">
        <f>MATCH(I2,M1:X1,0)</f>
        <v>1</v>
      </c>
    </row>
  </sheetData>
  <mergeCells count="13">
    <mergeCell ref="C9:D10"/>
    <mergeCell ref="M2:N2"/>
    <mergeCell ref="O2:P2"/>
    <mergeCell ref="Q2:R2"/>
    <mergeCell ref="S2:T2"/>
    <mergeCell ref="U2:V2"/>
    <mergeCell ref="W2:X2"/>
    <mergeCell ref="M1:N1"/>
    <mergeCell ref="O1:P1"/>
    <mergeCell ref="Q1:R1"/>
    <mergeCell ref="S1:T1"/>
    <mergeCell ref="U1:V1"/>
    <mergeCell ref="W1:X1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defaultColWidth="10.90625" defaultRowHeight="12.6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defaultColWidth="10.90625" defaultRowHeight="12.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WILO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Elfassi Youssef</dc:creator>
  <cp:lastModifiedBy>Eric De Schrevel</cp:lastModifiedBy>
  <dcterms:created xsi:type="dcterms:W3CDTF">2013-10-07T07:51:59Z</dcterms:created>
  <dcterms:modified xsi:type="dcterms:W3CDTF">2013-10-07T09:01:03Z</dcterms:modified>
</cp:coreProperties>
</file>