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3020"/>
  </bookViews>
  <sheets>
    <sheet name="Feuil1" sheetId="1" r:id="rId1"/>
  </sheets>
  <definedNames>
    <definedName name="_∆T" localSheetId="0">Feuil1!$C$11</definedName>
    <definedName name="A" localSheetId="0">Feuil1!$T$35</definedName>
    <definedName name="L_h" localSheetId="0">Feuil1!$C$13</definedName>
    <definedName name="n" localSheetId="0">Feuil1!$C$12</definedName>
    <definedName name="p_∆T_50" localSheetId="0">Feuil1!$C$10</definedName>
    <definedName name="Ta" localSheetId="0">Feuil1!$C$5</definedName>
    <definedName name="Te" localSheetId="0">Feuil1!$C$6</definedName>
    <definedName name="Tex" localSheetId="0">Feuil1!$C$4</definedName>
  </definedName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9" i="1" l="1"/>
  <c r="O39" i="1"/>
  <c r="H39" i="1"/>
  <c r="G39" i="1"/>
  <c r="K39" i="1"/>
  <c r="N39" i="1"/>
  <c r="P39" i="1"/>
  <c r="J39" i="1"/>
  <c r="M39" i="1"/>
  <c r="L39" i="1"/>
  <c r="I39" i="1"/>
  <c r="E38" i="1"/>
  <c r="O38" i="1"/>
  <c r="H38" i="1"/>
  <c r="G38" i="1"/>
  <c r="K38" i="1"/>
  <c r="N38" i="1"/>
  <c r="P38" i="1"/>
  <c r="J38" i="1"/>
  <c r="M38" i="1"/>
  <c r="L38" i="1"/>
  <c r="I38" i="1"/>
  <c r="E37" i="1"/>
  <c r="O37" i="1"/>
  <c r="H37" i="1"/>
  <c r="G37" i="1"/>
  <c r="K37" i="1"/>
  <c r="N37" i="1"/>
  <c r="P37" i="1"/>
  <c r="J37" i="1"/>
  <c r="M37" i="1"/>
  <c r="L37" i="1"/>
  <c r="I37" i="1"/>
  <c r="E36" i="1"/>
  <c r="O36" i="1"/>
  <c r="H36" i="1"/>
  <c r="G36" i="1"/>
  <c r="K36" i="1"/>
  <c r="N36" i="1"/>
  <c r="P36" i="1"/>
  <c r="J36" i="1"/>
  <c r="M36" i="1"/>
  <c r="L36" i="1"/>
  <c r="I36" i="1"/>
  <c r="E35" i="1"/>
  <c r="O35" i="1"/>
  <c r="H35" i="1"/>
  <c r="G35" i="1"/>
  <c r="K35" i="1"/>
  <c r="N35" i="1"/>
  <c r="P35" i="1"/>
  <c r="J35" i="1"/>
  <c r="M35" i="1"/>
  <c r="L35" i="1"/>
  <c r="I35" i="1"/>
  <c r="E34" i="1"/>
  <c r="O34" i="1"/>
  <c r="H34" i="1"/>
  <c r="G34" i="1"/>
  <c r="K34" i="1"/>
  <c r="N34" i="1"/>
  <c r="P34" i="1"/>
  <c r="J34" i="1"/>
  <c r="M34" i="1"/>
  <c r="L34" i="1"/>
  <c r="I34" i="1"/>
  <c r="E33" i="1"/>
  <c r="O33" i="1"/>
  <c r="H33" i="1"/>
  <c r="G33" i="1"/>
  <c r="K33" i="1"/>
  <c r="N33" i="1"/>
  <c r="P33" i="1"/>
  <c r="J33" i="1"/>
  <c r="M33" i="1"/>
  <c r="L33" i="1"/>
  <c r="I33" i="1"/>
  <c r="E32" i="1"/>
  <c r="O32" i="1"/>
  <c r="H32" i="1"/>
  <c r="G32" i="1"/>
  <c r="K32" i="1"/>
  <c r="N32" i="1"/>
  <c r="P32" i="1"/>
  <c r="J32" i="1"/>
  <c r="M32" i="1"/>
  <c r="L32" i="1"/>
  <c r="I32" i="1"/>
  <c r="E31" i="1"/>
  <c r="O31" i="1"/>
  <c r="H31" i="1"/>
  <c r="G31" i="1"/>
  <c r="K31" i="1"/>
  <c r="N31" i="1"/>
  <c r="P31" i="1"/>
  <c r="J31" i="1"/>
  <c r="M31" i="1"/>
  <c r="L31" i="1"/>
  <c r="I31" i="1"/>
  <c r="E30" i="1"/>
  <c r="O30" i="1"/>
  <c r="H30" i="1"/>
  <c r="G30" i="1"/>
  <c r="K30" i="1"/>
  <c r="N30" i="1"/>
  <c r="P30" i="1"/>
  <c r="J30" i="1"/>
  <c r="M30" i="1"/>
  <c r="L30" i="1"/>
  <c r="I30" i="1"/>
  <c r="E29" i="1"/>
  <c r="O29" i="1"/>
  <c r="H29" i="1"/>
  <c r="G29" i="1"/>
  <c r="K29" i="1"/>
  <c r="N29" i="1"/>
  <c r="P29" i="1"/>
  <c r="J29" i="1"/>
  <c r="M29" i="1"/>
  <c r="L29" i="1"/>
  <c r="I29" i="1"/>
  <c r="E28" i="1"/>
  <c r="O28" i="1"/>
  <c r="H28" i="1"/>
  <c r="G28" i="1"/>
  <c r="K28" i="1"/>
  <c r="N28" i="1"/>
  <c r="P28" i="1"/>
  <c r="J28" i="1"/>
  <c r="M28" i="1"/>
  <c r="L28" i="1"/>
  <c r="I28" i="1"/>
  <c r="E27" i="1"/>
  <c r="O27" i="1"/>
  <c r="H27" i="1"/>
  <c r="G27" i="1"/>
  <c r="K27" i="1"/>
  <c r="N27" i="1"/>
  <c r="P27" i="1"/>
  <c r="J27" i="1"/>
  <c r="M27" i="1"/>
  <c r="L27" i="1"/>
  <c r="I27" i="1"/>
  <c r="E26" i="1"/>
  <c r="O26" i="1"/>
  <c r="H26" i="1"/>
  <c r="G26" i="1"/>
  <c r="K26" i="1"/>
  <c r="N26" i="1"/>
  <c r="P26" i="1"/>
  <c r="J26" i="1"/>
  <c r="M26" i="1"/>
  <c r="L26" i="1"/>
  <c r="I26" i="1"/>
  <c r="E25" i="1"/>
  <c r="O25" i="1"/>
  <c r="H25" i="1"/>
  <c r="G25" i="1"/>
  <c r="K25" i="1"/>
  <c r="N25" i="1"/>
  <c r="P25" i="1"/>
  <c r="J25" i="1"/>
  <c r="M25" i="1"/>
  <c r="L25" i="1"/>
  <c r="I25" i="1"/>
  <c r="E24" i="1"/>
  <c r="O24" i="1"/>
  <c r="H24" i="1"/>
  <c r="G24" i="1"/>
  <c r="K24" i="1"/>
  <c r="N24" i="1"/>
  <c r="P24" i="1"/>
  <c r="J24" i="1"/>
  <c r="M24" i="1"/>
  <c r="L24" i="1"/>
  <c r="I24" i="1"/>
  <c r="E23" i="1"/>
  <c r="O23" i="1"/>
  <c r="H23" i="1"/>
  <c r="G23" i="1"/>
  <c r="K23" i="1"/>
  <c r="N23" i="1"/>
  <c r="P23" i="1"/>
  <c r="J23" i="1"/>
  <c r="M23" i="1"/>
  <c r="L23" i="1"/>
  <c r="I23" i="1"/>
  <c r="E22" i="1"/>
  <c r="O22" i="1"/>
  <c r="H22" i="1"/>
  <c r="G22" i="1"/>
  <c r="K22" i="1"/>
  <c r="N22" i="1"/>
  <c r="P22" i="1"/>
  <c r="J22" i="1"/>
  <c r="M22" i="1"/>
  <c r="L22" i="1"/>
  <c r="I22" i="1"/>
  <c r="E21" i="1"/>
  <c r="O21" i="1"/>
  <c r="H21" i="1"/>
  <c r="G21" i="1"/>
  <c r="K21" i="1"/>
  <c r="N21" i="1"/>
  <c r="P21" i="1"/>
  <c r="J21" i="1"/>
  <c r="M21" i="1"/>
  <c r="L21" i="1"/>
  <c r="I21" i="1"/>
  <c r="E20" i="1"/>
  <c r="O20" i="1"/>
  <c r="H20" i="1"/>
  <c r="G20" i="1"/>
  <c r="K20" i="1"/>
  <c r="N20" i="1"/>
  <c r="P20" i="1"/>
  <c r="J20" i="1"/>
  <c r="M20" i="1"/>
  <c r="L20" i="1"/>
  <c r="I20" i="1"/>
  <c r="E19" i="1"/>
  <c r="O19" i="1"/>
  <c r="H19" i="1"/>
  <c r="G19" i="1"/>
  <c r="K19" i="1"/>
  <c r="N19" i="1"/>
  <c r="P19" i="1"/>
  <c r="J19" i="1"/>
  <c r="M19" i="1"/>
  <c r="L19" i="1"/>
  <c r="I19" i="1"/>
  <c r="E18" i="1"/>
  <c r="O18" i="1"/>
  <c r="H18" i="1"/>
  <c r="G18" i="1"/>
  <c r="K18" i="1"/>
  <c r="N18" i="1"/>
  <c r="P18" i="1"/>
  <c r="J18" i="1"/>
  <c r="M18" i="1"/>
  <c r="L18" i="1"/>
  <c r="I18" i="1"/>
  <c r="E17" i="1"/>
  <c r="O17" i="1"/>
  <c r="H17" i="1"/>
  <c r="G17" i="1"/>
  <c r="K17" i="1"/>
  <c r="N17" i="1"/>
  <c r="P17" i="1"/>
  <c r="J17" i="1"/>
  <c r="M17" i="1"/>
  <c r="L17" i="1"/>
  <c r="I17" i="1"/>
  <c r="E16" i="1"/>
  <c r="O16" i="1"/>
  <c r="H16" i="1"/>
  <c r="G16" i="1"/>
  <c r="K16" i="1"/>
  <c r="N16" i="1"/>
  <c r="P16" i="1"/>
  <c r="J16" i="1"/>
  <c r="M16" i="1"/>
  <c r="L16" i="1"/>
  <c r="I16" i="1"/>
  <c r="E15" i="1"/>
  <c r="O15" i="1"/>
  <c r="H15" i="1"/>
  <c r="G15" i="1"/>
  <c r="K15" i="1"/>
  <c r="N15" i="1"/>
  <c r="P15" i="1"/>
  <c r="J15" i="1"/>
  <c r="M15" i="1"/>
  <c r="L15" i="1"/>
  <c r="I15" i="1"/>
  <c r="E14" i="1"/>
  <c r="O14" i="1"/>
  <c r="H14" i="1"/>
  <c r="G14" i="1"/>
  <c r="K14" i="1"/>
  <c r="N14" i="1"/>
  <c r="P14" i="1"/>
  <c r="J14" i="1"/>
  <c r="M14" i="1"/>
  <c r="L14" i="1"/>
  <c r="I14" i="1"/>
  <c r="E13" i="1"/>
  <c r="O13" i="1"/>
  <c r="H13" i="1"/>
  <c r="G13" i="1"/>
  <c r="K13" i="1"/>
  <c r="N13" i="1"/>
  <c r="P13" i="1"/>
  <c r="J13" i="1"/>
  <c r="M13" i="1"/>
  <c r="L13" i="1"/>
  <c r="I13" i="1"/>
  <c r="E12" i="1"/>
  <c r="O12" i="1"/>
  <c r="H12" i="1"/>
  <c r="G12" i="1"/>
  <c r="K12" i="1"/>
  <c r="N12" i="1"/>
  <c r="P12" i="1"/>
  <c r="J12" i="1"/>
  <c r="M12" i="1"/>
  <c r="L12" i="1"/>
  <c r="I12" i="1"/>
  <c r="E11" i="1"/>
  <c r="O11" i="1"/>
  <c r="H11" i="1"/>
  <c r="G11" i="1"/>
  <c r="K11" i="1"/>
  <c r="N11" i="1"/>
  <c r="P11" i="1"/>
  <c r="J11" i="1"/>
  <c r="M11" i="1"/>
  <c r="L11" i="1"/>
  <c r="I11" i="1"/>
  <c r="E10" i="1"/>
  <c r="K9" i="1"/>
  <c r="N9" i="1"/>
  <c r="O9" i="1"/>
  <c r="C13" i="1"/>
  <c r="I9" i="1"/>
  <c r="I10" i="1"/>
  <c r="E9" i="1"/>
  <c r="F9" i="1"/>
  <c r="H9" i="1"/>
  <c r="G9" i="1"/>
  <c r="K10" i="1"/>
  <c r="L9" i="1"/>
  <c r="J9" i="1"/>
  <c r="M9" i="1"/>
  <c r="O10" i="1"/>
  <c r="H10" i="1"/>
  <c r="G10" i="1"/>
  <c r="N10" i="1"/>
  <c r="P10" i="1"/>
  <c r="J10" i="1"/>
  <c r="M10" i="1"/>
  <c r="L10" i="1"/>
</calcChain>
</file>

<file path=xl/sharedStrings.xml><?xml version="1.0" encoding="utf-8"?>
<sst xmlns="http://schemas.openxmlformats.org/spreadsheetml/2006/main" count="22" uniqueCount="19">
  <si>
    <t>Tex</t>
  </si>
  <si>
    <t>Ta</t>
  </si>
  <si>
    <t xml:space="preserve">Te </t>
  </si>
  <si>
    <r>
      <t>p_</t>
    </r>
    <r>
      <rPr>
        <b/>
        <sz val="9"/>
        <color indexed="10"/>
        <rFont val="Book Antiqua"/>
        <family val="1"/>
      </rPr>
      <t>∆</t>
    </r>
    <r>
      <rPr>
        <b/>
        <sz val="9"/>
        <color indexed="10"/>
        <rFont val="Arial"/>
        <family val="2"/>
      </rPr>
      <t>T_50</t>
    </r>
  </si>
  <si>
    <t>_∆T</t>
  </si>
  <si>
    <t>n</t>
  </si>
  <si>
    <t>Ts</t>
  </si>
  <si>
    <t>Tm</t>
  </si>
  <si>
    <t>L_h</t>
  </si>
  <si>
    <t>Coeff</t>
  </si>
  <si>
    <t>1er Résultat suivant données</t>
  </si>
  <si>
    <t>Pc'</t>
  </si>
  <si>
    <t>1ère ligne de calcul</t>
  </si>
  <si>
    <t>Te</t>
  </si>
  <si>
    <t>ta</t>
  </si>
  <si>
    <r>
      <rPr>
        <sz val="8"/>
        <color indexed="12"/>
        <rFont val="Book Antiqua"/>
        <family val="1"/>
      </rPr>
      <t>∆</t>
    </r>
    <r>
      <rPr>
        <sz val="8"/>
        <color indexed="12"/>
        <rFont val="Arial"/>
        <family val="2"/>
      </rPr>
      <t>T Tm_Ta</t>
    </r>
  </si>
  <si>
    <t>k</t>
  </si>
  <si>
    <t>Pc</t>
  </si>
  <si>
    <t>incrément négatif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</si>
</sst>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13" x14ac:knownFonts="1">
    <font>
      <sz val="12"/>
      <color theme="1"/>
      <name val="Calibri"/>
      <family val="2"/>
      <scheme val="minor"/>
    </font>
    <font>
      <b/>
      <sz val="9"/>
      <color indexed="10"/>
      <name val="Arial"/>
      <family val="2"/>
    </font>
    <font>
      <b/>
      <i/>
      <sz val="14"/>
      <color theme="8" tint="-0.249977111117893"/>
      <name val="Calibri"/>
      <family val="2"/>
      <scheme val="minor"/>
    </font>
    <font>
      <sz val="9"/>
      <name val="Arial"/>
      <family val="2"/>
    </font>
    <font>
      <b/>
      <sz val="9"/>
      <color indexed="10"/>
      <name val="Book Antiqua"/>
      <family val="1"/>
    </font>
    <font>
      <sz val="10"/>
      <color indexed="12"/>
      <name val="Arial"/>
      <family val="2"/>
    </font>
    <font>
      <b/>
      <sz val="14"/>
      <color indexed="10"/>
      <name val="Arial"/>
      <family val="2"/>
    </font>
    <font>
      <b/>
      <sz val="11"/>
      <color indexed="12"/>
      <name val="Arial"/>
      <family val="2"/>
    </font>
    <font>
      <sz val="14"/>
      <name val="Arial"/>
      <family val="2"/>
    </font>
    <font>
      <sz val="8"/>
      <color indexed="12"/>
      <name val="Arial"/>
      <family val="2"/>
    </font>
    <font>
      <sz val="8"/>
      <color indexed="12"/>
      <name val="Arial"/>
      <family val="1"/>
    </font>
    <font>
      <sz val="8"/>
      <color indexed="12"/>
      <name val="Book Antiqua"/>
      <family val="1"/>
    </font>
    <font>
      <sz val="12"/>
      <color rgb="FF000000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gray0625"/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4.9989318521683403E-2"/>
        <bgColor indexed="64"/>
      </patternFill>
    </fill>
  </fills>
  <borders count="11">
    <border>
      <left/>
      <right/>
      <top/>
      <bottom/>
      <diagonal/>
    </border>
    <border>
      <left style="medium">
        <color indexed="12"/>
      </left>
      <right style="medium">
        <color indexed="12"/>
      </right>
      <top style="medium">
        <color indexed="12"/>
      </top>
      <bottom style="medium">
        <color indexed="12"/>
      </bottom>
      <diagonal/>
    </border>
    <border>
      <left style="medium">
        <color indexed="10"/>
      </left>
      <right style="medium">
        <color indexed="10"/>
      </right>
      <top style="medium">
        <color indexed="10"/>
      </top>
      <bottom style="medium">
        <color indexed="1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theme="9"/>
      </left>
      <right style="medium">
        <color theme="9"/>
      </right>
      <top style="medium">
        <color theme="9"/>
      </top>
      <bottom style="medium">
        <color theme="9"/>
      </bottom>
      <diagonal/>
    </border>
    <border>
      <left/>
      <right/>
      <top style="medium">
        <color theme="9"/>
      </top>
      <bottom/>
      <diagonal/>
    </border>
    <border>
      <left/>
      <right/>
      <top style="medium">
        <color indexed="12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3" borderId="2" xfId="0" applyFont="1" applyFill="1" applyBorder="1"/>
    <xf numFmtId="0" fontId="3" fillId="0" borderId="0" xfId="0" applyFont="1"/>
    <xf numFmtId="0" fontId="6" fillId="5" borderId="3" xfId="0" applyFont="1" applyFill="1" applyBorder="1" applyProtection="1">
      <protection locked="0"/>
    </xf>
    <xf numFmtId="0" fontId="5" fillId="0" borderId="0" xfId="0" applyFont="1" applyBorder="1"/>
    <xf numFmtId="0" fontId="7" fillId="4" borderId="4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9" fillId="4" borderId="4" xfId="0" applyFont="1" applyFill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164" fontId="0" fillId="9" borderId="5" xfId="0" applyNumberFormat="1" applyFill="1" applyBorder="1"/>
    <xf numFmtId="1" fontId="0" fillId="9" borderId="5" xfId="0" applyNumberFormat="1" applyFill="1" applyBorder="1"/>
    <xf numFmtId="0" fontId="7" fillId="4" borderId="7" xfId="0" applyFont="1" applyFill="1" applyBorder="1" applyAlignment="1">
      <alignment horizontal="center" vertical="center"/>
    </xf>
    <xf numFmtId="0" fontId="8" fillId="8" borderId="6" xfId="0" quotePrefix="1" applyFont="1" applyFill="1" applyBorder="1" applyAlignment="1">
      <alignment vertical="center"/>
    </xf>
    <xf numFmtId="164" fontId="0" fillId="6" borderId="6" xfId="0" applyNumberFormat="1" applyFill="1" applyBorder="1"/>
    <xf numFmtId="1" fontId="0" fillId="6" borderId="6" xfId="0" applyNumberFormat="1" applyFill="1" applyBorder="1"/>
    <xf numFmtId="0" fontId="0" fillId="0" borderId="8" xfId="0" applyBorder="1"/>
    <xf numFmtId="4" fontId="0" fillId="6" borderId="5" xfId="0" quotePrefix="1" applyNumberFormat="1" applyFill="1" applyBorder="1"/>
    <xf numFmtId="164" fontId="0" fillId="6" borderId="5" xfId="0" applyNumberFormat="1" applyFill="1" applyBorder="1"/>
    <xf numFmtId="164" fontId="7" fillId="7" borderId="5" xfId="0" quotePrefix="1" applyNumberFormat="1" applyFont="1" applyFill="1" applyBorder="1"/>
    <xf numFmtId="164" fontId="7" fillId="7" borderId="6" xfId="0" quotePrefix="1" applyNumberFormat="1" applyFont="1" applyFill="1" applyBorder="1"/>
    <xf numFmtId="164" fontId="0" fillId="6" borderId="5" xfId="0" quotePrefix="1" applyNumberFormat="1" applyFill="1" applyBorder="1"/>
    <xf numFmtId="164" fontId="0" fillId="6" borderId="6" xfId="0" quotePrefix="1" applyNumberFormat="1" applyFill="1" applyBorder="1"/>
    <xf numFmtId="165" fontId="2" fillId="3" borderId="2" xfId="0" applyNumberFormat="1" applyFont="1" applyFill="1" applyBorder="1"/>
    <xf numFmtId="165" fontId="2" fillId="3" borderId="9" xfId="0" applyNumberFormat="1" applyFont="1" applyFill="1" applyBorder="1" applyAlignment="1">
      <alignment horizontal="left" vertical="center"/>
    </xf>
    <xf numFmtId="165" fontId="2" fillId="3" borderId="0" xfId="0" applyNumberFormat="1" applyFont="1" applyFill="1" applyBorder="1" applyAlignment="1">
      <alignment horizontal="left" vertical="center"/>
    </xf>
    <xf numFmtId="0" fontId="1" fillId="2" borderId="10" xfId="0" applyFont="1" applyFill="1" applyBorder="1" applyAlignment="1">
      <alignment horizontal="center" wrapText="1"/>
    </xf>
    <xf numFmtId="0" fontId="1" fillId="2" borderId="0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619125</xdr:colOff>
          <xdr:row>2</xdr:row>
          <xdr:rowOff>200025</xdr:rowOff>
        </xdr:from>
        <xdr:to>
          <xdr:col>16</xdr:col>
          <xdr:colOff>571500</xdr:colOff>
          <xdr:row>4</xdr:row>
          <xdr:rowOff>238125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Calcul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B3:Q39"/>
  <sheetViews>
    <sheetView tabSelected="1" workbookViewId="0">
      <selection activeCell="C6" sqref="C6"/>
    </sheetView>
  </sheetViews>
  <sheetFormatPr defaultColWidth="11" defaultRowHeight="15.75" x14ac:dyDescent="0.25"/>
  <cols>
    <col min="2" max="2" width="8.5" customWidth="1"/>
    <col min="3" max="3" width="8.25" customWidth="1"/>
    <col min="4" max="4" width="2.375" customWidth="1"/>
    <col min="5" max="5" width="6.75" customWidth="1"/>
    <col min="6" max="6" width="8.125" customWidth="1"/>
    <col min="7" max="7" width="6.625" customWidth="1"/>
    <col min="8" max="8" width="6.375" bestFit="1" customWidth="1"/>
    <col min="9" max="9" width="5.375" bestFit="1" customWidth="1"/>
    <col min="10" max="10" width="6.375" bestFit="1" customWidth="1"/>
    <col min="11" max="11" width="2.875" bestFit="1" customWidth="1"/>
    <col min="12" max="12" width="6.625" customWidth="1"/>
    <col min="13" max="14" width="7.375" bestFit="1" customWidth="1"/>
    <col min="15" max="15" width="9.375" bestFit="1" customWidth="1"/>
    <col min="16" max="16" width="8.375" customWidth="1"/>
  </cols>
  <sheetData>
    <row r="3" spans="2:17" ht="16.5" thickBot="1" x14ac:dyDescent="0.3"/>
    <row r="4" spans="2:17" ht="19.5" thickBot="1" x14ac:dyDescent="0.35">
      <c r="B4" s="1" t="s">
        <v>0</v>
      </c>
      <c r="C4" s="2">
        <v>-10</v>
      </c>
    </row>
    <row r="5" spans="2:17" ht="19.5" thickBot="1" x14ac:dyDescent="0.35">
      <c r="B5" s="1" t="s">
        <v>1</v>
      </c>
      <c r="C5" s="2">
        <v>20</v>
      </c>
    </row>
    <row r="6" spans="2:17" ht="19.5" thickBot="1" x14ac:dyDescent="0.35">
      <c r="B6" s="1" t="s">
        <v>2</v>
      </c>
      <c r="C6" s="2">
        <v>58</v>
      </c>
    </row>
    <row r="8" spans="2:17" x14ac:dyDescent="0.25">
      <c r="B8" s="3"/>
      <c r="E8" s="6" t="s">
        <v>0</v>
      </c>
      <c r="F8" s="7" t="s">
        <v>13</v>
      </c>
      <c r="G8" s="6" t="s">
        <v>6</v>
      </c>
      <c r="H8" s="7" t="s">
        <v>4</v>
      </c>
      <c r="I8" s="6" t="s">
        <v>8</v>
      </c>
      <c r="J8" s="6" t="s">
        <v>7</v>
      </c>
      <c r="K8" s="7" t="s">
        <v>14</v>
      </c>
      <c r="L8" s="8" t="s">
        <v>9</v>
      </c>
      <c r="M8" s="9" t="s">
        <v>15</v>
      </c>
      <c r="N8" s="6" t="s">
        <v>16</v>
      </c>
      <c r="O8" s="6" t="s">
        <v>17</v>
      </c>
    </row>
    <row r="9" spans="2:17" ht="18.75" thickBot="1" x14ac:dyDescent="0.3">
      <c r="B9" s="3"/>
      <c r="E9" s="4">
        <f>Tex</f>
        <v>-10</v>
      </c>
      <c r="F9" s="18">
        <f>Te</f>
        <v>58</v>
      </c>
      <c r="G9" s="18">
        <f t="shared" ref="G9:G10" si="0">F9-H9</f>
        <v>40</v>
      </c>
      <c r="H9" s="10">
        <f>_∆T</f>
        <v>18</v>
      </c>
      <c r="I9" s="10">
        <f>L_h</f>
        <v>26.570480326593824</v>
      </c>
      <c r="J9" s="18">
        <f t="shared" ref="J9:J10" si="1">(F9+G9)/2</f>
        <v>49</v>
      </c>
      <c r="K9" s="11">
        <f t="shared" ref="K9:K39" si="2">Ta</f>
        <v>20</v>
      </c>
      <c r="L9" s="18">
        <f t="shared" ref="L9:L10" si="3">IF(E9=Ta,"",(G9-K9)/(F9-K9))</f>
        <v>0.52631578947368418</v>
      </c>
      <c r="M9" s="18">
        <f t="shared" ref="M9:M10" si="4">J9-K9</f>
        <v>29</v>
      </c>
      <c r="N9" s="21">
        <f t="shared" ref="N9:N10" si="5">IF(((G9-K9)/(F9-K9))&gt;0.7,((F9+G9)/2)-K9,((F9-G9)/(LN((F9-K9)/(G9-K9)))))</f>
        <v>28.043765703968027</v>
      </c>
      <c r="O9" s="19">
        <f>C10*((N9/50)^(n))</f>
        <v>556.12633241708011</v>
      </c>
      <c r="P9" s="12" t="s">
        <v>11</v>
      </c>
      <c r="Q9" t="s">
        <v>10</v>
      </c>
    </row>
    <row r="10" spans="2:17" ht="19.5" thickBot="1" x14ac:dyDescent="0.35">
      <c r="B10" s="1" t="s">
        <v>3</v>
      </c>
      <c r="C10" s="2">
        <v>1200</v>
      </c>
      <c r="E10" s="13">
        <f t="shared" ref="E10:E39" si="6">IF(E9=Ta,Ta,IF(E9+1=Ta,Ta,IF(E9="","",IF(E9+1&lt;Ta,(E9+1),""))))</f>
        <v>-9</v>
      </c>
      <c r="F10" s="18">
        <v>56.950000000000209</v>
      </c>
      <c r="G10" s="14">
        <f t="shared" si="0"/>
        <v>39.55000000000021</v>
      </c>
      <c r="H10" s="14">
        <f t="shared" ref="H10" si="7">(O10*0.86)/L_h</f>
        <v>17.400000000000002</v>
      </c>
      <c r="I10" s="14">
        <f t="shared" ref="I10:I39" si="8">I9</f>
        <v>26.570480326593824</v>
      </c>
      <c r="J10" s="14">
        <f t="shared" si="1"/>
        <v>48.250000000000213</v>
      </c>
      <c r="K10" s="15">
        <f t="shared" si="2"/>
        <v>20</v>
      </c>
      <c r="L10" s="14">
        <f t="shared" si="3"/>
        <v>0.52909336941813534</v>
      </c>
      <c r="M10" s="14">
        <f t="shared" si="4"/>
        <v>28.250000000000213</v>
      </c>
      <c r="N10" s="22">
        <f t="shared" si="5"/>
        <v>27.333118857914886</v>
      </c>
      <c r="O10" s="20">
        <f t="shared" ref="O10" si="9">IF(E10="","",$O$9/($E$9-Ta)*(E10-Ta))</f>
        <v>537.58878800317746</v>
      </c>
      <c r="P10" s="20">
        <f t="shared" ref="P10" si="10">ROUND(p_∆T_50*((N10/50)^(n)),1)</f>
        <v>537.5</v>
      </c>
      <c r="Q10" s="5" t="s">
        <v>12</v>
      </c>
    </row>
    <row r="11" spans="2:17" ht="19.5" thickBot="1" x14ac:dyDescent="0.35">
      <c r="B11" s="1" t="s">
        <v>4</v>
      </c>
      <c r="C11" s="2">
        <v>18</v>
      </c>
      <c r="E11" s="13">
        <f t="shared" si="6"/>
        <v>-8</v>
      </c>
      <c r="F11" s="18">
        <v>55.900000000000418</v>
      </c>
      <c r="G11" s="14">
        <f t="shared" ref="G11" si="11">F11-H11</f>
        <v>39.100000000000421</v>
      </c>
      <c r="H11" s="14">
        <f t="shared" ref="H11" si="12">(O11*0.86)/L_h</f>
        <v>16.8</v>
      </c>
      <c r="I11" s="14">
        <f t="shared" si="8"/>
        <v>26.570480326593824</v>
      </c>
      <c r="J11" s="14">
        <f t="shared" ref="J11" si="13">(F11+G11)/2</f>
        <v>47.500000000000419</v>
      </c>
      <c r="K11" s="15">
        <f t="shared" si="2"/>
        <v>20</v>
      </c>
      <c r="L11" s="14">
        <f t="shared" ref="L11" si="14">IF(E11=Ta,"",(G11-K11)/(F11-K11))</f>
        <v>0.53203342618384952</v>
      </c>
      <c r="M11" s="14">
        <f t="shared" ref="M11" si="15">J11-K11</f>
        <v>27.500000000000419</v>
      </c>
      <c r="N11" s="22">
        <f t="shared" ref="N11" si="16">IF(((G11-K11)/(F11-K11))&gt;0.7,((F11+G11)/2)-K11,((F11-G11)/(LN((F11-K11)/(G11-K11)))))</f>
        <v>26.622340029278465</v>
      </c>
      <c r="O11" s="20">
        <f t="shared" ref="O11" si="17">IF(E11="","",$O$9/($E$9-Ta)*(E11-Ta))</f>
        <v>519.05124358927469</v>
      </c>
      <c r="P11" s="20">
        <f t="shared" ref="P11" si="18">ROUND(p_∆T_50*((N11/50)^(n)),1)</f>
        <v>519</v>
      </c>
    </row>
    <row r="12" spans="2:17" ht="19.5" thickBot="1" x14ac:dyDescent="0.35">
      <c r="B12" s="1" t="s">
        <v>5</v>
      </c>
      <c r="C12" s="23">
        <v>1.33</v>
      </c>
      <c r="E12" s="13">
        <f t="shared" si="6"/>
        <v>-7</v>
      </c>
      <c r="F12" s="18">
        <v>54.850000000000627</v>
      </c>
      <c r="G12" s="14">
        <f t="shared" ref="G12" si="19">F12-H12</f>
        <v>38.650000000000631</v>
      </c>
      <c r="H12" s="14">
        <f t="shared" ref="H12" si="20">(O12*0.86)/L_h</f>
        <v>16.2</v>
      </c>
      <c r="I12" s="14">
        <f t="shared" si="8"/>
        <v>26.570480326593824</v>
      </c>
      <c r="J12" s="14">
        <f t="shared" ref="J12" si="21">(F12+G12)/2</f>
        <v>46.750000000000625</v>
      </c>
      <c r="K12" s="15">
        <f t="shared" si="2"/>
        <v>20</v>
      </c>
      <c r="L12" s="14">
        <f t="shared" ref="L12" si="22">IF(E12=Ta,"",(G12-K12)/(F12-K12))</f>
        <v>0.53515064562411174</v>
      </c>
      <c r="M12" s="14">
        <f t="shared" ref="M12" si="23">J12-K12</f>
        <v>26.750000000000625</v>
      </c>
      <c r="N12" s="22">
        <f t="shared" ref="N12" si="24">IF(((G12-K12)/(F12-K12))&gt;0.7,((F12+G12)/2)-K12,((F12-G12)/(LN((F12-K12)/(G12-K12)))))</f>
        <v>25.911418506477204</v>
      </c>
      <c r="O12" s="20">
        <f t="shared" ref="O12" si="25">IF(E12="","",$O$9/($E$9-Ta)*(E12-Ta))</f>
        <v>500.51369917537204</v>
      </c>
      <c r="P12" s="20">
        <f t="shared" ref="P12" si="26">ROUND(p_∆T_50*((N12/50)^(n)),1)</f>
        <v>500.6</v>
      </c>
    </row>
    <row r="13" spans="2:17" ht="18.75" thickBot="1" x14ac:dyDescent="0.3">
      <c r="B13" s="1" t="s">
        <v>8</v>
      </c>
      <c r="C13" s="17">
        <f>($O$9*0.86)/_∆T</f>
        <v>26.570480326593824</v>
      </c>
      <c r="E13" s="13">
        <f t="shared" si="6"/>
        <v>-6</v>
      </c>
      <c r="F13" s="18">
        <v>53.78000000000084</v>
      </c>
      <c r="G13" s="14">
        <f t="shared" ref="G13" si="27">F13-H13</f>
        <v>38.180000000000838</v>
      </c>
      <c r="H13" s="14">
        <f t="shared" ref="H13" si="28">(O13*0.86)/L_h</f>
        <v>15.600000000000001</v>
      </c>
      <c r="I13" s="14">
        <f t="shared" si="8"/>
        <v>26.570480326593824</v>
      </c>
      <c r="J13" s="14">
        <f t="shared" ref="J13" si="29">(F13+G13)/2</f>
        <v>45.980000000000842</v>
      </c>
      <c r="K13" s="15">
        <f t="shared" si="2"/>
        <v>20</v>
      </c>
      <c r="L13" s="14">
        <f t="shared" ref="L13" si="30">IF(E13=Ta,"",(G13-K13)/(F13-K13))</f>
        <v>0.5381882770870452</v>
      </c>
      <c r="M13" s="14">
        <f t="shared" ref="M13" si="31">J13-K13</f>
        <v>25.980000000000842</v>
      </c>
      <c r="N13" s="22">
        <f t="shared" ref="N13" si="32">IF(((G13-K13)/(F13-K13))&gt;0.7,((F13+G13)/2)-K13,((F13-G13)/(LN((F13-K13)/(G13-K13)))))</f>
        <v>25.179694948268562</v>
      </c>
      <c r="O13" s="20">
        <f t="shared" ref="O13" si="33">IF(E13="","",$O$9/($E$9-Ta)*(E13-Ta))</f>
        <v>481.97615476146939</v>
      </c>
      <c r="P13" s="20">
        <f t="shared" ref="P13" si="34">ROUND(p_∆T_50*((N13/50)^(n)),1)</f>
        <v>481.9</v>
      </c>
    </row>
    <row r="14" spans="2:17" ht="18.75" thickBot="1" x14ac:dyDescent="0.3">
      <c r="C14" s="16"/>
      <c r="E14" s="13">
        <f t="shared" si="6"/>
        <v>-5</v>
      </c>
      <c r="F14" s="18">
        <v>52.710000000001052</v>
      </c>
      <c r="G14" s="14">
        <f t="shared" ref="G14" si="35">F14-H14</f>
        <v>37.710000000001052</v>
      </c>
      <c r="H14" s="14">
        <f t="shared" ref="H14" si="36">(O14*0.86)/L_h</f>
        <v>15.000000000000002</v>
      </c>
      <c r="I14" s="14">
        <f t="shared" si="8"/>
        <v>26.570480326593824</v>
      </c>
      <c r="J14" s="14">
        <f t="shared" ref="J14" si="37">(F14+G14)/2</f>
        <v>45.210000000001052</v>
      </c>
      <c r="K14" s="15">
        <f t="shared" si="2"/>
        <v>20</v>
      </c>
      <c r="L14" s="14">
        <f t="shared" ref="L14" si="38">IF(E14=Ta,"",(G14-K14)/(F14-K14))</f>
        <v>0.54142464078265007</v>
      </c>
      <c r="M14" s="14">
        <f t="shared" ref="M14" si="39">J14-K14</f>
        <v>25.210000000001052</v>
      </c>
      <c r="N14" s="22">
        <f t="shared" ref="N14" si="40">IF(((G14-K14)/(F14-K14))&gt;0.7,((F14+G14)/2)-K14,((F14-G14)/(LN((F14-K14)/(G14-K14)))))</f>
        <v>24.447829881009529</v>
      </c>
      <c r="O14" s="20">
        <f t="shared" ref="O14" si="41">IF(E14="","",$O$9/($E$9-Ta)*(E14-Ta))</f>
        <v>463.43861034756674</v>
      </c>
      <c r="P14" s="20">
        <f t="shared" ref="P14" si="42">ROUND(p_∆T_50*((N14/50)^(n)),1)</f>
        <v>463.4</v>
      </c>
    </row>
    <row r="15" spans="2:17" ht="19.5" customHeight="1" thickBot="1" x14ac:dyDescent="0.3">
      <c r="B15" s="26" t="s">
        <v>18</v>
      </c>
      <c r="C15" s="24">
        <v>-0.01</v>
      </c>
      <c r="E15" s="13">
        <f t="shared" si="6"/>
        <v>-4</v>
      </c>
      <c r="F15" s="18">
        <v>51.640000000001265</v>
      </c>
      <c r="G15" s="14">
        <f t="shared" ref="G15" si="43">F15-H15</f>
        <v>37.24000000000126</v>
      </c>
      <c r="H15" s="14">
        <f t="shared" ref="H15" si="44">(O15*0.86)/L_h</f>
        <v>14.400000000000002</v>
      </c>
      <c r="I15" s="14">
        <f t="shared" si="8"/>
        <v>26.570480326593824</v>
      </c>
      <c r="J15" s="14">
        <f t="shared" ref="J15" si="45">(F15+G15)/2</f>
        <v>44.440000000001262</v>
      </c>
      <c r="K15" s="15">
        <f t="shared" si="2"/>
        <v>20</v>
      </c>
      <c r="L15" s="14">
        <f t="shared" ref="L15" si="46">IF(E15=Ta,"",(G15-K15)/(F15-K15))</f>
        <v>0.54487989886221777</v>
      </c>
      <c r="M15" s="14">
        <f t="shared" ref="M15" si="47">J15-K15</f>
        <v>24.440000000001262</v>
      </c>
      <c r="N15" s="22">
        <f t="shared" ref="N15" si="48">IF(((G15-K15)/(F15-K15))&gt;0.7,((F15+G15)/2)-K15,((F15-G15)/(LN((F15-K15)/(G15-K15)))))</f>
        <v>23.715810374512749</v>
      </c>
      <c r="O15" s="20">
        <f t="shared" ref="O15" si="49">IF(E15="","",$O$9/($E$9-Ta)*(E15-Ta))</f>
        <v>444.90106593366409</v>
      </c>
      <c r="P15" s="20">
        <f t="shared" ref="P15" si="50">ROUND(p_∆T_50*((N15/50)^(n)),1)</f>
        <v>445</v>
      </c>
    </row>
    <row r="16" spans="2:17" ht="18.75" thickBot="1" x14ac:dyDescent="0.3">
      <c r="B16" s="27"/>
      <c r="C16" s="25"/>
      <c r="E16" s="13">
        <f t="shared" si="6"/>
        <v>-3</v>
      </c>
      <c r="F16" s="18">
        <v>50.550000000001482</v>
      </c>
      <c r="G16" s="14">
        <f t="shared" ref="G16" si="51">F16-H16</f>
        <v>36.750000000001478</v>
      </c>
      <c r="H16" s="14">
        <f t="shared" ref="H16" si="52">(O16*0.86)/L_h</f>
        <v>13.8</v>
      </c>
      <c r="I16" s="14">
        <f t="shared" si="8"/>
        <v>26.570480326593824</v>
      </c>
      <c r="J16" s="14">
        <f t="shared" ref="J16" si="53">(F16+G16)/2</f>
        <v>43.650000000001484</v>
      </c>
      <c r="K16" s="15">
        <f t="shared" si="2"/>
        <v>20</v>
      </c>
      <c r="L16" s="14">
        <f t="shared" ref="L16" si="54">IF(E16=Ta,"",(G16-K16)/(F16-K16))</f>
        <v>0.548281505728336</v>
      </c>
      <c r="M16" s="14">
        <f t="shared" ref="M16" si="55">J16-K16</f>
        <v>23.650000000001484</v>
      </c>
      <c r="N16" s="22">
        <f t="shared" ref="N16" si="56">IF(((G16-K16)/(F16-K16))&gt;0.7,((F16+G16)/2)-K16,((F16-G16)/(LN((F16-K16)/(G16-K16)))))</f>
        <v>22.963013193486717</v>
      </c>
      <c r="O16" s="20">
        <f t="shared" ref="O16" si="57">IF(E16="","",$O$9/($E$9-Ta)*(E16-Ta))</f>
        <v>426.36352151976138</v>
      </c>
      <c r="P16" s="20">
        <f t="shared" ref="P16" si="58">ROUND(p_∆T_50*((N16/50)^(n)),1)</f>
        <v>426.3</v>
      </c>
    </row>
    <row r="17" spans="5:16" ht="18.75" thickBot="1" x14ac:dyDescent="0.3">
      <c r="E17" s="13">
        <f t="shared" si="6"/>
        <v>-2</v>
      </c>
      <c r="F17" s="18">
        <v>49.460000000001699</v>
      </c>
      <c r="G17" s="14">
        <f t="shared" ref="G17" si="59">F17-H17</f>
        <v>36.260000000001696</v>
      </c>
      <c r="H17" s="14">
        <f t="shared" ref="H17" si="60">(O17*0.86)/L_h</f>
        <v>13.200000000000001</v>
      </c>
      <c r="I17" s="14">
        <f t="shared" si="8"/>
        <v>26.570480326593824</v>
      </c>
      <c r="J17" s="14">
        <f t="shared" ref="J17" si="61">(F17+G17)/2</f>
        <v>42.860000000001698</v>
      </c>
      <c r="K17" s="15">
        <f t="shared" si="2"/>
        <v>20</v>
      </c>
      <c r="L17" s="14">
        <f t="shared" ref="L17" si="62">IF(E17=Ta,"",(G17-K17)/(F17-K17))</f>
        <v>0.55193482688393614</v>
      </c>
      <c r="M17" s="14">
        <f t="shared" ref="M17" si="63">J17-K17</f>
        <v>22.860000000001698</v>
      </c>
      <c r="N17" s="22">
        <f t="shared" ref="N17" si="64">IF(((G17-K17)/(F17-K17))&gt;0.7,((F17+G17)/2)-K17,((F17-G17)/(LN((F17-K17)/(G17-K17)))))</f>
        <v>22.210058778286044</v>
      </c>
      <c r="O17" s="20">
        <f t="shared" ref="O17" si="65">IF(E17="","",$O$9/($E$9-Ta)*(E17-Ta))</f>
        <v>407.82597710585873</v>
      </c>
      <c r="P17" s="20">
        <f t="shared" ref="P17" si="66">ROUND(p_∆T_50*((N17/50)^(n)),1)</f>
        <v>407.8</v>
      </c>
    </row>
    <row r="18" spans="5:16" ht="18.75" thickBot="1" x14ac:dyDescent="0.3">
      <c r="E18" s="13">
        <f t="shared" si="6"/>
        <v>-1</v>
      </c>
      <c r="F18" s="18">
        <v>48.360000000001918</v>
      </c>
      <c r="G18" s="14">
        <f t="shared" ref="G18" si="67">F18-H18</f>
        <v>35.760000000001916</v>
      </c>
      <c r="H18" s="14">
        <f t="shared" ref="H18" si="68">(O18*0.86)/L_h</f>
        <v>12.600000000000001</v>
      </c>
      <c r="I18" s="14">
        <f t="shared" si="8"/>
        <v>26.570480326593824</v>
      </c>
      <c r="J18" s="14">
        <f t="shared" ref="J18" si="69">(F18+G18)/2</f>
        <v>42.060000000001921</v>
      </c>
      <c r="K18" s="15">
        <f t="shared" si="2"/>
        <v>20</v>
      </c>
      <c r="L18" s="14">
        <f t="shared" ref="L18" si="70">IF(E18=Ta,"",(G18-K18)/(F18-K18))</f>
        <v>0.55571227080397922</v>
      </c>
      <c r="M18" s="14">
        <f t="shared" ref="M18" si="71">J18-K18</f>
        <v>22.060000000001921</v>
      </c>
      <c r="N18" s="22">
        <f t="shared" ref="N18" si="72">IF(((G18-K18)/(F18-K18))&gt;0.7,((F18+G18)/2)-K18,((F18-G18)/(LN((F18-K18)/(G18-K18)))))</f>
        <v>21.446639958879661</v>
      </c>
      <c r="O18" s="20">
        <f t="shared" ref="O18" si="73">IF(E18="","",$O$9/($E$9-Ta)*(E18-Ta))</f>
        <v>389.28843269195607</v>
      </c>
      <c r="P18" s="20">
        <f t="shared" ref="P18" si="74">ROUND(p_∆T_50*((N18/50)^(n)),1)</f>
        <v>389.3</v>
      </c>
    </row>
    <row r="19" spans="5:16" ht="18.75" thickBot="1" x14ac:dyDescent="0.3">
      <c r="E19" s="13">
        <f t="shared" si="6"/>
        <v>0</v>
      </c>
      <c r="F19" s="18">
        <v>47.250000000002139</v>
      </c>
      <c r="G19" s="14">
        <f t="shared" ref="G19" si="75">F19-H19</f>
        <v>35.250000000002139</v>
      </c>
      <c r="H19" s="14">
        <f t="shared" ref="H19" si="76">(O19*0.86)/L_h</f>
        <v>12</v>
      </c>
      <c r="I19" s="14">
        <f t="shared" si="8"/>
        <v>26.570480326593824</v>
      </c>
      <c r="J19" s="14">
        <f t="shared" ref="J19" si="77">(F19+G19)/2</f>
        <v>41.250000000002139</v>
      </c>
      <c r="K19" s="15">
        <f t="shared" si="2"/>
        <v>20</v>
      </c>
      <c r="L19" s="14">
        <f t="shared" ref="L19" si="78">IF(E19=Ta,"",(G19-K19)/(F19-K19))</f>
        <v>0.55963302752297039</v>
      </c>
      <c r="M19" s="14">
        <f t="shared" ref="M19" si="79">J19-K19</f>
        <v>21.250000000002139</v>
      </c>
      <c r="N19" s="22">
        <f t="shared" ref="N19" si="80">IF(((G19-K19)/(F19-K19))&gt;0.7,((F19+G19)/2)-K19,((F19-G19)/(LN((F19-K19)/(G19-K19)))))</f>
        <v>20.672759894047601</v>
      </c>
      <c r="O19" s="20">
        <f t="shared" ref="O19" si="81">IF(E19="","",$O$9/($E$9-Ta)*(E19-Ta))</f>
        <v>370.75088827805337</v>
      </c>
      <c r="P19" s="20">
        <f t="shared" ref="P19" si="82">ROUND(p_∆T_50*((N19/50)^(n)),1)</f>
        <v>370.7</v>
      </c>
    </row>
    <row r="20" spans="5:16" ht="18.75" thickBot="1" x14ac:dyDescent="0.3">
      <c r="E20" s="13">
        <f t="shared" si="6"/>
        <v>1</v>
      </c>
      <c r="F20" s="18">
        <v>46.130000000002362</v>
      </c>
      <c r="G20" s="14">
        <f t="shared" ref="G20" si="83">F20-H20</f>
        <v>34.730000000002363</v>
      </c>
      <c r="H20" s="14">
        <f t="shared" ref="H20" si="84">(O20*0.86)/L_h</f>
        <v>11.4</v>
      </c>
      <c r="I20" s="14">
        <f t="shared" si="8"/>
        <v>26.570480326593824</v>
      </c>
      <c r="J20" s="14">
        <f t="shared" ref="J20" si="85">(F20+G20)/2</f>
        <v>40.430000000002366</v>
      </c>
      <c r="K20" s="15">
        <f t="shared" si="2"/>
        <v>20</v>
      </c>
      <c r="L20" s="14">
        <f t="shared" ref="L20" si="86">IF(E20=Ta,"",(G20-K20)/(F20-K20))</f>
        <v>0.56371986222736437</v>
      </c>
      <c r="M20" s="14">
        <f t="shared" ref="M20" si="87">J20-K20</f>
        <v>20.430000000002366</v>
      </c>
      <c r="N20" s="22">
        <f t="shared" ref="N20" si="88">IF(((G20-K20)/(F20-K20))&gt;0.7,((F20+G20)/2)-K20,((F20-G20)/(LN((F20-K20)/(G20-K20)))))</f>
        <v>19.888420758620498</v>
      </c>
      <c r="O20" s="20">
        <f t="shared" ref="O20" si="89">IF(E20="","",$O$9/($E$9-Ta)*(E20-Ta))</f>
        <v>352.21334386415072</v>
      </c>
      <c r="P20" s="20">
        <f t="shared" ref="P20" si="90">ROUND(p_∆T_50*((N20/50)^(n)),1)</f>
        <v>352.1</v>
      </c>
    </row>
    <row r="21" spans="5:16" ht="18.75" thickBot="1" x14ac:dyDescent="0.3">
      <c r="E21" s="13">
        <f t="shared" si="6"/>
        <v>2</v>
      </c>
      <c r="F21" s="18">
        <v>45.010000000002584</v>
      </c>
      <c r="G21" s="14">
        <f t="shared" ref="G21" si="91">F21-H21</f>
        <v>34.21000000000258</v>
      </c>
      <c r="H21" s="14">
        <f t="shared" ref="H21" si="92">(O21*0.86)/L_h</f>
        <v>10.8</v>
      </c>
      <c r="I21" s="14">
        <f t="shared" si="8"/>
        <v>26.570480326593824</v>
      </c>
      <c r="J21" s="14">
        <f t="shared" ref="J21" si="93">(F21+G21)/2</f>
        <v>39.610000000002586</v>
      </c>
      <c r="K21" s="15">
        <f t="shared" si="2"/>
        <v>20</v>
      </c>
      <c r="L21" s="14">
        <f t="shared" ref="L21" si="94">IF(E21=Ta,"",(G21-K21)/(F21-K21))</f>
        <v>0.56817273090768139</v>
      </c>
      <c r="M21" s="14">
        <f t="shared" ref="M21" si="95">J21-K21</f>
        <v>19.610000000002586</v>
      </c>
      <c r="N21" s="22">
        <f t="shared" ref="N21" si="96">IF(((G21-K21)/(F21-K21))&gt;0.7,((F21+G21)/2)-K21,((F21-G21)/(LN((F21-K21)/(G21-K21)))))</f>
        <v>19.103892890278864</v>
      </c>
      <c r="O21" s="20">
        <f t="shared" ref="O21" si="97">IF(E21="","",$O$9/($E$9-Ta)*(E21-Ta))</f>
        <v>333.67579945024806</v>
      </c>
      <c r="P21" s="20">
        <f t="shared" ref="P21" si="98">ROUND(p_∆T_50*((N21/50)^(n)),1)</f>
        <v>333.8</v>
      </c>
    </row>
    <row r="22" spans="5:16" ht="18.75" thickBot="1" x14ac:dyDescent="0.3">
      <c r="E22" s="13">
        <f t="shared" si="6"/>
        <v>3</v>
      </c>
      <c r="F22" s="18">
        <v>43.870000000002811</v>
      </c>
      <c r="G22" s="14">
        <f t="shared" ref="G22" si="99">F22-H22</f>
        <v>33.670000000002815</v>
      </c>
      <c r="H22" s="14">
        <f t="shared" ref="H22" si="100">(O22*0.86)/L_h</f>
        <v>10.199999999999999</v>
      </c>
      <c r="I22" s="14">
        <f t="shared" si="8"/>
        <v>26.570480326593824</v>
      </c>
      <c r="J22" s="14">
        <f t="shared" ref="J22" si="101">(F22+G22)/2</f>
        <v>38.77000000000281</v>
      </c>
      <c r="K22" s="15">
        <f t="shared" si="2"/>
        <v>20</v>
      </c>
      <c r="L22" s="14">
        <f t="shared" ref="L22" si="102">IF(E22=Ta,"",(G22-K22)/(F22-K22))</f>
        <v>0.57268537913704254</v>
      </c>
      <c r="M22" s="14">
        <f t="shared" ref="M22" si="103">J22-K22</f>
        <v>18.77000000000281</v>
      </c>
      <c r="N22" s="22">
        <f t="shared" ref="N22" si="104">IF(((G22-K22)/(F22-K22))&gt;0.7,((F22+G22)/2)-K22,((F22-G22)/(LN((F22-K22)/(G22-K22)))))</f>
        <v>18.298629665944286</v>
      </c>
      <c r="O22" s="20">
        <f t="shared" ref="O22" si="105">IF(E22="","",$O$9/($E$9-Ta)*(E22-Ta))</f>
        <v>315.13825503634536</v>
      </c>
      <c r="P22" s="20">
        <f t="shared" ref="P22" si="106">ROUND(p_∆T_50*((N22/50)^(n)),1)</f>
        <v>315.2</v>
      </c>
    </row>
    <row r="23" spans="5:16" ht="18.75" thickBot="1" x14ac:dyDescent="0.3">
      <c r="E23" s="13">
        <f t="shared" si="6"/>
        <v>4</v>
      </c>
      <c r="F23" s="18">
        <v>42.72000000000304</v>
      </c>
      <c r="G23" s="14">
        <f t="shared" ref="G23" si="107">F23-H23</f>
        <v>33.120000000003039</v>
      </c>
      <c r="H23" s="14">
        <f t="shared" ref="H23" si="108">(O23*0.86)/L_h</f>
        <v>9.6</v>
      </c>
      <c r="I23" s="14">
        <f t="shared" si="8"/>
        <v>26.570480326593824</v>
      </c>
      <c r="J23" s="14">
        <f t="shared" ref="J23" si="109">(F23+G23)/2</f>
        <v>37.920000000003043</v>
      </c>
      <c r="K23" s="15">
        <f t="shared" si="2"/>
        <v>20</v>
      </c>
      <c r="L23" s="14">
        <f t="shared" ref="L23" si="110">IF(E23=Ta,"",(G23-K23)/(F23-K23))</f>
        <v>0.57746478873245088</v>
      </c>
      <c r="M23" s="14">
        <f t="shared" ref="M23" si="111">J23-K23</f>
        <v>17.920000000003043</v>
      </c>
      <c r="N23" s="22">
        <f t="shared" ref="N23" si="112">IF(((G23-K23)/(F23-K23))&gt;0.7,((F23+G23)/2)-K23,((F23-G23)/(LN((F23-K23)/(G23-K23)))))</f>
        <v>17.482905577521905</v>
      </c>
      <c r="O23" s="20">
        <f t="shared" ref="O23" si="113">IF(E23="","",$O$9/($E$9-Ta)*(E23-Ta))</f>
        <v>296.6007106224427</v>
      </c>
      <c r="P23" s="20">
        <f t="shared" ref="P23" si="114">ROUND(p_∆T_50*((N23/50)^(n)),1)</f>
        <v>296.60000000000002</v>
      </c>
    </row>
    <row r="24" spans="5:16" ht="18.75" thickBot="1" x14ac:dyDescent="0.3">
      <c r="E24" s="13">
        <f t="shared" si="6"/>
        <v>5</v>
      </c>
      <c r="F24" s="18">
        <v>41.560000000003271</v>
      </c>
      <c r="G24" s="14">
        <f t="shared" ref="G24" si="115">F24-H24</f>
        <v>32.560000000003271</v>
      </c>
      <c r="H24" s="14">
        <f t="shared" ref="H24" si="116">(O24*0.86)/L_h</f>
        <v>9</v>
      </c>
      <c r="I24" s="14">
        <f t="shared" si="8"/>
        <v>26.570480326593824</v>
      </c>
      <c r="J24" s="14">
        <f t="shared" ref="J24" si="117">(F24+G24)/2</f>
        <v>37.060000000003271</v>
      </c>
      <c r="K24" s="15">
        <f t="shared" si="2"/>
        <v>20</v>
      </c>
      <c r="L24" s="14">
        <f t="shared" ref="L24" si="118">IF(E24=Ta,"",(G24-K24)/(F24-K24))</f>
        <v>0.58256029684607447</v>
      </c>
      <c r="M24" s="14">
        <f t="shared" ref="M24" si="119">J24-K24</f>
        <v>17.060000000003271</v>
      </c>
      <c r="N24" s="22">
        <f t="shared" ref="N24" si="120">IF(((G24-K24)/(F24-K24))&gt;0.7,((F24+G24)/2)-K24,((F24-G24)/(LN((F24-K24)/(G24-K24)))))</f>
        <v>16.656716283642709</v>
      </c>
      <c r="O24" s="20">
        <f t="shared" ref="O24" si="121">IF(E24="","",$O$9/($E$9-Ta)*(E24-Ta))</f>
        <v>278.06316620854005</v>
      </c>
      <c r="P24" s="20">
        <f t="shared" ref="P24" si="122">ROUND(p_∆T_50*((N24/50)^(n)),1)</f>
        <v>278.10000000000002</v>
      </c>
    </row>
    <row r="25" spans="5:16" ht="18.75" thickBot="1" x14ac:dyDescent="0.3">
      <c r="E25" s="13">
        <f t="shared" si="6"/>
        <v>6</v>
      </c>
      <c r="F25" s="18">
        <v>40.380000000003506</v>
      </c>
      <c r="G25" s="14">
        <f t="shared" ref="G25" si="123">F25-H25</f>
        <v>31.980000000003507</v>
      </c>
      <c r="H25" s="14">
        <f t="shared" ref="H25" si="124">(O25*0.86)/L_h</f>
        <v>8.4</v>
      </c>
      <c r="I25" s="14">
        <f t="shared" si="8"/>
        <v>26.570480326593824</v>
      </c>
      <c r="J25" s="14">
        <f t="shared" ref="J25" si="125">(F25+G25)/2</f>
        <v>36.180000000003503</v>
      </c>
      <c r="K25" s="15">
        <f t="shared" si="2"/>
        <v>20</v>
      </c>
      <c r="L25" s="14">
        <f t="shared" ref="L25" si="126">IF(E25=Ta,"",(G25-K25)/(F25-K25))</f>
        <v>0.5878312070658217</v>
      </c>
      <c r="M25" s="14">
        <f t="shared" ref="M25" si="127">J25-K25</f>
        <v>16.180000000003503</v>
      </c>
      <c r="N25" s="22">
        <f t="shared" ref="N25" si="128">IF(((G25-K25)/(F25-K25))&gt;0.7,((F25+G25)/2)-K25,((F25-G25)/(LN((F25-K25)/(G25-K25)))))</f>
        <v>15.809817379587141</v>
      </c>
      <c r="O25" s="20">
        <f t="shared" ref="O25" si="129">IF(E25="","",$O$9/($E$9-Ta)*(E25-Ta))</f>
        <v>259.52562179463735</v>
      </c>
      <c r="P25" s="20">
        <f t="shared" ref="P25" si="130">ROUND(p_∆T_50*((N25/50)^(n)),1)</f>
        <v>259.5</v>
      </c>
    </row>
    <row r="26" spans="5:16" ht="18.75" thickBot="1" x14ac:dyDescent="0.3">
      <c r="E26" s="13">
        <f t="shared" si="6"/>
        <v>7</v>
      </c>
      <c r="F26" s="18">
        <v>39.190000000003742</v>
      </c>
      <c r="G26" s="14">
        <f t="shared" ref="G26" si="131">F26-H26</f>
        <v>31.390000000003742</v>
      </c>
      <c r="H26" s="14">
        <f t="shared" ref="H26" si="132">(O26*0.86)/L_h</f>
        <v>7.8000000000000007</v>
      </c>
      <c r="I26" s="14">
        <f t="shared" si="8"/>
        <v>26.570480326593824</v>
      </c>
      <c r="J26" s="14">
        <f t="shared" ref="J26" si="133">(F26+G26)/2</f>
        <v>35.290000000003744</v>
      </c>
      <c r="K26" s="15">
        <f t="shared" si="2"/>
        <v>20</v>
      </c>
      <c r="L26" s="14">
        <f t="shared" ref="L26" si="134">IF(E26=Ta,"",(G26-K26)/(F26-K26))</f>
        <v>0.59353830119862017</v>
      </c>
      <c r="M26" s="14">
        <f t="shared" ref="M26" si="135">J26-K26</f>
        <v>15.290000000003744</v>
      </c>
      <c r="N26" s="22">
        <f t="shared" ref="N26" si="136">IF(((G26-K26)/(F26-K26))&gt;0.7,((F26+G26)/2)-K26,((F26-G26)/(LN((F26-K26)/(G26-K26)))))</f>
        <v>14.952453138227538</v>
      </c>
      <c r="O26" s="20">
        <f t="shared" ref="O26" si="137">IF(E26="","",$O$9/($E$9-Ta)*(E26-Ta))</f>
        <v>240.98807738073469</v>
      </c>
      <c r="P26" s="20">
        <f t="shared" ref="P26" si="138">ROUND(p_∆T_50*((N26/50)^(n)),1)</f>
        <v>240.9</v>
      </c>
    </row>
    <row r="27" spans="5:16" ht="18.75" thickBot="1" x14ac:dyDescent="0.3">
      <c r="E27" s="13">
        <f t="shared" si="6"/>
        <v>8</v>
      </c>
      <c r="F27" s="18">
        <v>37.990000000003981</v>
      </c>
      <c r="G27" s="14">
        <f t="shared" ref="G27" si="139">F27-H27</f>
        <v>30.790000000003978</v>
      </c>
      <c r="H27" s="14">
        <f t="shared" ref="H27" si="140">(O27*0.86)/L_h</f>
        <v>7.2000000000000011</v>
      </c>
      <c r="I27" s="14">
        <f t="shared" si="8"/>
        <v>26.570480326593824</v>
      </c>
      <c r="J27" s="14">
        <f t="shared" ref="J27" si="141">(F27+G27)/2</f>
        <v>34.39000000000398</v>
      </c>
      <c r="K27" s="15">
        <f t="shared" si="2"/>
        <v>20</v>
      </c>
      <c r="L27" s="14">
        <f t="shared" ref="L27" si="142">IF(E27=Ta,"",(G27-K27)/(F27-K27))</f>
        <v>0.59977765425245078</v>
      </c>
      <c r="M27" s="14">
        <f t="shared" ref="M27" si="143">J27-K27</f>
        <v>14.39000000000398</v>
      </c>
      <c r="N27" s="22">
        <f t="shared" ref="N27" si="144">IF(((G27-K27)/(F27-K27))&gt;0.7,((F27+G27)/2)-K27,((F27-G27)/(LN((F27-K27)/(G27-K27)))))</f>
        <v>14.08460984744497</v>
      </c>
      <c r="O27" s="20">
        <f t="shared" ref="O27" si="145">IF(E27="","",$O$9/($E$9-Ta)*(E27-Ta))</f>
        <v>222.45053296683204</v>
      </c>
      <c r="P27" s="20">
        <f t="shared" ref="P27" si="146">ROUND(p_∆T_50*((N27/50)^(n)),1)</f>
        <v>222.5</v>
      </c>
    </row>
    <row r="28" spans="5:16" ht="18.75" thickBot="1" x14ac:dyDescent="0.3">
      <c r="E28" s="13">
        <f t="shared" si="6"/>
        <v>9</v>
      </c>
      <c r="F28" s="18">
        <v>36.760000000004226</v>
      </c>
      <c r="G28" s="14">
        <f t="shared" ref="G28" si="147">F28-H28</f>
        <v>30.160000000004224</v>
      </c>
      <c r="H28" s="14">
        <f t="shared" ref="H28" si="148">(O28*0.86)/L_h</f>
        <v>6.6000000000000005</v>
      </c>
      <c r="I28" s="14">
        <f t="shared" si="8"/>
        <v>26.570480326593824</v>
      </c>
      <c r="J28" s="14">
        <f t="shared" ref="J28" si="149">(F28+G28)/2</f>
        <v>33.460000000004229</v>
      </c>
      <c r="K28" s="15">
        <f t="shared" si="2"/>
        <v>20</v>
      </c>
      <c r="L28" s="14">
        <f t="shared" ref="L28" si="150">IF(E28=Ta,"",(G28-K28)/(F28-K28))</f>
        <v>0.60620525059675789</v>
      </c>
      <c r="M28" s="14">
        <f t="shared" ref="M28" si="151">J28-K28</f>
        <v>13.460000000004229</v>
      </c>
      <c r="N28" s="22">
        <f t="shared" ref="N28" si="152">IF(((G28-K28)/(F28-K28))&gt;0.7,((F28+G28)/2)-K28,((F28-G28)/(LN((F28-K28)/(G28-K28)))))</f>
        <v>13.185847553252531</v>
      </c>
      <c r="O28" s="20">
        <f t="shared" ref="O28" si="153">IF(E28="","",$O$9/($E$9-Ta)*(E28-Ta))</f>
        <v>203.91298855292936</v>
      </c>
      <c r="P28" s="20">
        <f t="shared" ref="P28" si="154">ROUND(p_∆T_50*((N28/50)^(n)),1)</f>
        <v>203.8</v>
      </c>
    </row>
    <row r="29" spans="5:16" ht="18.75" thickBot="1" x14ac:dyDescent="0.3">
      <c r="E29" s="13">
        <f t="shared" si="6"/>
        <v>10</v>
      </c>
      <c r="F29" s="18">
        <v>35.520000000004472</v>
      </c>
      <c r="G29" s="14">
        <f t="shared" ref="G29" si="155">F29-H29</f>
        <v>29.520000000004472</v>
      </c>
      <c r="H29" s="14">
        <f t="shared" ref="H29" si="156">(O29*0.86)/L_h</f>
        <v>6</v>
      </c>
      <c r="I29" s="14">
        <f t="shared" si="8"/>
        <v>26.570480326593824</v>
      </c>
      <c r="J29" s="14">
        <f t="shared" ref="J29" si="157">(F29+G29)/2</f>
        <v>32.520000000004472</v>
      </c>
      <c r="K29" s="15">
        <f t="shared" si="2"/>
        <v>20</v>
      </c>
      <c r="L29" s="14">
        <f t="shared" ref="L29" si="158">IF(E29=Ta,"",(G29-K29)/(F29-K29))</f>
        <v>0.6134020618557815</v>
      </c>
      <c r="M29" s="14">
        <f t="shared" ref="M29" si="159">J29-K29</f>
        <v>12.520000000004472</v>
      </c>
      <c r="N29" s="22">
        <f t="shared" ref="N29" si="160">IF(((G29-K29)/(F29-K29))&gt;0.7,((F29+G29)/2)-K29,((F29-G29)/(LN((F29-K29)/(G29-K29)))))</f>
        <v>12.276599999955756</v>
      </c>
      <c r="O29" s="20">
        <f t="shared" ref="O29" si="161">IF(E29="","",$O$9/($E$9-Ta)*(E29-Ta))</f>
        <v>185.37544413902668</v>
      </c>
      <c r="P29" s="20">
        <f t="shared" ref="P29" si="162">ROUND(p_∆T_50*((N29/50)^(n)),1)</f>
        <v>185.4</v>
      </c>
    </row>
    <row r="30" spans="5:16" ht="18.75" thickBot="1" x14ac:dyDescent="0.3">
      <c r="E30" s="13">
        <f t="shared" si="6"/>
        <v>11</v>
      </c>
      <c r="F30" s="18">
        <v>34.260000000004723</v>
      </c>
      <c r="G30" s="14">
        <f t="shared" ref="G30" si="163">F30-H30</f>
        <v>28.860000000004725</v>
      </c>
      <c r="H30" s="14">
        <f t="shared" ref="H30" si="164">(O30*0.86)/L_h</f>
        <v>5.4</v>
      </c>
      <c r="I30" s="14">
        <f t="shared" si="8"/>
        <v>26.570480326593824</v>
      </c>
      <c r="J30" s="14">
        <f t="shared" ref="J30" si="165">(F30+G30)/2</f>
        <v>31.560000000004724</v>
      </c>
      <c r="K30" s="15">
        <f t="shared" si="2"/>
        <v>20</v>
      </c>
      <c r="L30" s="14">
        <f t="shared" ref="L30" si="166">IF(E30=Ta,"",(G30-K30)/(F30-K30))</f>
        <v>0.62131837307165427</v>
      </c>
      <c r="M30" s="14">
        <f t="shared" ref="M30" si="167">J30-K30</f>
        <v>11.560000000004724</v>
      </c>
      <c r="N30" s="22">
        <f t="shared" ref="N30" si="168">IF(((G30-K30)/(F30-K30))&gt;0.7,((F30+G30)/2)-K30,((F30-G30)/(LN((F30-K30)/(G30-K30)))))</f>
        <v>11.346643848314201</v>
      </c>
      <c r="O30" s="20">
        <f t="shared" ref="O30" si="169">IF(E30="","",$O$9/($E$9-Ta)*(E30-Ta))</f>
        <v>166.83789972512403</v>
      </c>
      <c r="P30" s="20">
        <f t="shared" ref="P30" si="170">ROUND(p_∆T_50*((N30/50)^(n)),1)</f>
        <v>166.9</v>
      </c>
    </row>
    <row r="31" spans="5:16" ht="18.75" thickBot="1" x14ac:dyDescent="0.3">
      <c r="E31" s="13">
        <f t="shared" si="6"/>
        <v>12</v>
      </c>
      <c r="F31" s="18">
        <v>32.97000000000498</v>
      </c>
      <c r="G31" s="14">
        <f t="shared" ref="G31" si="171">F31-H31</f>
        <v>28.170000000004979</v>
      </c>
      <c r="H31" s="14">
        <f t="shared" ref="H31" si="172">(O31*0.86)/L_h</f>
        <v>4.8</v>
      </c>
      <c r="I31" s="14">
        <f t="shared" si="8"/>
        <v>26.570480326593824</v>
      </c>
      <c r="J31" s="14">
        <f t="shared" ref="J31" si="173">(F31+G31)/2</f>
        <v>30.570000000004981</v>
      </c>
      <c r="K31" s="15">
        <f t="shared" si="2"/>
        <v>20</v>
      </c>
      <c r="L31" s="14">
        <f t="shared" ref="L31" si="174">IF(E31=Ta,"",(G31-K31)/(F31-K31))</f>
        <v>0.62991518889759768</v>
      </c>
      <c r="M31" s="14">
        <f t="shared" ref="M31" si="175">J31-K31</f>
        <v>10.570000000004981</v>
      </c>
      <c r="N31" s="22">
        <f t="shared" ref="N31" si="176">IF(((G31-K31)/(F31-K31))&gt;0.7,((F31+G31)/2)-K31,((F31-G31)/(LN((F31-K31)/(G31-K31)))))</f>
        <v>10.3857867687795</v>
      </c>
      <c r="O31" s="20">
        <f t="shared" ref="O31" si="177">IF(E31="","",$O$9/($E$9-Ta)*(E31-Ta))</f>
        <v>148.30035531122135</v>
      </c>
      <c r="P31" s="20">
        <f t="shared" ref="P31" si="178">ROUND(p_∆T_50*((N31/50)^(n)),1)</f>
        <v>148.4</v>
      </c>
    </row>
    <row r="32" spans="5:16" ht="18.75" thickBot="1" x14ac:dyDescent="0.3">
      <c r="E32" s="13">
        <f t="shared" si="6"/>
        <v>13</v>
      </c>
      <c r="F32" s="18">
        <v>31.640000000005116</v>
      </c>
      <c r="G32" s="14">
        <f t="shared" ref="G32" si="179">F32-H32</f>
        <v>27.440000000005117</v>
      </c>
      <c r="H32" s="14">
        <f t="shared" ref="H32" si="180">(O32*0.86)/L_h</f>
        <v>4.2</v>
      </c>
      <c r="I32" s="14">
        <f t="shared" si="8"/>
        <v>26.570480326593824</v>
      </c>
      <c r="J32" s="14">
        <f t="shared" ref="J32" si="181">(F32+G32)/2</f>
        <v>29.540000000005115</v>
      </c>
      <c r="K32" s="15">
        <f t="shared" si="2"/>
        <v>20</v>
      </c>
      <c r="L32" s="14">
        <f t="shared" ref="L32" si="182">IF(E32=Ta,"",(G32-K32)/(F32-K32))</f>
        <v>0.63917525773211747</v>
      </c>
      <c r="M32" s="14">
        <f t="shared" ref="M32" si="183">J32-K32</f>
        <v>9.5400000000051151</v>
      </c>
      <c r="N32" s="22">
        <f t="shared" ref="N32" si="184">IF(((G32-K32)/(F32-K32))&gt;0.7,((F32+G32)/2)-K32,((F32-G32)/(LN((F32-K32)/(G32-K32)))))</f>
        <v>9.3838687308247675</v>
      </c>
      <c r="O32" s="20">
        <f t="shared" ref="O32" si="185">IF(E32="","",$O$9/($E$9-Ta)*(E32-Ta))</f>
        <v>129.76281089731867</v>
      </c>
      <c r="P32" s="20">
        <f t="shared" ref="P32" si="186">ROUND(p_∆T_50*((N32/50)^(n)),1)</f>
        <v>129.69999999999999</v>
      </c>
    </row>
    <row r="33" spans="5:16" ht="18.75" thickBot="1" x14ac:dyDescent="0.3">
      <c r="E33" s="13">
        <f t="shared" si="6"/>
        <v>14</v>
      </c>
      <c r="F33" s="18">
        <v>30.290000000004905</v>
      </c>
      <c r="G33" s="14">
        <f t="shared" ref="G33" si="187">F33-H33</f>
        <v>26.690000000004904</v>
      </c>
      <c r="H33" s="14">
        <f t="shared" ref="H33" si="188">(O33*0.86)/L_h</f>
        <v>3.6000000000000005</v>
      </c>
      <c r="I33" s="14">
        <f t="shared" si="8"/>
        <v>26.570480326593824</v>
      </c>
      <c r="J33" s="14">
        <f t="shared" ref="J33" si="189">(F33+G33)/2</f>
        <v>28.490000000004905</v>
      </c>
      <c r="K33" s="15">
        <f t="shared" si="2"/>
        <v>20</v>
      </c>
      <c r="L33" s="14">
        <f t="shared" ref="L33" si="190">IF(E33=Ta,"",(G33-K33)/(F33-K33))</f>
        <v>0.65014577259491879</v>
      </c>
      <c r="M33" s="14">
        <f t="shared" ref="M33" si="191">J33-K33</f>
        <v>8.4900000000049047</v>
      </c>
      <c r="N33" s="22">
        <f t="shared" ref="N33" si="192">IF(((G33-K33)/(F33-K33))&gt;0.7,((F33+G33)/2)-K33,((F33-G33)/(LN((F33-K33)/(G33-K33)))))</f>
        <v>8.3612297304208596</v>
      </c>
      <c r="O33" s="20">
        <f t="shared" ref="O33" si="193">IF(E33="","",$O$9/($E$9-Ta)*(E33-Ta))</f>
        <v>111.22526648341602</v>
      </c>
      <c r="P33" s="20">
        <f t="shared" ref="P33" si="194">ROUND(p_∆T_50*((N33/50)^(n)),1)</f>
        <v>111.2</v>
      </c>
    </row>
    <row r="34" spans="5:16" ht="18.75" thickBot="1" x14ac:dyDescent="0.3">
      <c r="E34" s="13">
        <f t="shared" si="6"/>
        <v>15</v>
      </c>
      <c r="F34" s="18">
        <v>28.890000000004687</v>
      </c>
      <c r="G34" s="14">
        <f t="shared" ref="G34" si="195">F34-H34</f>
        <v>25.890000000004687</v>
      </c>
      <c r="H34" s="14">
        <f t="shared" ref="H34" si="196">(O34*0.86)/L_h</f>
        <v>3</v>
      </c>
      <c r="I34" s="14">
        <f t="shared" si="8"/>
        <v>26.570480326593824</v>
      </c>
      <c r="J34" s="14">
        <f t="shared" ref="J34" si="197">(F34+G34)/2</f>
        <v>27.390000000004687</v>
      </c>
      <c r="K34" s="15">
        <f t="shared" si="2"/>
        <v>20</v>
      </c>
      <c r="L34" s="14">
        <f t="shared" ref="L34" si="198">IF(E34=Ta,"",(G34-K34)/(F34-K34))</f>
        <v>0.66254218222739947</v>
      </c>
      <c r="M34" s="14">
        <f t="shared" ref="M34" si="199">J34-K34</f>
        <v>7.3900000000046866</v>
      </c>
      <c r="N34" s="22">
        <f t="shared" ref="N34" si="200">IF(((G34-K34)/(F34-K34))&gt;0.7,((F34+G34)/2)-K34,((F34-G34)/(LN((F34-K34)/(G34-K34)))))</f>
        <v>7.2873717654679728</v>
      </c>
      <c r="O34" s="20">
        <f t="shared" ref="O34" si="201">IF(E34="","",$O$9/($E$9-Ta)*(E34-Ta))</f>
        <v>92.687722069513342</v>
      </c>
      <c r="P34" s="20">
        <f t="shared" ref="P34" si="202">ROUND(p_∆T_50*((N34/50)^(n)),1)</f>
        <v>92.6</v>
      </c>
    </row>
    <row r="35" spans="5:16" ht="18.75" thickBot="1" x14ac:dyDescent="0.3">
      <c r="E35" s="13">
        <f t="shared" si="6"/>
        <v>16</v>
      </c>
      <c r="F35" s="18">
        <v>27.44000000000446</v>
      </c>
      <c r="G35" s="14">
        <f t="shared" ref="G35" si="203">F35-H35</f>
        <v>25.040000000004461</v>
      </c>
      <c r="H35" s="14">
        <f t="shared" ref="H35" si="204">(O35*0.86)/L_h</f>
        <v>2.4</v>
      </c>
      <c r="I35" s="14">
        <f t="shared" si="8"/>
        <v>26.570480326593824</v>
      </c>
      <c r="J35" s="14">
        <f t="shared" ref="J35" si="205">(F35+G35)/2</f>
        <v>26.240000000004461</v>
      </c>
      <c r="K35" s="15">
        <f t="shared" si="2"/>
        <v>20</v>
      </c>
      <c r="L35" s="14">
        <f t="shared" ref="L35" si="206">IF(E35=Ta,"",(G35-K35)/(F35-K35))</f>
        <v>0.67741935483890325</v>
      </c>
      <c r="M35" s="14">
        <f t="shared" ref="M35" si="207">J35-K35</f>
        <v>6.2400000000044606</v>
      </c>
      <c r="N35" s="22">
        <f t="shared" ref="N35" si="208">IF(((G35-K35)/(F35-K35))&gt;0.7,((F35+G35)/2)-K35,((F35-G35)/(LN((F35-K35)/(G35-K35)))))</f>
        <v>6.1623032552007277</v>
      </c>
      <c r="O35" s="20">
        <f t="shared" ref="O35" si="209">IF(E35="","",$O$9/($E$9-Ta)*(E35-Ta))</f>
        <v>74.150177655610676</v>
      </c>
      <c r="P35" s="20">
        <f t="shared" ref="P35" si="210">ROUND(p_∆T_50*((N35/50)^(n)),1)</f>
        <v>74.099999999999994</v>
      </c>
    </row>
    <row r="36" spans="5:16" ht="18.75" thickBot="1" x14ac:dyDescent="0.3">
      <c r="E36" s="13">
        <f t="shared" si="6"/>
        <v>17</v>
      </c>
      <c r="F36" s="18">
        <v>25.920000000004222</v>
      </c>
      <c r="G36" s="14">
        <f t="shared" ref="G36" si="211">F36-H36</f>
        <v>24.120000000004222</v>
      </c>
      <c r="H36" s="14">
        <f t="shared" ref="H36" si="212">(O36*0.86)/L_h</f>
        <v>1.8000000000000003</v>
      </c>
      <c r="I36" s="14">
        <f t="shared" si="8"/>
        <v>26.570480326593824</v>
      </c>
      <c r="J36" s="14">
        <f t="shared" ref="J36" si="213">(F36+G36)/2</f>
        <v>25.020000000004224</v>
      </c>
      <c r="K36" s="15">
        <f t="shared" si="2"/>
        <v>20</v>
      </c>
      <c r="L36" s="14">
        <f t="shared" ref="L36" si="214">IF(E36=Ta,"",(G36-K36)/(F36-K36))</f>
        <v>0.69594594594616266</v>
      </c>
      <c r="M36" s="14">
        <f t="shared" ref="M36" si="215">J36-K36</f>
        <v>5.0200000000042238</v>
      </c>
      <c r="N36" s="22">
        <f t="shared" ref="N36" si="216">IF(((G36-K36)/(F36-K36))&gt;0.7,((F36+G36)/2)-K36,((F36-G36)/(LN((F36-K36)/(G36-K36)))))</f>
        <v>4.965746206331854</v>
      </c>
      <c r="O36" s="20">
        <f t="shared" ref="O36" si="217">IF(E36="","",$O$9/($E$9-Ta)*(E36-Ta))</f>
        <v>55.612633241708011</v>
      </c>
      <c r="P36" s="20">
        <f t="shared" ref="P36" si="218">ROUND(p_∆T_50*((N36/50)^(n)),1)</f>
        <v>55.6</v>
      </c>
    </row>
    <row r="37" spans="5:16" ht="18.75" thickBot="1" x14ac:dyDescent="0.3">
      <c r="E37" s="13">
        <f t="shared" si="6"/>
        <v>18</v>
      </c>
      <c r="F37" s="18">
        <v>24.260000000003963</v>
      </c>
      <c r="G37" s="14">
        <f t="shared" ref="G37" si="219">F37-H37</f>
        <v>23.060000000003964</v>
      </c>
      <c r="H37" s="14">
        <f t="shared" ref="H37" si="220">(O37*0.86)/L_h</f>
        <v>1.2</v>
      </c>
      <c r="I37" s="14">
        <f t="shared" si="8"/>
        <v>26.570480326593824</v>
      </c>
      <c r="J37" s="14">
        <f t="shared" ref="J37" si="221">(F37+G37)/2</f>
        <v>23.660000000003961</v>
      </c>
      <c r="K37" s="15">
        <f t="shared" si="2"/>
        <v>20</v>
      </c>
      <c r="L37" s="14">
        <f t="shared" ref="L37" si="222">IF(E37=Ta,"",(G37-K37)/(F37-K37))</f>
        <v>0.71830985915519174</v>
      </c>
      <c r="M37" s="14">
        <f t="shared" ref="M37" si="223">J37-K37</f>
        <v>3.6600000000039614</v>
      </c>
      <c r="N37" s="22">
        <f t="shared" ref="N37" si="224">IF(((G37-K37)/(F37-K37))&gt;0.7,((F37+G37)/2)-K37,((F37-G37)/(LN((F37-K37)/(G37-K37)))))</f>
        <v>3.6600000000039614</v>
      </c>
      <c r="O37" s="20">
        <f t="shared" ref="O37" si="225">IF(E37="","",$O$9/($E$9-Ta)*(E37-Ta))</f>
        <v>37.075088827805338</v>
      </c>
      <c r="P37" s="20">
        <f t="shared" ref="P37" si="226">ROUND(p_∆T_50*((N37/50)^(n)),1)</f>
        <v>37.1</v>
      </c>
    </row>
    <row r="38" spans="5:16" ht="18.75" thickBot="1" x14ac:dyDescent="0.3">
      <c r="E38" s="13">
        <f t="shared" si="6"/>
        <v>19</v>
      </c>
      <c r="F38" s="18">
        <v>22.470000000003683</v>
      </c>
      <c r="G38" s="14">
        <f t="shared" ref="G38" si="227">F38-H38</f>
        <v>21.870000000003682</v>
      </c>
      <c r="H38" s="14">
        <f t="shared" ref="H38" si="228">(O38*0.86)/L_h</f>
        <v>0.6</v>
      </c>
      <c r="I38" s="14">
        <f t="shared" si="8"/>
        <v>26.570480326593824</v>
      </c>
      <c r="J38" s="14">
        <f t="shared" ref="J38" si="229">(F38+G38)/2</f>
        <v>22.170000000003682</v>
      </c>
      <c r="K38" s="15">
        <f t="shared" si="2"/>
        <v>20</v>
      </c>
      <c r="L38" s="14">
        <f t="shared" ref="L38" si="230">IF(E38=Ta,"",(G38-K38)/(F38-K38))</f>
        <v>0.75708502024327662</v>
      </c>
      <c r="M38" s="14">
        <f t="shared" ref="M38" si="231">J38-K38</f>
        <v>2.1700000000036823</v>
      </c>
      <c r="N38" s="22">
        <f t="shared" ref="N38" si="232">IF(((G38-K38)/(F38-K38))&gt;0.7,((F38+G38)/2)-K38,((F38-G38)/(LN((F38-K38)/(G38-K38)))))</f>
        <v>2.1700000000036823</v>
      </c>
      <c r="O38" s="20">
        <f t="shared" ref="O38" si="233">IF(E38="","",$O$9/($E$9-Ta)*(E38-Ta))</f>
        <v>18.537544413902669</v>
      </c>
      <c r="P38" s="20">
        <f t="shared" ref="P38" si="234">ROUND(p_∆T_50*((N38/50)^(n)),1)</f>
        <v>18.5</v>
      </c>
    </row>
    <row r="39" spans="5:16" ht="18.75" thickBot="1" x14ac:dyDescent="0.3">
      <c r="E39" s="13">
        <f t="shared" si="6"/>
        <v>20</v>
      </c>
      <c r="F39" s="18">
        <v>20.000000000003297</v>
      </c>
      <c r="G39" s="14">
        <f t="shared" ref="G39" si="235">F39-H39</f>
        <v>20.000000000003297</v>
      </c>
      <c r="H39" s="14">
        <f t="shared" ref="H39" si="236">(O39*0.86)/L_h</f>
        <v>0</v>
      </c>
      <c r="I39" s="14">
        <f t="shared" si="8"/>
        <v>26.570480326593824</v>
      </c>
      <c r="J39" s="14">
        <f t="shared" ref="J39" si="237">(F39+G39)/2</f>
        <v>20.000000000003297</v>
      </c>
      <c r="K39" s="15">
        <f t="shared" si="2"/>
        <v>20</v>
      </c>
      <c r="L39" s="14" t="str">
        <f t="shared" ref="L39" si="238">IF(E39=Ta,"",(G39-K39)/(F39-K39))</f>
        <v/>
      </c>
      <c r="M39" s="14">
        <f t="shared" ref="M39" si="239">J39-K39</f>
        <v>3.2969182939268649E-12</v>
      </c>
      <c r="N39" s="22">
        <f t="shared" ref="N39" si="240">IF(((G39-K39)/(F39-K39))&gt;0.7,((F39+G39)/2)-K39,((F39-G39)/(LN((F39-K39)/(G39-K39)))))</f>
        <v>3.2969182939268649E-12</v>
      </c>
      <c r="O39" s="20">
        <f t="shared" ref="O39" si="241">IF(E39="","",$O$9/($E$9-Ta)*(E39-Ta))</f>
        <v>0</v>
      </c>
      <c r="P39" s="20">
        <f t="shared" ref="P39" si="242">ROUND(p_∆T_50*((N39/50)^(n)),1)</f>
        <v>0</v>
      </c>
    </row>
  </sheetData>
  <mergeCells count="2">
    <mergeCell ref="C15:C16"/>
    <mergeCell ref="B15:B16"/>
  </mergeCells>
  <pageMargins left="0" right="0" top="0.74803149606299213" bottom="0.74803149606299213" header="0.31496062992125984" footer="0.31496062992125984"/>
  <pageSetup paperSize="9" orientation="landscape" horizontalDpi="360" verticalDpi="36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argh">
                <anchor moveWithCells="1" sizeWithCells="1">
                  <from>
                    <xdr:col>14</xdr:col>
                    <xdr:colOff>619125</xdr:colOff>
                    <xdr:row>2</xdr:row>
                    <xdr:rowOff>200025</xdr:rowOff>
                  </from>
                  <to>
                    <xdr:col>16</xdr:col>
                    <xdr:colOff>571500</xdr:colOff>
                    <xdr:row>4</xdr:row>
                    <xdr:rowOff>238125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8</vt:i4>
      </vt:variant>
    </vt:vector>
  </HeadingPairs>
  <TitlesOfParts>
    <vt:vector size="9" baseType="lpstr">
      <vt:lpstr>Feuil1</vt:lpstr>
      <vt:lpstr>Feuil1!_∆T</vt:lpstr>
      <vt:lpstr>Feuil1!A</vt:lpstr>
      <vt:lpstr>Feuil1!L_h</vt:lpstr>
      <vt:lpstr>Feuil1!n</vt:lpstr>
      <vt:lpstr>Feuil1!p_∆T_50</vt:lpstr>
      <vt:lpstr>Feuil1!Ta</vt:lpstr>
      <vt:lpstr>Feuil1!Te</vt:lpstr>
      <vt:lpstr>Feuil1!Tex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Gut</dc:creator>
  <cp:lastModifiedBy>h2so4</cp:lastModifiedBy>
  <cp:lastPrinted>2018-05-13T09:51:18Z</cp:lastPrinted>
  <dcterms:created xsi:type="dcterms:W3CDTF">2018-05-10T16:17:30Z</dcterms:created>
  <dcterms:modified xsi:type="dcterms:W3CDTF">2018-05-13T10:15:34Z</dcterms:modified>
</cp:coreProperties>
</file>