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899D7EFB-4DAA-4787-ACE4-E5F944D9820A}" xr6:coauthVersionLast="47" xr6:coauthVersionMax="47" xr10:uidLastSave="{00000000-0000-0000-0000-000000000000}"/>
  <bookViews>
    <workbookView xWindow="-120" yWindow="-120" windowWidth="29040" windowHeight="15990" tabRatio="500" firstSheet="2" activeTab="8" xr2:uid="{00000000-000D-0000-FFFF-FFFF00000000}"/>
  </bookViews>
  <sheets>
    <sheet name="Gérer mon argent" sheetId="1" r:id="rId1"/>
    <sheet name="Mandat plateau employés " sheetId="2" r:id="rId2"/>
    <sheet name="Bdd Mandats" sheetId="3" r:id="rId3"/>
    <sheet name="Feuil1" sheetId="4" r:id="rId4"/>
    <sheet name="Mandat plateau Mauricien" sheetId="5" r:id="rId5"/>
    <sheet name="Données du graphique" sheetId="6" state="hidden" r:id="rId6"/>
    <sheet name="Jauge Challenge" sheetId="7" r:id="rId7"/>
    <sheet name="Fiche client" sheetId="8" r:id="rId8"/>
    <sheet name="Simulation " sheetId="9" r:id="rId9"/>
  </sheets>
  <definedNames>
    <definedName name="_xlnm._FilterDatabase" localSheetId="2" hidden="1">'Bdd Mandats'!$A$1:$J$3</definedName>
    <definedName name="_xlnm._FilterDatabase" localSheetId="1" hidden="1">'Mandat plateau employés '!$B$3:$I$45</definedName>
    <definedName name="Dépenses_Mensuelles_Totales">'Gérer mon argent'!$C$6</definedName>
    <definedName name="Épargne_Mensuelle_Totale">'Gérer mon argent'!$C$8</definedName>
    <definedName name="Revenu_Mensuel_Total">'Gérer mon argent'!$C$4</definedName>
  </definedNames>
  <calcPr calcId="191028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M15" i="9" l="1"/>
  <c r="M16" i="9"/>
  <c r="M17" i="9"/>
  <c r="M18" i="9"/>
  <c r="M19" i="9"/>
  <c r="M20" i="9"/>
  <c r="M21" i="9"/>
  <c r="M22" i="9"/>
  <c r="M23" i="9"/>
  <c r="M24" i="9"/>
  <c r="M25" i="9"/>
  <c r="M26" i="9"/>
  <c r="M14" i="9"/>
  <c r="L15" i="9"/>
  <c r="L16" i="9"/>
  <c r="L17" i="9"/>
  <c r="L18" i="9"/>
  <c r="L19" i="9"/>
  <c r="L20" i="9"/>
  <c r="L21" i="9"/>
  <c r="L22" i="9"/>
  <c r="L23" i="9"/>
  <c r="L24" i="9"/>
  <c r="L25" i="9"/>
  <c r="L26" i="9"/>
  <c r="L14" i="9"/>
  <c r="M3" i="9"/>
  <c r="M5" i="9"/>
  <c r="N16" i="9"/>
  <c r="Q26" i="9"/>
  <c r="Q25" i="9"/>
  <c r="Q24" i="9"/>
  <c r="Q23" i="9"/>
  <c r="Q22" i="9"/>
  <c r="Q21" i="9"/>
  <c r="Q20" i="9"/>
  <c r="Q19" i="9"/>
  <c r="Q18" i="9"/>
  <c r="Q17" i="9"/>
  <c r="Q16" i="9"/>
  <c r="P26" i="9"/>
  <c r="P25" i="9"/>
  <c r="P24" i="9"/>
  <c r="P23" i="9"/>
  <c r="P22" i="9"/>
  <c r="P21" i="9"/>
  <c r="P20" i="9"/>
  <c r="P19" i="9"/>
  <c r="P18" i="9"/>
  <c r="P17" i="9"/>
  <c r="P16" i="9"/>
  <c r="O26" i="9"/>
  <c r="O25" i="9"/>
  <c r="O24" i="9"/>
  <c r="O23" i="9"/>
  <c r="O22" i="9"/>
  <c r="O21" i="9"/>
  <c r="O20" i="9"/>
  <c r="O19" i="9"/>
  <c r="O18" i="9"/>
  <c r="O17" i="9"/>
  <c r="O16" i="9"/>
  <c r="O15" i="9"/>
  <c r="N23" i="9"/>
  <c r="N22" i="9"/>
  <c r="N21" i="9"/>
  <c r="N20" i="9"/>
  <c r="N19" i="9"/>
  <c r="N18" i="9"/>
  <c r="N17" i="9"/>
  <c r="F21" i="9"/>
  <c r="K10" i="9"/>
  <c r="I5" i="9"/>
  <c r="I4" i="9"/>
  <c r="F28" i="9"/>
  <c r="E32" i="9"/>
  <c r="E21" i="9"/>
  <c r="E28" i="9"/>
  <c r="E30" i="9"/>
  <c r="H28" i="9"/>
  <c r="H21" i="9"/>
  <c r="E6" i="9"/>
  <c r="C6" i="9"/>
  <c r="D6" i="9"/>
  <c r="F6" i="9"/>
  <c r="D7" i="9"/>
  <c r="C5" i="7"/>
  <c r="C8" i="7"/>
  <c r="C6" i="1"/>
  <c r="C4" i="1"/>
  <c r="B6" i="6"/>
  <c r="B5" i="6"/>
  <c r="B4" i="6"/>
  <c r="E46" i="5"/>
  <c r="D46" i="5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E45" i="2"/>
  <c r="D45" i="2"/>
  <c r="B11" i="1"/>
  <c r="C8" i="1"/>
  <c r="C10" i="1"/>
</calcChain>
</file>

<file path=xl/sharedStrings.xml><?xml version="1.0" encoding="utf-8"?>
<sst xmlns="http://schemas.openxmlformats.org/spreadsheetml/2006/main" count="184" uniqueCount="132">
  <si>
    <t>Budget</t>
  </si>
  <si>
    <t>% revenu dépensé</t>
  </si>
  <si>
    <t>Résumé</t>
  </si>
  <si>
    <t>Revenu mensuel total</t>
  </si>
  <si>
    <t>Dépenses mensuelles totales</t>
  </si>
  <si>
    <t>Épargne mensuelle totale</t>
  </si>
  <si>
    <t>Liquidités</t>
  </si>
  <si>
    <t>Revenu mensuel</t>
  </si>
  <si>
    <t>Élément</t>
  </si>
  <si>
    <t>Montant</t>
  </si>
  <si>
    <t>Source de revenu 1</t>
  </si>
  <si>
    <t>Source de revenu 2</t>
  </si>
  <si>
    <t>Autres</t>
  </si>
  <si>
    <t>Dépenses mensuelles</t>
  </si>
  <si>
    <t>Location/Prêt immobilier</t>
  </si>
  <si>
    <t>Électricité</t>
  </si>
  <si>
    <t>Gaz</t>
  </si>
  <si>
    <t>Téléphone mobile</t>
  </si>
  <si>
    <t>Courses</t>
  </si>
  <si>
    <t>Prêt automobile</t>
  </si>
  <si>
    <t>Cartes bancaires</t>
  </si>
  <si>
    <t>Assurance automobile</t>
  </si>
  <si>
    <t>Divers</t>
  </si>
  <si>
    <t>Épargne mensuelle</t>
  </si>
  <si>
    <t>Date</t>
  </si>
  <si>
    <t>[Date]</t>
  </si>
  <si>
    <t>Mandat</t>
  </si>
  <si>
    <t>Rdv</t>
  </si>
  <si>
    <t>Nom</t>
  </si>
  <si>
    <t xml:space="preserve">Commission </t>
  </si>
  <si>
    <t xml:space="preserve">Mandat </t>
  </si>
  <si>
    <t>pourcentage à  30%</t>
  </si>
  <si>
    <t>à  3%</t>
  </si>
  <si>
    <t>à  2%</t>
  </si>
  <si>
    <t>à  10%</t>
  </si>
  <si>
    <t>Total</t>
  </si>
  <si>
    <t>Dossier</t>
  </si>
  <si>
    <t>Noms</t>
  </si>
  <si>
    <t>commissions Banque</t>
  </si>
  <si>
    <t>Mandats</t>
  </si>
  <si>
    <t>Date de mise en banque</t>
  </si>
  <si>
    <t xml:space="preserve">Date d'acceptation </t>
  </si>
  <si>
    <t xml:space="preserve">Mandats Employés </t>
  </si>
  <si>
    <t>Mandats leads</t>
  </si>
  <si>
    <t>Années/Mois</t>
  </si>
  <si>
    <t xml:space="preserve">Téléphone </t>
  </si>
  <si>
    <t xml:space="preserve">Projet </t>
  </si>
  <si>
    <t xml:space="preserve">Propriétaire </t>
  </si>
  <si>
    <t>Reste mandat</t>
  </si>
  <si>
    <t>Date de sortie banque</t>
  </si>
  <si>
    <t xml:space="preserve">Acceptation  client </t>
  </si>
  <si>
    <t>Mandat à  100%</t>
  </si>
  <si>
    <t>DONNÉES DU GRAPHIQUE</t>
  </si>
  <si>
    <t>pourcentage :</t>
  </si>
  <si>
    <t>Commissions banque :</t>
  </si>
  <si>
    <t>Enregist.</t>
  </si>
  <si>
    <t xml:space="preserve">Prénom </t>
  </si>
  <si>
    <t xml:space="preserve">Civilité </t>
  </si>
  <si>
    <t>Age</t>
  </si>
  <si>
    <t xml:space="preserve">Date de naissance </t>
  </si>
  <si>
    <t>Adresse</t>
  </si>
  <si>
    <t>Code  postal</t>
  </si>
  <si>
    <t>Ville</t>
  </si>
  <si>
    <t>Email</t>
  </si>
  <si>
    <t>Projet</t>
  </si>
  <si>
    <t xml:space="preserve">Situation  Professionnelle </t>
  </si>
  <si>
    <t xml:space="preserve">Locataire </t>
  </si>
  <si>
    <t xml:space="preserve">Loyer </t>
  </si>
  <si>
    <t>Valeur  du bien</t>
  </si>
  <si>
    <t xml:space="preserve">Hébergé </t>
  </si>
  <si>
    <t xml:space="preserve">Mensualité </t>
  </si>
  <si>
    <t>Total restant dû</t>
  </si>
  <si>
    <t>Total  restant dû</t>
  </si>
  <si>
    <t>Crédit  conso 1</t>
  </si>
  <si>
    <t>Crédit  Immo 1</t>
  </si>
  <si>
    <t>Crédit  conso 2</t>
  </si>
  <si>
    <t>Mensualité Total restant dû</t>
  </si>
  <si>
    <t>Nbre enf à charge</t>
  </si>
  <si>
    <t>Revenu</t>
  </si>
  <si>
    <t>Retraite</t>
  </si>
  <si>
    <t>Revenu locatif</t>
  </si>
  <si>
    <t xml:space="preserve">Mr </t>
  </si>
  <si>
    <t xml:space="preserve">Mme </t>
  </si>
  <si>
    <t>Sous-total</t>
  </si>
  <si>
    <t>Conso</t>
  </si>
  <si>
    <t xml:space="preserve">Montant initial </t>
  </si>
  <si>
    <t>Taux</t>
  </si>
  <si>
    <t xml:space="preserve">Mensualités </t>
  </si>
  <si>
    <t>CRD</t>
  </si>
  <si>
    <t>Fin</t>
  </si>
  <si>
    <t>Motif</t>
  </si>
  <si>
    <t>Déclaration  impots</t>
  </si>
  <si>
    <t xml:space="preserve">Début </t>
  </si>
  <si>
    <t>Immo</t>
  </si>
  <si>
    <t>Totalité  des Mensualités :</t>
  </si>
  <si>
    <t>Totalité  du CRD :</t>
  </si>
  <si>
    <t xml:space="preserve">Année  naissance </t>
  </si>
  <si>
    <t>Mr</t>
  </si>
  <si>
    <t>Mme</t>
  </si>
  <si>
    <t>Diac</t>
  </si>
  <si>
    <t xml:space="preserve"> +8%   --&gt;</t>
  </si>
  <si>
    <t>Si je fais un RAC CONSO</t>
  </si>
  <si>
    <t>1 ans (12)</t>
  </si>
  <si>
    <t>3 ans (36)</t>
  </si>
  <si>
    <t>5 ans (60)</t>
  </si>
  <si>
    <t>12 ans (144)</t>
  </si>
  <si>
    <t>15 ans (180)</t>
  </si>
  <si>
    <t>6 ans (72)</t>
  </si>
  <si>
    <t>7 ans (84)</t>
  </si>
  <si>
    <t>8 ans (96)</t>
  </si>
  <si>
    <t>9 ans (108)</t>
  </si>
  <si>
    <t>10 ans (120)</t>
  </si>
  <si>
    <t>11 ans (132)</t>
  </si>
  <si>
    <t>13 ans (156)</t>
  </si>
  <si>
    <t>14 ans (168)</t>
  </si>
  <si>
    <t>CFCAL</t>
  </si>
  <si>
    <t>CREATIS</t>
  </si>
  <si>
    <t>CREDILIFT</t>
  </si>
  <si>
    <t>CGI</t>
  </si>
  <si>
    <t xml:space="preserve">Proposition sans garantie </t>
  </si>
  <si>
    <t xml:space="preserve">proprio/ locataire </t>
  </si>
  <si>
    <t>Propriétaire</t>
  </si>
  <si>
    <t>Avec un taux de</t>
  </si>
  <si>
    <t>%</t>
  </si>
  <si>
    <t>&gt;&lt;</t>
  </si>
  <si>
    <t>MYMONEYBANK (seul.proprio)</t>
  </si>
  <si>
    <t xml:space="preserve">Je suis </t>
  </si>
  <si>
    <t xml:space="preserve"> SYGMA </t>
  </si>
  <si>
    <t>J'ai</t>
  </si>
  <si>
    <t>ans</t>
  </si>
  <si>
    <t xml:space="preserve">propriétaire 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</si>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</sst>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.00\ &quot;€&quot;;[Red]\-#,##0.00\ &quot;€&quot;"/>
    <numFmt numFmtId="165" formatCode="0\ %"/>
    <numFmt numFmtId="166" formatCode="#,##0&quot; €&quot;"/>
    <numFmt numFmtId="167" formatCode="#,##0.00&quot; €&quot;"/>
    <numFmt numFmtId="168" formatCode="\£#,##0.00"/>
  </numFmts>
  <fonts count="12" x14ac:knownFonts="1">
    <font>
      <b/>
      <sz val="12"/>
      <color rgb="FF7A8777"/>
      <name val="Arial"/>
      <family val="2"/>
      <charset val="1"/>
    </font>
    <font>
      <b/>
      <sz val="29"/>
      <color rgb="FF282C27"/>
      <name val="Arial"/>
      <family val="2"/>
      <charset val="1"/>
    </font>
    <font>
      <b/>
      <sz val="18"/>
      <color rgb="FF282C27"/>
      <name val="Arial"/>
      <family val="2"/>
      <charset val="1"/>
    </font>
    <font>
      <sz val="12"/>
      <color rgb="FFFFFFFF"/>
      <name val="Arial"/>
      <family val="2"/>
      <charset val="1"/>
    </font>
    <font>
      <b/>
      <sz val="12"/>
      <color rgb="FF91BD30"/>
      <name val="Arial"/>
      <family val="2"/>
      <charset val="1"/>
    </font>
    <font>
      <b/>
      <sz val="14"/>
      <color rgb="FF91BD30"/>
      <name val="Arial"/>
      <family val="2"/>
      <charset val="1"/>
    </font>
    <font>
      <sz val="12"/>
      <name val="Arial"/>
      <family val="2"/>
      <charset val="1"/>
    </font>
    <font>
      <sz val="14"/>
      <color rgb="FF7A8777"/>
      <name val="Arial"/>
      <family val="2"/>
      <charset val="1"/>
    </font>
    <font>
      <b/>
      <sz val="14"/>
      <color rgb="FF7A8777"/>
      <name val="Georgia"/>
      <family val="18"/>
    </font>
    <font>
      <b/>
      <u/>
      <sz val="14"/>
      <color rgb="FF7A8777"/>
      <name val="Georgia"/>
      <family val="18"/>
    </font>
    <font>
      <b/>
      <sz val="12"/>
      <color theme="1"/>
      <name val="Arial"/>
      <family val="2"/>
      <charset val="1"/>
    </font>
    <font>
      <b/>
      <sz val="14"/>
      <color rgb="FF7A8777"/>
      <name val="Arial"/>
      <family val="2"/>
      <charset val="1"/>
    </font>
  </fonts>
  <fills count="15">
    <fill>
      <patternFill patternType="none"/>
    </fill>
    <fill>
      <patternFill patternType="gray125"/>
    </fill>
    <fill>
      <patternFill patternType="solid">
        <fgColor rgb="FFF7C3CD"/>
        <bgColor rgb="FFEEDBE9"/>
      </patternFill>
    </fill>
    <fill>
      <patternFill patternType="solid">
        <fgColor rgb="FFEEDBE9"/>
        <bgColor rgb="FFF7C3CD"/>
      </patternFill>
    </fill>
    <fill>
      <patternFill patternType="solid">
        <fgColor rgb="FFFFFFFF"/>
        <bgColor rgb="FFFFFFCC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</fills>
  <borders count="54">
    <border>
      <left/>
      <right/>
      <top/>
      <bottom/>
      <diagonal/>
    </border>
    <border>
      <left style="double">
        <color rgb="FF505050"/>
      </left>
      <right style="double">
        <color rgb="FF505050"/>
      </right>
      <top style="double">
        <color rgb="FF505050"/>
      </top>
      <bottom/>
      <diagonal/>
    </border>
    <border>
      <left style="double">
        <color rgb="FF505050"/>
      </left>
      <right style="double">
        <color rgb="FF505050"/>
      </right>
      <top style="double">
        <color rgb="FF505050"/>
      </top>
      <bottom style="double">
        <color rgb="FF505050"/>
      </bottom>
      <diagonal/>
    </border>
    <border>
      <left/>
      <right style="double">
        <color rgb="FF505050"/>
      </right>
      <top/>
      <bottom style="double">
        <color rgb="FF505050"/>
      </bottom>
      <diagonal/>
    </border>
    <border>
      <left style="double">
        <color rgb="FF505050"/>
      </left>
      <right style="double">
        <color rgb="FF505050"/>
      </right>
      <top/>
      <bottom style="double">
        <color rgb="FF505050"/>
      </bottom>
      <diagonal/>
    </border>
    <border>
      <left style="double">
        <color rgb="FF505050"/>
      </left>
      <right style="double">
        <color rgb="FF505050"/>
      </right>
      <top/>
      <bottom style="thin">
        <color rgb="FF505050"/>
      </bottom>
      <diagonal/>
    </border>
    <border>
      <left/>
      <right style="thin">
        <color rgb="FF505050"/>
      </right>
      <top/>
      <bottom style="thin">
        <color rgb="FF505050"/>
      </bottom>
      <diagonal/>
    </border>
    <border>
      <left style="thin">
        <color rgb="FF505050"/>
      </left>
      <right style="thin">
        <color rgb="FF505050"/>
      </right>
      <top/>
      <bottom style="thin">
        <color rgb="FF505050"/>
      </bottom>
      <diagonal/>
    </border>
    <border>
      <left style="thin">
        <color rgb="FF505050"/>
      </left>
      <right style="double">
        <color rgb="FF505050"/>
      </right>
      <top/>
      <bottom style="thin">
        <color rgb="FF505050"/>
      </bottom>
      <diagonal/>
    </border>
    <border>
      <left style="double">
        <color rgb="FF505050"/>
      </left>
      <right style="double">
        <color rgb="FF505050"/>
      </right>
      <top style="thin">
        <color rgb="FF505050"/>
      </top>
      <bottom style="thin">
        <color rgb="FF505050"/>
      </bottom>
      <diagonal/>
    </border>
    <border>
      <left/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double">
        <color rgb="FF505050"/>
      </left>
      <right style="double">
        <color rgb="FF505050"/>
      </right>
      <top style="thin">
        <color rgb="FF505050"/>
      </top>
      <bottom style="double">
        <color rgb="FF505050"/>
      </bottom>
      <diagonal/>
    </border>
    <border>
      <left/>
      <right style="thin">
        <color rgb="FF505050"/>
      </right>
      <top style="thin">
        <color rgb="FF505050"/>
      </top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/>
      <diagonal/>
    </border>
    <border>
      <left/>
      <right style="thin">
        <color rgb="FF505050"/>
      </right>
      <top style="double">
        <color rgb="FF505050"/>
      </top>
      <bottom style="double">
        <color rgb="FF505050"/>
      </bottom>
      <diagonal/>
    </border>
    <border>
      <left style="thin">
        <color rgb="FF505050"/>
      </left>
      <right style="thin">
        <color rgb="FF505050"/>
      </right>
      <top style="double">
        <color rgb="FF505050"/>
      </top>
      <bottom style="double">
        <color rgb="FF505050"/>
      </bottom>
      <diagonal/>
    </border>
    <border>
      <left style="thin">
        <color rgb="FF505050"/>
      </left>
      <right style="double">
        <color rgb="FF505050"/>
      </right>
      <top style="double">
        <color rgb="FF505050"/>
      </top>
      <bottom style="double">
        <color rgb="FF505050"/>
      </bottom>
      <diagonal/>
    </border>
    <border>
      <left style="thin">
        <color rgb="FF505050"/>
      </left>
      <right style="double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rgb="FF505050"/>
      </left>
      <right style="double">
        <color rgb="FF505050"/>
      </right>
      <top style="thin">
        <color rgb="FF505050"/>
      </top>
      <bottom/>
      <diagonal/>
    </border>
    <border>
      <left style="medium">
        <color rgb="FF505050"/>
      </left>
      <right style="medium">
        <color rgb="FF505050"/>
      </right>
      <top/>
      <bottom style="medium">
        <color rgb="FF505050"/>
      </bottom>
      <diagonal/>
    </border>
    <border>
      <left/>
      <right/>
      <top/>
      <bottom style="medium">
        <color rgb="FF505050"/>
      </bottom>
      <diagonal/>
    </border>
    <border>
      <left/>
      <right style="medium">
        <color rgb="FF505050"/>
      </right>
      <top/>
      <bottom style="medium">
        <color rgb="FF505050"/>
      </bottom>
      <diagonal/>
    </border>
    <border>
      <left style="medium">
        <color rgb="FF505050"/>
      </left>
      <right style="thin">
        <color rgb="FF505050"/>
      </right>
      <top style="medium">
        <color rgb="FF505050"/>
      </top>
      <bottom style="medium">
        <color rgb="FF505050"/>
      </bottom>
      <diagonal/>
    </border>
    <border>
      <left style="thin">
        <color rgb="FF505050"/>
      </left>
      <right style="thin">
        <color rgb="FF505050"/>
      </right>
      <top style="medium">
        <color rgb="FF505050"/>
      </top>
      <bottom style="medium">
        <color rgb="FF505050"/>
      </bottom>
      <diagonal/>
    </border>
    <border>
      <left style="thin">
        <color rgb="FF505050"/>
      </left>
      <right style="medium">
        <color rgb="FF505050"/>
      </right>
      <top style="medium">
        <color rgb="FF505050"/>
      </top>
      <bottom style="medium">
        <color rgb="FF505050"/>
      </bottom>
      <diagonal/>
    </border>
    <border>
      <left style="medium">
        <color rgb="FF505050"/>
      </left>
      <right style="thin">
        <color rgb="FF505050"/>
      </right>
      <top/>
      <bottom style="thin">
        <color rgb="FF505050"/>
      </bottom>
      <diagonal/>
    </border>
    <border>
      <left style="thin">
        <color rgb="FF505050"/>
      </left>
      <right style="medium">
        <color rgb="FF505050"/>
      </right>
      <top/>
      <bottom style="thin">
        <color rgb="FF505050"/>
      </bottom>
      <diagonal/>
    </border>
    <border>
      <left style="medium">
        <color rgb="FF505050"/>
      </left>
      <right/>
      <top style="medium">
        <color rgb="FF505050"/>
      </top>
      <bottom style="thin">
        <color rgb="FF505050"/>
      </bottom>
      <diagonal/>
    </border>
    <border>
      <left style="medium">
        <color rgb="FF505050"/>
      </left>
      <right style="thin">
        <color rgb="FF505050"/>
      </right>
      <top style="thin">
        <color rgb="FF505050"/>
      </top>
      <bottom/>
      <diagonal/>
    </border>
    <border>
      <left style="thin">
        <color rgb="FF505050"/>
      </left>
      <right style="medium">
        <color rgb="FF505050"/>
      </right>
      <top style="thin">
        <color rgb="FF505050"/>
      </top>
      <bottom/>
      <diagonal/>
    </border>
    <border>
      <left style="medium">
        <color rgb="FF505050"/>
      </left>
      <right style="medium">
        <color rgb="FF505050"/>
      </right>
      <top style="medium">
        <color rgb="FF505050"/>
      </top>
      <bottom style="medium">
        <color rgb="FF505050"/>
      </bottom>
      <diagonal/>
    </border>
    <border>
      <left style="medium">
        <color rgb="FF505050"/>
      </left>
      <right/>
      <top style="thin">
        <color rgb="FF505050"/>
      </top>
      <bottom/>
      <diagonal/>
    </border>
    <border>
      <left/>
      <right style="thin">
        <color rgb="FF505050"/>
      </right>
      <top style="medium">
        <color rgb="FF505050"/>
      </top>
      <bottom style="medium">
        <color rgb="FF505050"/>
      </bottom>
      <diagonal/>
    </border>
    <border>
      <left style="thin">
        <color rgb="FF505050"/>
      </left>
      <right/>
      <top style="medium">
        <color rgb="FF505050"/>
      </top>
      <bottom style="medium">
        <color rgb="FF505050"/>
      </bottom>
      <diagonal/>
    </border>
    <border>
      <left style="thin">
        <color rgb="FF505050"/>
      </left>
      <right/>
      <top/>
      <bottom style="thin">
        <color rgb="FF505050"/>
      </bottom>
      <diagonal/>
    </border>
    <border>
      <left style="thin">
        <color rgb="FF505050"/>
      </left>
      <right/>
      <top style="thin">
        <color rgb="FF505050"/>
      </top>
      <bottom/>
      <diagonal/>
    </border>
    <border>
      <left style="medium">
        <color rgb="FF505050"/>
      </left>
      <right style="thin">
        <color rgb="FF505050"/>
      </right>
      <top style="medium">
        <color rgb="FF505050"/>
      </top>
      <bottom/>
      <diagonal/>
    </border>
    <border>
      <left style="thin">
        <color rgb="FF505050"/>
      </left>
      <right style="thin">
        <color rgb="FF505050"/>
      </right>
      <top style="medium">
        <color rgb="FF505050"/>
      </top>
      <bottom/>
      <diagonal/>
    </border>
    <border>
      <left style="thin">
        <color rgb="FF505050"/>
      </left>
      <right/>
      <top style="medium">
        <color rgb="FF505050"/>
      </top>
      <bottom/>
      <diagonal/>
    </border>
    <border>
      <left style="thin">
        <color rgb="FF505050"/>
      </left>
      <right style="medium">
        <color rgb="FF505050"/>
      </right>
      <top style="medium">
        <color rgb="FF505050"/>
      </top>
      <bottom/>
      <diagonal/>
    </border>
    <border>
      <left style="thin">
        <color rgb="FF505050"/>
      </left>
      <right style="medium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medium">
        <color rgb="FF505050"/>
      </bottom>
      <diagonal/>
    </border>
    <border>
      <left style="thin">
        <color rgb="FF505050"/>
      </left>
      <right style="medium">
        <color rgb="FF505050"/>
      </right>
      <top style="thin">
        <color rgb="FF505050"/>
      </top>
      <bottom style="medium">
        <color rgb="FF505050"/>
      </bottom>
      <diagonal/>
    </border>
    <border>
      <left style="medium">
        <color rgb="FF505050"/>
      </left>
      <right style="medium">
        <color rgb="FF505050"/>
      </right>
      <top style="medium">
        <color rgb="FF505050"/>
      </top>
      <bottom style="thin">
        <color rgb="FF505050"/>
      </bottom>
      <diagonal/>
    </border>
    <border>
      <left style="medium">
        <color rgb="FF505050"/>
      </left>
      <right style="medium">
        <color rgb="FF505050"/>
      </right>
      <top style="thin">
        <color rgb="FF505050"/>
      </top>
      <bottom style="thin">
        <color rgb="FF505050"/>
      </bottom>
      <diagonal/>
    </border>
    <border>
      <left style="medium">
        <color rgb="FF505050"/>
      </left>
      <right style="medium">
        <color rgb="FF505050"/>
      </right>
      <top style="thin">
        <color rgb="FF505050"/>
      </top>
      <bottom style="medium">
        <color rgb="FF505050"/>
      </bottom>
      <diagonal/>
    </border>
    <border>
      <left/>
      <right style="thin">
        <color rgb="FF505050"/>
      </right>
      <top style="thin">
        <color rgb="FF505050"/>
      </top>
      <bottom style="medium">
        <color rgb="FF505050"/>
      </bottom>
      <diagonal/>
    </border>
    <border>
      <left style="medium">
        <color rgb="FF505050"/>
      </left>
      <right style="thin">
        <color rgb="FF505050"/>
      </right>
      <top style="thin">
        <color rgb="FF505050"/>
      </top>
      <bottom style="medium">
        <color rgb="FF505050"/>
      </bottom>
      <diagonal/>
    </border>
    <border>
      <left style="medium">
        <color rgb="FF505050"/>
      </left>
      <right/>
      <top style="thin">
        <color rgb="FF505050"/>
      </top>
      <bottom style="thin">
        <color rgb="FF505050"/>
      </bottom>
      <diagonal/>
    </border>
    <border>
      <left style="medium">
        <color rgb="FF505050"/>
      </left>
      <right/>
      <top style="thin">
        <color rgb="FF505050"/>
      </top>
      <bottom style="medium">
        <color rgb="FF505050"/>
      </bottom>
      <diagonal/>
    </border>
    <border>
      <left style="medium">
        <color rgb="FF505050"/>
      </left>
      <right style="thin">
        <color rgb="FF505050"/>
      </right>
      <top style="medium">
        <color rgb="FF505050"/>
      </top>
      <bottom style="thin">
        <color rgb="FF505050"/>
      </bottom>
      <diagonal/>
    </border>
    <border>
      <left style="thin">
        <color rgb="FF505050"/>
      </left>
      <right style="thin">
        <color rgb="FF505050"/>
      </right>
      <top style="medium">
        <color rgb="FF505050"/>
      </top>
      <bottom style="thin">
        <color rgb="FF505050"/>
      </bottom>
      <diagonal/>
    </border>
    <border>
      <left style="thin">
        <color rgb="FF505050"/>
      </left>
      <right style="medium">
        <color rgb="FF505050"/>
      </right>
      <top style="medium">
        <color rgb="FF505050"/>
      </top>
      <bottom style="thin">
        <color rgb="FF505050"/>
      </bottom>
      <diagonal/>
    </border>
  </borders>
  <cellStyleXfs count="2">
    <xf numFmtId="0" fontId="0" fillId="0" borderId="0"/>
    <xf numFmtId="0" fontId="2" fillId="0" borderId="0" applyProtection="0">
      <alignment horizontal="left"/>
    </xf>
  </cellStyleXfs>
  <cellXfs count="109">
    <xf numFmtId="0" fontId="0" fillId="0" borderId="0" xfId="0"/>
    <xf numFmtId="0" fontId="1" fillId="0" borderId="0" xfId="1" applyFont="1" applyProtection="1">
      <alignment horizontal="left"/>
    </xf>
    <xf numFmtId="0" fontId="2" fillId="0" borderId="0" xfId="1" applyProtection="1">
      <alignment horizontal="left"/>
    </xf>
    <xf numFmtId="165" fontId="3" fillId="0" borderId="0" xfId="0" applyNumberFormat="1" applyFont="1"/>
    <xf numFmtId="166" fontId="4" fillId="0" borderId="0" xfId="0" applyNumberFormat="1" applyFont="1" applyAlignment="1">
      <alignment horizontal="left"/>
    </xf>
    <xf numFmtId="165" fontId="5" fillId="0" borderId="0" xfId="0" applyNumberFormat="1" applyFont="1" applyAlignment="1">
      <alignment horizontal="center" vertical="center"/>
    </xf>
    <xf numFmtId="0" fontId="4" fillId="0" borderId="0" xfId="0" applyFont="1"/>
    <xf numFmtId="167" fontId="0" fillId="0" borderId="0" xfId="0" applyNumberFormat="1" applyAlignment="1">
      <alignment horizontal="left"/>
    </xf>
    <xf numFmtId="168" fontId="0" fillId="0" borderId="0" xfId="0" applyNumberFormat="1" applyAlignment="1">
      <alignment horizontal="left"/>
    </xf>
    <xf numFmtId="0" fontId="0" fillId="0" borderId="0" xfId="0" applyFont="1"/>
    <xf numFmtId="0" fontId="0" fillId="0" borderId="0" xfId="0" applyAlignment="1">
      <alignment horizontal="left"/>
    </xf>
    <xf numFmtId="14" fontId="0" fillId="0" borderId="0" xfId="0" applyNumberFormat="1" applyFont="1"/>
    <xf numFmtId="14" fontId="0" fillId="0" borderId="0" xfId="0" applyNumberFormat="1" applyFont="1" applyAlignment="1">
      <alignment horizontal="left"/>
    </xf>
    <xf numFmtId="0" fontId="0" fillId="3" borderId="2" xfId="0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3" borderId="9" xfId="0" applyFill="1" applyBorder="1" applyAlignment="1">
      <alignment horizontal="center" vertical="center"/>
    </xf>
    <xf numFmtId="0" fontId="0" fillId="0" borderId="10" xfId="0" applyBorder="1"/>
    <xf numFmtId="0" fontId="0" fillId="0" borderId="11" xfId="0" applyBorder="1"/>
    <xf numFmtId="0" fontId="0" fillId="3" borderId="12" xfId="0" applyFill="1" applyBorder="1" applyAlignment="1">
      <alignment horizontal="center" vertical="center"/>
    </xf>
    <xf numFmtId="0" fontId="0" fillId="0" borderId="13" xfId="0" applyBorder="1"/>
    <xf numFmtId="0" fontId="0" fillId="0" borderId="14" xfId="0" applyBorder="1"/>
    <xf numFmtId="0" fontId="0" fillId="4" borderId="0" xfId="0" applyFill="1" applyBorder="1"/>
    <xf numFmtId="0" fontId="0" fillId="3" borderId="2" xfId="0" applyFont="1" applyFill="1" applyBorder="1"/>
    <xf numFmtId="0" fontId="0" fillId="3" borderId="15" xfId="0" applyFill="1" applyBorder="1"/>
    <xf numFmtId="0" fontId="0" fillId="3" borderId="16" xfId="0" applyFill="1" applyBorder="1"/>
    <xf numFmtId="0" fontId="0" fillId="3" borderId="17" xfId="0" applyFill="1" applyBorder="1"/>
    <xf numFmtId="0" fontId="0" fillId="0" borderId="18" xfId="0" applyBorder="1"/>
    <xf numFmtId="0" fontId="0" fillId="0" borderId="19" xfId="0" applyBorder="1"/>
    <xf numFmtId="165" fontId="6" fillId="0" borderId="0" xfId="0" applyNumberFormat="1" applyFont="1"/>
    <xf numFmtId="0" fontId="9" fillId="6" borderId="0" xfId="0" applyFont="1" applyFill="1"/>
    <xf numFmtId="0" fontId="7" fillId="6" borderId="0" xfId="0" applyFont="1" applyFill="1"/>
    <xf numFmtId="0" fontId="8" fillId="5" borderId="0" xfId="0" applyFont="1" applyFill="1" applyAlignment="1">
      <alignment horizontal="right"/>
    </xf>
    <xf numFmtId="0" fontId="0" fillId="5" borderId="0" xfId="0" applyFill="1" applyAlignment="1">
      <alignment horizontal="center"/>
    </xf>
    <xf numFmtId="0" fontId="10" fillId="7" borderId="0" xfId="0" applyFont="1" applyFill="1"/>
    <xf numFmtId="0" fontId="10" fillId="8" borderId="0" xfId="0" applyFont="1" applyFill="1"/>
    <xf numFmtId="0" fontId="10" fillId="9" borderId="0" xfId="0" applyFont="1" applyFill="1"/>
    <xf numFmtId="0" fontId="10" fillId="10" borderId="0" xfId="0" applyFont="1" applyFill="1"/>
    <xf numFmtId="0" fontId="10" fillId="11" borderId="0" xfId="0" applyFont="1" applyFill="1"/>
    <xf numFmtId="0" fontId="0" fillId="12" borderId="26" xfId="0" applyFill="1" applyBorder="1"/>
    <xf numFmtId="0" fontId="0" fillId="12" borderId="7" xfId="0" applyFill="1" applyBorder="1"/>
    <xf numFmtId="0" fontId="0" fillId="12" borderId="27" xfId="0" applyFill="1" applyBorder="1"/>
    <xf numFmtId="0" fontId="0" fillId="12" borderId="29" xfId="0" applyFill="1" applyBorder="1"/>
    <xf numFmtId="0" fontId="0" fillId="12" borderId="14" xfId="0" applyFill="1" applyBorder="1"/>
    <xf numFmtId="0" fontId="0" fillId="12" borderId="30" xfId="0" applyFill="1" applyBorder="1"/>
    <xf numFmtId="0" fontId="0" fillId="5" borderId="23" xfId="0" applyFill="1" applyBorder="1"/>
    <xf numFmtId="0" fontId="0" fillId="5" borderId="24" xfId="0" applyFill="1" applyBorder="1"/>
    <xf numFmtId="0" fontId="0" fillId="5" borderId="25" xfId="0" applyFill="1" applyBorder="1"/>
    <xf numFmtId="0" fontId="0" fillId="5" borderId="28" xfId="0" applyFill="1" applyBorder="1"/>
    <xf numFmtId="0" fontId="0" fillId="5" borderId="32" xfId="0" applyFill="1" applyBorder="1"/>
    <xf numFmtId="0" fontId="0" fillId="5" borderId="31" xfId="0" applyFill="1" applyBorder="1"/>
    <xf numFmtId="0" fontId="0" fillId="5" borderId="33" xfId="0" applyFill="1" applyBorder="1"/>
    <xf numFmtId="0" fontId="0" fillId="5" borderId="34" xfId="0" applyFill="1" applyBorder="1"/>
    <xf numFmtId="0" fontId="0" fillId="12" borderId="35" xfId="0" applyFill="1" applyBorder="1"/>
    <xf numFmtId="0" fontId="0" fillId="12" borderId="36" xfId="0" applyFill="1" applyBorder="1"/>
    <xf numFmtId="0" fontId="0" fillId="13" borderId="20" xfId="0" applyFill="1" applyBorder="1"/>
    <xf numFmtId="0" fontId="0" fillId="13" borderId="21" xfId="0" applyFill="1" applyBorder="1"/>
    <xf numFmtId="0" fontId="11" fillId="13" borderId="21" xfId="0" applyFont="1" applyFill="1" applyBorder="1"/>
    <xf numFmtId="0" fontId="0" fillId="13" borderId="22" xfId="0" applyFill="1" applyBorder="1"/>
    <xf numFmtId="0" fontId="11" fillId="0" borderId="0" xfId="0" applyFont="1" applyAlignment="1">
      <alignment horizontal="center"/>
    </xf>
    <xf numFmtId="0" fontId="0" fillId="13" borderId="0" xfId="0" applyFill="1"/>
    <xf numFmtId="0" fontId="0" fillId="12" borderId="11" xfId="0" applyFill="1" applyBorder="1"/>
    <xf numFmtId="14" fontId="0" fillId="12" borderId="11" xfId="0" applyNumberFormat="1" applyFill="1" applyBorder="1"/>
    <xf numFmtId="0" fontId="0" fillId="12" borderId="41" xfId="0" applyFill="1" applyBorder="1"/>
    <xf numFmtId="0" fontId="0" fillId="0" borderId="42" xfId="0" applyBorder="1"/>
    <xf numFmtId="0" fontId="0" fillId="13" borderId="42" xfId="0" applyFill="1" applyBorder="1"/>
    <xf numFmtId="14" fontId="0" fillId="13" borderId="42" xfId="0" applyNumberFormat="1" applyFill="1" applyBorder="1"/>
    <xf numFmtId="0" fontId="0" fillId="0" borderId="43" xfId="0" applyBorder="1"/>
    <xf numFmtId="0" fontId="0" fillId="0" borderId="46" xfId="0" applyBorder="1"/>
    <xf numFmtId="0" fontId="0" fillId="12" borderId="10" xfId="0" applyFill="1" applyBorder="1"/>
    <xf numFmtId="0" fontId="0" fillId="0" borderId="47" xfId="0" applyBorder="1"/>
    <xf numFmtId="0" fontId="0" fillId="5" borderId="37" xfId="0" applyFill="1" applyBorder="1"/>
    <xf numFmtId="0" fontId="0" fillId="5" borderId="38" xfId="0" applyFill="1" applyBorder="1"/>
    <xf numFmtId="0" fontId="0" fillId="5" borderId="39" xfId="0" applyFill="1" applyBorder="1"/>
    <xf numFmtId="0" fontId="0" fillId="5" borderId="40" xfId="0" applyFill="1" applyBorder="1"/>
    <xf numFmtId="0" fontId="0" fillId="12" borderId="44" xfId="0" applyFill="1" applyBorder="1"/>
    <xf numFmtId="0" fontId="0" fillId="12" borderId="45" xfId="0" applyFill="1" applyBorder="1"/>
    <xf numFmtId="0" fontId="0" fillId="0" borderId="0" xfId="0" applyAlignment="1">
      <alignment horizontal="right"/>
    </xf>
    <xf numFmtId="0" fontId="0" fillId="12" borderId="48" xfId="0" applyFill="1" applyBorder="1"/>
    <xf numFmtId="0" fontId="0" fillId="12" borderId="43" xfId="0" applyFill="1" applyBorder="1"/>
    <xf numFmtId="0" fontId="0" fillId="13" borderId="7" xfId="0" applyFill="1" applyBorder="1"/>
    <xf numFmtId="0" fontId="0" fillId="0" borderId="0" xfId="0" applyBorder="1" applyAlignment="1">
      <alignment horizontal="right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9" fontId="0" fillId="0" borderId="0" xfId="0" applyNumberFormat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right"/>
    </xf>
    <xf numFmtId="0" fontId="7" fillId="5" borderId="28" xfId="0" applyFont="1" applyFill="1" applyBorder="1" applyAlignment="1">
      <alignment horizontal="center"/>
    </xf>
    <xf numFmtId="0" fontId="7" fillId="5" borderId="49" xfId="0" applyFont="1" applyFill="1" applyBorder="1" applyAlignment="1">
      <alignment horizontal="center"/>
    </xf>
    <xf numFmtId="0" fontId="7" fillId="5" borderId="50" xfId="0" applyFont="1" applyFill="1" applyBorder="1" applyAlignment="1">
      <alignment horizontal="center"/>
    </xf>
    <xf numFmtId="0" fontId="11" fillId="5" borderId="37" xfId="0" applyFont="1" applyFill="1" applyBorder="1" applyAlignment="1">
      <alignment horizontal="center"/>
    </xf>
    <xf numFmtId="0" fontId="11" fillId="5" borderId="38" xfId="0" applyFont="1" applyFill="1" applyBorder="1" applyAlignment="1">
      <alignment horizontal="center"/>
    </xf>
    <xf numFmtId="0" fontId="11" fillId="5" borderId="40" xfId="0" applyFont="1" applyFill="1" applyBorder="1" applyAlignment="1">
      <alignment horizontal="center"/>
    </xf>
    <xf numFmtId="164" fontId="0" fillId="14" borderId="51" xfId="0" applyNumberFormat="1" applyFont="1" applyFill="1" applyBorder="1" applyAlignment="1">
      <alignment horizontal="center"/>
    </xf>
    <xf numFmtId="0" fontId="0" fillId="14" borderId="52" xfId="0" applyFont="1" applyFill="1" applyBorder="1" applyAlignment="1">
      <alignment horizontal="center"/>
    </xf>
    <xf numFmtId="0" fontId="0" fillId="14" borderId="53" xfId="0" applyFont="1" applyFill="1" applyBorder="1" applyAlignment="1">
      <alignment horizontal="center"/>
    </xf>
    <xf numFmtId="0" fontId="0" fillId="14" borderId="11" xfId="0" applyFont="1" applyFill="1" applyBorder="1" applyAlignment="1">
      <alignment horizontal="center"/>
    </xf>
    <xf numFmtId="164" fontId="0" fillId="14" borderId="11" xfId="0" applyNumberFormat="1" applyFont="1" applyFill="1" applyBorder="1" applyAlignment="1">
      <alignment horizontal="center"/>
    </xf>
    <xf numFmtId="0" fontId="0" fillId="14" borderId="41" xfId="0" applyFont="1" applyFill="1" applyBorder="1" applyAlignment="1">
      <alignment horizontal="center"/>
    </xf>
    <xf numFmtId="164" fontId="0" fillId="14" borderId="41" xfId="0" applyNumberFormat="1" applyFont="1" applyFill="1" applyBorder="1" applyAlignment="1">
      <alignment horizontal="center"/>
    </xf>
    <xf numFmtId="164" fontId="0" fillId="14" borderId="42" xfId="0" applyNumberFormat="1" applyFont="1" applyFill="1" applyBorder="1" applyAlignment="1">
      <alignment horizontal="center"/>
    </xf>
    <xf numFmtId="0" fontId="0" fillId="14" borderId="42" xfId="0" applyFont="1" applyFill="1" applyBorder="1" applyAlignment="1">
      <alignment horizontal="center"/>
    </xf>
    <xf numFmtId="164" fontId="0" fillId="14" borderId="43" xfId="0" applyNumberFormat="1" applyFont="1" applyFill="1" applyBorder="1" applyAlignment="1">
      <alignment horizontal="center"/>
    </xf>
    <xf numFmtId="0" fontId="0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right"/>
    </xf>
  </cellXfs>
  <cellStyles count="2">
    <cellStyle name="Explanatory Text" xfId="1" builtinId="53" customBuiltin="1"/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91BD30"/>
      <rgbColor rgb="FF800080"/>
      <rgbColor rgb="FF008080"/>
      <rgbColor rgb="FFB3B3B3"/>
      <rgbColor rgb="FF7F7F7F"/>
      <rgbColor rgb="FF9999FF"/>
      <rgbColor rgb="FF993366"/>
      <rgbColor rgb="FFFFFFCC"/>
      <rgbColor rgb="FFCCFFFF"/>
      <rgbColor rgb="FF660066"/>
      <rgbColor rgb="FFFF8080"/>
      <rgbColor rgb="FF0066CC"/>
      <rgbColor rgb="FFEEDBE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EC754"/>
      <rgbColor rgb="FFFF99CC"/>
      <rgbColor rgb="FFCC99FF"/>
      <rgbColor rgb="FFF7C3CD"/>
      <rgbColor rgb="FF3366FF"/>
      <rgbColor rgb="FF33CCCC"/>
      <rgbColor rgb="FF93C328"/>
      <rgbColor rgb="FFFFCC00"/>
      <rgbColor rgb="FFFF9900"/>
      <rgbColor rgb="FFFF6600"/>
      <rgbColor rgb="FF505050"/>
      <rgbColor rgb="FF7A8777"/>
      <rgbColor rgb="FF004586"/>
      <rgbColor rgb="FF339966"/>
      <rgbColor rgb="FF003300"/>
      <rgbColor rgb="FF333300"/>
      <rgbColor rgb="FF993300"/>
      <rgbColor rgb="FF993366"/>
      <rgbColor rgb="FF333399"/>
      <rgbColor rgb="FF282C27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autoTitleDeleted val="1"/>
    <c:plotArea>
      <c:layout>
        <c:manualLayout>
          <c:layoutTarget val="inner"/>
          <c:xMode val="edge"/>
          <c:yMode val="edge"/>
          <c:x val="9.0351280871299303E-2"/>
          <c:y val="4.6168958742632597E-2"/>
          <c:w val="0.83540420309863495"/>
          <c:h val="0.890307793058284"/>
        </c:manualLayout>
      </c:layout>
      <c:pieChart>
        <c:varyColors val="1"/>
        <c:ser>
          <c:idx val="0"/>
          <c:order val="0"/>
          <c:spPr>
            <a:solidFill>
              <a:srgbClr val="91BD30"/>
            </a:solidFill>
            <a:ln>
              <a:noFill/>
            </a:ln>
          </c:spPr>
          <c:explosion val="1"/>
          <c:dPt>
            <c:idx val="0"/>
            <c:bubble3D val="0"/>
            <c:spPr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01-4E79-45C6-B7B5-BB5F8637D7FB}"/>
              </c:ext>
            </c:extLst>
          </c:dPt>
          <c:dPt>
            <c:idx val="1"/>
            <c:bubble3D val="0"/>
            <c:spPr>
              <a:solidFill>
                <a:srgbClr val="000000"/>
              </a:solidFill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03-4E79-45C6-B7B5-BB5F8637D7FB}"/>
              </c:ext>
            </c:extLst>
          </c:dPt>
          <c:dLbls>
            <c:spPr>
              <a:noFill/>
              <a:ln>
                <a:noFill/>
              </a:ln>
              <a:effectLst/>
            </c:spPr>
            <c:dLblPos val="bestFit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/>
            </c:extLst>
          </c:dLbls>
          <c:val>
            <c:numRef>
              <c:f>'Données du graphique'!$B$4:$B$5</c:f>
              <c:numCache>
                <c:formatCode>0\ %</c:formatCode>
                <c:ptCount val="2"/>
                <c:pt idx="0">
                  <c:v>0.45120000000000005</c:v>
                </c:pt>
                <c:pt idx="1">
                  <c:v>0.54879999999999995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8BB-A140-B742-50F9350429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</c:spPr>
    </c:plotArea>
    <c:plotVisOnly val="1"/>
    <c:dispBlanksAs val="gap"/>
    <c:showDLblsOverMax val="1"/>
  </c:chart>
  <c:spPr>
    <a:solidFill>
      <a:srgbClr val="FFFFFF"/>
    </a:solidFill>
    <a:ln w="9360">
      <a:noFill/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title>
      <c:tx>
        <c:rich>
          <a:bodyPr rot="0"/>
          <a:lstStyle/>
          <a:p>
            <a:pPr>
              <a:defRPr sz="1300" b="0" strike="noStrike" spc="-1">
                <a:latin typeface="Arial"/>
              </a:defRPr>
            </a:pPr>
            <a:r>
              <a:rPr lang="fr-FR" sz="1300" b="0" strike="noStrike" spc="-1">
                <a:latin typeface="Arial"/>
              </a:rPr>
              <a:t>Challenge Com Banque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004586"/>
            </a:solidFill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'Jauge Challenge'!$C$8</c:f>
              <c:numCache>
                <c:formatCode>General</c:formatCode>
                <c:ptCount val="1"/>
                <c:pt idx="0">
                  <c:v>20.8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3E9-BF49-AA4D-BBD72CDEE2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34908646"/>
        <c:axId val="39489609"/>
      </c:barChart>
      <c:catAx>
        <c:axId val="3490864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sz="1000" b="0" strike="noStrike" spc="-1">
                <a:latin typeface="Arial"/>
              </a:defRPr>
            </a:pPr>
            <a:endParaRPr lang="en-US"/>
          </a:p>
        </c:txPr>
        <c:crossAx val="39489609"/>
        <c:crossesAt val="0"/>
        <c:auto val="1"/>
        <c:lblAlgn val="ctr"/>
        <c:lblOffset val="100"/>
        <c:noMultiLvlLbl val="1"/>
      </c:catAx>
      <c:valAx>
        <c:axId val="39489609"/>
        <c:scaling>
          <c:orientation val="minMax"/>
          <c:max val="100"/>
          <c:min val="0"/>
        </c:scaling>
        <c:delete val="0"/>
        <c:axPos val="l"/>
        <c:majorGridlines>
          <c:spPr>
            <a:ln>
              <a:solidFill>
                <a:srgbClr val="B3B3B3"/>
              </a:solidFill>
            </a:ln>
          </c:spPr>
        </c:majorGridlines>
        <c:title>
          <c:tx>
            <c:rich>
              <a:bodyPr rot="-5400000"/>
              <a:lstStyle/>
              <a:p>
                <a:pPr>
                  <a:defRPr sz="900" b="0" strike="noStrike" spc="-1">
                    <a:latin typeface="Arial"/>
                  </a:defRPr>
                </a:pPr>
                <a:r>
                  <a:rPr lang="fr-FR" sz="900" b="0" strike="noStrike" spc="-1">
                    <a:latin typeface="Arial"/>
                  </a:rPr>
                  <a:t>Objectif 10 000 000 €</a:t>
                </a:r>
              </a:p>
            </c:rich>
          </c:tx>
          <c:overlay val="0"/>
        </c:title>
        <c:numFmt formatCode="General" sourceLinked="1"/>
        <c:majorTickMark val="cross"/>
        <c:minorTickMark val="in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sz="1100" b="1" i="1" strike="noStrike" spc="-1">
                <a:latin typeface="Arial"/>
              </a:defRPr>
            </a:pPr>
            <a:endParaRPr lang="en-US"/>
          </a:p>
        </c:txPr>
        <c:crossAx val="34908646"/>
        <c:crossesAt val="-2147483648"/>
        <c:crossBetween val="between"/>
        <c:majorUnit val="10"/>
        <c:minorUnit val="10"/>
      </c:valAx>
      <c:spPr>
        <a:noFill/>
        <a:ln w="36000">
          <a:solidFill>
            <a:srgbClr val="B3B3B3"/>
          </a:solidFill>
          <a:round/>
        </a:ln>
      </c:spPr>
    </c:plotArea>
    <c:legend>
      <c:legendPos val="r"/>
      <c:overlay val="0"/>
      <c:spPr>
        <a:noFill/>
        <a:ln>
          <a:noFill/>
        </a:ln>
      </c:spPr>
      <c:txPr>
        <a:bodyPr/>
        <a:lstStyle/>
        <a:p>
          <a:pPr>
            <a:defRPr sz="1000" b="0" strike="noStrike" spc="-1">
              <a:latin typeface="Arial"/>
            </a:defRPr>
          </a:pPr>
          <a:endParaRPr lang="en-US"/>
        </a:p>
      </c:txPr>
    </c:legend>
    <c:plotVisOnly val="1"/>
    <c:dispBlanksAs val="gap"/>
    <c:showDLblsOverMax val="1"/>
  </c:chart>
  <c:spPr>
    <a:solidFill>
      <a:srgbClr val="FFFFFF"/>
    </a:solidFill>
    <a:ln>
      <a:noFill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1</xdr:col>
      <xdr:colOff>2346480</xdr:colOff>
      <xdr:row>9</xdr:row>
      <xdr:rowOff>259200</xdr:rowOff>
    </xdr:to>
    <xdr:graphicFrame macro="">
      <xdr:nvGraphicFramePr>
        <xdr:cNvPr id="2" name="Graphique 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746297</xdr:colOff>
      <xdr:row>0</xdr:row>
      <xdr:rowOff>0</xdr:rowOff>
    </xdr:from>
    <xdr:to>
      <xdr:col>7</xdr:col>
      <xdr:colOff>497585</xdr:colOff>
      <xdr:row>32</xdr:row>
      <xdr:rowOff>10284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Dépenses" displayName="Dépenses" ref="B19:C28" totalsRowShown="0">
  <autoFilter ref="B19:C28" xr:uid="{00000000-0009-0000-0100-000001000000}"/>
  <tableColumns count="2">
    <tableColumn id="1" xr3:uid="{00000000-0010-0000-0000-000001000000}" name="Élément"/>
    <tableColumn id="2" xr3:uid="{00000000-0010-0000-0000-000002000000}" name="Montant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Revenu" displayName="Revenu" ref="B13:C16" totalsRowShown="0">
  <autoFilter ref="B13:C16" xr:uid="{00000000-0009-0000-0100-000002000000}"/>
  <tableColumns count="2">
    <tableColumn id="1" xr3:uid="{00000000-0010-0000-0100-000001000000}" name="Élément"/>
    <tableColumn id="2" xr3:uid="{00000000-0010-0000-0100-000002000000}" name="Montant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Épargne" displayName="Épargne" ref="B31:C34" totalsRowShown="0">
  <autoFilter ref="B31:C34" xr:uid="{00000000-0009-0000-0100-000003000000}"/>
  <tableColumns count="2">
    <tableColumn id="1" xr3:uid="{00000000-0010-0000-0200-000001000000}" name="Date"/>
    <tableColumn id="2" xr3:uid="{00000000-0010-0000-0200-000002000000}" name="Montant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4" Type="http://schemas.openxmlformats.org/officeDocument/2006/relationships/table" Target="../tables/table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1BD30"/>
    <pageSetUpPr fitToPage="1"/>
  </sheetPr>
  <dimension ref="B1:C34"/>
  <sheetViews>
    <sheetView showGridLines="0" topLeftCell="C3" zoomScale="125" zoomScaleNormal="125" workbookViewId="0">
      <selection activeCell="B16" sqref="B16"/>
    </sheetView>
  </sheetViews>
  <sheetFormatPr defaultRowHeight="15.75" x14ac:dyDescent="0.25"/>
  <cols>
    <col min="1" max="1" width="3.21875" customWidth="1"/>
    <col min="2" max="2" width="28.5546875" customWidth="1"/>
    <col min="3" max="3" width="20.33203125" customWidth="1"/>
    <col min="4" max="4" width="9" customWidth="1"/>
    <col min="5" max="1025" width="8.5546875" customWidth="1"/>
  </cols>
  <sheetData>
    <row r="1" spans="2:3" ht="35.25" customHeight="1" x14ac:dyDescent="0.5">
      <c r="B1" s="1" t="s">
        <v>0</v>
      </c>
      <c r="C1" s="2"/>
    </row>
    <row r="2" spans="2:3" ht="37.5" customHeight="1" x14ac:dyDescent="0.35">
      <c r="B2" s="2" t="s">
        <v>1</v>
      </c>
      <c r="C2" s="2" t="s">
        <v>2</v>
      </c>
    </row>
    <row r="3" spans="2:3" ht="30" customHeight="1" x14ac:dyDescent="0.25">
      <c r="B3" s="3"/>
      <c r="C3" t="s">
        <v>3</v>
      </c>
    </row>
    <row r="4" spans="2:3" ht="20.45" customHeight="1" x14ac:dyDescent="0.25">
      <c r="C4" s="4">
        <f>SUM(Revenu[Montant])</f>
        <v>3750</v>
      </c>
    </row>
    <row r="5" spans="2:3" ht="20.45" customHeight="1" x14ac:dyDescent="0.25">
      <c r="C5" t="s">
        <v>4</v>
      </c>
    </row>
    <row r="6" spans="2:3" ht="20.45" customHeight="1" x14ac:dyDescent="0.25">
      <c r="C6" s="4">
        <f>SUM(Dépenses[Montant])</f>
        <v>2058</v>
      </c>
    </row>
    <row r="7" spans="2:3" ht="20.45" customHeight="1" x14ac:dyDescent="0.25">
      <c r="C7" t="s">
        <v>5</v>
      </c>
    </row>
    <row r="8" spans="2:3" ht="20.45" customHeight="1" x14ac:dyDescent="0.25">
      <c r="C8" s="4">
        <f>SUM(Épargne[Montant])</f>
        <v>550</v>
      </c>
    </row>
    <row r="9" spans="2:3" ht="20.45" customHeight="1" x14ac:dyDescent="0.25">
      <c r="C9" t="s">
        <v>6</v>
      </c>
    </row>
    <row r="10" spans="2:3" ht="20.45" customHeight="1" x14ac:dyDescent="0.25">
      <c r="C10" s="4">
        <f>Revenu_Mensuel_Total-Dépenses_Mensuelles_Totales-Épargne_Mensuelle_Totale</f>
        <v>1142</v>
      </c>
    </row>
    <row r="11" spans="2:3" ht="22.5" customHeight="1" x14ac:dyDescent="0.25">
      <c r="B11" s="5">
        <f>MIN(Dépenses_Mensuelles_Totales/Revenu_Mensuel_Total,1)</f>
        <v>0.54879999999999995</v>
      </c>
    </row>
    <row r="12" spans="2:3" ht="37.5" customHeight="1" x14ac:dyDescent="0.35">
      <c r="B12" s="2" t="s">
        <v>7</v>
      </c>
    </row>
    <row r="13" spans="2:3" ht="24.95" customHeight="1" x14ac:dyDescent="0.25">
      <c r="B13" s="6" t="s">
        <v>8</v>
      </c>
      <c r="C13" s="6" t="s">
        <v>9</v>
      </c>
    </row>
    <row r="14" spans="2:3" ht="24.95" customHeight="1" x14ac:dyDescent="0.25">
      <c r="B14" t="s">
        <v>10</v>
      </c>
      <c r="C14" s="7">
        <v>2500</v>
      </c>
    </row>
    <row r="15" spans="2:3" ht="24.95" customHeight="1" x14ac:dyDescent="0.25">
      <c r="B15" t="s">
        <v>11</v>
      </c>
      <c r="C15" s="7">
        <v>1000</v>
      </c>
    </row>
    <row r="16" spans="2:3" ht="24.95" customHeight="1" x14ac:dyDescent="0.25">
      <c r="B16" t="s">
        <v>12</v>
      </c>
      <c r="C16" s="7">
        <v>250</v>
      </c>
    </row>
    <row r="17" spans="2:3" ht="24.95" customHeight="1" x14ac:dyDescent="0.25">
      <c r="C17" s="8"/>
    </row>
    <row r="18" spans="2:3" ht="24.95" customHeight="1" x14ac:dyDescent="0.35">
      <c r="B18" s="2" t="s">
        <v>13</v>
      </c>
    </row>
    <row r="19" spans="2:3" ht="24.95" customHeight="1" x14ac:dyDescent="0.25">
      <c r="B19" s="9" t="s">
        <v>8</v>
      </c>
      <c r="C19" s="9" t="s">
        <v>9</v>
      </c>
    </row>
    <row r="20" spans="2:3" ht="24.95" customHeight="1" x14ac:dyDescent="0.25">
      <c r="B20" t="s">
        <v>14</v>
      </c>
      <c r="C20" s="7">
        <v>800</v>
      </c>
    </row>
    <row r="21" spans="2:3" ht="24.95" customHeight="1" x14ac:dyDescent="0.25">
      <c r="B21" t="s">
        <v>15</v>
      </c>
      <c r="C21" s="7">
        <v>120</v>
      </c>
    </row>
    <row r="22" spans="2:3" ht="24.95" customHeight="1" x14ac:dyDescent="0.25">
      <c r="B22" t="s">
        <v>16</v>
      </c>
      <c r="C22" s="7">
        <v>50</v>
      </c>
    </row>
    <row r="23" spans="2:3" ht="24.95" customHeight="1" x14ac:dyDescent="0.25">
      <c r="B23" t="s">
        <v>17</v>
      </c>
      <c r="C23" s="7">
        <v>45</v>
      </c>
    </row>
    <row r="24" spans="2:3" ht="24.95" customHeight="1" x14ac:dyDescent="0.25">
      <c r="B24" t="s">
        <v>18</v>
      </c>
      <c r="C24" s="7">
        <v>500</v>
      </c>
    </row>
    <row r="25" spans="2:3" ht="24.95" customHeight="1" x14ac:dyDescent="0.25">
      <c r="B25" t="s">
        <v>19</v>
      </c>
      <c r="C25" s="7">
        <v>273</v>
      </c>
    </row>
    <row r="26" spans="2:3" ht="24.95" customHeight="1" x14ac:dyDescent="0.25">
      <c r="B26" t="s">
        <v>20</v>
      </c>
      <c r="C26" s="7">
        <v>120</v>
      </c>
    </row>
    <row r="27" spans="2:3" ht="24.95" customHeight="1" x14ac:dyDescent="0.25">
      <c r="B27" t="s">
        <v>21</v>
      </c>
      <c r="C27" s="7">
        <v>50</v>
      </c>
    </row>
    <row r="28" spans="2:3" ht="24.95" customHeight="1" x14ac:dyDescent="0.25">
      <c r="B28" t="s">
        <v>22</v>
      </c>
      <c r="C28" s="7">
        <v>100</v>
      </c>
    </row>
    <row r="29" spans="2:3" ht="24.95" customHeight="1" x14ac:dyDescent="0.25">
      <c r="C29" s="10"/>
    </row>
    <row r="30" spans="2:3" ht="24.95" customHeight="1" x14ac:dyDescent="0.35">
      <c r="B30" s="2" t="s">
        <v>23</v>
      </c>
      <c r="C30" s="10"/>
    </row>
    <row r="31" spans="2:3" ht="24.95" customHeight="1" x14ac:dyDescent="0.25">
      <c r="B31" s="11" t="s">
        <v>24</v>
      </c>
      <c r="C31" s="9" t="s">
        <v>9</v>
      </c>
    </row>
    <row r="32" spans="2:3" ht="24.95" customHeight="1" x14ac:dyDescent="0.25">
      <c r="B32" s="12" t="s">
        <v>25</v>
      </c>
      <c r="C32" s="7">
        <v>200</v>
      </c>
    </row>
    <row r="33" spans="2:3" ht="24.95" customHeight="1" x14ac:dyDescent="0.25">
      <c r="B33" s="12" t="s">
        <v>25</v>
      </c>
      <c r="C33" s="7">
        <v>250</v>
      </c>
    </row>
    <row r="34" spans="2:3" ht="24.95" customHeight="1" x14ac:dyDescent="0.25">
      <c r="B34" s="12" t="s">
        <v>25</v>
      </c>
      <c r="C34" s="7">
        <v>100</v>
      </c>
    </row>
  </sheetData>
  <printOptions horizontalCentered="1"/>
  <pageMargins left="0.35" right="0.40972222222222199" top="0.40972222222222199" bottom="0.35" header="0.51180555555555496" footer="0.3"/>
  <pageSetup paperSize="9" firstPageNumber="0" fitToHeight="0" orientation="portrait" horizontalDpi="300" verticalDpi="300"/>
  <headerFooter>
    <oddFooter>&amp;CPage &amp;P of &amp;N</oddFooter>
  </headerFooter>
  <drawing r:id="rId1"/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I45"/>
  <sheetViews>
    <sheetView showGridLines="0" zoomScaleNormal="100" workbookViewId="0">
      <pane xSplit="1" ySplit="4" topLeftCell="H5" activePane="bottomRight" state="frozen"/>
      <selection pane="topRight" activeCell="C1" sqref="C1"/>
      <selection pane="bottomLeft" activeCell="A5" sqref="A5"/>
      <selection pane="bottomRight" activeCell="F19" sqref="F19"/>
    </sheetView>
  </sheetViews>
  <sheetFormatPr defaultRowHeight="15.75" x14ac:dyDescent="0.25"/>
  <cols>
    <col min="1" max="1" width="2.21875" customWidth="1"/>
    <col min="2" max="2" width="8.5546875" customWidth="1"/>
    <col min="3" max="3" width="12.109375" customWidth="1"/>
    <col min="4" max="5" width="12.6640625" customWidth="1"/>
    <col min="6" max="6" width="18" customWidth="1"/>
    <col min="7" max="7" width="15.6640625" customWidth="1"/>
    <col min="8" max="8" width="13.6640625" customWidth="1"/>
    <col min="9" max="1025" width="8.5546875" customWidth="1"/>
  </cols>
  <sheetData>
    <row r="3" spans="2:9" ht="31.5" customHeight="1" x14ac:dyDescent="0.25">
      <c r="B3" s="107" t="s">
        <v>26</v>
      </c>
      <c r="C3" s="107"/>
      <c r="D3" s="107"/>
      <c r="E3" s="107"/>
      <c r="F3" s="107"/>
      <c r="G3" s="107"/>
      <c r="H3" s="107"/>
      <c r="I3" s="107"/>
    </row>
    <row r="4" spans="2:9" ht="22.5" customHeight="1" x14ac:dyDescent="0.25">
      <c r="B4" s="13" t="s">
        <v>27</v>
      </c>
      <c r="C4" s="14" t="s">
        <v>28</v>
      </c>
      <c r="D4" s="15" t="s">
        <v>29</v>
      </c>
      <c r="E4" s="15" t="s">
        <v>30</v>
      </c>
      <c r="F4" s="15" t="s">
        <v>31</v>
      </c>
      <c r="G4" s="15" t="s">
        <v>32</v>
      </c>
      <c r="H4" s="15" t="s">
        <v>33</v>
      </c>
      <c r="I4" s="15" t="s">
        <v>34</v>
      </c>
    </row>
    <row r="5" spans="2:9" x14ac:dyDescent="0.25">
      <c r="B5" s="16">
        <v>1</v>
      </c>
      <c r="C5" s="17"/>
      <c r="D5" s="18">
        <v>80000</v>
      </c>
      <c r="E5" s="18">
        <v>3000</v>
      </c>
      <c r="F5" s="18">
        <f t="shared" ref="F5:F44" si="0">E5/100*30</f>
        <v>900</v>
      </c>
      <c r="G5" s="18">
        <f t="shared" ref="G5:G44" si="1">E5/100*3</f>
        <v>90</v>
      </c>
      <c r="H5" s="18">
        <f t="shared" ref="H5:H44" si="2">E5/100*2</f>
        <v>60</v>
      </c>
      <c r="I5" s="19">
        <f t="shared" ref="I5:I44" si="3">E5/100*10</f>
        <v>300</v>
      </c>
    </row>
    <row r="6" spans="2:9" x14ac:dyDescent="0.25">
      <c r="B6" s="20">
        <v>2</v>
      </c>
      <c r="C6" s="21"/>
      <c r="D6" s="22"/>
      <c r="E6" s="22">
        <v>2000</v>
      </c>
      <c r="F6" s="18">
        <f t="shared" si="0"/>
        <v>600</v>
      </c>
      <c r="G6" s="18">
        <f t="shared" si="1"/>
        <v>60</v>
      </c>
      <c r="H6" s="18">
        <f t="shared" si="2"/>
        <v>40</v>
      </c>
      <c r="I6" s="19">
        <f t="shared" si="3"/>
        <v>200</v>
      </c>
    </row>
    <row r="7" spans="2:9" x14ac:dyDescent="0.25">
      <c r="B7" s="20">
        <v>3</v>
      </c>
      <c r="C7" s="21"/>
      <c r="D7" s="22"/>
      <c r="E7" s="22">
        <v>3000</v>
      </c>
      <c r="F7" s="18">
        <f t="shared" si="0"/>
        <v>900</v>
      </c>
      <c r="G7" s="18">
        <f t="shared" si="1"/>
        <v>90</v>
      </c>
      <c r="H7" s="18">
        <f t="shared" si="2"/>
        <v>60</v>
      </c>
      <c r="I7" s="19">
        <f t="shared" si="3"/>
        <v>300</v>
      </c>
    </row>
    <row r="8" spans="2:9" x14ac:dyDescent="0.25">
      <c r="B8" s="20">
        <v>4</v>
      </c>
      <c r="C8" s="21"/>
      <c r="D8" s="22"/>
      <c r="E8" s="22">
        <v>1500</v>
      </c>
      <c r="F8" s="18">
        <f t="shared" si="0"/>
        <v>450</v>
      </c>
      <c r="G8" s="18">
        <f t="shared" si="1"/>
        <v>45</v>
      </c>
      <c r="H8" s="18">
        <f t="shared" si="2"/>
        <v>30</v>
      </c>
      <c r="I8" s="19">
        <f t="shared" si="3"/>
        <v>150</v>
      </c>
    </row>
    <row r="9" spans="2:9" x14ac:dyDescent="0.25">
      <c r="B9" s="20">
        <v>5</v>
      </c>
      <c r="C9" s="21"/>
      <c r="D9" s="22"/>
      <c r="E9" s="22">
        <v>100000</v>
      </c>
      <c r="F9" s="18">
        <f t="shared" si="0"/>
        <v>30000</v>
      </c>
      <c r="G9" s="18">
        <f t="shared" si="1"/>
        <v>3000</v>
      </c>
      <c r="H9" s="18">
        <f t="shared" si="2"/>
        <v>2000</v>
      </c>
      <c r="I9" s="19">
        <f t="shared" si="3"/>
        <v>10000</v>
      </c>
    </row>
    <row r="10" spans="2:9" x14ac:dyDescent="0.25">
      <c r="B10" s="20">
        <v>6</v>
      </c>
      <c r="C10" s="21"/>
      <c r="D10" s="22"/>
      <c r="E10" s="22">
        <v>70000</v>
      </c>
      <c r="F10" s="18">
        <f t="shared" si="0"/>
        <v>21000</v>
      </c>
      <c r="G10" s="18">
        <f t="shared" si="1"/>
        <v>2100</v>
      </c>
      <c r="H10" s="18">
        <f t="shared" si="2"/>
        <v>1400</v>
      </c>
      <c r="I10" s="19">
        <f t="shared" si="3"/>
        <v>7000</v>
      </c>
    </row>
    <row r="11" spans="2:9" x14ac:dyDescent="0.25">
      <c r="B11" s="20">
        <v>7</v>
      </c>
      <c r="C11" s="21"/>
      <c r="D11" s="22"/>
      <c r="E11" s="22"/>
      <c r="F11" s="18">
        <f t="shared" si="0"/>
        <v>0</v>
      </c>
      <c r="G11" s="18">
        <f t="shared" si="1"/>
        <v>0</v>
      </c>
      <c r="H11" s="18">
        <f t="shared" si="2"/>
        <v>0</v>
      </c>
      <c r="I11" s="19">
        <f t="shared" si="3"/>
        <v>0</v>
      </c>
    </row>
    <row r="12" spans="2:9" x14ac:dyDescent="0.25">
      <c r="B12" s="20">
        <v>8</v>
      </c>
      <c r="C12" s="21"/>
      <c r="D12" s="22"/>
      <c r="E12" s="22"/>
      <c r="F12" s="18">
        <f t="shared" si="0"/>
        <v>0</v>
      </c>
      <c r="G12" s="18">
        <f t="shared" si="1"/>
        <v>0</v>
      </c>
      <c r="H12" s="18">
        <f t="shared" si="2"/>
        <v>0</v>
      </c>
      <c r="I12" s="19">
        <f t="shared" si="3"/>
        <v>0</v>
      </c>
    </row>
    <row r="13" spans="2:9" x14ac:dyDescent="0.25">
      <c r="B13" s="20">
        <v>9</v>
      </c>
      <c r="C13" s="21"/>
      <c r="D13" s="22"/>
      <c r="E13" s="22"/>
      <c r="F13" s="18">
        <f t="shared" si="0"/>
        <v>0</v>
      </c>
      <c r="G13" s="18">
        <f t="shared" si="1"/>
        <v>0</v>
      </c>
      <c r="H13" s="18">
        <f t="shared" si="2"/>
        <v>0</v>
      </c>
      <c r="I13" s="19">
        <f t="shared" si="3"/>
        <v>0</v>
      </c>
    </row>
    <row r="14" spans="2:9" x14ac:dyDescent="0.25">
      <c r="B14" s="20">
        <v>10</v>
      </c>
      <c r="C14" s="21"/>
      <c r="D14" s="22"/>
      <c r="E14" s="22"/>
      <c r="F14" s="18">
        <f t="shared" si="0"/>
        <v>0</v>
      </c>
      <c r="G14" s="18">
        <f t="shared" si="1"/>
        <v>0</v>
      </c>
      <c r="H14" s="18">
        <f t="shared" si="2"/>
        <v>0</v>
      </c>
      <c r="I14" s="19">
        <f t="shared" si="3"/>
        <v>0</v>
      </c>
    </row>
    <row r="15" spans="2:9" x14ac:dyDescent="0.25">
      <c r="B15" s="20">
        <v>11</v>
      </c>
      <c r="C15" s="21"/>
      <c r="D15" s="22"/>
      <c r="E15" s="22"/>
      <c r="F15" s="18">
        <f t="shared" si="0"/>
        <v>0</v>
      </c>
      <c r="G15" s="18">
        <f t="shared" si="1"/>
        <v>0</v>
      </c>
      <c r="H15" s="18">
        <f t="shared" si="2"/>
        <v>0</v>
      </c>
      <c r="I15" s="19">
        <f t="shared" si="3"/>
        <v>0</v>
      </c>
    </row>
    <row r="16" spans="2:9" x14ac:dyDescent="0.25">
      <c r="B16" s="20">
        <v>12</v>
      </c>
      <c r="C16" s="21"/>
      <c r="D16" s="22"/>
      <c r="E16" s="22"/>
      <c r="F16" s="18">
        <f t="shared" si="0"/>
        <v>0</v>
      </c>
      <c r="G16" s="18">
        <f t="shared" si="1"/>
        <v>0</v>
      </c>
      <c r="H16" s="18">
        <f t="shared" si="2"/>
        <v>0</v>
      </c>
      <c r="I16" s="19">
        <f t="shared" si="3"/>
        <v>0</v>
      </c>
    </row>
    <row r="17" spans="2:9" x14ac:dyDescent="0.25">
      <c r="B17" s="20">
        <v>13</v>
      </c>
      <c r="C17" s="21"/>
      <c r="D17" s="22"/>
      <c r="E17" s="22"/>
      <c r="F17" s="18">
        <f t="shared" si="0"/>
        <v>0</v>
      </c>
      <c r="G17" s="18">
        <f t="shared" si="1"/>
        <v>0</v>
      </c>
      <c r="H17" s="18">
        <f t="shared" si="2"/>
        <v>0</v>
      </c>
      <c r="I17" s="19">
        <f t="shared" si="3"/>
        <v>0</v>
      </c>
    </row>
    <row r="18" spans="2:9" x14ac:dyDescent="0.25">
      <c r="B18" s="20">
        <v>14</v>
      </c>
      <c r="C18" s="21"/>
      <c r="D18" s="22"/>
      <c r="E18" s="22"/>
      <c r="F18" s="18">
        <f t="shared" si="0"/>
        <v>0</v>
      </c>
      <c r="G18" s="18">
        <f t="shared" si="1"/>
        <v>0</v>
      </c>
      <c r="H18" s="18">
        <f t="shared" si="2"/>
        <v>0</v>
      </c>
      <c r="I18" s="19">
        <f t="shared" si="3"/>
        <v>0</v>
      </c>
    </row>
    <row r="19" spans="2:9" x14ac:dyDescent="0.25">
      <c r="B19" s="20">
        <v>15</v>
      </c>
      <c r="C19" s="21"/>
      <c r="D19" s="22"/>
      <c r="E19" s="22"/>
      <c r="F19" s="18">
        <f t="shared" si="0"/>
        <v>0</v>
      </c>
      <c r="G19" s="18">
        <f t="shared" si="1"/>
        <v>0</v>
      </c>
      <c r="H19" s="18">
        <f t="shared" si="2"/>
        <v>0</v>
      </c>
      <c r="I19" s="19">
        <f t="shared" si="3"/>
        <v>0</v>
      </c>
    </row>
    <row r="20" spans="2:9" x14ac:dyDescent="0.25">
      <c r="B20" s="20">
        <v>16</v>
      </c>
      <c r="C20" s="21"/>
      <c r="D20" s="22"/>
      <c r="E20" s="22"/>
      <c r="F20" s="18">
        <f t="shared" si="0"/>
        <v>0</v>
      </c>
      <c r="G20" s="18">
        <f t="shared" si="1"/>
        <v>0</v>
      </c>
      <c r="H20" s="18">
        <f t="shared" si="2"/>
        <v>0</v>
      </c>
      <c r="I20" s="19">
        <f t="shared" si="3"/>
        <v>0</v>
      </c>
    </row>
    <row r="21" spans="2:9" x14ac:dyDescent="0.25">
      <c r="B21" s="20">
        <v>17</v>
      </c>
      <c r="C21" s="21"/>
      <c r="D21" s="22"/>
      <c r="E21" s="22"/>
      <c r="F21" s="18">
        <f t="shared" si="0"/>
        <v>0</v>
      </c>
      <c r="G21" s="18">
        <f t="shared" si="1"/>
        <v>0</v>
      </c>
      <c r="H21" s="18">
        <f t="shared" si="2"/>
        <v>0</v>
      </c>
      <c r="I21" s="19">
        <f t="shared" si="3"/>
        <v>0</v>
      </c>
    </row>
    <row r="22" spans="2:9" x14ac:dyDescent="0.25">
      <c r="B22" s="20">
        <v>18</v>
      </c>
      <c r="C22" s="21"/>
      <c r="D22" s="22"/>
      <c r="E22" s="22"/>
      <c r="F22" s="18">
        <f t="shared" si="0"/>
        <v>0</v>
      </c>
      <c r="G22" s="18">
        <f t="shared" si="1"/>
        <v>0</v>
      </c>
      <c r="H22" s="18">
        <f t="shared" si="2"/>
        <v>0</v>
      </c>
      <c r="I22" s="19">
        <f t="shared" si="3"/>
        <v>0</v>
      </c>
    </row>
    <row r="23" spans="2:9" x14ac:dyDescent="0.25">
      <c r="B23" s="20">
        <v>19</v>
      </c>
      <c r="C23" s="21"/>
      <c r="D23" s="22"/>
      <c r="E23" s="22"/>
      <c r="F23" s="18">
        <f t="shared" si="0"/>
        <v>0</v>
      </c>
      <c r="G23" s="18">
        <f t="shared" si="1"/>
        <v>0</v>
      </c>
      <c r="H23" s="18">
        <f t="shared" si="2"/>
        <v>0</v>
      </c>
      <c r="I23" s="19">
        <f t="shared" si="3"/>
        <v>0</v>
      </c>
    </row>
    <row r="24" spans="2:9" x14ac:dyDescent="0.25">
      <c r="B24" s="20">
        <v>20</v>
      </c>
      <c r="C24" s="21"/>
      <c r="D24" s="22"/>
      <c r="E24" s="22"/>
      <c r="F24" s="18">
        <f t="shared" si="0"/>
        <v>0</v>
      </c>
      <c r="G24" s="18">
        <f t="shared" si="1"/>
        <v>0</v>
      </c>
      <c r="H24" s="18">
        <f t="shared" si="2"/>
        <v>0</v>
      </c>
      <c r="I24" s="19">
        <f t="shared" si="3"/>
        <v>0</v>
      </c>
    </row>
    <row r="25" spans="2:9" x14ac:dyDescent="0.25">
      <c r="B25" s="20">
        <v>21</v>
      </c>
      <c r="C25" s="21"/>
      <c r="D25" s="22"/>
      <c r="E25" s="22"/>
      <c r="F25" s="18">
        <f t="shared" si="0"/>
        <v>0</v>
      </c>
      <c r="G25" s="18">
        <f t="shared" si="1"/>
        <v>0</v>
      </c>
      <c r="H25" s="18">
        <f t="shared" si="2"/>
        <v>0</v>
      </c>
      <c r="I25" s="19">
        <f t="shared" si="3"/>
        <v>0</v>
      </c>
    </row>
    <row r="26" spans="2:9" x14ac:dyDescent="0.25">
      <c r="B26" s="20">
        <v>22</v>
      </c>
      <c r="C26" s="21"/>
      <c r="D26" s="22"/>
      <c r="E26" s="22"/>
      <c r="F26" s="18">
        <f t="shared" si="0"/>
        <v>0</v>
      </c>
      <c r="G26" s="18">
        <f t="shared" si="1"/>
        <v>0</v>
      </c>
      <c r="H26" s="18">
        <f t="shared" si="2"/>
        <v>0</v>
      </c>
      <c r="I26" s="19">
        <f t="shared" si="3"/>
        <v>0</v>
      </c>
    </row>
    <row r="27" spans="2:9" x14ac:dyDescent="0.25">
      <c r="B27" s="20">
        <v>23</v>
      </c>
      <c r="C27" s="21"/>
      <c r="D27" s="22"/>
      <c r="E27" s="22"/>
      <c r="F27" s="18">
        <f t="shared" si="0"/>
        <v>0</v>
      </c>
      <c r="G27" s="18">
        <f t="shared" si="1"/>
        <v>0</v>
      </c>
      <c r="H27" s="18">
        <f t="shared" si="2"/>
        <v>0</v>
      </c>
      <c r="I27" s="19">
        <f t="shared" si="3"/>
        <v>0</v>
      </c>
    </row>
    <row r="28" spans="2:9" x14ac:dyDescent="0.25">
      <c r="B28" s="20">
        <v>24</v>
      </c>
      <c r="C28" s="21"/>
      <c r="D28" s="22"/>
      <c r="E28" s="22"/>
      <c r="F28" s="18">
        <f t="shared" si="0"/>
        <v>0</v>
      </c>
      <c r="G28" s="18">
        <f t="shared" si="1"/>
        <v>0</v>
      </c>
      <c r="H28" s="18">
        <f t="shared" si="2"/>
        <v>0</v>
      </c>
      <c r="I28" s="19">
        <f t="shared" si="3"/>
        <v>0</v>
      </c>
    </row>
    <row r="29" spans="2:9" x14ac:dyDescent="0.25">
      <c r="B29" s="20">
        <v>25</v>
      </c>
      <c r="C29" s="21"/>
      <c r="D29" s="22"/>
      <c r="E29" s="22"/>
      <c r="F29" s="18">
        <f t="shared" si="0"/>
        <v>0</v>
      </c>
      <c r="G29" s="18">
        <f t="shared" si="1"/>
        <v>0</v>
      </c>
      <c r="H29" s="18">
        <f t="shared" si="2"/>
        <v>0</v>
      </c>
      <c r="I29" s="19">
        <f t="shared" si="3"/>
        <v>0</v>
      </c>
    </row>
    <row r="30" spans="2:9" x14ac:dyDescent="0.25">
      <c r="B30" s="20">
        <v>26</v>
      </c>
      <c r="C30" s="21"/>
      <c r="D30" s="22"/>
      <c r="E30" s="22"/>
      <c r="F30" s="18">
        <f t="shared" si="0"/>
        <v>0</v>
      </c>
      <c r="G30" s="18">
        <f t="shared" si="1"/>
        <v>0</v>
      </c>
      <c r="H30" s="18">
        <f t="shared" si="2"/>
        <v>0</v>
      </c>
      <c r="I30" s="19">
        <f t="shared" si="3"/>
        <v>0</v>
      </c>
    </row>
    <row r="31" spans="2:9" x14ac:dyDescent="0.25">
      <c r="B31" s="20">
        <v>27</v>
      </c>
      <c r="C31" s="21"/>
      <c r="D31" s="22"/>
      <c r="E31" s="22"/>
      <c r="F31" s="18">
        <f t="shared" si="0"/>
        <v>0</v>
      </c>
      <c r="G31" s="18">
        <f t="shared" si="1"/>
        <v>0</v>
      </c>
      <c r="H31" s="18">
        <f t="shared" si="2"/>
        <v>0</v>
      </c>
      <c r="I31" s="19">
        <f t="shared" si="3"/>
        <v>0</v>
      </c>
    </row>
    <row r="32" spans="2:9" x14ac:dyDescent="0.25">
      <c r="B32" s="20">
        <v>28</v>
      </c>
      <c r="C32" s="21"/>
      <c r="D32" s="22"/>
      <c r="E32" s="22"/>
      <c r="F32" s="18">
        <f t="shared" si="0"/>
        <v>0</v>
      </c>
      <c r="G32" s="18">
        <f t="shared" si="1"/>
        <v>0</v>
      </c>
      <c r="H32" s="18">
        <f t="shared" si="2"/>
        <v>0</v>
      </c>
      <c r="I32" s="19">
        <f t="shared" si="3"/>
        <v>0</v>
      </c>
    </row>
    <row r="33" spans="2:9" x14ac:dyDescent="0.25">
      <c r="B33" s="20">
        <v>29</v>
      </c>
      <c r="C33" s="21"/>
      <c r="D33" s="22"/>
      <c r="E33" s="22"/>
      <c r="F33" s="18">
        <f t="shared" si="0"/>
        <v>0</v>
      </c>
      <c r="G33" s="18">
        <f t="shared" si="1"/>
        <v>0</v>
      </c>
      <c r="H33" s="18">
        <f t="shared" si="2"/>
        <v>0</v>
      </c>
      <c r="I33" s="19">
        <f t="shared" si="3"/>
        <v>0</v>
      </c>
    </row>
    <row r="34" spans="2:9" x14ac:dyDescent="0.25">
      <c r="B34" s="20">
        <v>30</v>
      </c>
      <c r="C34" s="21"/>
      <c r="D34" s="22"/>
      <c r="E34" s="22"/>
      <c r="F34" s="18">
        <f t="shared" si="0"/>
        <v>0</v>
      </c>
      <c r="G34" s="18">
        <f t="shared" si="1"/>
        <v>0</v>
      </c>
      <c r="H34" s="18">
        <f t="shared" si="2"/>
        <v>0</v>
      </c>
      <c r="I34" s="19">
        <f t="shared" si="3"/>
        <v>0</v>
      </c>
    </row>
    <row r="35" spans="2:9" x14ac:dyDescent="0.25">
      <c r="B35" s="20">
        <v>31</v>
      </c>
      <c r="C35" s="21"/>
      <c r="D35" s="22"/>
      <c r="E35" s="22"/>
      <c r="F35" s="18">
        <f t="shared" si="0"/>
        <v>0</v>
      </c>
      <c r="G35" s="18">
        <f t="shared" si="1"/>
        <v>0</v>
      </c>
      <c r="H35" s="18">
        <f t="shared" si="2"/>
        <v>0</v>
      </c>
      <c r="I35" s="19">
        <f t="shared" si="3"/>
        <v>0</v>
      </c>
    </row>
    <row r="36" spans="2:9" x14ac:dyDescent="0.25">
      <c r="B36" s="20">
        <v>32</v>
      </c>
      <c r="C36" s="21"/>
      <c r="D36" s="22"/>
      <c r="E36" s="22"/>
      <c r="F36" s="18">
        <f t="shared" si="0"/>
        <v>0</v>
      </c>
      <c r="G36" s="18">
        <f t="shared" si="1"/>
        <v>0</v>
      </c>
      <c r="H36" s="18">
        <f t="shared" si="2"/>
        <v>0</v>
      </c>
      <c r="I36" s="19">
        <f t="shared" si="3"/>
        <v>0</v>
      </c>
    </row>
    <row r="37" spans="2:9" x14ac:dyDescent="0.25">
      <c r="B37" s="20">
        <v>33</v>
      </c>
      <c r="C37" s="21"/>
      <c r="D37" s="22"/>
      <c r="E37" s="22"/>
      <c r="F37" s="18">
        <f t="shared" si="0"/>
        <v>0</v>
      </c>
      <c r="G37" s="18">
        <f t="shared" si="1"/>
        <v>0</v>
      </c>
      <c r="H37" s="18">
        <f t="shared" si="2"/>
        <v>0</v>
      </c>
      <c r="I37" s="19">
        <f t="shared" si="3"/>
        <v>0</v>
      </c>
    </row>
    <row r="38" spans="2:9" x14ac:dyDescent="0.25">
      <c r="B38" s="20">
        <v>34</v>
      </c>
      <c r="C38" s="21"/>
      <c r="D38" s="22"/>
      <c r="E38" s="22"/>
      <c r="F38" s="18">
        <f t="shared" si="0"/>
        <v>0</v>
      </c>
      <c r="G38" s="18">
        <f t="shared" si="1"/>
        <v>0</v>
      </c>
      <c r="H38" s="18">
        <f t="shared" si="2"/>
        <v>0</v>
      </c>
      <c r="I38" s="19">
        <f t="shared" si="3"/>
        <v>0</v>
      </c>
    </row>
    <row r="39" spans="2:9" x14ac:dyDescent="0.25">
      <c r="B39" s="20">
        <v>35</v>
      </c>
      <c r="C39" s="21"/>
      <c r="D39" s="22"/>
      <c r="E39" s="22"/>
      <c r="F39" s="18">
        <f t="shared" si="0"/>
        <v>0</v>
      </c>
      <c r="G39" s="18">
        <f t="shared" si="1"/>
        <v>0</v>
      </c>
      <c r="H39" s="18">
        <f t="shared" si="2"/>
        <v>0</v>
      </c>
      <c r="I39" s="19">
        <f t="shared" si="3"/>
        <v>0</v>
      </c>
    </row>
    <row r="40" spans="2:9" x14ac:dyDescent="0.25">
      <c r="B40" s="20">
        <v>36</v>
      </c>
      <c r="C40" s="21"/>
      <c r="D40" s="22"/>
      <c r="E40" s="22"/>
      <c r="F40" s="18">
        <f t="shared" si="0"/>
        <v>0</v>
      </c>
      <c r="G40" s="18">
        <f t="shared" si="1"/>
        <v>0</v>
      </c>
      <c r="H40" s="18">
        <f t="shared" si="2"/>
        <v>0</v>
      </c>
      <c r="I40" s="19">
        <f t="shared" si="3"/>
        <v>0</v>
      </c>
    </row>
    <row r="41" spans="2:9" x14ac:dyDescent="0.25">
      <c r="B41" s="20">
        <v>37</v>
      </c>
      <c r="C41" s="21"/>
      <c r="D41" s="22"/>
      <c r="E41" s="22"/>
      <c r="F41" s="18">
        <f t="shared" si="0"/>
        <v>0</v>
      </c>
      <c r="G41" s="18">
        <f t="shared" si="1"/>
        <v>0</v>
      </c>
      <c r="H41" s="18">
        <f t="shared" si="2"/>
        <v>0</v>
      </c>
      <c r="I41" s="19">
        <f t="shared" si="3"/>
        <v>0</v>
      </c>
    </row>
    <row r="42" spans="2:9" x14ac:dyDescent="0.25">
      <c r="B42" s="20">
        <v>38</v>
      </c>
      <c r="C42" s="21"/>
      <c r="D42" s="22"/>
      <c r="E42" s="22"/>
      <c r="F42" s="18">
        <f t="shared" si="0"/>
        <v>0</v>
      </c>
      <c r="G42" s="18">
        <f t="shared" si="1"/>
        <v>0</v>
      </c>
      <c r="H42" s="18">
        <f t="shared" si="2"/>
        <v>0</v>
      </c>
      <c r="I42" s="19">
        <f t="shared" si="3"/>
        <v>0</v>
      </c>
    </row>
    <row r="43" spans="2:9" x14ac:dyDescent="0.25">
      <c r="B43" s="20">
        <v>39</v>
      </c>
      <c r="C43" s="21"/>
      <c r="D43" s="22"/>
      <c r="E43" s="22"/>
      <c r="F43" s="18">
        <f t="shared" si="0"/>
        <v>0</v>
      </c>
      <c r="G43" s="18">
        <f t="shared" si="1"/>
        <v>0</v>
      </c>
      <c r="H43" s="18">
        <f t="shared" si="2"/>
        <v>0</v>
      </c>
      <c r="I43" s="19">
        <f t="shared" si="3"/>
        <v>0</v>
      </c>
    </row>
    <row r="44" spans="2:9" x14ac:dyDescent="0.25">
      <c r="B44" s="23">
        <v>40</v>
      </c>
      <c r="C44" s="24"/>
      <c r="D44" s="25"/>
      <c r="E44" s="25"/>
      <c r="F44" s="18">
        <f t="shared" si="0"/>
        <v>0</v>
      </c>
      <c r="G44" s="18">
        <f t="shared" si="1"/>
        <v>0</v>
      </c>
      <c r="H44" s="18">
        <f t="shared" si="2"/>
        <v>0</v>
      </c>
      <c r="I44" s="19">
        <f t="shared" si="3"/>
        <v>0</v>
      </c>
    </row>
    <row r="45" spans="2:9" x14ac:dyDescent="0.25">
      <c r="B45" s="26"/>
      <c r="C45" s="27" t="s">
        <v>35</v>
      </c>
      <c r="D45" s="28">
        <f t="shared" ref="D45:I45" si="4">SUM(D5:D44)</f>
        <v>80000</v>
      </c>
      <c r="E45" s="29">
        <f t="shared" si="4"/>
        <v>179500</v>
      </c>
      <c r="F45" s="29">
        <f t="shared" si="4"/>
        <v>53850</v>
      </c>
      <c r="G45" s="29">
        <f t="shared" si="4"/>
        <v>5385</v>
      </c>
      <c r="H45" s="29">
        <f t="shared" si="4"/>
        <v>3590</v>
      </c>
      <c r="I45" s="30">
        <f t="shared" si="4"/>
        <v>17950</v>
      </c>
    </row>
  </sheetData>
  <autoFilter ref="B3:I45" xr:uid="{00000000-0009-0000-0000-000001000000}"/>
  <mergeCells count="1">
    <mergeCell ref="B3:I3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3"/>
  <sheetViews>
    <sheetView zoomScaleNormal="100" workbookViewId="0">
      <selection activeCell="H26" sqref="H26"/>
    </sheetView>
  </sheetViews>
  <sheetFormatPr defaultRowHeight="15.75" x14ac:dyDescent="0.25"/>
  <cols>
    <col min="1" max="3" width="8.5546875" customWidth="1"/>
    <col min="4" max="4" width="20.6640625" customWidth="1"/>
    <col min="5" max="5" width="11.5546875" customWidth="1"/>
    <col min="6" max="6" width="22.33203125" customWidth="1"/>
    <col min="7" max="7" width="18.5546875" customWidth="1"/>
    <col min="8" max="9" width="18.77734375" customWidth="1"/>
    <col min="10" max="10" width="12.109375" customWidth="1"/>
    <col min="11" max="11" width="14" customWidth="1"/>
    <col min="12" max="1025" width="8.5546875" customWidth="1"/>
  </cols>
  <sheetData>
    <row r="1" spans="1:10" x14ac:dyDescent="0.25">
      <c r="A1" t="s">
        <v>36</v>
      </c>
      <c r="B1" t="s">
        <v>24</v>
      </c>
      <c r="C1" t="s">
        <v>37</v>
      </c>
      <c r="D1" t="s">
        <v>38</v>
      </c>
      <c r="E1" t="s">
        <v>39</v>
      </c>
      <c r="F1" t="s">
        <v>40</v>
      </c>
      <c r="G1" t="s">
        <v>41</v>
      </c>
      <c r="H1" t="s">
        <v>42</v>
      </c>
      <c r="I1" t="s">
        <v>43</v>
      </c>
      <c r="J1" t="s">
        <v>44</v>
      </c>
    </row>
    <row r="2" spans="1:10" x14ac:dyDescent="0.25">
      <c r="D2">
        <v>2000000</v>
      </c>
    </row>
    <row r="3" spans="1:10" x14ac:dyDescent="0.25">
      <c r="D3">
        <v>80000</v>
      </c>
    </row>
  </sheetData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1"/>
  <sheetViews>
    <sheetView topLeftCell="B1" zoomScaleNormal="100" workbookViewId="0">
      <selection activeCell="H8" sqref="H8"/>
    </sheetView>
  </sheetViews>
  <sheetFormatPr defaultRowHeight="15.75" x14ac:dyDescent="0.25"/>
  <cols>
    <col min="1" max="2" width="8.5546875" customWidth="1"/>
    <col min="3" max="3" width="11.77734375" customWidth="1"/>
    <col min="4" max="7" width="12.109375" customWidth="1"/>
    <col min="8" max="8" width="13" customWidth="1"/>
    <col min="9" max="9" width="20.5546875" customWidth="1"/>
    <col min="10" max="10" width="17.77734375" customWidth="1"/>
    <col min="11" max="11" width="11.77734375" customWidth="1"/>
    <col min="12" max="1025" width="8.5546875" customWidth="1"/>
  </cols>
  <sheetData>
    <row r="1" spans="1:11" x14ac:dyDescent="0.25">
      <c r="A1" t="s">
        <v>36</v>
      </c>
      <c r="B1" t="s">
        <v>24</v>
      </c>
      <c r="C1" t="s">
        <v>28</v>
      </c>
      <c r="D1" t="s">
        <v>45</v>
      </c>
      <c r="E1" t="s">
        <v>46</v>
      </c>
      <c r="F1" t="s">
        <v>47</v>
      </c>
      <c r="G1" t="s">
        <v>26</v>
      </c>
      <c r="H1" t="s">
        <v>48</v>
      </c>
      <c r="I1" t="s">
        <v>49</v>
      </c>
      <c r="J1" t="s">
        <v>50</v>
      </c>
      <c r="K1" t="s">
        <v>24</v>
      </c>
    </row>
  </sheetData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4:E46"/>
  <sheetViews>
    <sheetView showGridLines="0" topLeftCell="D1" zoomScaleNormal="100" workbookViewId="0">
      <selection activeCell="D36" sqref="D36"/>
    </sheetView>
  </sheetViews>
  <sheetFormatPr defaultRowHeight="15.75" x14ac:dyDescent="0.25"/>
  <cols>
    <col min="1" max="3" width="8.5546875" customWidth="1"/>
    <col min="4" max="4" width="13.21875" customWidth="1"/>
    <col min="5" max="5" width="18.21875" customWidth="1"/>
    <col min="6" max="1025" width="8.5546875" customWidth="1"/>
  </cols>
  <sheetData>
    <row r="4" spans="2:5" x14ac:dyDescent="0.25">
      <c r="B4" s="107" t="s">
        <v>26</v>
      </c>
      <c r="C4" s="107"/>
      <c r="D4" s="107"/>
      <c r="E4" s="107"/>
    </row>
    <row r="5" spans="2:5" x14ac:dyDescent="0.25">
      <c r="B5" s="13" t="s">
        <v>27</v>
      </c>
      <c r="C5" s="14" t="s">
        <v>28</v>
      </c>
      <c r="D5" s="15" t="s">
        <v>29</v>
      </c>
      <c r="E5" s="15" t="s">
        <v>51</v>
      </c>
    </row>
    <row r="6" spans="2:5" x14ac:dyDescent="0.25">
      <c r="B6" s="16">
        <v>1</v>
      </c>
      <c r="C6" s="17"/>
      <c r="D6" s="18">
        <v>80000</v>
      </c>
      <c r="E6" s="19">
        <v>3000</v>
      </c>
    </row>
    <row r="7" spans="2:5" x14ac:dyDescent="0.25">
      <c r="B7" s="20">
        <v>2</v>
      </c>
      <c r="C7" s="21"/>
      <c r="D7" s="22"/>
      <c r="E7" s="31">
        <v>2000</v>
      </c>
    </row>
    <row r="8" spans="2:5" x14ac:dyDescent="0.25">
      <c r="B8" s="20">
        <v>3</v>
      </c>
      <c r="C8" s="21"/>
      <c r="D8" s="22"/>
      <c r="E8" s="31">
        <v>3000</v>
      </c>
    </row>
    <row r="9" spans="2:5" x14ac:dyDescent="0.25">
      <c r="B9" s="20">
        <v>4</v>
      </c>
      <c r="C9" s="21"/>
      <c r="D9" s="22"/>
      <c r="E9" s="31">
        <v>1500</v>
      </c>
    </row>
    <row r="10" spans="2:5" x14ac:dyDescent="0.25">
      <c r="B10" s="20">
        <v>5</v>
      </c>
      <c r="C10" s="21"/>
      <c r="D10" s="22"/>
      <c r="E10" s="31"/>
    </row>
    <row r="11" spans="2:5" x14ac:dyDescent="0.25">
      <c r="B11" s="20">
        <v>6</v>
      </c>
      <c r="C11" s="21"/>
      <c r="D11" s="22"/>
      <c r="E11" s="31"/>
    </row>
    <row r="12" spans="2:5" x14ac:dyDescent="0.25">
      <c r="B12" s="20">
        <v>7</v>
      </c>
      <c r="C12" s="21"/>
      <c r="D12" s="22"/>
      <c r="E12" s="31"/>
    </row>
    <row r="13" spans="2:5" x14ac:dyDescent="0.25">
      <c r="B13" s="20">
        <v>8</v>
      </c>
      <c r="C13" s="21"/>
      <c r="D13" s="22"/>
      <c r="E13" s="31"/>
    </row>
    <row r="14" spans="2:5" x14ac:dyDescent="0.25">
      <c r="B14" s="20">
        <v>9</v>
      </c>
      <c r="C14" s="21"/>
      <c r="D14" s="22"/>
      <c r="E14" s="31"/>
    </row>
    <row r="15" spans="2:5" x14ac:dyDescent="0.25">
      <c r="B15" s="20">
        <v>10</v>
      </c>
      <c r="C15" s="21"/>
      <c r="D15" s="22"/>
      <c r="E15" s="31"/>
    </row>
    <row r="16" spans="2:5" x14ac:dyDescent="0.25">
      <c r="B16" s="20">
        <v>11</v>
      </c>
      <c r="C16" s="21"/>
      <c r="D16" s="22"/>
      <c r="E16" s="31"/>
    </row>
    <row r="17" spans="2:5" x14ac:dyDescent="0.25">
      <c r="B17" s="20">
        <v>12</v>
      </c>
      <c r="C17" s="21"/>
      <c r="D17" s="22"/>
      <c r="E17" s="31"/>
    </row>
    <row r="18" spans="2:5" x14ac:dyDescent="0.25">
      <c r="B18" s="20">
        <v>13</v>
      </c>
      <c r="C18" s="21"/>
      <c r="D18" s="22"/>
      <c r="E18" s="31"/>
    </row>
    <row r="19" spans="2:5" x14ac:dyDescent="0.25">
      <c r="B19" s="20">
        <v>14</v>
      </c>
      <c r="C19" s="21"/>
      <c r="D19" s="22"/>
      <c r="E19" s="31"/>
    </row>
    <row r="20" spans="2:5" x14ac:dyDescent="0.25">
      <c r="B20" s="20">
        <v>15</v>
      </c>
      <c r="C20" s="21"/>
      <c r="D20" s="22"/>
      <c r="E20" s="31"/>
    </row>
    <row r="21" spans="2:5" x14ac:dyDescent="0.25">
      <c r="B21" s="20">
        <v>16</v>
      </c>
      <c r="C21" s="21"/>
      <c r="D21" s="22"/>
      <c r="E21" s="31"/>
    </row>
    <row r="22" spans="2:5" x14ac:dyDescent="0.25">
      <c r="B22" s="20">
        <v>17</v>
      </c>
      <c r="C22" s="21"/>
      <c r="D22" s="22"/>
      <c r="E22" s="31"/>
    </row>
    <row r="23" spans="2:5" x14ac:dyDescent="0.25">
      <c r="B23" s="20">
        <v>18</v>
      </c>
      <c r="C23" s="21"/>
      <c r="D23" s="22"/>
      <c r="E23" s="31"/>
    </row>
    <row r="24" spans="2:5" x14ac:dyDescent="0.25">
      <c r="B24" s="20">
        <v>19</v>
      </c>
      <c r="C24" s="21"/>
      <c r="D24" s="22"/>
      <c r="E24" s="31"/>
    </row>
    <row r="25" spans="2:5" x14ac:dyDescent="0.25">
      <c r="B25" s="20">
        <v>20</v>
      </c>
      <c r="C25" s="21"/>
      <c r="D25" s="22"/>
      <c r="E25" s="31"/>
    </row>
    <row r="26" spans="2:5" x14ac:dyDescent="0.25">
      <c r="B26" s="20">
        <v>21</v>
      </c>
      <c r="C26" s="21"/>
      <c r="D26" s="22"/>
      <c r="E26" s="31"/>
    </row>
    <row r="27" spans="2:5" x14ac:dyDescent="0.25">
      <c r="B27" s="20">
        <v>22</v>
      </c>
      <c r="C27" s="21"/>
      <c r="D27" s="22"/>
      <c r="E27" s="31"/>
    </row>
    <row r="28" spans="2:5" x14ac:dyDescent="0.25">
      <c r="B28" s="20">
        <v>23</v>
      </c>
      <c r="C28" s="21"/>
      <c r="D28" s="22"/>
      <c r="E28" s="31"/>
    </row>
    <row r="29" spans="2:5" x14ac:dyDescent="0.25">
      <c r="B29" s="20">
        <v>24</v>
      </c>
      <c r="C29" s="21"/>
      <c r="D29" s="22"/>
      <c r="E29" s="31"/>
    </row>
    <row r="30" spans="2:5" x14ac:dyDescent="0.25">
      <c r="B30" s="20">
        <v>25</v>
      </c>
      <c r="C30" s="21"/>
      <c r="D30" s="22"/>
      <c r="E30" s="31"/>
    </row>
    <row r="31" spans="2:5" x14ac:dyDescent="0.25">
      <c r="B31" s="20">
        <v>26</v>
      </c>
      <c r="C31" s="21"/>
      <c r="D31" s="22"/>
      <c r="E31" s="31"/>
    </row>
    <row r="32" spans="2:5" x14ac:dyDescent="0.25">
      <c r="B32" s="20">
        <v>27</v>
      </c>
      <c r="C32" s="21"/>
      <c r="D32" s="22"/>
      <c r="E32" s="31"/>
    </row>
    <row r="33" spans="2:5" x14ac:dyDescent="0.25">
      <c r="B33" s="20">
        <v>28</v>
      </c>
      <c r="C33" s="21"/>
      <c r="D33" s="22"/>
      <c r="E33" s="31"/>
    </row>
    <row r="34" spans="2:5" x14ac:dyDescent="0.25">
      <c r="B34" s="20">
        <v>29</v>
      </c>
      <c r="C34" s="21"/>
      <c r="D34" s="22"/>
      <c r="E34" s="31"/>
    </row>
    <row r="35" spans="2:5" x14ac:dyDescent="0.25">
      <c r="B35" s="20">
        <v>30</v>
      </c>
      <c r="C35" s="21"/>
      <c r="D35" s="22"/>
      <c r="E35" s="31"/>
    </row>
    <row r="36" spans="2:5" x14ac:dyDescent="0.25">
      <c r="B36" s="20">
        <v>31</v>
      </c>
      <c r="C36" s="21"/>
      <c r="D36" s="22"/>
      <c r="E36" s="31"/>
    </row>
    <row r="37" spans="2:5" x14ac:dyDescent="0.25">
      <c r="B37" s="20">
        <v>32</v>
      </c>
      <c r="C37" s="21"/>
      <c r="D37" s="22"/>
      <c r="E37" s="31"/>
    </row>
    <row r="38" spans="2:5" x14ac:dyDescent="0.25">
      <c r="B38" s="20">
        <v>33</v>
      </c>
      <c r="C38" s="21"/>
      <c r="D38" s="22"/>
      <c r="E38" s="31"/>
    </row>
    <row r="39" spans="2:5" x14ac:dyDescent="0.25">
      <c r="B39" s="20">
        <v>34</v>
      </c>
      <c r="C39" s="21"/>
      <c r="D39" s="22"/>
      <c r="E39" s="31"/>
    </row>
    <row r="40" spans="2:5" x14ac:dyDescent="0.25">
      <c r="B40" s="20">
        <v>35</v>
      </c>
      <c r="C40" s="21"/>
      <c r="D40" s="22"/>
      <c r="E40" s="31"/>
    </row>
    <row r="41" spans="2:5" x14ac:dyDescent="0.25">
      <c r="B41" s="20">
        <v>36</v>
      </c>
      <c r="C41" s="21"/>
      <c r="D41" s="22"/>
      <c r="E41" s="31"/>
    </row>
    <row r="42" spans="2:5" x14ac:dyDescent="0.25">
      <c r="B42" s="20">
        <v>37</v>
      </c>
      <c r="C42" s="21"/>
      <c r="D42" s="22"/>
      <c r="E42" s="31"/>
    </row>
    <row r="43" spans="2:5" x14ac:dyDescent="0.25">
      <c r="B43" s="20">
        <v>38</v>
      </c>
      <c r="C43" s="21"/>
      <c r="D43" s="22"/>
      <c r="E43" s="31"/>
    </row>
    <row r="44" spans="2:5" x14ac:dyDescent="0.25">
      <c r="B44" s="20">
        <v>39</v>
      </c>
      <c r="C44" s="21"/>
      <c r="D44" s="22"/>
      <c r="E44" s="31"/>
    </row>
    <row r="45" spans="2:5" x14ac:dyDescent="0.25">
      <c r="B45" s="23">
        <v>40</v>
      </c>
      <c r="C45" s="24"/>
      <c r="D45" s="25"/>
      <c r="E45" s="32"/>
    </row>
    <row r="46" spans="2:5" x14ac:dyDescent="0.25">
      <c r="B46" s="26"/>
      <c r="C46" s="27" t="s">
        <v>35</v>
      </c>
      <c r="D46" s="28">
        <f>SUM(D6:D45)</f>
        <v>80000</v>
      </c>
      <c r="E46" s="30">
        <f>SUM(E6:E45)</f>
        <v>9500</v>
      </c>
    </row>
  </sheetData>
  <mergeCells count="1">
    <mergeCell ref="B4:E4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7F7F7F"/>
  </sheetPr>
  <dimension ref="B2:B6"/>
  <sheetViews>
    <sheetView showGridLines="0" zoomScale="125" zoomScaleNormal="125" workbookViewId="0"/>
  </sheetViews>
  <sheetFormatPr defaultRowHeight="15.75" x14ac:dyDescent="0.25"/>
  <cols>
    <col min="1" max="1" width="1.77734375" customWidth="1"/>
    <col min="2" max="1025" width="8.5546875" customWidth="1"/>
  </cols>
  <sheetData>
    <row r="2" spans="2:2" x14ac:dyDescent="0.25">
      <c r="B2" t="s">
        <v>52</v>
      </c>
    </row>
    <row r="4" spans="2:2" x14ac:dyDescent="0.25">
      <c r="B4" s="33">
        <f>MIN(1-B5,1)</f>
        <v>0.45120000000000005</v>
      </c>
    </row>
    <row r="5" spans="2:2" x14ac:dyDescent="0.25">
      <c r="B5" s="33">
        <f>MIN(Dépenses_Mensuelles_Totales/Revenu_Mensuel_Total,1)</f>
        <v>0.54879999999999995</v>
      </c>
    </row>
    <row r="6" spans="2:2" x14ac:dyDescent="0.25">
      <c r="B6" t="b">
        <f>(Dépenses_Mensuelles_Totales/Revenu_Mensuel_Total)&gt;1</f>
        <v>0</v>
      </c>
    </row>
  </sheetData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5:C8"/>
  <sheetViews>
    <sheetView topLeftCell="A3" zoomScale="88" zoomScaleNormal="88" workbookViewId="0">
      <selection activeCell="B36" sqref="B36"/>
    </sheetView>
  </sheetViews>
  <sheetFormatPr defaultRowHeight="15.75" x14ac:dyDescent="0.25"/>
  <cols>
    <col min="1" max="1" width="9.5546875" customWidth="1"/>
    <col min="2" max="2" width="25.44140625" customWidth="1"/>
    <col min="3" max="1021" width="9.5546875" customWidth="1"/>
  </cols>
  <sheetData>
    <row r="5" spans="2:3" ht="18" x14ac:dyDescent="0.25">
      <c r="B5" s="34" t="s">
        <v>54</v>
      </c>
      <c r="C5" s="35">
        <f>SUM('Bdd Mandats'!D2:D52)</f>
        <v>2080000</v>
      </c>
    </row>
    <row r="8" spans="2:3" ht="18" x14ac:dyDescent="0.25">
      <c r="B8" s="36" t="s">
        <v>53</v>
      </c>
      <c r="C8" s="37">
        <f>C5*100/10000000</f>
        <v>20.8</v>
      </c>
    </row>
  </sheetData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Roman,Normal"&amp;A</oddHeader>
    <oddFooter>&amp;C&amp;"Times New Roman,Normal"Page &amp;P</oddFooter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2C0D5-155F-1F42-8802-6595444B18CC}">
  <dimension ref="A1:AB1"/>
  <sheetViews>
    <sheetView topLeftCell="F1" zoomScaleNormal="60" zoomScaleSheetLayoutView="100" workbookViewId="0">
      <selection activeCell="U14" sqref="U14"/>
    </sheetView>
  </sheetViews>
  <sheetFormatPr defaultRowHeight="15.75" x14ac:dyDescent="0.25"/>
  <cols>
    <col min="6" max="6" width="17.109375" customWidth="1"/>
    <col min="7" max="8" width="23" customWidth="1"/>
    <col min="10" max="10" width="11.44140625" customWidth="1"/>
    <col min="12" max="12" width="10.44140625" customWidth="1"/>
    <col min="15" max="15" width="12.33203125" customWidth="1"/>
    <col min="16" max="16" width="15" customWidth="1"/>
    <col min="20" max="20" width="13.6640625" customWidth="1"/>
    <col min="21" max="21" width="11.77734375" customWidth="1"/>
    <col min="22" max="22" width="14.21875" customWidth="1"/>
    <col min="23" max="23" width="14.33203125" customWidth="1"/>
    <col min="24" max="24" width="12" customWidth="1"/>
    <col min="25" max="25" width="14.5546875" customWidth="1"/>
    <col min="26" max="26" width="15" customWidth="1"/>
    <col min="27" max="27" width="10.109375" customWidth="1"/>
    <col min="28" max="28" width="16.33203125" customWidth="1"/>
  </cols>
  <sheetData>
    <row r="1" spans="1:28" x14ac:dyDescent="0.25">
      <c r="A1" s="38" t="s">
        <v>55</v>
      </c>
      <c r="B1" s="38" t="s">
        <v>57</v>
      </c>
      <c r="C1" s="38" t="s">
        <v>28</v>
      </c>
      <c r="D1" s="38" t="s">
        <v>56</v>
      </c>
      <c r="E1" s="38" t="s">
        <v>58</v>
      </c>
      <c r="F1" s="38" t="s">
        <v>59</v>
      </c>
      <c r="G1" s="38" t="s">
        <v>65</v>
      </c>
      <c r="H1" s="38" t="s">
        <v>77</v>
      </c>
      <c r="I1" s="39" t="s">
        <v>60</v>
      </c>
      <c r="J1" s="39" t="s">
        <v>61</v>
      </c>
      <c r="K1" s="39" t="s">
        <v>62</v>
      </c>
      <c r="L1" s="39" t="s">
        <v>45</v>
      </c>
      <c r="M1" s="39" t="s">
        <v>63</v>
      </c>
      <c r="N1" s="41" t="s">
        <v>64</v>
      </c>
      <c r="O1" s="40" t="s">
        <v>47</v>
      </c>
      <c r="P1" s="40" t="s">
        <v>68</v>
      </c>
      <c r="Q1" s="40" t="s">
        <v>66</v>
      </c>
      <c r="R1" s="40" t="s">
        <v>67</v>
      </c>
      <c r="S1" s="40" t="s">
        <v>69</v>
      </c>
      <c r="T1" s="42" t="s">
        <v>74</v>
      </c>
      <c r="U1" s="42" t="s">
        <v>70</v>
      </c>
      <c r="V1" s="42" t="s">
        <v>71</v>
      </c>
      <c r="W1" s="42" t="s">
        <v>73</v>
      </c>
      <c r="X1" s="42" t="s">
        <v>70</v>
      </c>
      <c r="Y1" s="42" t="s">
        <v>72</v>
      </c>
      <c r="Z1" s="42" t="s">
        <v>75</v>
      </c>
      <c r="AA1" s="42" t="s">
        <v>76</v>
      </c>
      <c r="AB1" s="42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2D0003-14F0-D94A-B8D1-DA7DDBF87972}">
  <dimension ref="B2:Q32"/>
  <sheetViews>
    <sheetView tabSelected="1" topLeftCell="D1" zoomScaleNormal="60" zoomScaleSheetLayoutView="100" workbookViewId="0">
      <selection activeCell="L14" sqref="L14"/>
    </sheetView>
  </sheetViews>
  <sheetFormatPr defaultRowHeight="15.75" x14ac:dyDescent="0.25"/>
  <cols>
    <col min="2" max="2" width="14.109375" customWidth="1"/>
    <col min="3" max="3" width="13.6640625" customWidth="1"/>
    <col min="5" max="5" width="18.21875" customWidth="1"/>
    <col min="6" max="6" width="13.6640625" customWidth="1"/>
    <col min="8" max="8" width="10.21875" bestFit="1" customWidth="1"/>
    <col min="9" max="9" width="16.6640625" customWidth="1"/>
    <col min="10" max="10" width="24.109375" customWidth="1"/>
    <col min="11" max="11" width="14.5546875" customWidth="1"/>
    <col min="12" max="12" width="14.33203125" customWidth="1"/>
    <col min="13" max="13" width="10.21875" bestFit="1" customWidth="1"/>
    <col min="14" max="14" width="30.44140625" customWidth="1"/>
    <col min="15" max="15" width="14.44140625" customWidth="1"/>
    <col min="16" max="16" width="11" customWidth="1"/>
  </cols>
  <sheetData>
    <row r="2" spans="2:17" ht="16.5" thickBot="1" x14ac:dyDescent="0.3"/>
    <row r="3" spans="2:17" ht="16.5" thickBot="1" x14ac:dyDescent="0.3">
      <c r="C3" s="49" t="s">
        <v>78</v>
      </c>
      <c r="D3" s="50" t="s">
        <v>79</v>
      </c>
      <c r="E3" s="56" t="s">
        <v>91</v>
      </c>
      <c r="F3" s="51" t="s">
        <v>80</v>
      </c>
      <c r="H3" s="49" t="s">
        <v>58</v>
      </c>
      <c r="I3" s="50" t="s">
        <v>96</v>
      </c>
      <c r="J3" s="51" t="s">
        <v>59</v>
      </c>
      <c r="L3" s="90" t="s">
        <v>128</v>
      </c>
      <c r="M3" s="87">
        <f>MIN(H4,H5)</f>
        <v>74</v>
      </c>
      <c r="N3" t="s">
        <v>129</v>
      </c>
    </row>
    <row r="4" spans="2:17" x14ac:dyDescent="0.25">
      <c r="B4" s="52" t="s">
        <v>81</v>
      </c>
      <c r="C4" s="43">
        <v>0</v>
      </c>
      <c r="D4" s="44">
        <v>0</v>
      </c>
      <c r="E4" s="57"/>
      <c r="F4" s="45">
        <v>0</v>
      </c>
      <c r="G4" s="81" t="s">
        <v>97</v>
      </c>
      <c r="H4" s="43">
        <v>74</v>
      </c>
      <c r="I4" s="84">
        <f>2022-H4</f>
        <v>1948</v>
      </c>
      <c r="J4" s="45"/>
    </row>
    <row r="5" spans="2:17" ht="16.5" thickBot="1" x14ac:dyDescent="0.3">
      <c r="B5" s="53" t="s">
        <v>82</v>
      </c>
      <c r="C5" s="46"/>
      <c r="D5" s="47">
        <v>0</v>
      </c>
      <c r="E5" s="58">
        <v>33000</v>
      </c>
      <c r="F5" s="48"/>
      <c r="G5" s="81" t="s">
        <v>98</v>
      </c>
      <c r="H5" s="82">
        <v>76</v>
      </c>
      <c r="I5" s="69">
        <f>2022-H5</f>
        <v>1946</v>
      </c>
      <c r="J5" s="83"/>
      <c r="M5" t="b">
        <f>(M3+10&lt;=85)</f>
        <v>1</v>
      </c>
    </row>
    <row r="6" spans="2:17" ht="16.5" thickBot="1" x14ac:dyDescent="0.3">
      <c r="B6" s="54" t="s">
        <v>83</v>
      </c>
      <c r="C6" s="55">
        <f>SUM(C4:C5)</f>
        <v>0</v>
      </c>
      <c r="D6" s="50">
        <f>SUM(D4:D5)</f>
        <v>0</v>
      </c>
      <c r="E6" s="56">
        <f>SUM(E4:E5)/12</f>
        <v>2750</v>
      </c>
      <c r="F6" s="51">
        <f>SUM(F4:F5)/100*70</f>
        <v>0</v>
      </c>
    </row>
    <row r="7" spans="2:17" ht="18.75" thickBot="1" x14ac:dyDescent="0.3">
      <c r="B7" s="59" t="s">
        <v>35</v>
      </c>
      <c r="C7" s="60"/>
      <c r="D7" s="61">
        <f>SUM(C6:F6)</f>
        <v>2750</v>
      </c>
      <c r="E7" s="61"/>
      <c r="F7" s="62"/>
    </row>
    <row r="9" spans="2:17" ht="16.5" thickBot="1" x14ac:dyDescent="0.3">
      <c r="J9" s="89" t="s">
        <v>126</v>
      </c>
      <c r="K9" t="s">
        <v>130</v>
      </c>
      <c r="L9" t="s">
        <v>131</v>
      </c>
    </row>
    <row r="10" spans="2:17" ht="18.75" thickBot="1" x14ac:dyDescent="0.3">
      <c r="B10" s="63" t="s">
        <v>84</v>
      </c>
      <c r="C10" s="75" t="s">
        <v>85</v>
      </c>
      <c r="D10" s="76" t="s">
        <v>86</v>
      </c>
      <c r="E10" s="76" t="s">
        <v>87</v>
      </c>
      <c r="F10" s="76" t="s">
        <v>88</v>
      </c>
      <c r="G10" s="76" t="s">
        <v>92</v>
      </c>
      <c r="H10" s="77" t="s">
        <v>89</v>
      </c>
      <c r="I10" s="78" t="s">
        <v>90</v>
      </c>
      <c r="J10" s="85" t="s">
        <v>101</v>
      </c>
      <c r="K10" s="86">
        <f>F21</f>
        <v>46305</v>
      </c>
      <c r="L10" s="87" t="s">
        <v>100</v>
      </c>
      <c r="M10">
        <v>2000</v>
      </c>
    </row>
    <row r="11" spans="2:17" x14ac:dyDescent="0.25">
      <c r="B11" s="79" t="s">
        <v>99</v>
      </c>
      <c r="C11" s="73"/>
      <c r="D11" s="65"/>
      <c r="E11" s="65">
        <v>339.2</v>
      </c>
      <c r="F11" s="65">
        <v>15000</v>
      </c>
      <c r="G11" s="65"/>
      <c r="H11" s="66"/>
      <c r="I11" s="67"/>
      <c r="O11" t="s">
        <v>122</v>
      </c>
      <c r="P11" s="88">
        <v>0.04</v>
      </c>
      <c r="Q11" t="s">
        <v>123</v>
      </c>
    </row>
    <row r="12" spans="2:17" ht="16.5" thickBot="1" x14ac:dyDescent="0.3">
      <c r="B12" s="80"/>
      <c r="C12" s="73"/>
      <c r="D12" s="65"/>
      <c r="E12" s="65">
        <v>100</v>
      </c>
      <c r="F12" s="65">
        <v>3805</v>
      </c>
      <c r="G12" s="65"/>
      <c r="H12" s="66"/>
      <c r="I12" s="67"/>
      <c r="J12" t="s">
        <v>119</v>
      </c>
    </row>
    <row r="13" spans="2:17" ht="18.75" thickBot="1" x14ac:dyDescent="0.3">
      <c r="B13" s="80"/>
      <c r="C13" s="73"/>
      <c r="D13" s="65"/>
      <c r="E13" s="65">
        <v>349.17</v>
      </c>
      <c r="F13" s="65">
        <v>26000</v>
      </c>
      <c r="G13" s="65"/>
      <c r="H13" s="66">
        <v>44969</v>
      </c>
      <c r="I13" s="67"/>
      <c r="J13" s="87"/>
      <c r="L13" s="94" t="s">
        <v>127</v>
      </c>
      <c r="M13" s="95" t="s">
        <v>115</v>
      </c>
      <c r="N13" s="95" t="s">
        <v>125</v>
      </c>
      <c r="O13" s="95" t="s">
        <v>116</v>
      </c>
      <c r="P13" s="95" t="s">
        <v>117</v>
      </c>
      <c r="Q13" s="96" t="s">
        <v>118</v>
      </c>
    </row>
    <row r="14" spans="2:17" ht="18.75" thickBot="1" x14ac:dyDescent="0.3">
      <c r="B14" s="80"/>
      <c r="C14" s="73"/>
      <c r="D14" s="65"/>
      <c r="E14" s="65">
        <v>55.11</v>
      </c>
      <c r="F14" s="65">
        <v>1500</v>
      </c>
      <c r="G14" s="65"/>
      <c r="H14" s="66"/>
      <c r="I14" s="67"/>
      <c r="J14" s="87" t="s">
        <v>120</v>
      </c>
      <c r="K14" s="91" t="s">
        <v>102</v>
      </c>
      <c r="L14" s="97">
        <f>IF(AND($M$10&gt;=1500,$M$3&lt;75),IF(AND($L$9="non",$M$10&lt;=80000),-PMT($P$11/10,VALUE(LEFT($K14,2))*12,$M$10),IF(AND($L$9="oui",$M$10&lt;=200000),-PMT($P$11/12,VALUE(LEFT($K14,2))*12,$M$10),"&gt;&lt;")),"&gt;&lt;")</f>
        <v>171.03171316986109</v>
      </c>
      <c r="M14" s="98">
        <f>IF($L$9="non",3,1)</f>
        <v>3</v>
      </c>
      <c r="N14" s="98" t="s">
        <v>124</v>
      </c>
      <c r="O14" s="98" t="s">
        <v>124</v>
      </c>
      <c r="P14" s="98" t="s">
        <v>124</v>
      </c>
      <c r="Q14" s="99" t="s">
        <v>124</v>
      </c>
    </row>
    <row r="15" spans="2:17" ht="18.75" thickBot="1" x14ac:dyDescent="0.3">
      <c r="B15" s="80"/>
      <c r="C15" s="73"/>
      <c r="D15" s="65"/>
      <c r="E15" s="65"/>
      <c r="F15" s="65"/>
      <c r="G15" s="65"/>
      <c r="H15" s="66"/>
      <c r="I15" s="67"/>
      <c r="J15" s="87" t="s">
        <v>120</v>
      </c>
      <c r="K15" s="92" t="s">
        <v>103</v>
      </c>
      <c r="L15" s="97">
        <f t="shared" ref="L15:L26" si="0">IF(AND($M$10&gt;=1500,$M$3&lt;75),IF(AND($L$9="non",$M$10&lt;=80000),-PMT($P$11/10,VALUE(LEFT($K15,2))*12,$M$10),IF(AND($L$9="oui",$M$10&lt;=200000),-PMT($P$11/12,VALUE(LEFT($K15,2))*12,$M$10),"&gt;&lt;")),"&gt;&lt;")</f>
        <v>59.762368287585161</v>
      </c>
      <c r="M15" s="98">
        <f t="shared" ref="M15:M26" si="1">IF($L$9="non",3,1)</f>
        <v>3</v>
      </c>
      <c r="N15" s="100" t="s">
        <v>124</v>
      </c>
      <c r="O15" s="101">
        <f>-PMT(S11/12,3*12,P10)</f>
        <v>0</v>
      </c>
      <c r="P15" s="100" t="s">
        <v>124</v>
      </c>
      <c r="Q15" s="102" t="s">
        <v>124</v>
      </c>
    </row>
    <row r="16" spans="2:17" ht="18.75" thickBot="1" x14ac:dyDescent="0.3">
      <c r="B16" s="80"/>
      <c r="C16" s="73"/>
      <c r="D16" s="65"/>
      <c r="E16" s="65"/>
      <c r="F16" s="65"/>
      <c r="G16" s="65"/>
      <c r="H16" s="66"/>
      <c r="I16" s="67"/>
      <c r="J16" s="87" t="s">
        <v>120</v>
      </c>
      <c r="K16" s="92" t="s">
        <v>104</v>
      </c>
      <c r="L16" s="97">
        <f t="shared" si="0"/>
        <v>37.559484020579141</v>
      </c>
      <c r="M16" s="98">
        <f t="shared" si="1"/>
        <v>3</v>
      </c>
      <c r="N16" s="101">
        <f>-PMT(P11/12,5*12,M10)</f>
        <v>36.833044110532704</v>
      </c>
      <c r="O16" s="101">
        <f>-PMT(P11/12,5*12,M10)</f>
        <v>36.833044110532704</v>
      </c>
      <c r="P16" s="101">
        <f>-PMT(P11/12,5*12,M10)</f>
        <v>36.833044110532704</v>
      </c>
      <c r="Q16" s="103">
        <f>-PMT(P11/12,5*12,M10)</f>
        <v>36.833044110532704</v>
      </c>
    </row>
    <row r="17" spans="2:17" ht="18.75" thickBot="1" x14ac:dyDescent="0.3">
      <c r="B17" s="80"/>
      <c r="C17" s="73"/>
      <c r="D17" s="65"/>
      <c r="E17" s="65"/>
      <c r="F17" s="65"/>
      <c r="G17" s="65"/>
      <c r="H17" s="66">
        <v>45965</v>
      </c>
      <c r="I17" s="67"/>
      <c r="J17" s="87" t="s">
        <v>120</v>
      </c>
      <c r="K17" s="92" t="s">
        <v>107</v>
      </c>
      <c r="L17" s="97">
        <f t="shared" si="0"/>
        <v>32.024650073337419</v>
      </c>
      <c r="M17" s="98">
        <f t="shared" si="1"/>
        <v>3</v>
      </c>
      <c r="N17" s="101">
        <f>-PMT(P11/12,6*12,M10)</f>
        <v>31.290366145085006</v>
      </c>
      <c r="O17" s="101">
        <f>-PMT(P11/12,6*12,M10)</f>
        <v>31.290366145085006</v>
      </c>
      <c r="P17" s="101">
        <f>-PMT(P11/12,6*12,M10)</f>
        <v>31.290366145085006</v>
      </c>
      <c r="Q17" s="103">
        <f>-PMT(P11/12,6*12,M10)</f>
        <v>31.290366145085006</v>
      </c>
    </row>
    <row r="18" spans="2:17" ht="18.75" thickBot="1" x14ac:dyDescent="0.3">
      <c r="B18" s="80"/>
      <c r="C18" s="73"/>
      <c r="D18" s="65"/>
      <c r="E18" s="65"/>
      <c r="F18" s="65"/>
      <c r="G18" s="65"/>
      <c r="H18" s="66"/>
      <c r="I18" s="67"/>
      <c r="J18" s="87" t="s">
        <v>120</v>
      </c>
      <c r="K18" s="92" t="s">
        <v>108</v>
      </c>
      <c r="L18" s="97">
        <f t="shared" si="0"/>
        <v>28.080246522791686</v>
      </c>
      <c r="M18" s="98">
        <f t="shared" si="1"/>
        <v>3</v>
      </c>
      <c r="N18" s="101">
        <f>-PMT(P11/12,7*12,M10)</f>
        <v>27.337612672979699</v>
      </c>
      <c r="O18" s="101">
        <f>-PMT(P11/12,7*12,M10)</f>
        <v>27.337612672979699</v>
      </c>
      <c r="P18" s="101">
        <f>-PMT(P11/12,7*12,M10)</f>
        <v>27.337612672979699</v>
      </c>
      <c r="Q18" s="103">
        <f>-PMT(P11/12,7*12,M10)</f>
        <v>27.337612672979699</v>
      </c>
    </row>
    <row r="19" spans="2:17" ht="18.75" thickBot="1" x14ac:dyDescent="0.3">
      <c r="B19" s="80"/>
      <c r="C19" s="73"/>
      <c r="D19" s="65"/>
      <c r="E19" s="65"/>
      <c r="F19" s="65"/>
      <c r="G19" s="65"/>
      <c r="H19" s="66"/>
      <c r="I19" s="67"/>
      <c r="J19" s="87" t="s">
        <v>120</v>
      </c>
      <c r="K19" s="92" t="s">
        <v>109</v>
      </c>
      <c r="L19" s="97">
        <f t="shared" si="0"/>
        <v>25.129838429518923</v>
      </c>
      <c r="M19" s="98">
        <f t="shared" si="1"/>
        <v>3</v>
      </c>
      <c r="N19" s="101">
        <f>-PMT(P11/12,8*12,M10)</f>
        <v>24.378550604613743</v>
      </c>
      <c r="O19" s="101">
        <f>-PMT(P11/12,8*12,M10)</f>
        <v>24.378550604613743</v>
      </c>
      <c r="P19" s="101">
        <f>-PMT(P11/12,8*12,M10)</f>
        <v>24.378550604613743</v>
      </c>
      <c r="Q19" s="103">
        <f>-PMT(P11/12,8*12,M10)</f>
        <v>24.378550604613743</v>
      </c>
    </row>
    <row r="20" spans="2:17" ht="18.75" thickBot="1" x14ac:dyDescent="0.3">
      <c r="B20" s="80"/>
      <c r="C20" s="73"/>
      <c r="D20" s="65"/>
      <c r="E20" s="65"/>
      <c r="F20" s="65"/>
      <c r="G20" s="65"/>
      <c r="H20" s="66"/>
      <c r="I20" s="67"/>
      <c r="J20" s="87" t="s">
        <v>120</v>
      </c>
      <c r="K20" s="92" t="s">
        <v>110</v>
      </c>
      <c r="L20" s="97">
        <f t="shared" si="0"/>
        <v>22.842069922092385</v>
      </c>
      <c r="M20" s="98">
        <f t="shared" si="1"/>
        <v>3</v>
      </c>
      <c r="N20" s="101">
        <f>-PMT(P11/12,9*12,M10)</f>
        <v>22.081937806040781</v>
      </c>
      <c r="O20" s="101">
        <f>-PMT(P11/12,9*12,M10)</f>
        <v>22.081937806040781</v>
      </c>
      <c r="P20" s="101">
        <f>-PMT(P11/12,9*12,M10)</f>
        <v>22.081937806040781</v>
      </c>
      <c r="Q20" s="103">
        <f>-PMT(P11/12,9*12,M10)</f>
        <v>22.081937806040781</v>
      </c>
    </row>
    <row r="21" spans="2:17" ht="18.75" thickBot="1" x14ac:dyDescent="0.3">
      <c r="B21" s="72" t="s">
        <v>83</v>
      </c>
      <c r="C21" s="74"/>
      <c r="D21" s="68"/>
      <c r="E21" s="69">
        <f>SUM(E11:E20)</f>
        <v>843.48</v>
      </c>
      <c r="F21" s="69">
        <f>SUM(F11:F20)</f>
        <v>46305</v>
      </c>
      <c r="G21" s="68"/>
      <c r="H21" s="70">
        <f>MAX(H11:H20)</f>
        <v>45965</v>
      </c>
      <c r="I21" s="71"/>
      <c r="J21" s="87" t="s">
        <v>120</v>
      </c>
      <c r="K21" s="92" t="s">
        <v>111</v>
      </c>
      <c r="L21" s="97">
        <f t="shared" si="0"/>
        <v>21.018124698029773</v>
      </c>
      <c r="M21" s="98">
        <f t="shared" si="1"/>
        <v>3</v>
      </c>
      <c r="N21" s="101">
        <f>-PMT(P11/12,10*12,M10)</f>
        <v>20.249027632976301</v>
      </c>
      <c r="O21" s="101">
        <f>-PMT(P11/12,10*12,M10)</f>
        <v>20.249027632976301</v>
      </c>
      <c r="P21" s="101">
        <f>-PMT(P11/12,10*12,M10)</f>
        <v>20.249027632976301</v>
      </c>
      <c r="Q21" s="103">
        <f>-PMT(P11/12,10*12,M10)</f>
        <v>20.249027632976301</v>
      </c>
    </row>
    <row r="22" spans="2:17" ht="18.75" thickBot="1" x14ac:dyDescent="0.3">
      <c r="J22" s="87" t="s">
        <v>120</v>
      </c>
      <c r="K22" s="92" t="s">
        <v>112</v>
      </c>
      <c r="L22" s="97">
        <f t="shared" si="0"/>
        <v>19.531480800880072</v>
      </c>
      <c r="M22" s="98">
        <f t="shared" si="1"/>
        <v>3</v>
      </c>
      <c r="N22" s="101">
        <f>-PMT(P11/12,11*12,M10)</f>
        <v>18.753343720343818</v>
      </c>
      <c r="O22" s="101">
        <f>-PMT(P11/12,11*12,M10)</f>
        <v>18.753343720343818</v>
      </c>
      <c r="P22" s="101">
        <f>-PMT(P11/12,11*12,M10)</f>
        <v>18.753343720343818</v>
      </c>
      <c r="Q22" s="103">
        <f>-PMT(P11/12,11*12,M10)</f>
        <v>18.753343720343818</v>
      </c>
    </row>
    <row r="23" spans="2:17" ht="18.75" thickBot="1" x14ac:dyDescent="0.3">
      <c r="J23" s="87" t="s">
        <v>120</v>
      </c>
      <c r="K23" s="92" t="s">
        <v>105</v>
      </c>
      <c r="L23" s="97">
        <f t="shared" si="0"/>
        <v>18.29778801226573</v>
      </c>
      <c r="M23" s="98">
        <f t="shared" si="1"/>
        <v>3</v>
      </c>
      <c r="N23" s="101">
        <f>-PMT(P11/12,12*12,M10)</f>
        <v>17.510567378272079</v>
      </c>
      <c r="O23" s="101">
        <f>-PMT(P11/12,12*12,M10)</f>
        <v>17.510567378272079</v>
      </c>
      <c r="P23" s="101">
        <f>-PMT(P11/12,12*12,M10)</f>
        <v>17.510567378272079</v>
      </c>
      <c r="Q23" s="103">
        <f>-PMT(P11/12,12*12,M10)</f>
        <v>17.510567378272079</v>
      </c>
    </row>
    <row r="24" spans="2:17" ht="18.75" thickBot="1" x14ac:dyDescent="0.3">
      <c r="B24" s="63" t="s">
        <v>93</v>
      </c>
      <c r="C24" s="75" t="s">
        <v>85</v>
      </c>
      <c r="D24" s="76" t="s">
        <v>86</v>
      </c>
      <c r="E24" s="76" t="s">
        <v>87</v>
      </c>
      <c r="F24" s="76" t="s">
        <v>88</v>
      </c>
      <c r="G24" s="76" t="s">
        <v>92</v>
      </c>
      <c r="H24" s="76" t="s">
        <v>89</v>
      </c>
      <c r="I24" s="78" t="s">
        <v>90</v>
      </c>
      <c r="J24" s="87" t="s">
        <v>121</v>
      </c>
      <c r="K24" s="92" t="s">
        <v>113</v>
      </c>
      <c r="L24" s="97">
        <f t="shared" si="0"/>
        <v>17.258647989184574</v>
      </c>
      <c r="M24" s="98">
        <f t="shared" si="1"/>
        <v>3</v>
      </c>
      <c r="N24" s="100" t="s">
        <v>124</v>
      </c>
      <c r="O24" s="101">
        <f>-PMT(P11/12,13*12,M10)</f>
        <v>16.462323114121666</v>
      </c>
      <c r="P24" s="101">
        <f>-PMT(P11/12,13*12,M10)</f>
        <v>16.462323114121666</v>
      </c>
      <c r="Q24" s="103">
        <f>-PMT(P11/12,13*12,M10)</f>
        <v>16.462323114121666</v>
      </c>
    </row>
    <row r="25" spans="2:17" ht="18.75" thickBot="1" x14ac:dyDescent="0.3">
      <c r="B25" s="79"/>
      <c r="C25" s="73"/>
      <c r="D25" s="65"/>
      <c r="E25" s="65"/>
      <c r="F25" s="65"/>
      <c r="G25" s="65"/>
      <c r="H25" s="65"/>
      <c r="I25" s="67"/>
      <c r="J25" s="87" t="s">
        <v>121</v>
      </c>
      <c r="K25" s="92" t="s">
        <v>114</v>
      </c>
      <c r="L25" s="97">
        <f t="shared" si="0"/>
        <v>16.372345773836823</v>
      </c>
      <c r="M25" s="98">
        <f t="shared" si="1"/>
        <v>3</v>
      </c>
      <c r="N25" s="100" t="s">
        <v>124</v>
      </c>
      <c r="O25" s="101">
        <f>-PMT(P11/12,14*12,M10)</f>
        <v>15.566913217501122</v>
      </c>
      <c r="P25" s="101">
        <f>-PMT(P11/12,14*12,M10)</f>
        <v>15.566913217501122</v>
      </c>
      <c r="Q25" s="103">
        <f>-PMT(P11/12,14*12,M10)</f>
        <v>15.566913217501122</v>
      </c>
    </row>
    <row r="26" spans="2:17" ht="18.75" thickBot="1" x14ac:dyDescent="0.3">
      <c r="B26" s="80"/>
      <c r="C26" s="73"/>
      <c r="D26" s="65"/>
      <c r="E26" s="65"/>
      <c r="F26" s="65"/>
      <c r="G26" s="65"/>
      <c r="H26" s="65"/>
      <c r="I26" s="67"/>
      <c r="J26" s="87" t="s">
        <v>121</v>
      </c>
      <c r="K26" s="93" t="s">
        <v>106</v>
      </c>
      <c r="L26" s="97">
        <f t="shared" si="0"/>
        <v>15.60828870202667</v>
      </c>
      <c r="M26" s="98">
        <f t="shared" si="1"/>
        <v>3</v>
      </c>
      <c r="N26" s="105" t="s">
        <v>124</v>
      </c>
      <c r="O26" s="104">
        <f>-PMT(P11/12,15*12,M10)</f>
        <v>14.793758512185402</v>
      </c>
      <c r="P26" s="104">
        <f>-PMT(P11/12,15*12,M10)</f>
        <v>14.793758512185402</v>
      </c>
      <c r="Q26" s="106">
        <f>-PMT(P11/12,15*12,M10)</f>
        <v>14.793758512185402</v>
      </c>
    </row>
    <row r="27" spans="2:17" x14ac:dyDescent="0.25">
      <c r="B27" s="80"/>
      <c r="C27" s="73"/>
      <c r="D27" s="65"/>
      <c r="E27" s="65"/>
      <c r="F27" s="65"/>
      <c r="G27" s="65"/>
      <c r="H27" s="65"/>
      <c r="I27" s="67"/>
      <c r="K27" s="87"/>
    </row>
    <row r="28" spans="2:17" ht="16.5" thickBot="1" x14ac:dyDescent="0.3">
      <c r="B28" s="72" t="s">
        <v>83</v>
      </c>
      <c r="C28" s="74"/>
      <c r="D28" s="68"/>
      <c r="E28" s="69">
        <f>SUM(E25:E27)</f>
        <v>0</v>
      </c>
      <c r="F28" s="69">
        <f>SUM(F25:F27)</f>
        <v>0</v>
      </c>
      <c r="G28" s="68"/>
      <c r="H28" s="69">
        <f>MAX(H25:H27)</f>
        <v>0</v>
      </c>
      <c r="I28" s="71"/>
      <c r="K28" s="87"/>
    </row>
    <row r="30" spans="2:17" x14ac:dyDescent="0.25">
      <c r="C30" t="s">
        <v>94</v>
      </c>
      <c r="E30" s="64">
        <f>E21+E28</f>
        <v>843.48</v>
      </c>
    </row>
    <row r="32" spans="2:17" x14ac:dyDescent="0.25">
      <c r="C32" s="108" t="s">
        <v>95</v>
      </c>
      <c r="D32" s="108"/>
      <c r="E32" s="64">
        <f>F21+F28</f>
        <v>46305</v>
      </c>
    </row>
  </sheetData>
  <mergeCells count="1">
    <mergeCell ref="C32:D3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3</vt:i4>
      </vt:variant>
    </vt:vector>
  </HeadingPairs>
  <TitlesOfParts>
    <vt:vector size="12" baseType="lpstr">
      <vt:lpstr>Gérer mon argent</vt:lpstr>
      <vt:lpstr>Mandat plateau employés </vt:lpstr>
      <vt:lpstr>Bdd Mandats</vt:lpstr>
      <vt:lpstr>Feuil1</vt:lpstr>
      <vt:lpstr>Mandat plateau Mauricien</vt:lpstr>
      <vt:lpstr>Données du graphique</vt:lpstr>
      <vt:lpstr>Jauge Challenge</vt:lpstr>
      <vt:lpstr>Fiche client</vt:lpstr>
      <vt:lpstr>Simulation </vt:lpstr>
      <vt:lpstr>Dépenses_Mensuelles_Totales</vt:lpstr>
      <vt:lpstr>Épargne_Mensuelle_Totale</vt:lpstr>
      <vt:lpstr>Revenu_Mensuel_Total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h2so4</cp:lastModifiedBy>
  <cp:revision>1</cp:revision>
  <dcterms:created xsi:type="dcterms:W3CDTF">2014-09-09T12:22:13Z</dcterms:created>
  <dcterms:modified xsi:type="dcterms:W3CDTF">2022-04-25T11:07:32Z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