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5BE71AB-9CBB-49EA-AC70-37CDAA83D2A3}" xr6:coauthVersionLast="47" xr6:coauthVersionMax="47" xr10:uidLastSave="{00000000-0000-0000-0000-000000000000}"/>
  <bookViews>
    <workbookView xWindow="-120" yWindow="-120" windowWidth="29040" windowHeight="16440" tabRatio="958" xr2:uid="{41A36152-E144-483C-A15E-2418AD1956DA}"/>
  </bookViews>
  <sheets>
    <sheet name="DALLE - SYNTHESE" sheetId="7" r:id="rId1"/>
    <sheet name="DALLE Informations géométriques" sheetId="1" r:id="rId2"/>
    <sheet name="DALLE - Hu" sheetId="5" r:id="rId3"/>
  </sheets>
  <functionGroups builtInGroupCount="19"/>
  <definedNames>
    <definedName name="_xlnm._FilterDatabase" localSheetId="1" hidden="1">'DALLE Informations géométriques'!$I$1:$AF$16</definedName>
    <definedName name="GL">'DALLE - Hu'!$I$9</definedName>
    <definedName name="ksi">'DALLE - Hu'!$I$8</definedName>
    <definedName name="omega">'DALLE - Hu'!$I$12</definedName>
    <definedName name="pl">'DALLE - Hu'!$I$6</definedName>
    <definedName name="r0">'DALLE - Hu'!$I$7</definedName>
    <definedName name="solver_adj" localSheetId="2" hidden="1">'DALLE - Hu'!$R$8</definedName>
    <definedName name="solver_adj" localSheetId="0" hidden="1">'DALLE - SYNTHESE'!$R$8</definedName>
    <definedName name="solver_cvg" localSheetId="2" hidden="1">0.0001</definedName>
    <definedName name="solver_drv" localSheetId="2" hidden="1">1</definedName>
    <definedName name="solver_eng" localSheetId="2" hidden="1">1</definedName>
    <definedName name="solver_eng" localSheetId="0" hidden="1">1</definedName>
    <definedName name="solver_est" localSheetId="2" hidden="1">1</definedName>
    <definedName name="solver_itr" localSheetId="2" hidden="1">2147483647</definedName>
    <definedName name="solver_lhs1" localSheetId="2" hidden="1">'DALLE - Hu'!$R$8</definedName>
    <definedName name="solver_mip" localSheetId="2" hidden="1">2147483647</definedName>
    <definedName name="solver_mni" localSheetId="2" hidden="1">30</definedName>
    <definedName name="solver_mrt" localSheetId="2" hidden="1">0.075</definedName>
    <definedName name="solver_msl" localSheetId="2" hidden="1">2</definedName>
    <definedName name="solver_neg" localSheetId="2" hidden="1">1</definedName>
    <definedName name="solver_neg" localSheetId="0" hidden="1">1</definedName>
    <definedName name="solver_nod" localSheetId="2" hidden="1">2147483647</definedName>
    <definedName name="solver_num" localSheetId="2" hidden="1">0</definedName>
    <definedName name="solver_num" localSheetId="0" hidden="1">0</definedName>
    <definedName name="solver_nwt" localSheetId="2" hidden="1">1</definedName>
    <definedName name="solver_opt" localSheetId="2" hidden="1">'DALLE - Hu'!$R$9</definedName>
    <definedName name="solver_opt" localSheetId="0" hidden="1">'DALLE - SYNTHESE'!$R$9</definedName>
    <definedName name="solver_pre" localSheetId="2" hidden="1">0.000001</definedName>
    <definedName name="solver_rbv" localSheetId="2" hidden="1">1</definedName>
    <definedName name="solver_rel1" localSheetId="2" hidden="1">3</definedName>
    <definedName name="solver_rhs1" localSheetId="2" hidden="1">0</definedName>
    <definedName name="solver_rlx" localSheetId="2" hidden="1">2</definedName>
    <definedName name="solver_rsd" localSheetId="2" hidden="1">0</definedName>
    <definedName name="solver_scl" localSheetId="2" hidden="1">1</definedName>
    <definedName name="solver_sho" localSheetId="2" hidden="1">2</definedName>
    <definedName name="solver_ssz" localSheetId="2" hidden="1">100</definedName>
    <definedName name="solver_tim" localSheetId="2" hidden="1">2147483647</definedName>
    <definedName name="solver_tol" localSheetId="2" hidden="1">0.01</definedName>
    <definedName name="solver_typ" localSheetId="2" hidden="1">3</definedName>
    <definedName name="solver_typ" localSheetId="0" hidden="1">3</definedName>
    <definedName name="solver_val" localSheetId="2" hidden="1">0</definedName>
    <definedName name="solver_val" localSheetId="0" hidden="1">0</definedName>
    <definedName name="solver_ver" localSheetId="2" hidden="1">3</definedName>
    <definedName name="solver_ver" localSheetId="0" hidden="1">3</definedName>
    <definedName name="tc">'DALLE - Hu'!$I$5</definedName>
    <definedName name="x">'DALLE - Hu'!$I$10</definedName>
    <definedName name="y">'DALLE - Hu'!$I$11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B8" i="7" l="1"/>
  <c r="AE7" i="7"/>
  <c r="AE6" i="7"/>
  <c r="C3" i="5" s="1"/>
  <c r="AE5" i="7"/>
  <c r="B3" i="5" l="1"/>
  <c r="R74" i="7"/>
  <c r="R75" i="7"/>
  <c r="R76" i="7"/>
  <c r="R77" i="7"/>
  <c r="R78" i="7"/>
  <c r="R73" i="7"/>
  <c r="O74" i="7"/>
  <c r="O75" i="7"/>
  <c r="O76" i="7"/>
  <c r="O77" i="7"/>
  <c r="O78" i="7"/>
  <c r="I8" i="5" l="1"/>
  <c r="A14" i="1" l="1"/>
  <c r="D3" i="5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08" i="1"/>
  <c r="M107" i="1"/>
  <c r="L120" i="1"/>
  <c r="N120" i="1" s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N106" i="1" s="1"/>
  <c r="M93" i="1"/>
  <c r="M92" i="1"/>
  <c r="L105" i="1"/>
  <c r="L104" i="1" s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N91" i="1" s="1"/>
  <c r="M78" i="1"/>
  <c r="M77" i="1"/>
  <c r="L89" i="1"/>
  <c r="L88" i="1" s="1"/>
  <c r="L90" i="1"/>
  <c r="N90" i="1" s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63" i="1"/>
  <c r="M62" i="1"/>
  <c r="N121" i="1"/>
  <c r="N76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48" i="1"/>
  <c r="M47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33" i="1"/>
  <c r="M32" i="1"/>
  <c r="L75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Q119" i="1" l="1"/>
  <c r="Q128" i="1"/>
  <c r="Q136" i="1"/>
  <c r="Q144" i="1"/>
  <c r="Q152" i="1"/>
  <c r="Q160" i="1"/>
  <c r="Q168" i="1"/>
  <c r="Q176" i="1"/>
  <c r="Q184" i="1"/>
  <c r="Q192" i="1"/>
  <c r="Q200" i="1"/>
  <c r="Q208" i="1"/>
  <c r="Q216" i="1"/>
  <c r="Q224" i="1"/>
  <c r="Q232" i="1"/>
  <c r="Q240" i="1"/>
  <c r="Q248" i="1"/>
  <c r="Q256" i="1"/>
  <c r="Q264" i="1"/>
  <c r="Q272" i="1"/>
  <c r="Q137" i="1"/>
  <c r="Q145" i="1"/>
  <c r="Q153" i="1"/>
  <c r="Q161" i="1"/>
  <c r="Q169" i="1"/>
  <c r="Q177" i="1"/>
  <c r="Q185" i="1"/>
  <c r="Q193" i="1"/>
  <c r="Q201" i="1"/>
  <c r="Q209" i="1"/>
  <c r="Q217" i="1"/>
  <c r="Q225" i="1"/>
  <c r="Q233" i="1"/>
  <c r="Q241" i="1"/>
  <c r="Q249" i="1"/>
  <c r="Q257" i="1"/>
  <c r="Q265" i="1"/>
  <c r="Q273" i="1"/>
  <c r="Q150" i="1"/>
  <c r="Q174" i="1"/>
  <c r="Q182" i="1"/>
  <c r="Q206" i="1"/>
  <c r="Q222" i="1"/>
  <c r="Q238" i="1"/>
  <c r="Q262" i="1"/>
  <c r="Q135" i="1"/>
  <c r="Q167" i="1"/>
  <c r="Q207" i="1"/>
  <c r="Q231" i="1"/>
  <c r="Q255" i="1"/>
  <c r="Q129" i="1"/>
  <c r="Q122" i="1"/>
  <c r="Q130" i="1"/>
  <c r="Q138" i="1"/>
  <c r="Q146" i="1"/>
  <c r="Q154" i="1"/>
  <c r="Q162" i="1"/>
  <c r="Q170" i="1"/>
  <c r="Q178" i="1"/>
  <c r="Q186" i="1"/>
  <c r="Q194" i="1"/>
  <c r="Q202" i="1"/>
  <c r="Q210" i="1"/>
  <c r="Q218" i="1"/>
  <c r="Q226" i="1"/>
  <c r="Q234" i="1"/>
  <c r="Q242" i="1"/>
  <c r="Q250" i="1"/>
  <c r="Q258" i="1"/>
  <c r="Q266" i="1"/>
  <c r="Q274" i="1"/>
  <c r="Q164" i="1"/>
  <c r="Q134" i="1"/>
  <c r="Q166" i="1"/>
  <c r="Q190" i="1"/>
  <c r="Q214" i="1"/>
  <c r="Q254" i="1"/>
  <c r="Q159" i="1"/>
  <c r="Q215" i="1"/>
  <c r="Q271" i="1"/>
  <c r="Q123" i="1"/>
  <c r="Q131" i="1"/>
  <c r="Q139" i="1"/>
  <c r="Q147" i="1"/>
  <c r="Q155" i="1"/>
  <c r="Q163" i="1"/>
  <c r="Q171" i="1"/>
  <c r="Q179" i="1"/>
  <c r="Q187" i="1"/>
  <c r="Q195" i="1"/>
  <c r="Q203" i="1"/>
  <c r="Q211" i="1"/>
  <c r="Q219" i="1"/>
  <c r="Q227" i="1"/>
  <c r="Q235" i="1"/>
  <c r="Q243" i="1"/>
  <c r="Q251" i="1"/>
  <c r="Q259" i="1"/>
  <c r="Q267" i="1"/>
  <c r="Q275" i="1"/>
  <c r="Q132" i="1"/>
  <c r="Q140" i="1"/>
  <c r="Q148" i="1"/>
  <c r="Q156" i="1"/>
  <c r="Q172" i="1"/>
  <c r="Q180" i="1"/>
  <c r="Q188" i="1"/>
  <c r="Q196" i="1"/>
  <c r="Q204" i="1"/>
  <c r="Q212" i="1"/>
  <c r="Q220" i="1"/>
  <c r="Q228" i="1"/>
  <c r="Q236" i="1"/>
  <c r="Q244" i="1"/>
  <c r="Q252" i="1"/>
  <c r="Q260" i="1"/>
  <c r="Q268" i="1"/>
  <c r="Q127" i="1"/>
  <c r="Q183" i="1"/>
  <c r="Q239" i="1"/>
  <c r="Q124" i="1"/>
  <c r="Q142" i="1"/>
  <c r="Q198" i="1"/>
  <c r="Q230" i="1"/>
  <c r="Q246" i="1"/>
  <c r="Q270" i="1"/>
  <c r="Q151" i="1"/>
  <c r="Q175" i="1"/>
  <c r="Q191" i="1"/>
  <c r="Q223" i="1"/>
  <c r="Q263" i="1"/>
  <c r="Q125" i="1"/>
  <c r="Q133" i="1"/>
  <c r="Q141" i="1"/>
  <c r="Q149" i="1"/>
  <c r="Q157" i="1"/>
  <c r="Q165" i="1"/>
  <c r="Q173" i="1"/>
  <c r="Q181" i="1"/>
  <c r="Q189" i="1"/>
  <c r="Q197" i="1"/>
  <c r="Q205" i="1"/>
  <c r="Q213" i="1"/>
  <c r="Q221" i="1"/>
  <c r="Q229" i="1"/>
  <c r="Q237" i="1"/>
  <c r="Q245" i="1"/>
  <c r="Q253" i="1"/>
  <c r="Q261" i="1"/>
  <c r="Q269" i="1"/>
  <c r="Q158" i="1"/>
  <c r="Q143" i="1"/>
  <c r="Q199" i="1"/>
  <c r="Q247" i="1"/>
  <c r="Q126" i="1"/>
  <c r="L119" i="1"/>
  <c r="L118" i="1" s="1"/>
  <c r="N75" i="1"/>
  <c r="L74" i="1"/>
  <c r="L73" i="1" s="1"/>
  <c r="L72" i="1" s="1"/>
  <c r="L71" i="1" s="1"/>
  <c r="L70" i="1" s="1"/>
  <c r="L69" i="1" s="1"/>
  <c r="L68" i="1" s="1"/>
  <c r="L67" i="1" s="1"/>
  <c r="L66" i="1" s="1"/>
  <c r="L65" i="1" s="1"/>
  <c r="L64" i="1" s="1"/>
  <c r="L63" i="1" s="1"/>
  <c r="L62" i="1" s="1"/>
  <c r="Q87" i="1"/>
  <c r="Q107" i="1"/>
  <c r="Q32" i="1"/>
  <c r="Q35" i="1"/>
  <c r="Q48" i="1"/>
  <c r="Q54" i="1"/>
  <c r="Q62" i="1"/>
  <c r="Q40" i="1"/>
  <c r="Q19" i="1"/>
  <c r="Q73" i="1"/>
  <c r="Q24" i="1"/>
  <c r="Q79" i="1"/>
  <c r="Q20" i="1"/>
  <c r="Q36" i="1"/>
  <c r="Q55" i="1"/>
  <c r="Q80" i="1"/>
  <c r="Q111" i="1"/>
  <c r="Q26" i="1"/>
  <c r="Q42" i="1"/>
  <c r="Q64" i="1"/>
  <c r="Q89" i="1"/>
  <c r="Q27" i="1"/>
  <c r="Q43" i="1"/>
  <c r="Q65" i="1"/>
  <c r="Q91" i="1"/>
  <c r="Q28" i="1"/>
  <c r="Q44" i="1"/>
  <c r="Q67" i="1"/>
  <c r="Q95" i="1"/>
  <c r="Q103" i="1"/>
  <c r="Q18" i="1"/>
  <c r="Q34" i="1"/>
  <c r="Q51" i="1"/>
  <c r="Q78" i="1"/>
  <c r="Q105" i="1"/>
  <c r="Q21" i="1"/>
  <c r="Q29" i="1"/>
  <c r="Q37" i="1"/>
  <c r="Q45" i="1"/>
  <c r="Q56" i="1"/>
  <c r="Q70" i="1"/>
  <c r="Q81" i="1"/>
  <c r="Q96" i="1"/>
  <c r="Q112" i="1"/>
  <c r="Q22" i="1"/>
  <c r="Q30" i="1"/>
  <c r="Q38" i="1"/>
  <c r="Q46" i="1"/>
  <c r="Q57" i="1"/>
  <c r="Q71" i="1"/>
  <c r="Q83" i="1"/>
  <c r="Q97" i="1"/>
  <c r="Q113" i="1"/>
  <c r="Q23" i="1"/>
  <c r="Q31" i="1"/>
  <c r="Q39" i="1"/>
  <c r="Q47" i="1"/>
  <c r="Q59" i="1"/>
  <c r="Q72" i="1"/>
  <c r="Q86" i="1"/>
  <c r="Q99" i="1"/>
  <c r="Q116" i="1"/>
  <c r="Q17" i="1"/>
  <c r="Q25" i="1"/>
  <c r="Q33" i="1"/>
  <c r="Q41" i="1"/>
  <c r="Q49" i="1"/>
  <c r="Q63" i="1"/>
  <c r="Q75" i="1"/>
  <c r="Q88" i="1"/>
  <c r="Q104" i="1"/>
  <c r="Q50" i="1"/>
  <c r="Q58" i="1"/>
  <c r="Q66" i="1"/>
  <c r="Q74" i="1"/>
  <c r="Q82" i="1"/>
  <c r="Q90" i="1"/>
  <c r="Q98" i="1"/>
  <c r="Q106" i="1"/>
  <c r="Q114" i="1"/>
  <c r="Q52" i="1"/>
  <c r="Q60" i="1"/>
  <c r="Q68" i="1"/>
  <c r="Q76" i="1"/>
  <c r="Q84" i="1"/>
  <c r="Q92" i="1"/>
  <c r="Q100" i="1"/>
  <c r="Q108" i="1"/>
  <c r="Q117" i="1"/>
  <c r="Q53" i="1"/>
  <c r="Q61" i="1"/>
  <c r="Q69" i="1"/>
  <c r="Q77" i="1"/>
  <c r="Q85" i="1"/>
  <c r="Q93" i="1"/>
  <c r="Q101" i="1"/>
  <c r="Q109" i="1"/>
  <c r="Q120" i="1"/>
  <c r="Q94" i="1"/>
  <c r="Q102" i="1"/>
  <c r="Q110" i="1"/>
  <c r="Q121" i="1"/>
  <c r="Q115" i="1"/>
  <c r="Q118" i="1"/>
  <c r="N64" i="1"/>
  <c r="N73" i="1"/>
  <c r="N65" i="1"/>
  <c r="N67" i="1"/>
  <c r="N68" i="1"/>
  <c r="N70" i="1"/>
  <c r="N62" i="1"/>
  <c r="N105" i="1"/>
  <c r="N71" i="1"/>
  <c r="N63" i="1"/>
  <c r="N69" i="1"/>
  <c r="N72" i="1"/>
  <c r="N74" i="1"/>
  <c r="N66" i="1"/>
  <c r="N119" i="1"/>
  <c r="N118" i="1"/>
  <c r="L117" i="1"/>
  <c r="N104" i="1"/>
  <c r="L103" i="1"/>
  <c r="L87" i="1"/>
  <c r="N88" i="1"/>
  <c r="N89" i="1"/>
  <c r="M17" i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L116" i="1" l="1"/>
  <c r="N117" i="1"/>
  <c r="L102" i="1"/>
  <c r="N103" i="1"/>
  <c r="N87" i="1"/>
  <c r="L86" i="1"/>
  <c r="N116" i="1" l="1"/>
  <c r="L115" i="1"/>
  <c r="L101" i="1"/>
  <c r="N102" i="1"/>
  <c r="L85" i="1"/>
  <c r="N86" i="1"/>
  <c r="M2" i="1"/>
  <c r="M3" i="1" s="1"/>
  <c r="M4" i="1" s="1"/>
  <c r="M5" i="1" s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L15" i="1"/>
  <c r="L114" i="1" l="1"/>
  <c r="N115" i="1"/>
  <c r="L100" i="1"/>
  <c r="N101" i="1"/>
  <c r="N85" i="1"/>
  <c r="L84" i="1"/>
  <c r="L113" i="1" l="1"/>
  <c r="N114" i="1"/>
  <c r="N100" i="1"/>
  <c r="L99" i="1"/>
  <c r="N84" i="1"/>
  <c r="L83" i="1"/>
  <c r="N61" i="1"/>
  <c r="J61" i="1"/>
  <c r="L60" i="1"/>
  <c r="L59" i="1" s="1"/>
  <c r="L58" i="1" s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N46" i="1"/>
  <c r="J46" i="1"/>
  <c r="L45" i="1"/>
  <c r="L44" i="1" s="1"/>
  <c r="L43" i="1" s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N31" i="1"/>
  <c r="J31" i="1"/>
  <c r="L30" i="1"/>
  <c r="L29" i="1" s="1"/>
  <c r="L28" i="1" s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Q16" i="1"/>
  <c r="Q4" i="1"/>
  <c r="Q5" i="1"/>
  <c r="Q6" i="1"/>
  <c r="Q7" i="1"/>
  <c r="Q8" i="1"/>
  <c r="Q9" i="1"/>
  <c r="Q10" i="1"/>
  <c r="Q11" i="1"/>
  <c r="Q12" i="1"/>
  <c r="Q13" i="1"/>
  <c r="Q14" i="1"/>
  <c r="Q15" i="1"/>
  <c r="Q3" i="1"/>
  <c r="Q2" i="1"/>
  <c r="L112" i="1" l="1"/>
  <c r="N113" i="1"/>
  <c r="N99" i="1"/>
  <c r="L98" i="1"/>
  <c r="N83" i="1"/>
  <c r="L82" i="1"/>
  <c r="N44" i="1"/>
  <c r="N30" i="1"/>
  <c r="N59" i="1"/>
  <c r="N45" i="1"/>
  <c r="N60" i="1"/>
  <c r="L57" i="1"/>
  <c r="N58" i="1"/>
  <c r="N28" i="1"/>
  <c r="L27" i="1"/>
  <c r="L42" i="1"/>
  <c r="N43" i="1"/>
  <c r="N29" i="1"/>
  <c r="L111" i="1" l="1"/>
  <c r="N112" i="1"/>
  <c r="N98" i="1"/>
  <c r="L97" i="1"/>
  <c r="L81" i="1"/>
  <c r="N82" i="1"/>
  <c r="A3" i="5"/>
  <c r="L56" i="1"/>
  <c r="N57" i="1"/>
  <c r="L41" i="1"/>
  <c r="N42" i="1"/>
  <c r="L26" i="1"/>
  <c r="N27" i="1"/>
  <c r="L110" i="1" l="1"/>
  <c r="N111" i="1"/>
  <c r="N97" i="1"/>
  <c r="L96" i="1"/>
  <c r="L80" i="1"/>
  <c r="N81" i="1"/>
  <c r="N26" i="1"/>
  <c r="L25" i="1"/>
  <c r="L40" i="1"/>
  <c r="N41" i="1"/>
  <c r="L55" i="1"/>
  <c r="N56" i="1"/>
  <c r="N110" i="1" l="1"/>
  <c r="L109" i="1"/>
  <c r="N96" i="1"/>
  <c r="L95" i="1"/>
  <c r="L79" i="1"/>
  <c r="N80" i="1"/>
  <c r="L24" i="1"/>
  <c r="N25" i="1"/>
  <c r="L39" i="1"/>
  <c r="N40" i="1"/>
  <c r="N55" i="1"/>
  <c r="L54" i="1"/>
  <c r="N109" i="1" l="1"/>
  <c r="L108" i="1"/>
  <c r="N95" i="1"/>
  <c r="L94" i="1"/>
  <c r="L78" i="1"/>
  <c r="L77" i="1" s="1"/>
  <c r="N79" i="1"/>
  <c r="L38" i="1"/>
  <c r="N39" i="1"/>
  <c r="N24" i="1"/>
  <c r="L23" i="1"/>
  <c r="L53" i="1"/>
  <c r="N54" i="1"/>
  <c r="N108" i="1" l="1"/>
  <c r="L107" i="1"/>
  <c r="N107" i="1" s="1"/>
  <c r="L93" i="1"/>
  <c r="L92" i="1" s="1"/>
  <c r="N94" i="1"/>
  <c r="N77" i="1"/>
  <c r="N78" i="1"/>
  <c r="L37" i="1"/>
  <c r="N38" i="1"/>
  <c r="L22" i="1"/>
  <c r="N23" i="1"/>
  <c r="L52" i="1"/>
  <c r="N53" i="1"/>
  <c r="N92" i="1" l="1"/>
  <c r="N93" i="1"/>
  <c r="N22" i="1"/>
  <c r="L21" i="1"/>
  <c r="L36" i="1"/>
  <c r="N37" i="1"/>
  <c r="L51" i="1"/>
  <c r="N52" i="1"/>
  <c r="L20" i="1" l="1"/>
  <c r="N21" i="1"/>
  <c r="L35" i="1"/>
  <c r="N36" i="1"/>
  <c r="L50" i="1"/>
  <c r="N51" i="1"/>
  <c r="N20" i="1" l="1"/>
  <c r="L19" i="1"/>
  <c r="L49" i="1"/>
  <c r="N50" i="1"/>
  <c r="L34" i="1"/>
  <c r="N35" i="1"/>
  <c r="L33" i="1" l="1"/>
  <c r="N34" i="1"/>
  <c r="L48" i="1"/>
  <c r="L47" i="1" s="1"/>
  <c r="N49" i="1"/>
  <c r="L18" i="1"/>
  <c r="L17" i="1" s="1"/>
  <c r="N19" i="1"/>
  <c r="N47" i="1" l="1"/>
  <c r="N48" i="1"/>
  <c r="L32" i="1"/>
  <c r="N32" i="1" s="1"/>
  <c r="N33" i="1"/>
  <c r="N18" i="1"/>
  <c r="N17" i="1"/>
  <c r="A20" i="1" l="1"/>
  <c r="I7" i="5" l="1"/>
  <c r="J16" i="1"/>
  <c r="K16" i="1" s="1"/>
  <c r="J15" i="1"/>
  <c r="K15" i="1" s="1"/>
  <c r="J14" i="1"/>
  <c r="K14" i="1" s="1"/>
  <c r="J13" i="1"/>
  <c r="K13" i="1" s="1"/>
  <c r="J12" i="1"/>
  <c r="K12" i="1" s="1"/>
  <c r="J11" i="1"/>
  <c r="K11" i="1" s="1"/>
  <c r="J10" i="1"/>
  <c r="K10" i="1" s="1"/>
  <c r="J9" i="1"/>
  <c r="K9" i="1" s="1"/>
  <c r="J8" i="1"/>
  <c r="K8" i="1" s="1"/>
  <c r="J7" i="1"/>
  <c r="K7" i="1" s="1"/>
  <c r="J6" i="1"/>
  <c r="K6" i="1" s="1"/>
  <c r="J5" i="1"/>
  <c r="K5" i="1" s="1"/>
  <c r="J4" i="1"/>
  <c r="K4" i="1" s="1"/>
  <c r="J3" i="1"/>
  <c r="K3" i="1" s="1"/>
  <c r="J2" i="1"/>
  <c r="N16" i="1"/>
  <c r="J3" i="5" l="1"/>
  <c r="K5" i="5" s="1"/>
  <c r="K2" i="1"/>
  <c r="J74" i="7"/>
  <c r="L76" i="7"/>
  <c r="K70" i="7"/>
  <c r="K78" i="7"/>
  <c r="F73" i="7"/>
  <c r="J75" i="7"/>
  <c r="L69" i="7"/>
  <c r="L77" i="7"/>
  <c r="K71" i="7"/>
  <c r="F74" i="7"/>
  <c r="J76" i="7"/>
  <c r="L70" i="7"/>
  <c r="L78" i="7"/>
  <c r="K72" i="7"/>
  <c r="F75" i="7"/>
  <c r="J77" i="7"/>
  <c r="L71" i="7"/>
  <c r="K73" i="7"/>
  <c r="K68" i="7"/>
  <c r="F76" i="7"/>
  <c r="J78" i="7"/>
  <c r="L72" i="7"/>
  <c r="K74" i="7"/>
  <c r="F69" i="7"/>
  <c r="F77" i="7"/>
  <c r="F68" i="7"/>
  <c r="J71" i="7"/>
  <c r="L73" i="7"/>
  <c r="L68" i="7"/>
  <c r="K75" i="7"/>
  <c r="F70" i="7"/>
  <c r="F78" i="7"/>
  <c r="J72" i="7"/>
  <c r="L74" i="7"/>
  <c r="K76" i="7"/>
  <c r="F71" i="7"/>
  <c r="J73" i="7"/>
  <c r="L75" i="7"/>
  <c r="K69" i="7"/>
  <c r="K77" i="7"/>
  <c r="F72" i="7"/>
  <c r="G3" i="5"/>
  <c r="U3" i="5"/>
  <c r="Y3" i="5"/>
  <c r="AA3" i="5"/>
  <c r="W3" i="5"/>
  <c r="AC3" i="5"/>
  <c r="R3" i="5"/>
  <c r="K3" i="5"/>
  <c r="I5" i="5" s="1"/>
  <c r="M3" i="5"/>
  <c r="I10" i="5" s="1"/>
  <c r="X3" i="5"/>
  <c r="V3" i="5"/>
  <c r="AB3" i="5"/>
  <c r="I3" i="5"/>
  <c r="Z3" i="5"/>
  <c r="P3" i="5"/>
  <c r="I6" i="5" s="1"/>
  <c r="O3" i="5"/>
  <c r="I11" i="5" s="1"/>
  <c r="Q3" i="5"/>
  <c r="S3" i="5"/>
  <c r="I12" i="5" s="1"/>
  <c r="L3" i="5"/>
  <c r="T3" i="5"/>
  <c r="N3" i="5"/>
  <c r="U9" i="5" s="1"/>
  <c r="V9" i="5" s="1"/>
  <c r="W9" i="5" s="1"/>
  <c r="X9" i="5" s="1"/>
  <c r="Y9" i="5" s="1"/>
  <c r="Z9" i="5" s="1"/>
  <c r="AA9" i="5" s="1"/>
  <c r="AB9" i="5" s="1"/>
  <c r="AC9" i="5" s="1"/>
  <c r="AD9" i="5" s="1"/>
  <c r="AE9" i="5" s="1"/>
  <c r="AF9" i="5" s="1"/>
  <c r="AG9" i="5" s="1"/>
  <c r="AH9" i="5" s="1"/>
  <c r="AI9" i="5" s="1"/>
  <c r="AJ9" i="5" s="1"/>
  <c r="AK9" i="5" s="1"/>
  <c r="AL9" i="5" s="1"/>
  <c r="AM9" i="5" s="1"/>
  <c r="AN9" i="5" s="1"/>
  <c r="AO9" i="5" s="1"/>
  <c r="AP9" i="5" s="1"/>
  <c r="AQ9" i="5" s="1"/>
  <c r="AR9" i="5" s="1"/>
  <c r="AS9" i="5" s="1"/>
  <c r="AT9" i="5" s="1"/>
  <c r="AU9" i="5" s="1"/>
  <c r="AV9" i="5" s="1"/>
  <c r="AW9" i="5" s="1"/>
  <c r="AX9" i="5" s="1"/>
  <c r="AY9" i="5" s="1"/>
  <c r="AZ9" i="5" s="1"/>
  <c r="BA9" i="5" s="1"/>
  <c r="BB9" i="5" s="1"/>
  <c r="BC9" i="5" s="1"/>
  <c r="BD9" i="5" s="1"/>
  <c r="BE9" i="5" s="1"/>
  <c r="BF9" i="5" s="1"/>
  <c r="BG9" i="5" s="1"/>
  <c r="BH9" i="5" s="1"/>
  <c r="BI9" i="5" s="1"/>
  <c r="AD3" i="5"/>
  <c r="N15" i="1"/>
  <c r="L14" i="1"/>
  <c r="T10" i="5" l="1"/>
  <c r="T45" i="5" s="1"/>
  <c r="T46" i="5" s="1"/>
  <c r="T47" i="5" s="1"/>
  <c r="T48" i="5" s="1"/>
  <c r="T49" i="5" s="1"/>
  <c r="T50" i="5" s="1"/>
  <c r="J70" i="7"/>
  <c r="J68" i="7"/>
  <c r="E68" i="7"/>
  <c r="J69" i="7"/>
  <c r="I9" i="5"/>
  <c r="R6" i="5"/>
  <c r="R5" i="5"/>
  <c r="R7" i="5"/>
  <c r="L13" i="1"/>
  <c r="N14" i="1"/>
  <c r="I14" i="5" l="1"/>
  <c r="R9" i="5"/>
  <c r="U47" i="5"/>
  <c r="U46" i="5"/>
  <c r="U50" i="5"/>
  <c r="U49" i="5"/>
  <c r="U48" i="5"/>
  <c r="U45" i="5"/>
  <c r="U10" i="5"/>
  <c r="I16" i="5"/>
  <c r="L12" i="1"/>
  <c r="N13" i="1"/>
  <c r="V45" i="5" l="1"/>
  <c r="V10" i="5"/>
  <c r="V49" i="5"/>
  <c r="V50" i="5"/>
  <c r="V48" i="5"/>
  <c r="V46" i="5"/>
  <c r="V47" i="5"/>
  <c r="L11" i="1"/>
  <c r="N12" i="1"/>
  <c r="W45" i="5" l="1"/>
  <c r="W46" i="5"/>
  <c r="W10" i="5"/>
  <c r="W48" i="5"/>
  <c r="W47" i="5"/>
  <c r="W50" i="5"/>
  <c r="W49" i="5"/>
  <c r="L10" i="1"/>
  <c r="N11" i="1"/>
  <c r="X49" i="5" l="1"/>
  <c r="X48" i="5"/>
  <c r="X45" i="5"/>
  <c r="X46" i="5"/>
  <c r="X47" i="5"/>
  <c r="X50" i="5"/>
  <c r="X10" i="5"/>
  <c r="L9" i="1"/>
  <c r="N10" i="1"/>
  <c r="Y47" i="5" l="1"/>
  <c r="Y48" i="5"/>
  <c r="Y46" i="5"/>
  <c r="Y10" i="5"/>
  <c r="Y49" i="5"/>
  <c r="Y45" i="5"/>
  <c r="Y50" i="5"/>
  <c r="L8" i="1"/>
  <c r="N9" i="1"/>
  <c r="Z47" i="5" l="1"/>
  <c r="Z50" i="5"/>
  <c r="Z48" i="5"/>
  <c r="Z49" i="5"/>
  <c r="Z45" i="5"/>
  <c r="Z10" i="5"/>
  <c r="Z46" i="5"/>
  <c r="L7" i="1"/>
  <c r="N8" i="1"/>
  <c r="AA47" i="5" l="1"/>
  <c r="AA48" i="5"/>
  <c r="AA50" i="5"/>
  <c r="AA49" i="5"/>
  <c r="AA10" i="5"/>
  <c r="AA45" i="5"/>
  <c r="AA46" i="5"/>
  <c r="L6" i="1"/>
  <c r="N7" i="1"/>
  <c r="AB49" i="5" l="1"/>
  <c r="AB47" i="5"/>
  <c r="AB48" i="5"/>
  <c r="AB50" i="5"/>
  <c r="AB10" i="5"/>
  <c r="AB45" i="5"/>
  <c r="AB46" i="5"/>
  <c r="L5" i="1"/>
  <c r="N6" i="1"/>
  <c r="AC45" i="5" l="1"/>
  <c r="AC46" i="5"/>
  <c r="AC50" i="5"/>
  <c r="AC10" i="5"/>
  <c r="AC47" i="5"/>
  <c r="AC48" i="5"/>
  <c r="AC49" i="5"/>
  <c r="L4" i="1"/>
  <c r="N5" i="1"/>
  <c r="AD49" i="5" l="1"/>
  <c r="AD10" i="5"/>
  <c r="AD45" i="5"/>
  <c r="AD47" i="5"/>
  <c r="AD48" i="5"/>
  <c r="AD50" i="5"/>
  <c r="AD46" i="5"/>
  <c r="L3" i="1"/>
  <c r="N4" i="1"/>
  <c r="L2" i="1" l="1"/>
  <c r="F3" i="5" s="1"/>
  <c r="AE45" i="5"/>
  <c r="AE10" i="5"/>
  <c r="AE49" i="5"/>
  <c r="AE47" i="5"/>
  <c r="AE46" i="5"/>
  <c r="AE48" i="5"/>
  <c r="AE50" i="5"/>
  <c r="N3" i="1"/>
  <c r="AF50" i="5" l="1"/>
  <c r="AF10" i="5"/>
  <c r="AF45" i="5"/>
  <c r="AF48" i="5"/>
  <c r="AF49" i="5"/>
  <c r="AF47" i="5"/>
  <c r="AF46" i="5"/>
  <c r="N2" i="1"/>
  <c r="H3" i="5" l="1"/>
  <c r="AG47" i="5"/>
  <c r="AG49" i="5"/>
  <c r="AG10" i="5"/>
  <c r="AG46" i="5"/>
  <c r="AG48" i="5"/>
  <c r="AG45" i="5"/>
  <c r="AG50" i="5"/>
  <c r="AH49" i="5" l="1"/>
  <c r="AH50" i="5"/>
  <c r="AH46" i="5"/>
  <c r="AH47" i="5"/>
  <c r="AH10" i="5"/>
  <c r="AH48" i="5"/>
  <c r="AH45" i="5"/>
  <c r="AI50" i="5" l="1"/>
  <c r="AI49" i="5"/>
  <c r="AI48" i="5"/>
  <c r="AI10" i="5"/>
  <c r="AI46" i="5"/>
  <c r="AI47" i="5"/>
  <c r="AI45" i="5"/>
  <c r="AJ45" i="5" l="1"/>
  <c r="AJ48" i="5"/>
  <c r="AJ46" i="5"/>
  <c r="AJ10" i="5"/>
  <c r="AJ49" i="5"/>
  <c r="AJ50" i="5"/>
  <c r="AJ47" i="5"/>
  <c r="AK48" i="5" l="1"/>
  <c r="AK45" i="5"/>
  <c r="AK47" i="5"/>
  <c r="AK50" i="5"/>
  <c r="AK46" i="5"/>
  <c r="AK49" i="5"/>
  <c r="AK10" i="5"/>
  <c r="AL45" i="5" l="1"/>
  <c r="AL47" i="5"/>
  <c r="AL50" i="5"/>
  <c r="AL10" i="5"/>
  <c r="AL48" i="5"/>
  <c r="AL46" i="5"/>
  <c r="AL49" i="5"/>
  <c r="AM50" i="5" l="1"/>
  <c r="AM47" i="5"/>
  <c r="AM48" i="5"/>
  <c r="AM10" i="5"/>
  <c r="AM45" i="5"/>
  <c r="AM46" i="5"/>
  <c r="AM49" i="5"/>
  <c r="AN10" i="5" l="1"/>
  <c r="AN47" i="5"/>
  <c r="AN45" i="5"/>
  <c r="AN49" i="5"/>
  <c r="AN48" i="5"/>
  <c r="AN46" i="5"/>
  <c r="AN50" i="5"/>
  <c r="AO12" i="5" l="1"/>
  <c r="AO34" i="5"/>
  <c r="AO16" i="5"/>
  <c r="AO40" i="5"/>
  <c r="AO50" i="5"/>
  <c r="AO29" i="5"/>
  <c r="AO44" i="5"/>
  <c r="AO31" i="5"/>
  <c r="AO43" i="5"/>
  <c r="AO30" i="5"/>
  <c r="AO39" i="5"/>
  <c r="AO37" i="5"/>
  <c r="AO35" i="5"/>
  <c r="AO10" i="5"/>
  <c r="AO45" i="5"/>
  <c r="AO33" i="5"/>
  <c r="AO48" i="5"/>
  <c r="AO38" i="5"/>
  <c r="AO46" i="5"/>
  <c r="AO47" i="5"/>
  <c r="AO32" i="5"/>
  <c r="AO20" i="5"/>
  <c r="AO28" i="5"/>
  <c r="AO24" i="5"/>
  <c r="AO25" i="5"/>
  <c r="AO11" i="5"/>
  <c r="AO18" i="5"/>
  <c r="AO17" i="5"/>
  <c r="AO23" i="5"/>
  <c r="AO22" i="5"/>
  <c r="AO42" i="5"/>
  <c r="AO13" i="5"/>
  <c r="AO27" i="5"/>
  <c r="AO15" i="5"/>
  <c r="AO14" i="5"/>
  <c r="AO36" i="5"/>
  <c r="AO21" i="5"/>
  <c r="AO26" i="5"/>
  <c r="AO19" i="5"/>
  <c r="AO49" i="5"/>
  <c r="AO41" i="5"/>
  <c r="AP31" i="5" l="1"/>
  <c r="AP41" i="5"/>
  <c r="AP33" i="5"/>
  <c r="AP22" i="5"/>
  <c r="AP13" i="5"/>
  <c r="AP42" i="5"/>
  <c r="AP27" i="5"/>
  <c r="AP32" i="5"/>
  <c r="AP10" i="5"/>
  <c r="AP28" i="5"/>
  <c r="AP50" i="5"/>
  <c r="AP30" i="5"/>
  <c r="AP48" i="5"/>
  <c r="AP44" i="5"/>
  <c r="AP15" i="5"/>
  <c r="AP18" i="5"/>
  <c r="AP38" i="5"/>
  <c r="AP49" i="5"/>
  <c r="AP45" i="5"/>
  <c r="AP43" i="5"/>
  <c r="AP40" i="5"/>
  <c r="AP39" i="5"/>
  <c r="AP34" i="5"/>
  <c r="AP47" i="5"/>
  <c r="AP46" i="5"/>
  <c r="AP21" i="5"/>
  <c r="AP29" i="5"/>
  <c r="AP24" i="5"/>
  <c r="AP37" i="5"/>
  <c r="AP25" i="5"/>
  <c r="AP16" i="5"/>
  <c r="AP11" i="5"/>
  <c r="AP36" i="5"/>
  <c r="AP35" i="5"/>
  <c r="AP14" i="5"/>
  <c r="AP19" i="5"/>
  <c r="AP20" i="5"/>
  <c r="AP23" i="5"/>
  <c r="AP12" i="5"/>
  <c r="AP26" i="5"/>
  <c r="AP17" i="5"/>
  <c r="AQ14" i="5" l="1"/>
  <c r="AQ13" i="5"/>
  <c r="AQ44" i="5"/>
  <c r="AQ11" i="5"/>
  <c r="AQ28" i="5"/>
  <c r="AQ19" i="5"/>
  <c r="AQ23" i="5"/>
  <c r="AQ50" i="5"/>
  <c r="AQ47" i="5"/>
  <c r="AQ49" i="5"/>
  <c r="AQ33" i="5"/>
  <c r="AQ48" i="5"/>
  <c r="AQ22" i="5"/>
  <c r="AQ10" i="5"/>
  <c r="AQ30" i="5"/>
  <c r="AQ40" i="5"/>
  <c r="AQ42" i="5"/>
  <c r="AQ31" i="5"/>
  <c r="AQ37" i="5"/>
  <c r="AQ46" i="5"/>
  <c r="AQ36" i="5"/>
  <c r="AQ32" i="5"/>
  <c r="AQ43" i="5"/>
  <c r="AQ41" i="5"/>
  <c r="AQ35" i="5"/>
  <c r="AQ39" i="5"/>
  <c r="AQ45" i="5"/>
  <c r="AQ25" i="5"/>
  <c r="AQ34" i="5"/>
  <c r="AQ29" i="5"/>
  <c r="AQ21" i="5"/>
  <c r="AQ16" i="5"/>
  <c r="AQ12" i="5"/>
  <c r="AQ24" i="5"/>
  <c r="AQ38" i="5"/>
  <c r="AQ26" i="5"/>
  <c r="AQ18" i="5"/>
  <c r="AQ15" i="5"/>
  <c r="AQ20" i="5"/>
  <c r="AQ27" i="5"/>
  <c r="AQ17" i="5"/>
  <c r="AR21" i="5" l="1"/>
  <c r="AR36" i="5"/>
  <c r="AR37" i="5"/>
  <c r="AR38" i="5"/>
  <c r="AR13" i="5"/>
  <c r="AR27" i="5"/>
  <c r="AR41" i="5"/>
  <c r="AR16" i="5"/>
  <c r="AR29" i="5"/>
  <c r="AR31" i="5"/>
  <c r="AR10" i="5"/>
  <c r="AR42" i="5"/>
  <c r="AR43" i="5"/>
  <c r="AR40" i="5"/>
  <c r="AR49" i="5"/>
  <c r="AR46" i="5"/>
  <c r="AR32" i="5"/>
  <c r="AR30" i="5"/>
  <c r="AR45" i="5"/>
  <c r="AR25" i="5"/>
  <c r="AR47" i="5"/>
  <c r="AR28" i="5"/>
  <c r="AR50" i="5"/>
  <c r="AR44" i="5"/>
  <c r="AR48" i="5"/>
  <c r="AR39" i="5"/>
  <c r="AR34" i="5"/>
  <c r="AR20" i="5"/>
  <c r="AR19" i="5"/>
  <c r="AR15" i="5"/>
  <c r="AR22" i="5"/>
  <c r="AR17" i="5"/>
  <c r="AR26" i="5"/>
  <c r="AR24" i="5"/>
  <c r="AR18" i="5"/>
  <c r="AR14" i="5"/>
  <c r="AR23" i="5"/>
  <c r="AR35" i="5"/>
  <c r="AR12" i="5"/>
  <c r="AR11" i="5"/>
  <c r="AR33" i="5"/>
  <c r="AS26" i="5" l="1"/>
  <c r="AS39" i="5"/>
  <c r="AS31" i="5"/>
  <c r="AS38" i="5"/>
  <c r="AS20" i="5"/>
  <c r="AS24" i="5"/>
  <c r="AS28" i="5"/>
  <c r="AS35" i="5"/>
  <c r="AS42" i="5"/>
  <c r="AS17" i="5"/>
  <c r="AS36" i="5"/>
  <c r="AS41" i="5"/>
  <c r="AS22" i="5"/>
  <c r="AS37" i="5"/>
  <c r="AS44" i="5"/>
  <c r="AS47" i="5"/>
  <c r="AS29" i="5"/>
  <c r="AS46" i="5"/>
  <c r="AS50" i="5"/>
  <c r="AS10" i="5"/>
  <c r="AS43" i="5"/>
  <c r="AS49" i="5"/>
  <c r="AS30" i="5"/>
  <c r="AS45" i="5"/>
  <c r="AS48" i="5"/>
  <c r="AS27" i="5"/>
  <c r="AS34" i="5"/>
  <c r="AS11" i="5"/>
  <c r="AS13" i="5"/>
  <c r="AS33" i="5"/>
  <c r="AS15" i="5"/>
  <c r="AS40" i="5"/>
  <c r="AS16" i="5"/>
  <c r="AS23" i="5"/>
  <c r="AS14" i="5"/>
  <c r="AS12" i="5"/>
  <c r="AS18" i="5"/>
  <c r="AS19" i="5"/>
  <c r="AS21" i="5"/>
  <c r="AS25" i="5"/>
  <c r="AS32" i="5"/>
  <c r="AT33" i="5" l="1"/>
  <c r="AT34" i="5"/>
  <c r="AT29" i="5"/>
  <c r="AT12" i="5"/>
  <c r="AT21" i="5"/>
  <c r="AT44" i="5"/>
  <c r="AT17" i="5"/>
  <c r="AT35" i="5"/>
  <c r="AT45" i="5"/>
  <c r="AT32" i="5"/>
  <c r="AT30" i="5"/>
  <c r="AT47" i="5"/>
  <c r="AT50" i="5"/>
  <c r="AT11" i="5"/>
  <c r="AT23" i="5"/>
  <c r="AT36" i="5"/>
  <c r="AT46" i="5"/>
  <c r="AT40" i="5"/>
  <c r="AT43" i="5"/>
  <c r="AT41" i="5"/>
  <c r="AT49" i="5"/>
  <c r="AT38" i="5"/>
  <c r="AT28" i="5"/>
  <c r="AT48" i="5"/>
  <c r="AT10" i="5"/>
  <c r="AT42" i="5"/>
  <c r="AT14" i="5"/>
  <c r="AT25" i="5"/>
  <c r="AT27" i="5"/>
  <c r="AT26" i="5"/>
  <c r="AT20" i="5"/>
  <c r="AT16" i="5"/>
  <c r="AT37" i="5"/>
  <c r="AT13" i="5"/>
  <c r="AT39" i="5"/>
  <c r="AT18" i="5"/>
  <c r="AT22" i="5"/>
  <c r="AT24" i="5"/>
  <c r="AT31" i="5"/>
  <c r="AT15" i="5"/>
  <c r="AT19" i="5"/>
  <c r="AU31" i="5" l="1"/>
  <c r="AU33" i="5"/>
  <c r="AU27" i="5"/>
  <c r="AU45" i="5"/>
  <c r="AU28" i="5"/>
  <c r="AU22" i="5"/>
  <c r="AU44" i="5"/>
  <c r="AU47" i="5"/>
  <c r="AU35" i="5"/>
  <c r="AU49" i="5"/>
  <c r="AU10" i="5"/>
  <c r="AU18" i="5"/>
  <c r="AU40" i="5"/>
  <c r="AU34" i="5"/>
  <c r="AU43" i="5"/>
  <c r="AU37" i="5"/>
  <c r="AU29" i="5"/>
  <c r="AU42" i="5"/>
  <c r="AU48" i="5"/>
  <c r="AU39" i="5"/>
  <c r="AU30" i="5"/>
  <c r="AU46" i="5"/>
  <c r="AU36" i="5"/>
  <c r="AU41" i="5"/>
  <c r="AU50" i="5"/>
  <c r="AU32" i="5"/>
  <c r="AU16" i="5"/>
  <c r="AU23" i="5"/>
  <c r="AU19" i="5"/>
  <c r="AU14" i="5"/>
  <c r="AU26" i="5"/>
  <c r="AU12" i="5"/>
  <c r="AU24" i="5"/>
  <c r="AU25" i="5"/>
  <c r="AU21" i="5"/>
  <c r="AU11" i="5"/>
  <c r="AU20" i="5"/>
  <c r="AU15" i="5"/>
  <c r="AU13" i="5"/>
  <c r="AU38" i="5"/>
  <c r="AU17" i="5"/>
  <c r="AV22" i="5" l="1"/>
  <c r="AV16" i="5"/>
  <c r="AV36" i="5"/>
  <c r="AV44" i="5"/>
  <c r="AV12" i="5"/>
  <c r="AV30" i="5"/>
  <c r="AV32" i="5"/>
  <c r="AV25" i="5"/>
  <c r="AV31" i="5"/>
  <c r="AV27" i="5"/>
  <c r="AV33" i="5"/>
  <c r="AV46" i="5"/>
  <c r="AV34" i="5"/>
  <c r="AV49" i="5"/>
  <c r="AV26" i="5"/>
  <c r="AV48" i="5"/>
  <c r="AV50" i="5"/>
  <c r="AV10" i="5"/>
  <c r="AV41" i="5"/>
  <c r="AV11" i="5"/>
  <c r="AV40" i="5"/>
  <c r="AV39" i="5"/>
  <c r="AV45" i="5"/>
  <c r="AV42" i="5"/>
  <c r="AV47" i="5"/>
  <c r="AV35" i="5"/>
  <c r="AV38" i="5"/>
  <c r="AV21" i="5"/>
  <c r="AV43" i="5"/>
  <c r="AV37" i="5"/>
  <c r="AV14" i="5"/>
  <c r="AV19" i="5"/>
  <c r="AV24" i="5"/>
  <c r="AV20" i="5"/>
  <c r="AV15" i="5"/>
  <c r="AV28" i="5"/>
  <c r="AV18" i="5"/>
  <c r="AV29" i="5"/>
  <c r="AV23" i="5"/>
  <c r="AV13" i="5"/>
  <c r="AV17" i="5"/>
  <c r="AW34" i="5" l="1"/>
  <c r="AW31" i="5"/>
  <c r="AW29" i="5"/>
  <c r="AW16" i="5"/>
  <c r="AW28" i="5"/>
  <c r="AW36" i="5"/>
  <c r="AW41" i="5"/>
  <c r="AW40" i="5"/>
  <c r="AW20" i="5"/>
  <c r="AW21" i="5"/>
  <c r="AW27" i="5"/>
  <c r="AW19" i="5"/>
  <c r="AW24" i="5"/>
  <c r="AW32" i="5"/>
  <c r="AW42" i="5"/>
  <c r="AW47" i="5"/>
  <c r="AW33" i="5"/>
  <c r="AW35" i="5"/>
  <c r="AW38" i="5"/>
  <c r="AW10" i="5"/>
  <c r="AW39" i="5"/>
  <c r="AW37" i="5"/>
  <c r="AW30" i="5"/>
  <c r="AW49" i="5"/>
  <c r="AW44" i="5"/>
  <c r="AW50" i="5"/>
  <c r="AW48" i="5"/>
  <c r="AW46" i="5"/>
  <c r="AW45" i="5"/>
  <c r="AW23" i="5"/>
  <c r="AW43" i="5"/>
  <c r="AW13" i="5"/>
  <c r="AW22" i="5"/>
  <c r="AW25" i="5"/>
  <c r="AW17" i="5"/>
  <c r="AW15" i="5"/>
  <c r="AW14" i="5"/>
  <c r="AW12" i="5"/>
  <c r="AW26" i="5"/>
  <c r="AW11" i="5"/>
  <c r="AW18" i="5"/>
  <c r="AX16" i="5" l="1"/>
  <c r="AX10" i="5"/>
  <c r="AX36" i="5"/>
  <c r="AX48" i="5"/>
  <c r="AX34" i="5"/>
  <c r="AX29" i="5"/>
  <c r="AX33" i="5"/>
  <c r="AX24" i="5"/>
  <c r="AX40" i="5"/>
  <c r="AX43" i="5"/>
  <c r="AX39" i="5"/>
  <c r="AX45" i="5"/>
  <c r="AX46" i="5"/>
  <c r="AX31" i="5"/>
  <c r="AX23" i="5"/>
  <c r="AX44" i="5"/>
  <c r="AX30" i="5"/>
  <c r="AX35" i="5"/>
  <c r="AX21" i="5"/>
  <c r="AX41" i="5"/>
  <c r="AX47" i="5"/>
  <c r="AX49" i="5"/>
  <c r="AX50" i="5"/>
  <c r="AX42" i="5"/>
  <c r="AX32" i="5"/>
  <c r="AX38" i="5"/>
  <c r="AX13" i="5"/>
  <c r="AX14" i="5"/>
  <c r="AX26" i="5"/>
  <c r="AX25" i="5"/>
  <c r="AX18" i="5"/>
  <c r="AX28" i="5"/>
  <c r="AX27" i="5"/>
  <c r="AX15" i="5"/>
  <c r="AX11" i="5"/>
  <c r="AX22" i="5"/>
  <c r="AX12" i="5"/>
  <c r="AX37" i="5"/>
  <c r="AX19" i="5"/>
  <c r="AX17" i="5"/>
  <c r="AX20" i="5"/>
  <c r="AY17" i="5" l="1"/>
  <c r="AY38" i="5"/>
  <c r="AY48" i="5"/>
  <c r="AY10" i="5"/>
  <c r="AY33" i="5"/>
  <c r="AY27" i="5"/>
  <c r="AY39" i="5"/>
  <c r="AY47" i="5"/>
  <c r="AY29" i="5"/>
  <c r="AY31" i="5"/>
  <c r="AY49" i="5"/>
  <c r="AY32" i="5"/>
  <c r="AY45" i="5"/>
  <c r="AY36" i="5"/>
  <c r="AY15" i="5"/>
  <c r="AY42" i="5"/>
  <c r="AY28" i="5"/>
  <c r="AY41" i="5"/>
  <c r="AY40" i="5"/>
  <c r="AY46" i="5"/>
  <c r="AY44" i="5"/>
  <c r="AY43" i="5"/>
  <c r="AY37" i="5"/>
  <c r="AY50" i="5"/>
  <c r="AY24" i="5"/>
  <c r="AY19" i="5"/>
  <c r="AY30" i="5"/>
  <c r="AY35" i="5"/>
  <c r="AY13" i="5"/>
  <c r="AY21" i="5"/>
  <c r="AY16" i="5"/>
  <c r="AY20" i="5"/>
  <c r="AY25" i="5"/>
  <c r="AY11" i="5"/>
  <c r="AY18" i="5"/>
  <c r="AY26" i="5"/>
  <c r="AY22" i="5"/>
  <c r="AY23" i="5"/>
  <c r="AY14" i="5"/>
  <c r="AY34" i="5"/>
  <c r="AY12" i="5"/>
  <c r="AZ46" i="5" l="1"/>
  <c r="AZ32" i="5"/>
  <c r="AZ23" i="5"/>
  <c r="AZ30" i="5"/>
  <c r="AZ27" i="5"/>
  <c r="AZ34" i="5"/>
  <c r="AZ28" i="5"/>
  <c r="AZ33" i="5"/>
  <c r="AZ29" i="5"/>
  <c r="AZ19" i="5"/>
  <c r="AZ37" i="5"/>
  <c r="AZ47" i="5"/>
  <c r="AZ24" i="5"/>
  <c r="AZ20" i="5"/>
  <c r="AZ44" i="5"/>
  <c r="AZ38" i="5"/>
  <c r="AZ42" i="5"/>
  <c r="AZ13" i="5"/>
  <c r="AZ39" i="5"/>
  <c r="AZ50" i="5"/>
  <c r="AZ40" i="5"/>
  <c r="AZ36" i="5"/>
  <c r="AZ10" i="5"/>
  <c r="AZ41" i="5"/>
  <c r="AZ48" i="5"/>
  <c r="AZ45" i="5"/>
  <c r="AZ21" i="5"/>
  <c r="AZ49" i="5"/>
  <c r="AZ43" i="5"/>
  <c r="AZ11" i="5"/>
  <c r="AZ26" i="5"/>
  <c r="AZ31" i="5"/>
  <c r="AZ18" i="5"/>
  <c r="AZ12" i="5"/>
  <c r="AZ14" i="5"/>
  <c r="AZ35" i="5"/>
  <c r="AZ15" i="5"/>
  <c r="AZ22" i="5"/>
  <c r="AZ16" i="5"/>
  <c r="AZ25" i="5"/>
  <c r="AZ17" i="5"/>
  <c r="BA35" i="5" l="1"/>
  <c r="BA12" i="5"/>
  <c r="BA33" i="5"/>
  <c r="BA25" i="5"/>
  <c r="BA24" i="5"/>
  <c r="BA36" i="5"/>
  <c r="BA34" i="5"/>
  <c r="BA30" i="5"/>
  <c r="BA49" i="5"/>
  <c r="BA48" i="5"/>
  <c r="BA44" i="5"/>
  <c r="BA37" i="5"/>
  <c r="BA50" i="5"/>
  <c r="BA41" i="5"/>
  <c r="BA19" i="5"/>
  <c r="BA28" i="5"/>
  <c r="BA42" i="5"/>
  <c r="BA43" i="5"/>
  <c r="BA39" i="5"/>
  <c r="BA38" i="5"/>
  <c r="BA45" i="5"/>
  <c r="BA47" i="5"/>
  <c r="BA20" i="5"/>
  <c r="BA10" i="5"/>
  <c r="BA29" i="5"/>
  <c r="BA46" i="5"/>
  <c r="BA27" i="5"/>
  <c r="BA23" i="5"/>
  <c r="BA22" i="5"/>
  <c r="BA26" i="5"/>
  <c r="BA32" i="5"/>
  <c r="BA31" i="5"/>
  <c r="BA15" i="5"/>
  <c r="BA21" i="5"/>
  <c r="BA14" i="5"/>
  <c r="BA40" i="5"/>
  <c r="BA16" i="5"/>
  <c r="BA11" i="5"/>
  <c r="BA13" i="5"/>
  <c r="BA18" i="5"/>
  <c r="BA17" i="5"/>
  <c r="BB32" i="5" l="1"/>
  <c r="BB20" i="5"/>
  <c r="BB19" i="5"/>
  <c r="BB23" i="5"/>
  <c r="BB46" i="5"/>
  <c r="BB38" i="5"/>
  <c r="BB29" i="5"/>
  <c r="BB44" i="5"/>
  <c r="BB21" i="5"/>
  <c r="BB22" i="5"/>
  <c r="BB33" i="5"/>
  <c r="BB50" i="5"/>
  <c r="BB40" i="5"/>
  <c r="BB34" i="5"/>
  <c r="BB37" i="5"/>
  <c r="BB48" i="5"/>
  <c r="BB30" i="5"/>
  <c r="BB10" i="5"/>
  <c r="BB49" i="5"/>
  <c r="BB41" i="5"/>
  <c r="BB43" i="5"/>
  <c r="BB47" i="5"/>
  <c r="BB28" i="5"/>
  <c r="BB36" i="5"/>
  <c r="BB42" i="5"/>
  <c r="BB35" i="5"/>
  <c r="BB24" i="5"/>
  <c r="BB13" i="5"/>
  <c r="BB12" i="5"/>
  <c r="BB18" i="5"/>
  <c r="BB17" i="5"/>
  <c r="BB15" i="5"/>
  <c r="BB11" i="5"/>
  <c r="BB31" i="5"/>
  <c r="BB26" i="5"/>
  <c r="BB27" i="5"/>
  <c r="BB14" i="5"/>
  <c r="BB16" i="5"/>
  <c r="BB45" i="5"/>
  <c r="BB25" i="5"/>
  <c r="BB39" i="5"/>
  <c r="BC27" i="5" l="1"/>
  <c r="BC44" i="5"/>
  <c r="BC37" i="5"/>
  <c r="BC24" i="5"/>
  <c r="BC41" i="5"/>
  <c r="BC48" i="5"/>
  <c r="BC26" i="5"/>
  <c r="BC13" i="5"/>
  <c r="BC28" i="5"/>
  <c r="BC23" i="5"/>
  <c r="BC47" i="5"/>
  <c r="BC29" i="5"/>
  <c r="BC46" i="5"/>
  <c r="BC40" i="5"/>
  <c r="BC42" i="5"/>
  <c r="BC39" i="5"/>
  <c r="BC43" i="5"/>
  <c r="BC35" i="5"/>
  <c r="BC34" i="5"/>
  <c r="BC36" i="5"/>
  <c r="BC32" i="5"/>
  <c r="BC33" i="5"/>
  <c r="BC50" i="5"/>
  <c r="BC45" i="5"/>
  <c r="BC49" i="5"/>
  <c r="BC10" i="5"/>
  <c r="BC22" i="5"/>
  <c r="BC30" i="5"/>
  <c r="BC11" i="5"/>
  <c r="BC31" i="5"/>
  <c r="BC14" i="5"/>
  <c r="BC20" i="5"/>
  <c r="BC25" i="5"/>
  <c r="BC18" i="5"/>
  <c r="BC19" i="5"/>
  <c r="BC16" i="5"/>
  <c r="BC17" i="5"/>
  <c r="BC15" i="5"/>
  <c r="BC12" i="5"/>
  <c r="BC21" i="5"/>
  <c r="BC38" i="5"/>
  <c r="BD17" i="5" l="1"/>
  <c r="BD45" i="5"/>
  <c r="BD47" i="5"/>
  <c r="BD28" i="5"/>
  <c r="BD39" i="5"/>
  <c r="BD21" i="5"/>
  <c r="BD10" i="5"/>
  <c r="BD31" i="5"/>
  <c r="BD50" i="5"/>
  <c r="BD32" i="5"/>
  <c r="BD48" i="5"/>
  <c r="BD46" i="5"/>
  <c r="BD49" i="5"/>
  <c r="BD41" i="5"/>
  <c r="BD35" i="5"/>
  <c r="BD42" i="5"/>
  <c r="BD27" i="5"/>
  <c r="BD43" i="5"/>
  <c r="BD40" i="5"/>
  <c r="BD44" i="5"/>
  <c r="BD34" i="5"/>
  <c r="BD29" i="5"/>
  <c r="BD18" i="5"/>
  <c r="BD11" i="5"/>
  <c r="BD30" i="5"/>
  <c r="BD19" i="5"/>
  <c r="BD16" i="5"/>
  <c r="BD14" i="5"/>
  <c r="BD23" i="5"/>
  <c r="BD12" i="5"/>
  <c r="BD25" i="5"/>
  <c r="BD13" i="5"/>
  <c r="BD37" i="5"/>
  <c r="BD38" i="5"/>
  <c r="BD33" i="5"/>
  <c r="BD24" i="5"/>
  <c r="BD20" i="5"/>
  <c r="BD15" i="5"/>
  <c r="BD22" i="5"/>
  <c r="BD36" i="5"/>
  <c r="BD26" i="5"/>
  <c r="BE38" i="5" l="1"/>
  <c r="BE24" i="5"/>
  <c r="BE34" i="5"/>
  <c r="BE49" i="5"/>
  <c r="BE14" i="5"/>
  <c r="BE25" i="5"/>
  <c r="BE12" i="5"/>
  <c r="BE36" i="5"/>
  <c r="BE42" i="5"/>
  <c r="BE39" i="5"/>
  <c r="BE27" i="5"/>
  <c r="BE50" i="5"/>
  <c r="BE20" i="5"/>
  <c r="BE43" i="5"/>
  <c r="BE30" i="5"/>
  <c r="BE45" i="5"/>
  <c r="BE32" i="5"/>
  <c r="BE40" i="5"/>
  <c r="BE37" i="5"/>
  <c r="BE31" i="5"/>
  <c r="BE41" i="5"/>
  <c r="BE47" i="5"/>
  <c r="BE48" i="5"/>
  <c r="BE33" i="5"/>
  <c r="BE44" i="5"/>
  <c r="BE46" i="5"/>
  <c r="BE15" i="5"/>
  <c r="BE17" i="5"/>
  <c r="BE21" i="5"/>
  <c r="BE19" i="5"/>
  <c r="BE28" i="5"/>
  <c r="BE23" i="5"/>
  <c r="BE13" i="5"/>
  <c r="BE11" i="5"/>
  <c r="BE18" i="5"/>
  <c r="BE26" i="5"/>
  <c r="BE16" i="5"/>
  <c r="BE22" i="5"/>
  <c r="BE10" i="5"/>
  <c r="BE29" i="5"/>
  <c r="BE35" i="5"/>
  <c r="BF37" i="5" l="1"/>
  <c r="BF15" i="5"/>
  <c r="BF13" i="5"/>
  <c r="BF19" i="5"/>
  <c r="BF33" i="5"/>
  <c r="BF23" i="5"/>
  <c r="BF17" i="5"/>
  <c r="BF27" i="5"/>
  <c r="BF36" i="5"/>
  <c r="BF34" i="5"/>
  <c r="BF14" i="5"/>
  <c r="BF12" i="5"/>
  <c r="BF31" i="5"/>
  <c r="BF45" i="5"/>
  <c r="BF48" i="5"/>
  <c r="BF32" i="5"/>
  <c r="BF39" i="5"/>
  <c r="BF42" i="5"/>
  <c r="BF10" i="5"/>
  <c r="BF38" i="5"/>
  <c r="BF47" i="5"/>
  <c r="BF40" i="5"/>
  <c r="BF41" i="5"/>
  <c r="BF46" i="5"/>
  <c r="BF43" i="5"/>
  <c r="BF44" i="5"/>
  <c r="BF49" i="5"/>
  <c r="BF50" i="5"/>
  <c r="BF30" i="5"/>
  <c r="BF18" i="5"/>
  <c r="BF11" i="5"/>
  <c r="BF24" i="5"/>
  <c r="BF22" i="5"/>
  <c r="BF20" i="5"/>
  <c r="BF16" i="5"/>
  <c r="BF26" i="5"/>
  <c r="BF25" i="5"/>
  <c r="BF28" i="5"/>
  <c r="BF35" i="5"/>
  <c r="BF21" i="5"/>
  <c r="BF29" i="5"/>
  <c r="BG47" i="5" l="1"/>
  <c r="BG33" i="5"/>
  <c r="BG37" i="5"/>
  <c r="BG36" i="5"/>
  <c r="BG30" i="5"/>
  <c r="BG40" i="5"/>
  <c r="BG38" i="5"/>
  <c r="BG48" i="5"/>
  <c r="BG42" i="5"/>
  <c r="BG29" i="5"/>
  <c r="BG41" i="5"/>
  <c r="BG49" i="5"/>
  <c r="BG18" i="5"/>
  <c r="BG26" i="5"/>
  <c r="BG10" i="5"/>
  <c r="BG39" i="5"/>
  <c r="BG43" i="5"/>
  <c r="BG45" i="5"/>
  <c r="BG46" i="5"/>
  <c r="BG28" i="5"/>
  <c r="BG31" i="5"/>
  <c r="BG44" i="5"/>
  <c r="BG50" i="5"/>
  <c r="BG23" i="5"/>
  <c r="BG21" i="5"/>
  <c r="BG20" i="5"/>
  <c r="BG11" i="5"/>
  <c r="BG25" i="5"/>
  <c r="BG16" i="5"/>
  <c r="BG22" i="5"/>
  <c r="BG17" i="5"/>
  <c r="BG13" i="5"/>
  <c r="BG24" i="5"/>
  <c r="BG27" i="5"/>
  <c r="BG19" i="5"/>
  <c r="BG12" i="5"/>
  <c r="BG34" i="5"/>
  <c r="BG32" i="5"/>
  <c r="BG35" i="5"/>
  <c r="BG14" i="5"/>
  <c r="BG15" i="5"/>
  <c r="BH35" i="5" l="1"/>
  <c r="BH31" i="5"/>
  <c r="BH37" i="5"/>
  <c r="BH49" i="5"/>
  <c r="BH47" i="5"/>
  <c r="BH45" i="5"/>
  <c r="BH36" i="5"/>
  <c r="BH26" i="5"/>
  <c r="BH19" i="5"/>
  <c r="BH13" i="5"/>
  <c r="BH16" i="5"/>
  <c r="BH28" i="5"/>
  <c r="BH42" i="5"/>
  <c r="BH43" i="5"/>
  <c r="BH29" i="5"/>
  <c r="BH40" i="5"/>
  <c r="BH39" i="5"/>
  <c r="BH41" i="5"/>
  <c r="BH48" i="5"/>
  <c r="BH32" i="5"/>
  <c r="BH46" i="5"/>
  <c r="BH30" i="5"/>
  <c r="BH50" i="5"/>
  <c r="BH10" i="5"/>
  <c r="BH44" i="5"/>
  <c r="BH38" i="5"/>
  <c r="BH14" i="5"/>
  <c r="BH18" i="5"/>
  <c r="BH23" i="5"/>
  <c r="BH25" i="5"/>
  <c r="BH15" i="5"/>
  <c r="BH20" i="5"/>
  <c r="BH22" i="5"/>
  <c r="BH24" i="5"/>
  <c r="BH27" i="5"/>
  <c r="BH33" i="5"/>
  <c r="BH12" i="5"/>
  <c r="BH21" i="5"/>
  <c r="BH11" i="5"/>
  <c r="BH34" i="5"/>
  <c r="BH17" i="5"/>
  <c r="BI14" i="5" l="1"/>
  <c r="BI34" i="5"/>
  <c r="BI30" i="5"/>
  <c r="BI13" i="5"/>
  <c r="BI27" i="5"/>
  <c r="BI21" i="5"/>
  <c r="BI31" i="5"/>
  <c r="BI40" i="5"/>
  <c r="BI43" i="5"/>
  <c r="BI37" i="5"/>
  <c r="BI48" i="5"/>
  <c r="BI39" i="5"/>
  <c r="BI42" i="5"/>
  <c r="BI50" i="5"/>
  <c r="BI10" i="5"/>
  <c r="BI45" i="5"/>
  <c r="BI41" i="5"/>
  <c r="BI12" i="5"/>
  <c r="BI20" i="5"/>
  <c r="BI24" i="5"/>
  <c r="BI46" i="5"/>
  <c r="BI29" i="5"/>
  <c r="BI28" i="5"/>
  <c r="BI38" i="5"/>
  <c r="BI47" i="5"/>
  <c r="BI49" i="5"/>
  <c r="BI44" i="5"/>
  <c r="BI22" i="5"/>
  <c r="BI15" i="5"/>
  <c r="BI33" i="5"/>
  <c r="BI18" i="5"/>
  <c r="BI23" i="5"/>
  <c r="BI36" i="5"/>
  <c r="BI32" i="5"/>
  <c r="BI35" i="5"/>
  <c r="BI25" i="5"/>
  <c r="BI19" i="5"/>
  <c r="BI17" i="5"/>
  <c r="BI26" i="5"/>
  <c r="BI16" i="5"/>
  <c r="BI11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MEYER Grégory</author>
  </authors>
  <commentList>
    <comment ref="G2" authorId="0" shapeId="0" xr:uid="{4BE268D3-5535-4682-8197-ACE515026C77}">
      <text>
        <r>
          <rPr>
            <b/>
            <sz val="9"/>
            <color indexed="81"/>
            <rFont val="Tahoma"/>
            <family val="2"/>
          </rPr>
          <t>&lt; 0 montant
&gt; 0 descendant</t>
        </r>
      </text>
    </comment>
    <comment ref="H2" authorId="0" shapeId="0" xr:uid="{71B8AD55-57D7-4F67-94E0-5F04BCBBD36F}">
      <text>
        <r>
          <rPr>
            <b/>
            <sz val="9"/>
            <color indexed="81"/>
            <rFont val="Tahoma"/>
            <family val="2"/>
          </rPr>
          <t>Comptabilisée depuis le nu extérieur car je retire 1.5m sur la distance de forage</t>
        </r>
      </text>
    </comment>
    <comment ref="L2" authorId="0" shapeId="0" xr:uid="{F7713B48-09E9-43AC-88F1-C04A8A29049C}">
      <text>
        <r>
          <rPr>
            <b/>
            <sz val="9"/>
            <color indexed="81"/>
            <rFont val="Tahoma"/>
            <family val="2"/>
          </rPr>
          <t>&gt; 0 : thermocouple sous l'interface
&lt; 0 : thermocouple au-dessus</t>
        </r>
      </text>
    </comment>
  </commentList>
</comments>
</file>

<file path=xl/sharedStrings.xml><?xml version="1.0" encoding="utf-8"?>
<sst xmlns="http://schemas.openxmlformats.org/spreadsheetml/2006/main" count="708" uniqueCount="222">
  <si>
    <t>SC-01</t>
  </si>
  <si>
    <t>T</t>
  </si>
  <si>
    <t>Date</t>
  </si>
  <si>
    <t>SC-01i</t>
  </si>
  <si>
    <t>-</t>
  </si>
  <si>
    <t>°C</t>
  </si>
  <si>
    <t>m</t>
  </si>
  <si>
    <t>r</t>
  </si>
  <si>
    <t>SC-02</t>
  </si>
  <si>
    <t>SC-03</t>
  </si>
  <si>
    <t>SC-04</t>
  </si>
  <si>
    <t>Heure</t>
  </si>
  <si>
    <t>tc</t>
  </si>
  <si>
    <t>l</t>
  </si>
  <si>
    <t>r0</t>
  </si>
  <si>
    <t>ξ</t>
  </si>
  <si>
    <t>L</t>
  </si>
  <si>
    <t>x</t>
  </si>
  <si>
    <t>y</t>
  </si>
  <si>
    <t>ω</t>
  </si>
  <si>
    <t>x              y</t>
  </si>
  <si>
    <t>t(x,y) =</t>
  </si>
  <si>
    <t>y_TC =</t>
  </si>
  <si>
    <t>x_TC =</t>
  </si>
  <si>
    <t>t(TC) =</t>
  </si>
  <si>
    <t>ξ =</t>
  </si>
  <si>
    <t>Haut</t>
  </si>
  <si>
    <t>Bas</t>
  </si>
  <si>
    <t>Intérieur</t>
  </si>
  <si>
    <t>Régulier</t>
  </si>
  <si>
    <t>Quinconce</t>
  </si>
  <si>
    <t>Vérif = 0</t>
  </si>
  <si>
    <t>SC-05</t>
  </si>
  <si>
    <t>SC-06</t>
  </si>
  <si>
    <t>SC-07</t>
  </si>
  <si>
    <t>SC-08</t>
  </si>
  <si>
    <t>SC-02i</t>
  </si>
  <si>
    <t>SC-02j</t>
  </si>
  <si>
    <t>SC-02k</t>
  </si>
  <si>
    <t>SC-05a</t>
  </si>
  <si>
    <t>SC-05b</t>
  </si>
  <si>
    <t>SC-05c</t>
  </si>
  <si>
    <t>SC-05d</t>
  </si>
  <si>
    <t>SC-05e</t>
  </si>
  <si>
    <t>SC-05f</t>
  </si>
  <si>
    <t>SC-05g</t>
  </si>
  <si>
    <t>SC-05h</t>
  </si>
  <si>
    <t>T° TC
(°C)</t>
  </si>
  <si>
    <t>Affichage graphique :</t>
  </si>
  <si>
    <t>oui</t>
  </si>
  <si>
    <t>non</t>
  </si>
  <si>
    <t>ST-01a</t>
  </si>
  <si>
    <t>ST-01b</t>
  </si>
  <si>
    <t>ST-01c</t>
  </si>
  <si>
    <t>ST-01d</t>
  </si>
  <si>
    <t>ST-01e</t>
  </si>
  <si>
    <t>ST-01f</t>
  </si>
  <si>
    <t>ST-01g</t>
  </si>
  <si>
    <t>ST-01h</t>
  </si>
  <si>
    <t>ST-01i</t>
  </si>
  <si>
    <t>ST-01j</t>
  </si>
  <si>
    <t>ST-01k</t>
  </si>
  <si>
    <t>ST-01l</t>
  </si>
  <si>
    <t>ST-01m</t>
  </si>
  <si>
    <t>ST-01n</t>
  </si>
  <si>
    <t>ST-02a</t>
  </si>
  <si>
    <t>ST-02b</t>
  </si>
  <si>
    <t>ST-02c</t>
  </si>
  <si>
    <t>ST-02d</t>
  </si>
  <si>
    <t>ST-02e</t>
  </si>
  <si>
    <t>ST-02f</t>
  </si>
  <si>
    <t>ST-02g</t>
  </si>
  <si>
    <t>ST-02h</t>
  </si>
  <si>
    <t>ST-02i</t>
  </si>
  <si>
    <t>ST-02j</t>
  </si>
  <si>
    <t>ST-02k</t>
  </si>
  <si>
    <t>ST-02l</t>
  </si>
  <si>
    <t>ST-03a</t>
  </si>
  <si>
    <t>ST-03b</t>
  </si>
  <si>
    <t>ST-03c</t>
  </si>
  <si>
    <t>ST-03d</t>
  </si>
  <si>
    <t>ST-03e</t>
  </si>
  <si>
    <t>ST-03f</t>
  </si>
  <si>
    <t>ST-03g</t>
  </si>
  <si>
    <t>ST-03h</t>
  </si>
  <si>
    <t>ST-03i</t>
  </si>
  <si>
    <t>ST-03k</t>
  </si>
  <si>
    <t>ST-03l</t>
  </si>
  <si>
    <t>ST-03j</t>
  </si>
  <si>
    <t>ST-04a</t>
  </si>
  <si>
    <t>ST-04b</t>
  </si>
  <si>
    <t>ST-04c</t>
  </si>
  <si>
    <t>ST-04d</t>
  </si>
  <si>
    <t>ST-04e</t>
  </si>
  <si>
    <t>ST-04f</t>
  </si>
  <si>
    <t>ST-04g</t>
  </si>
  <si>
    <t>ST-04h</t>
  </si>
  <si>
    <t>ST-04i</t>
  </si>
  <si>
    <t>ST-04j</t>
  </si>
  <si>
    <t>ST-04k</t>
  </si>
  <si>
    <t>ST-04l</t>
  </si>
  <si>
    <t>ST-04m</t>
  </si>
  <si>
    <t>ST-11a</t>
  </si>
  <si>
    <t>ST-11f</t>
  </si>
  <si>
    <t>ST-11b</t>
  </si>
  <si>
    <t>ST-11c</t>
  </si>
  <si>
    <t>ST-11d</t>
  </si>
  <si>
    <t>ST-11e</t>
  </si>
  <si>
    <t>ST-11g</t>
  </si>
  <si>
    <t>ST-11h</t>
  </si>
  <si>
    <t>ST-11i</t>
  </si>
  <si>
    <t>ST-11j</t>
  </si>
  <si>
    <t>ST-11k</t>
  </si>
  <si>
    <t>ST-11l</t>
  </si>
  <si>
    <t>ST-11m</t>
  </si>
  <si>
    <t>ST-11n</t>
  </si>
  <si>
    <t>ST-11o</t>
  </si>
  <si>
    <t>ST-12a</t>
  </si>
  <si>
    <t>ST-12b</t>
  </si>
  <si>
    <t>ST-12c</t>
  </si>
  <si>
    <t>ST-12d</t>
  </si>
  <si>
    <t>ST-12e</t>
  </si>
  <si>
    <t>ST-12f</t>
  </si>
  <si>
    <t>ST-12g</t>
  </si>
  <si>
    <t>ST-12h</t>
  </si>
  <si>
    <t>ST-12i</t>
  </si>
  <si>
    <t>ST-12j</t>
  </si>
  <si>
    <t>ST-12k</t>
  </si>
  <si>
    <t>ST-12l</t>
  </si>
  <si>
    <t>ST-13a</t>
  </si>
  <si>
    <t>ST-13b</t>
  </si>
  <si>
    <t>ST-13c</t>
  </si>
  <si>
    <t>ST-13d</t>
  </si>
  <si>
    <t>ST-13e</t>
  </si>
  <si>
    <t>ST-13f</t>
  </si>
  <si>
    <t>ST-13g</t>
  </si>
  <si>
    <t>ST-13h</t>
  </si>
  <si>
    <t>ST-13i</t>
  </si>
  <si>
    <t>ST-13j</t>
  </si>
  <si>
    <t>ST-13k</t>
  </si>
  <si>
    <t>ST-13l</t>
  </si>
  <si>
    <t>ST-14a</t>
  </si>
  <si>
    <t>ST-14b</t>
  </si>
  <si>
    <t>ST-14c</t>
  </si>
  <si>
    <t>ST-14d</t>
  </si>
  <si>
    <t>ST-14e</t>
  </si>
  <si>
    <t>ST-14f</t>
  </si>
  <si>
    <t>ST-14g</t>
  </si>
  <si>
    <t>ST-14h</t>
  </si>
  <si>
    <t>ST-14i</t>
  </si>
  <si>
    <t>ST-14j</t>
  </si>
  <si>
    <t>ST-14k</t>
  </si>
  <si>
    <t>ST-14l</t>
  </si>
  <si>
    <t>ST-14n</t>
  </si>
  <si>
    <t>ST-21a</t>
  </si>
  <si>
    <t>ST-21b</t>
  </si>
  <si>
    <t>ST-21c</t>
  </si>
  <si>
    <t>ST-21d</t>
  </si>
  <si>
    <t>ST-21e</t>
  </si>
  <si>
    <t>ST-21f</t>
  </si>
  <si>
    <t>ST-21g</t>
  </si>
  <si>
    <t>ST-21h</t>
  </si>
  <si>
    <t>ST-21i</t>
  </si>
  <si>
    <t>ST-21j</t>
  </si>
  <si>
    <t>ST-21k</t>
  </si>
  <si>
    <t>ST-21l</t>
  </si>
  <si>
    <t>ST-22a</t>
  </si>
  <si>
    <t>ST-22b</t>
  </si>
  <si>
    <t>ST-22c</t>
  </si>
  <si>
    <t>ST-22d</t>
  </si>
  <si>
    <t>ST-22e</t>
  </si>
  <si>
    <t>ST-22f</t>
  </si>
  <si>
    <t>ST-22g</t>
  </si>
  <si>
    <t>ST-22h</t>
  </si>
  <si>
    <t>ST-22i</t>
  </si>
  <si>
    <t>ST-22j</t>
  </si>
  <si>
    <t>ST-22k</t>
  </si>
  <si>
    <t>ST-22l</t>
  </si>
  <si>
    <t>ST-23a</t>
  </si>
  <si>
    <t>ST-23b</t>
  </si>
  <si>
    <t>ST-23c</t>
  </si>
  <si>
    <t>ST-23d</t>
  </si>
  <si>
    <t>ST-23e</t>
  </si>
  <si>
    <t>ST-23f</t>
  </si>
  <si>
    <t>ST-23g</t>
  </si>
  <si>
    <t>ST-23h</t>
  </si>
  <si>
    <t>ST-23i</t>
  </si>
  <si>
    <t>ST-23j</t>
  </si>
  <si>
    <t>ST-23k</t>
  </si>
  <si>
    <t>ST-23l</t>
  </si>
  <si>
    <t>ST-24a</t>
  </si>
  <si>
    <t>ST-24b</t>
  </si>
  <si>
    <t>ST-24c</t>
  </si>
  <si>
    <t>ST-24d</t>
  </si>
  <si>
    <t>ST-24e</t>
  </si>
  <si>
    <t>ST-24f</t>
  </si>
  <si>
    <t>ST-24g</t>
  </si>
  <si>
    <t>ST-24h</t>
  </si>
  <si>
    <t>ST-24i</t>
  </si>
  <si>
    <t>ST-24j</t>
  </si>
  <si>
    <t>ST-24k</t>
  </si>
  <si>
    <t>ST-24l</t>
  </si>
  <si>
    <t>ST-24n</t>
  </si>
  <si>
    <t>ST-01</t>
  </si>
  <si>
    <t>ST-02</t>
  </si>
  <si>
    <t>ST-03</t>
  </si>
  <si>
    <t>ST-04</t>
  </si>
  <si>
    <t>ST-11</t>
  </si>
  <si>
    <t>ST-12</t>
  </si>
  <si>
    <t>ST-13</t>
  </si>
  <si>
    <t>ST-14</t>
  </si>
  <si>
    <t>ST-21</t>
  </si>
  <si>
    <t>ST-22</t>
  </si>
  <si>
    <t>ST-24</t>
  </si>
  <si>
    <t>ST-23</t>
  </si>
  <si>
    <t>ST-14m</t>
  </si>
  <si>
    <t>ST-24m</t>
  </si>
  <si>
    <t>z (m NGF)</t>
  </si>
  <si>
    <t>d(TC-inter)</t>
  </si>
  <si>
    <t>t</t>
  </si>
  <si>
    <t>e =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</si>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</sst>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&quot;m&quot;"/>
    <numFmt numFmtId="165" formatCode="&quot;Date des mesures : &quot;dd/mm/yyyy"/>
    <numFmt numFmtId="166" formatCode="[$-F400]h:mm:ss\ AM/PM"/>
    <numFmt numFmtId="167" formatCode="0.00000"/>
    <numFmt numFmtId="168" formatCode="0.0"/>
  </numFmts>
  <fonts count="1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  <font>
      <b/>
      <u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name val="Calibri"/>
      <family val="2"/>
      <scheme val="minor"/>
    </font>
    <font>
      <sz val="15"/>
      <color rgb="FF000000"/>
      <name val="Calibri"/>
      <family val="2"/>
    </font>
    <font>
      <sz val="11"/>
      <color theme="0" tint="-0.14999847407452621"/>
      <name val="Calibri"/>
      <family val="2"/>
      <scheme val="minor"/>
    </font>
    <font>
      <sz val="30"/>
      <color rgb="FF000000"/>
      <name val="Calibri"/>
      <family val="2"/>
    </font>
    <font>
      <b/>
      <sz val="18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0" fillId="2" borderId="1" xfId="0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2" fontId="0" fillId="2" borderId="4" xfId="0" applyNumberFormat="1" applyFill="1" applyBorder="1" applyAlignment="1">
      <alignment horizontal="center"/>
    </xf>
    <xf numFmtId="164" fontId="0" fillId="2" borderId="4" xfId="0" applyNumberForma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2" fontId="0" fillId="2" borderId="9" xfId="0" applyNumberFormat="1" applyFill="1" applyBorder="1" applyAlignment="1">
      <alignment horizontal="center"/>
    </xf>
    <xf numFmtId="164" fontId="0" fillId="2" borderId="9" xfId="0" applyNumberForma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2" fontId="1" fillId="2" borderId="0" xfId="0" applyNumberFormat="1" applyFont="1" applyFill="1" applyAlignment="1">
      <alignment horizontal="center"/>
    </xf>
    <xf numFmtId="0" fontId="0" fillId="2" borderId="2" xfId="0" applyFill="1" applyBorder="1" applyAlignment="1">
      <alignment horizontal="center" vertical="center" textRotation="90" wrapText="1"/>
    </xf>
    <xf numFmtId="2" fontId="0" fillId="2" borderId="0" xfId="0" applyNumberFormat="1" applyFill="1" applyAlignment="1">
      <alignment horizontal="center"/>
    </xf>
    <xf numFmtId="1" fontId="0" fillId="2" borderId="1" xfId="0" applyNumberFormat="1" applyFill="1" applyBorder="1" applyAlignment="1">
      <alignment horizontal="center"/>
    </xf>
    <xf numFmtId="165" fontId="7" fillId="2" borderId="0" xfId="0" applyNumberFormat="1" applyFont="1" applyFill="1" applyBorder="1" applyAlignment="1">
      <alignment vertical="center"/>
    </xf>
    <xf numFmtId="0" fontId="0" fillId="2" borderId="0" xfId="0" applyFill="1"/>
    <xf numFmtId="14" fontId="0" fillId="2" borderId="4" xfId="0" applyNumberFormat="1" applyFill="1" applyBorder="1" applyAlignment="1">
      <alignment horizontal="center"/>
    </xf>
    <xf numFmtId="166" fontId="0" fillId="2" borderId="4" xfId="0" applyNumberFormat="1" applyFont="1" applyFill="1" applyBorder="1" applyAlignment="1">
      <alignment horizontal="center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center"/>
    </xf>
    <xf numFmtId="2" fontId="0" fillId="3" borderId="0" xfId="0" applyNumberFormat="1" applyFill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164" fontId="9" fillId="2" borderId="1" xfId="0" applyNumberFormat="1" applyFont="1" applyFill="1" applyBorder="1" applyAlignment="1">
      <alignment horizontal="center"/>
    </xf>
    <xf numFmtId="0" fontId="9" fillId="2" borderId="12" xfId="0" applyFont="1" applyFill="1" applyBorder="1" applyAlignment="1">
      <alignment horizontal="center"/>
    </xf>
    <xf numFmtId="2" fontId="0" fillId="2" borderId="16" xfId="0" applyNumberFormat="1" applyFill="1" applyBorder="1" applyAlignment="1">
      <alignment horizontal="center"/>
    </xf>
    <xf numFmtId="164" fontId="10" fillId="2" borderId="4" xfId="0" applyNumberFormat="1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11" xfId="0" applyFont="1" applyFill="1" applyBorder="1" applyAlignment="1">
      <alignment horizontal="center"/>
    </xf>
    <xf numFmtId="164" fontId="10" fillId="2" borderId="1" xfId="0" applyNumberFormat="1" applyFont="1" applyFill="1" applyBorder="1" applyAlignment="1">
      <alignment horizontal="center"/>
    </xf>
    <xf numFmtId="0" fontId="10" fillId="2" borderId="14" xfId="0" applyFont="1" applyFill="1" applyBorder="1" applyAlignment="1">
      <alignment horizontal="center"/>
    </xf>
    <xf numFmtId="0" fontId="10" fillId="2" borderId="15" xfId="0" applyFont="1" applyFill="1" applyBorder="1" applyAlignment="1">
      <alignment horizontal="center"/>
    </xf>
    <xf numFmtId="0" fontId="10" fillId="2" borderId="12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164" fontId="10" fillId="2" borderId="9" xfId="0" applyNumberFormat="1" applyFont="1" applyFill="1" applyBorder="1" applyAlignment="1">
      <alignment horizontal="center"/>
    </xf>
    <xf numFmtId="0" fontId="10" fillId="2" borderId="9" xfId="0" applyFont="1" applyFill="1" applyBorder="1" applyAlignment="1">
      <alignment horizontal="center"/>
    </xf>
    <xf numFmtId="0" fontId="10" fillId="2" borderId="13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6" fillId="2" borderId="0" xfId="0" applyFont="1" applyFill="1"/>
    <xf numFmtId="0" fontId="3" fillId="2" borderId="0" xfId="0" applyFont="1" applyFill="1" applyAlignment="1">
      <alignment horizontal="right"/>
    </xf>
    <xf numFmtId="0" fontId="0" fillId="2" borderId="0" xfId="0" applyFill="1" applyBorder="1"/>
    <xf numFmtId="2" fontId="0" fillId="2" borderId="0" xfId="0" applyNumberFormat="1" applyFill="1"/>
    <xf numFmtId="2" fontId="10" fillId="2" borderId="1" xfId="0" applyNumberFormat="1" applyFont="1" applyFill="1" applyBorder="1" applyAlignment="1">
      <alignment horizontal="center"/>
    </xf>
    <xf numFmtId="0" fontId="0" fillId="2" borderId="0" xfId="0" applyFill="1" applyBorder="1" applyAlignment="1">
      <alignment horizontal="center" vertical="center" textRotation="90" wrapText="1"/>
    </xf>
    <xf numFmtId="1" fontId="0" fillId="2" borderId="0" xfId="0" applyNumberFormat="1" applyFill="1" applyAlignment="1">
      <alignment horizontal="center"/>
    </xf>
    <xf numFmtId="167" fontId="0" fillId="2" borderId="0" xfId="0" applyNumberFormat="1" applyFill="1" applyAlignment="1">
      <alignment horizontal="center"/>
    </xf>
    <xf numFmtId="0" fontId="10" fillId="2" borderId="0" xfId="0" applyFont="1" applyFill="1"/>
    <xf numFmtId="0" fontId="10" fillId="2" borderId="0" xfId="0" applyFont="1" applyFill="1" applyAlignment="1">
      <alignment horizontal="right"/>
    </xf>
    <xf numFmtId="0" fontId="1" fillId="2" borderId="0" xfId="0" applyFont="1" applyFill="1" applyAlignment="1">
      <alignment horizontal="right"/>
    </xf>
    <xf numFmtId="0" fontId="1" fillId="2" borderId="0" xfId="0" applyFont="1" applyFill="1"/>
    <xf numFmtId="0" fontId="12" fillId="2" borderId="0" xfId="0" applyFont="1" applyFill="1"/>
    <xf numFmtId="2" fontId="12" fillId="2" borderId="0" xfId="0" applyNumberFormat="1" applyFont="1" applyFill="1" applyAlignment="1">
      <alignment horizontal="center"/>
    </xf>
    <xf numFmtId="2" fontId="0" fillId="2" borderId="1" xfId="0" quotePrefix="1" applyNumberFormat="1" applyFill="1" applyBorder="1" applyAlignment="1">
      <alignment horizontal="center"/>
    </xf>
    <xf numFmtId="0" fontId="0" fillId="2" borderId="18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/>
    </xf>
    <xf numFmtId="0" fontId="9" fillId="2" borderId="7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/>
    </xf>
    <xf numFmtId="0" fontId="10" fillId="2" borderId="20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10" fillId="2" borderId="10" xfId="0" applyFont="1" applyFill="1" applyBorder="1" applyAlignment="1">
      <alignment horizontal="center"/>
    </xf>
    <xf numFmtId="2" fontId="0" fillId="2" borderId="14" xfId="0" applyNumberFormat="1" applyFill="1" applyBorder="1" applyAlignment="1">
      <alignment horizontal="center"/>
    </xf>
    <xf numFmtId="14" fontId="0" fillId="2" borderId="0" xfId="0" applyNumberFormat="1" applyFill="1" applyAlignment="1">
      <alignment horizontal="center"/>
    </xf>
    <xf numFmtId="166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center" vertical="center" wrapText="1"/>
    </xf>
    <xf numFmtId="2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 vertical="center"/>
    </xf>
    <xf numFmtId="2" fontId="6" fillId="2" borderId="0" xfId="0" applyNumberFormat="1" applyFont="1" applyFill="1" applyAlignment="1">
      <alignment horizontal="center"/>
    </xf>
    <xf numFmtId="0" fontId="6" fillId="2" borderId="0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/>
    </xf>
    <xf numFmtId="0" fontId="8" fillId="2" borderId="0" xfId="0" applyFont="1" applyFill="1" applyAlignment="1">
      <alignment wrapText="1"/>
    </xf>
    <xf numFmtId="0" fontId="0" fillId="2" borderId="2" xfId="0" applyFill="1" applyBorder="1" applyAlignment="1">
      <alignment horizontal="center"/>
    </xf>
    <xf numFmtId="2" fontId="0" fillId="2" borderId="2" xfId="0" applyNumberFormat="1" applyFill="1" applyBorder="1" applyAlignment="1">
      <alignment horizontal="center"/>
    </xf>
    <xf numFmtId="2" fontId="0" fillId="2" borderId="16" xfId="0" applyNumberFormat="1" applyFill="1" applyBorder="1" applyAlignment="1">
      <alignment horizontal="center" vertical="center" wrapText="1"/>
    </xf>
    <xf numFmtId="164" fontId="10" fillId="2" borderId="2" xfId="0" applyNumberFormat="1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2" borderId="21" xfId="0" applyFont="1" applyFill="1" applyBorder="1" applyAlignment="1">
      <alignment horizontal="center"/>
    </xf>
    <xf numFmtId="0" fontId="10" fillId="2" borderId="26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2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2" fontId="0" fillId="2" borderId="7" xfId="0" applyNumberFormat="1" applyFill="1" applyBorder="1" applyAlignment="1">
      <alignment horizontal="center"/>
    </xf>
    <xf numFmtId="0" fontId="6" fillId="2" borderId="0" xfId="0" applyFont="1" applyFill="1" applyAlignment="1">
      <alignment horizontal="center" vertical="center" wrapText="1"/>
    </xf>
    <xf numFmtId="2" fontId="6" fillId="2" borderId="0" xfId="0" applyNumberFormat="1" applyFont="1" applyFill="1" applyAlignment="1">
      <alignment horizontal="center" vertical="center" wrapText="1"/>
    </xf>
    <xf numFmtId="2" fontId="1" fillId="2" borderId="0" xfId="0" applyNumberFormat="1" applyFont="1" applyFill="1"/>
    <xf numFmtId="0" fontId="0" fillId="2" borderId="0" xfId="0" applyFill="1" applyAlignment="1">
      <alignment horizontal="center"/>
    </xf>
    <xf numFmtId="166" fontId="6" fillId="2" borderId="0" xfId="0" applyNumberFormat="1" applyFont="1" applyFill="1"/>
    <xf numFmtId="1" fontId="0" fillId="2" borderId="16" xfId="0" applyNumberFormat="1" applyFill="1" applyBorder="1" applyAlignment="1">
      <alignment horizontal="center"/>
    </xf>
    <xf numFmtId="166" fontId="0" fillId="2" borderId="0" xfId="0" applyNumberFormat="1" applyFill="1"/>
    <xf numFmtId="14" fontId="6" fillId="2" borderId="0" xfId="0" applyNumberFormat="1" applyFont="1" applyFill="1" applyAlignment="1">
      <alignment horizontal="center"/>
    </xf>
    <xf numFmtId="166" fontId="6" fillId="2" borderId="0" xfId="0" applyNumberFormat="1" applyFont="1" applyFill="1" applyAlignment="1">
      <alignment horizontal="center"/>
    </xf>
    <xf numFmtId="22" fontId="10" fillId="0" borderId="0" xfId="0" applyNumberFormat="1" applyFont="1" applyAlignment="1">
      <alignment horizontal="center"/>
    </xf>
    <xf numFmtId="22" fontId="0" fillId="2" borderId="0" xfId="0" applyNumberFormat="1" applyFill="1" applyAlignment="1">
      <alignment horizontal="center"/>
    </xf>
    <xf numFmtId="0" fontId="17" fillId="2" borderId="0" xfId="0" applyFont="1" applyFill="1" applyAlignment="1">
      <alignment horizontal="right"/>
    </xf>
    <xf numFmtId="168" fontId="17" fillId="2" borderId="0" xfId="0" applyNumberFormat="1" applyFont="1" applyFill="1" applyAlignment="1">
      <alignment horizontal="center"/>
    </xf>
    <xf numFmtId="0" fontId="17" fillId="2" borderId="0" xfId="0" applyFont="1" applyFill="1"/>
    <xf numFmtId="2" fontId="16" fillId="2" borderId="0" xfId="0" applyNumberFormat="1" applyFont="1" applyFill="1" applyAlignment="1">
      <alignment horizontal="center"/>
    </xf>
    <xf numFmtId="0" fontId="17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6" fillId="2" borderId="0" xfId="0" applyFont="1" applyFill="1" applyAlignment="1">
      <alignment horizontal="center"/>
    </xf>
    <xf numFmtId="0" fontId="0" fillId="2" borderId="16" xfId="0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/>
    </xf>
    <xf numFmtId="2" fontId="0" fillId="2" borderId="32" xfId="0" applyNumberFormat="1" applyFill="1" applyBorder="1" applyAlignment="1">
      <alignment horizontal="center"/>
    </xf>
    <xf numFmtId="168" fontId="1" fillId="2" borderId="0" xfId="0" applyNumberFormat="1" applyFont="1" applyFill="1" applyAlignment="1">
      <alignment horizontal="center"/>
    </xf>
    <xf numFmtId="0" fontId="10" fillId="2" borderId="0" xfId="0" applyFont="1" applyFill="1" applyAlignment="1">
      <alignment horizontal="left"/>
    </xf>
    <xf numFmtId="0" fontId="0" fillId="2" borderId="0" xfId="0" applyFill="1" applyAlignment="1">
      <alignment horizontal="center"/>
    </xf>
    <xf numFmtId="14" fontId="14" fillId="3" borderId="0" xfId="0" applyNumberFormat="1" applyFont="1" applyFill="1" applyAlignment="1">
      <alignment horizontal="center" vertical="center"/>
    </xf>
    <xf numFmtId="166" fontId="14" fillId="3" borderId="0" xfId="0" applyNumberFormat="1" applyFont="1" applyFill="1" applyAlignment="1">
      <alignment horizontal="center" vertical="center"/>
    </xf>
    <xf numFmtId="0" fontId="14" fillId="2" borderId="0" xfId="0" applyFont="1" applyFill="1" applyAlignment="1">
      <alignment horizontal="right" vertical="center"/>
    </xf>
    <xf numFmtId="0" fontId="10" fillId="2" borderId="0" xfId="0" applyFont="1" applyFill="1" applyAlignment="1">
      <alignment horizontal="center"/>
    </xf>
    <xf numFmtId="22" fontId="6" fillId="2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32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164" fontId="0" fillId="2" borderId="25" xfId="0" applyNumberFormat="1" applyFill="1" applyBorder="1" applyAlignment="1">
      <alignment horizontal="center"/>
    </xf>
    <xf numFmtId="164" fontId="0" fillId="2" borderId="23" xfId="0" applyNumberFormat="1" applyFill="1" applyBorder="1" applyAlignment="1">
      <alignment horizontal="center"/>
    </xf>
    <xf numFmtId="164" fontId="0" fillId="2" borderId="27" xfId="0" applyNumberFormat="1" applyFill="1" applyBorder="1" applyAlignment="1">
      <alignment horizontal="center"/>
    </xf>
    <xf numFmtId="164" fontId="0" fillId="2" borderId="17" xfId="0" applyNumberFormat="1" applyFill="1" applyBorder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164" fontId="0" fillId="2" borderId="28" xfId="0" applyNumberFormat="1" applyFill="1" applyBorder="1" applyAlignment="1">
      <alignment horizontal="center"/>
    </xf>
    <xf numFmtId="164" fontId="0" fillId="2" borderId="34" xfId="0" applyNumberFormat="1" applyFill="1" applyBorder="1" applyAlignment="1">
      <alignment horizontal="center"/>
    </xf>
    <xf numFmtId="164" fontId="0" fillId="2" borderId="29" xfId="0" applyNumberFormat="1" applyFill="1" applyBorder="1" applyAlignment="1">
      <alignment horizontal="center"/>
    </xf>
    <xf numFmtId="164" fontId="0" fillId="2" borderId="30" xfId="0" applyNumberFormat="1" applyFill="1" applyBorder="1" applyAlignment="1">
      <alignment horizontal="center"/>
    </xf>
    <xf numFmtId="0" fontId="0" fillId="2" borderId="24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wrapText="1"/>
    </xf>
    <xf numFmtId="0" fontId="0" fillId="2" borderId="2" xfId="0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619125</xdr:colOff>
          <xdr:row>51</xdr:row>
          <xdr:rowOff>76200</xdr:rowOff>
        </xdr:from>
        <xdr:to>
          <xdr:col>14</xdr:col>
          <xdr:colOff>66675</xdr:colOff>
          <xdr:row>64</xdr:row>
          <xdr:rowOff>19050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en-GB" sz="3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</xdr:colOff>
      <xdr:row>14</xdr:row>
      <xdr:rowOff>179070</xdr:rowOff>
    </xdr:from>
    <xdr:ext cx="65" cy="172227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6629400" y="395859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571500</xdr:colOff>
          <xdr:row>4</xdr:row>
          <xdr:rowOff>38100</xdr:rowOff>
        </xdr:from>
        <xdr:to>
          <xdr:col>6</xdr:col>
          <xdr:colOff>523875</xdr:colOff>
          <xdr:row>9</xdr:row>
          <xdr:rowOff>152400</xdr:rowOff>
        </xdr:to>
        <xdr:sp macro="" textlink="">
          <xdr:nvSpPr>
            <xdr:cNvPr id="5229" name="Button 109" hidden="1">
              <a:extLst>
                <a:ext uri="{63B3BB69-23CF-44E3-9099-C40C66FF867C}">
                  <a14:compatExt spid="_x0000_s5229"/>
                </a:ext>
                <a:ext uri="{FF2B5EF4-FFF2-40B4-BE49-F238E27FC236}">
                  <a16:creationId xmlns:a16="http://schemas.microsoft.com/office/drawing/2014/main" id="{00000000-0008-0000-0200-00006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15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 ξ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E8340-2DC1-4714-BF7B-2B7359764C77}">
  <sheetPr codeName="Feuil6"/>
  <dimension ref="A1:BI120"/>
  <sheetViews>
    <sheetView tabSelected="1" topLeftCell="A51" zoomScale="55" zoomScaleNormal="55" workbookViewId="0">
      <selection activeCell="I92" sqref="I92"/>
    </sheetView>
  </sheetViews>
  <sheetFormatPr defaultColWidth="11.5703125" defaultRowHeight="15" x14ac:dyDescent="0.25"/>
  <cols>
    <col min="1" max="1" width="16.42578125" style="1" customWidth="1"/>
    <col min="2" max="2" width="14.5703125" style="1" customWidth="1"/>
    <col min="3" max="3" width="11.5703125" style="1"/>
    <col min="4" max="4" width="11.5703125" style="25"/>
    <col min="5" max="5" width="11.5703125" style="59"/>
    <col min="6" max="6" width="9.7109375" style="95" customWidth="1"/>
    <col min="7" max="7" width="11.5703125" style="59"/>
    <col min="8" max="9" width="11.5703125" style="25"/>
    <col min="10" max="14" width="11.5703125" style="1"/>
    <col min="15" max="16" width="11.5703125" style="25"/>
    <col min="17" max="18" width="11.5703125" style="1"/>
    <col min="19" max="19" width="14.85546875" style="1" bestFit="1" customWidth="1"/>
    <col min="20" max="20" width="19.5703125" style="109" customWidth="1"/>
    <col min="21" max="21" width="19.5703125" style="1" customWidth="1"/>
    <col min="22" max="23" width="11.5703125" style="59"/>
    <col min="24" max="29" width="11.5703125" style="25"/>
    <col min="30" max="30" width="18" style="25" bestFit="1" customWidth="1"/>
    <col min="31" max="16384" width="11.5703125" style="25"/>
  </cols>
  <sheetData>
    <row r="1" spans="1:42" x14ac:dyDescent="0.25">
      <c r="A1" s="25"/>
      <c r="B1" s="25"/>
      <c r="X1" s="115"/>
    </row>
    <row r="2" spans="1:42" x14ac:dyDescent="0.25">
      <c r="A2" s="25"/>
      <c r="B2" s="25"/>
      <c r="AP2" s="97">
        <v>0</v>
      </c>
    </row>
    <row r="3" spans="1:42" x14ac:dyDescent="0.25">
      <c r="A3" s="25"/>
      <c r="B3" s="25"/>
      <c r="AD3" s="56"/>
      <c r="AE3" s="56"/>
      <c r="AP3" s="97">
        <v>4.1666666666666664E-2</v>
      </c>
    </row>
    <row r="4" spans="1:42" ht="14.45" customHeight="1" x14ac:dyDescent="0.25">
      <c r="A4" s="25"/>
      <c r="B4" s="25"/>
      <c r="Z4" s="119" t="s">
        <v>2</v>
      </c>
      <c r="AA4" s="119"/>
      <c r="AB4" s="117">
        <v>44404</v>
      </c>
      <c r="AC4" s="117"/>
      <c r="AD4" s="56"/>
      <c r="AE4" s="56"/>
      <c r="AP4" s="97">
        <v>8.3333333333333301E-2</v>
      </c>
    </row>
    <row r="5" spans="1:42" ht="14.45" customHeight="1" x14ac:dyDescent="0.25">
      <c r="A5" s="25"/>
      <c r="B5" s="25"/>
      <c r="Z5" s="119"/>
      <c r="AA5" s="119"/>
      <c r="AB5" s="117"/>
      <c r="AC5" s="117"/>
      <c r="AD5" s="56"/>
      <c r="AE5" s="100">
        <f>AB4</f>
        <v>44404</v>
      </c>
      <c r="AP5" s="97">
        <v>0.125</v>
      </c>
    </row>
    <row r="6" spans="1:42" ht="14.45" customHeight="1" x14ac:dyDescent="0.25">
      <c r="A6" s="25"/>
      <c r="B6" s="25"/>
      <c r="Z6" s="119" t="s">
        <v>11</v>
      </c>
      <c r="AA6" s="119"/>
      <c r="AB6" s="118">
        <v>0.20833333333333301</v>
      </c>
      <c r="AC6" s="118"/>
      <c r="AD6" s="56"/>
      <c r="AE6" s="101">
        <f>AB6</f>
        <v>0.20833333333333301</v>
      </c>
      <c r="AP6" s="97">
        <v>0.16666666666666699</v>
      </c>
    </row>
    <row r="7" spans="1:42" ht="14.45" customHeight="1" x14ac:dyDescent="0.25">
      <c r="A7" s="25"/>
      <c r="B7" s="25"/>
      <c r="Z7" s="119"/>
      <c r="AA7" s="119"/>
      <c r="AB7" s="118"/>
      <c r="AC7" s="118"/>
      <c r="AD7" s="102"/>
      <c r="AE7" s="101" t="str">
        <f>AB9</f>
        <v>SC-01i</v>
      </c>
      <c r="AP7" s="97">
        <v>0.20833333333333301</v>
      </c>
    </row>
    <row r="8" spans="1:42" x14ac:dyDescent="0.25">
      <c r="A8" s="25"/>
      <c r="B8" s="25"/>
      <c r="R8" s="1">
        <v>0</v>
      </c>
      <c r="AB8" s="121">
        <f>AB4+AB6</f>
        <v>44404.208333333336</v>
      </c>
      <c r="AC8" s="122"/>
      <c r="AD8" s="56"/>
      <c r="AE8" s="56"/>
      <c r="AP8" s="97">
        <v>0.25</v>
      </c>
    </row>
    <row r="9" spans="1:42" ht="14.45" customHeight="1" x14ac:dyDescent="0.25">
      <c r="A9" s="25"/>
      <c r="B9" s="25"/>
      <c r="R9" s="1">
        <v>0</v>
      </c>
      <c r="Z9" s="119" t="s">
        <v>1</v>
      </c>
      <c r="AA9" s="119"/>
      <c r="AB9" s="118" t="s">
        <v>3</v>
      </c>
      <c r="AC9" s="118"/>
      <c r="AD9" s="56"/>
      <c r="AE9" s="56"/>
      <c r="AP9" s="97">
        <v>0.29166666666666702</v>
      </c>
    </row>
    <row r="10" spans="1:42" ht="14.45" customHeight="1" x14ac:dyDescent="0.25">
      <c r="A10" s="25"/>
      <c r="B10" s="25"/>
      <c r="Z10" s="119"/>
      <c r="AA10" s="119"/>
      <c r="AB10" s="118"/>
      <c r="AC10" s="118"/>
      <c r="AD10" s="56"/>
      <c r="AE10" s="56"/>
      <c r="AP10" s="97">
        <v>0.33333333333333298</v>
      </c>
    </row>
    <row r="11" spans="1:42" x14ac:dyDescent="0.25">
      <c r="A11" s="25"/>
      <c r="B11" s="25"/>
      <c r="AD11" s="56"/>
      <c r="AE11" s="56"/>
      <c r="AP11" s="97">
        <v>0.375</v>
      </c>
    </row>
    <row r="12" spans="1:42" x14ac:dyDescent="0.25">
      <c r="A12" s="25"/>
      <c r="B12" s="25"/>
      <c r="AA12" s="99"/>
      <c r="AP12" s="97">
        <v>0.41666666666666702</v>
      </c>
    </row>
    <row r="13" spans="1:42" x14ac:dyDescent="0.25">
      <c r="A13" s="25"/>
      <c r="B13" s="25"/>
      <c r="AP13" s="97">
        <v>0.45833333333333298</v>
      </c>
    </row>
    <row r="14" spans="1:42" x14ac:dyDescent="0.25">
      <c r="A14" s="25"/>
      <c r="B14" s="25"/>
      <c r="AA14" s="57" t="s">
        <v>219</v>
      </c>
      <c r="AB14" s="120">
        <v>-30</v>
      </c>
      <c r="AC14" s="120"/>
      <c r="AP14" s="97">
        <v>0.5</v>
      </c>
    </row>
    <row r="15" spans="1:42" x14ac:dyDescent="0.25">
      <c r="A15" s="25"/>
      <c r="B15" s="25"/>
      <c r="AP15" s="97">
        <v>0.54166666666666696</v>
      </c>
    </row>
    <row r="16" spans="1:42" x14ac:dyDescent="0.25">
      <c r="A16" s="25"/>
      <c r="B16" s="25"/>
      <c r="AA16" s="28"/>
      <c r="AB16" s="116"/>
      <c r="AC16" s="116"/>
      <c r="AP16" s="97">
        <v>0.58333333333333304</v>
      </c>
    </row>
    <row r="17" spans="1:42" x14ac:dyDescent="0.25">
      <c r="A17" s="25"/>
      <c r="B17" s="25"/>
      <c r="AA17" s="28"/>
      <c r="AB17" s="116"/>
      <c r="AC17" s="116"/>
      <c r="AP17" s="97">
        <v>0.625</v>
      </c>
    </row>
    <row r="18" spans="1:42" x14ac:dyDescent="0.25">
      <c r="A18" s="25"/>
      <c r="B18" s="25"/>
      <c r="AA18" s="28"/>
      <c r="AB18" s="116"/>
      <c r="AC18" s="116"/>
      <c r="AP18" s="97">
        <v>0.66666666666666696</v>
      </c>
    </row>
    <row r="19" spans="1:42" x14ac:dyDescent="0.25">
      <c r="A19" s="25"/>
      <c r="B19" s="25"/>
      <c r="AA19" s="28"/>
      <c r="AB19" s="116"/>
      <c r="AC19" s="116"/>
      <c r="AP19" s="97">
        <v>0.70833333333333304</v>
      </c>
    </row>
    <row r="20" spans="1:42" x14ac:dyDescent="0.25">
      <c r="A20" s="25"/>
      <c r="B20" s="25"/>
      <c r="AA20" s="28"/>
      <c r="AB20" s="116"/>
      <c r="AC20" s="116"/>
      <c r="AP20" s="97">
        <v>0.75</v>
      </c>
    </row>
    <row r="21" spans="1:42" x14ac:dyDescent="0.25">
      <c r="A21" s="25"/>
      <c r="B21" s="25"/>
      <c r="AA21" s="28"/>
      <c r="AB21" s="116"/>
      <c r="AC21" s="116"/>
      <c r="AP21" s="97">
        <v>0.79166666666666696</v>
      </c>
    </row>
    <row r="22" spans="1:42" x14ac:dyDescent="0.25">
      <c r="A22" s="25"/>
      <c r="B22" s="25"/>
      <c r="AP22" s="97">
        <v>0.83333333333333304</v>
      </c>
    </row>
    <row r="23" spans="1:42" x14ac:dyDescent="0.25">
      <c r="A23" s="25"/>
      <c r="B23" s="25"/>
      <c r="AE23" s="28"/>
      <c r="AF23" s="72"/>
      <c r="AP23" s="97">
        <v>0.875</v>
      </c>
    </row>
    <row r="24" spans="1:42" x14ac:dyDescent="0.25">
      <c r="A24" s="25"/>
      <c r="B24" s="25"/>
      <c r="AE24" s="28"/>
      <c r="AF24" s="96"/>
      <c r="AP24" s="97">
        <v>0.91666666666666696</v>
      </c>
    </row>
    <row r="25" spans="1:42" x14ac:dyDescent="0.25">
      <c r="A25" s="25"/>
      <c r="B25" s="25"/>
      <c r="AP25" s="97">
        <v>0.95833333333333304</v>
      </c>
    </row>
    <row r="26" spans="1:42" x14ac:dyDescent="0.25">
      <c r="A26" s="25"/>
      <c r="B26" s="25"/>
    </row>
    <row r="27" spans="1:42" x14ac:dyDescent="0.25">
      <c r="A27" s="25"/>
      <c r="B27" s="25"/>
    </row>
    <row r="28" spans="1:42" x14ac:dyDescent="0.25">
      <c r="A28" s="25"/>
      <c r="B28" s="25"/>
    </row>
    <row r="29" spans="1:42" x14ac:dyDescent="0.25">
      <c r="A29" s="25"/>
      <c r="B29" s="25"/>
    </row>
    <row r="30" spans="1:42" x14ac:dyDescent="0.25">
      <c r="A30" s="25"/>
      <c r="B30" s="25"/>
    </row>
    <row r="31" spans="1:42" x14ac:dyDescent="0.25">
      <c r="A31" s="25"/>
      <c r="B31" s="25"/>
    </row>
    <row r="32" spans="1:42" x14ac:dyDescent="0.25">
      <c r="A32" s="25"/>
      <c r="B32" s="25"/>
    </row>
    <row r="33" spans="1:29" x14ac:dyDescent="0.25">
      <c r="A33" s="25"/>
      <c r="B33" s="25"/>
      <c r="Y33" s="116"/>
      <c r="Z33" s="116"/>
      <c r="AB33" s="116"/>
      <c r="AC33" s="116"/>
    </row>
    <row r="34" spans="1:29" x14ac:dyDescent="0.25">
      <c r="A34" s="25"/>
      <c r="B34" s="25"/>
      <c r="Y34" s="109"/>
      <c r="Z34" s="109"/>
      <c r="AB34" s="109"/>
      <c r="AC34" s="109"/>
    </row>
    <row r="35" spans="1:29" x14ac:dyDescent="0.25">
      <c r="A35" s="25"/>
      <c r="B35" s="25"/>
      <c r="Y35" s="109"/>
      <c r="Z35" s="109"/>
      <c r="AB35" s="109"/>
      <c r="AC35" s="109"/>
    </row>
    <row r="36" spans="1:29" x14ac:dyDescent="0.25">
      <c r="A36" s="25"/>
      <c r="B36" s="25"/>
    </row>
    <row r="37" spans="1:29" x14ac:dyDescent="0.25">
      <c r="A37" s="25"/>
      <c r="B37" s="25"/>
    </row>
    <row r="38" spans="1:29" x14ac:dyDescent="0.25">
      <c r="A38" s="25"/>
      <c r="B38" s="25"/>
    </row>
    <row r="39" spans="1:29" x14ac:dyDescent="0.25">
      <c r="A39" s="25"/>
      <c r="B39" s="25"/>
    </row>
    <row r="40" spans="1:29" x14ac:dyDescent="0.25">
      <c r="A40" s="25"/>
      <c r="B40" s="25"/>
    </row>
    <row r="41" spans="1:29" x14ac:dyDescent="0.25">
      <c r="A41" s="25"/>
      <c r="B41" s="25"/>
    </row>
    <row r="42" spans="1:29" x14ac:dyDescent="0.25">
      <c r="A42" s="25"/>
      <c r="B42" s="25"/>
    </row>
    <row r="43" spans="1:29" x14ac:dyDescent="0.25">
      <c r="A43" s="25"/>
      <c r="B43" s="25"/>
      <c r="Y43" s="1"/>
      <c r="Z43" s="1"/>
      <c r="AB43" s="1"/>
      <c r="AC43" s="1"/>
    </row>
    <row r="44" spans="1:29" x14ac:dyDescent="0.25">
      <c r="A44" s="25"/>
      <c r="B44" s="25"/>
    </row>
    <row r="45" spans="1:29" x14ac:dyDescent="0.25">
      <c r="A45" s="25"/>
      <c r="B45" s="25"/>
    </row>
    <row r="46" spans="1:29" x14ac:dyDescent="0.25">
      <c r="A46" s="25"/>
      <c r="B46" s="25"/>
    </row>
    <row r="47" spans="1:29" x14ac:dyDescent="0.25">
      <c r="A47" s="25"/>
      <c r="B47" s="25"/>
    </row>
    <row r="48" spans="1:29" x14ac:dyDescent="0.25">
      <c r="A48" s="25"/>
      <c r="B48" s="25"/>
    </row>
    <row r="49" spans="1:61" x14ac:dyDescent="0.25">
      <c r="A49" s="25"/>
      <c r="B49" s="25"/>
    </row>
    <row r="50" spans="1:61" x14ac:dyDescent="0.25">
      <c r="A50" s="25"/>
      <c r="B50" s="25"/>
      <c r="AI50" s="28"/>
      <c r="AJ50" s="109"/>
      <c r="AS50" s="28"/>
      <c r="AT50" s="109"/>
      <c r="BD50" s="28"/>
      <c r="BE50" s="109"/>
    </row>
    <row r="51" spans="1:61" x14ac:dyDescent="0.25">
      <c r="A51" s="25"/>
      <c r="B51" s="25"/>
      <c r="AI51" s="28"/>
      <c r="AJ51" s="109"/>
      <c r="AS51" s="28"/>
      <c r="AT51" s="109"/>
      <c r="BD51" s="28"/>
      <c r="BE51" s="109"/>
    </row>
    <row r="52" spans="1:61" x14ac:dyDescent="0.25">
      <c r="A52" s="25"/>
      <c r="B52" s="25"/>
      <c r="AH52" s="56"/>
      <c r="AI52" s="104"/>
      <c r="AJ52" s="105"/>
      <c r="AK52" s="106"/>
      <c r="AL52" s="106"/>
      <c r="AM52" s="108"/>
      <c r="AN52" s="106"/>
      <c r="AO52" s="106"/>
      <c r="AP52" s="106"/>
      <c r="AQ52" s="106"/>
      <c r="AR52" s="106"/>
      <c r="AS52" s="104"/>
      <c r="AT52" s="105"/>
      <c r="AU52" s="106"/>
      <c r="AV52" s="106"/>
      <c r="AW52" s="108"/>
      <c r="AX52" s="106"/>
      <c r="AY52" s="106"/>
      <c r="AZ52" s="106"/>
      <c r="BA52" s="106"/>
      <c r="BB52" s="106"/>
      <c r="BC52" s="106"/>
      <c r="BD52" s="104"/>
      <c r="BE52" s="105"/>
      <c r="BF52" s="106"/>
      <c r="BH52" s="108"/>
    </row>
    <row r="53" spans="1:61" x14ac:dyDescent="0.25">
      <c r="A53" s="25"/>
      <c r="B53" s="25"/>
      <c r="AI53" s="28"/>
      <c r="AJ53" s="22"/>
      <c r="AM53" s="107"/>
      <c r="AS53" s="28"/>
      <c r="AT53" s="22"/>
      <c r="AW53" s="107"/>
      <c r="BD53" s="28"/>
      <c r="BE53" s="22"/>
      <c r="BH53" s="107"/>
    </row>
    <row r="54" spans="1:61" x14ac:dyDescent="0.25">
      <c r="A54" s="25"/>
      <c r="B54" s="25"/>
      <c r="AI54" s="28"/>
      <c r="AJ54" s="22"/>
      <c r="AL54" s="51"/>
      <c r="AM54" s="107"/>
      <c r="AN54" s="51"/>
      <c r="AO54" s="51"/>
      <c r="AP54" s="51"/>
      <c r="AQ54" s="51"/>
      <c r="AR54" s="51"/>
      <c r="AS54" s="28"/>
      <c r="AT54" s="22"/>
      <c r="AV54" s="51"/>
      <c r="AW54" s="107"/>
      <c r="AX54" s="51"/>
      <c r="AY54" s="51"/>
      <c r="AZ54" s="51"/>
      <c r="BA54" s="51"/>
      <c r="BB54" s="51"/>
      <c r="BC54" s="51"/>
      <c r="BD54" s="28"/>
      <c r="BE54" s="22"/>
      <c r="BH54" s="107"/>
      <c r="BI54" s="51"/>
    </row>
    <row r="55" spans="1:61" x14ac:dyDescent="0.25">
      <c r="A55" s="25"/>
      <c r="B55" s="25"/>
      <c r="AI55" s="28"/>
      <c r="AJ55" s="22"/>
      <c r="AL55" s="51"/>
      <c r="AM55" s="107"/>
      <c r="AN55" s="51"/>
      <c r="AO55" s="51"/>
      <c r="AP55" s="51"/>
      <c r="AQ55" s="51"/>
      <c r="AR55" s="51"/>
      <c r="AS55" s="28"/>
      <c r="AT55" s="22"/>
      <c r="AV55" s="51"/>
      <c r="AW55" s="107"/>
      <c r="AX55" s="51"/>
      <c r="AY55" s="51"/>
      <c r="AZ55" s="51"/>
      <c r="BA55" s="51"/>
      <c r="BB55" s="51"/>
      <c r="BC55" s="51"/>
      <c r="BD55" s="28"/>
      <c r="BE55" s="22"/>
      <c r="BH55" s="107"/>
      <c r="BI55" s="51"/>
    </row>
    <row r="56" spans="1:61" x14ac:dyDescent="0.25">
      <c r="A56" s="25"/>
      <c r="B56" s="25"/>
      <c r="AI56" s="28"/>
      <c r="AJ56" s="22"/>
      <c r="AL56" s="51"/>
      <c r="AM56" s="107"/>
      <c r="AN56" s="51"/>
      <c r="AO56" s="51"/>
      <c r="AP56" s="51"/>
      <c r="AQ56" s="51"/>
      <c r="AR56" s="51"/>
      <c r="AS56" s="28"/>
      <c r="AT56" s="22"/>
      <c r="AV56" s="51"/>
      <c r="AW56" s="107"/>
      <c r="AX56" s="51"/>
      <c r="AY56" s="51"/>
      <c r="AZ56" s="51"/>
      <c r="BA56" s="51"/>
      <c r="BB56" s="51"/>
      <c r="BC56" s="51"/>
      <c r="BD56" s="28"/>
      <c r="BE56" s="109"/>
      <c r="BH56" s="107"/>
      <c r="BI56" s="51"/>
    </row>
    <row r="57" spans="1:61" x14ac:dyDescent="0.25">
      <c r="A57" s="25"/>
      <c r="B57" s="25"/>
      <c r="AK57" s="51"/>
      <c r="AL57" s="51"/>
      <c r="AM57" s="51"/>
      <c r="AN57" s="51"/>
      <c r="AO57" s="51"/>
      <c r="AP57" s="51"/>
      <c r="AQ57" s="51"/>
      <c r="AR57" s="51"/>
      <c r="AS57" s="28"/>
      <c r="AU57" s="51"/>
      <c r="AV57" s="51"/>
      <c r="AW57" s="51"/>
      <c r="AX57" s="51"/>
      <c r="AY57" s="51"/>
      <c r="AZ57" s="51"/>
      <c r="BA57" s="51"/>
      <c r="BB57" s="51"/>
      <c r="BC57" s="51"/>
      <c r="BD57" s="51"/>
      <c r="BE57" s="51"/>
    </row>
    <row r="58" spans="1:61" x14ac:dyDescent="0.25">
      <c r="A58" s="25"/>
      <c r="B58" s="25"/>
    </row>
    <row r="59" spans="1:61" x14ac:dyDescent="0.25">
      <c r="A59" s="25"/>
      <c r="B59" s="25"/>
    </row>
    <row r="60" spans="1:61" x14ac:dyDescent="0.25">
      <c r="A60" s="25"/>
      <c r="B60" s="25"/>
    </row>
    <row r="61" spans="1:61" x14ac:dyDescent="0.25">
      <c r="A61" s="25"/>
      <c r="B61" s="25"/>
    </row>
    <row r="62" spans="1:61" x14ac:dyDescent="0.25">
      <c r="A62" s="25"/>
      <c r="B62" s="25"/>
    </row>
    <row r="63" spans="1:61" x14ac:dyDescent="0.25">
      <c r="A63" s="25"/>
      <c r="B63" s="25"/>
    </row>
    <row r="64" spans="1:61" x14ac:dyDescent="0.25">
      <c r="A64" s="25"/>
      <c r="B64" s="25"/>
    </row>
    <row r="65" spans="1:23" x14ac:dyDescent="0.25">
      <c r="A65" s="25"/>
      <c r="B65" s="25"/>
    </row>
    <row r="66" spans="1:23" x14ac:dyDescent="0.25">
      <c r="A66" s="25"/>
      <c r="B66" s="25"/>
    </row>
    <row r="67" spans="1:23" ht="28.9" customHeight="1" thickBot="1" x14ac:dyDescent="0.3">
      <c r="A67" s="25"/>
      <c r="B67" s="25"/>
      <c r="C67" s="73"/>
      <c r="D67" s="74" t="s">
        <v>221</v>
      </c>
      <c r="E67" s="93" t="s">
        <v>47</v>
      </c>
      <c r="F67" s="94" t="s">
        <v>217</v>
      </c>
      <c r="G67" s="73"/>
      <c r="H67" s="74"/>
      <c r="I67" s="74"/>
      <c r="J67" s="93" t="s">
        <v>47</v>
      </c>
      <c r="K67" s="93" t="s">
        <v>217</v>
      </c>
      <c r="L67" s="48" t="s">
        <v>218</v>
      </c>
      <c r="M67" s="25"/>
      <c r="N67" s="25"/>
      <c r="Q67" s="25"/>
      <c r="R67" s="25"/>
      <c r="S67" s="25"/>
      <c r="T67" s="25"/>
      <c r="U67" s="25"/>
      <c r="V67" s="25"/>
      <c r="W67" s="25"/>
    </row>
    <row r="68" spans="1:23" x14ac:dyDescent="0.25">
      <c r="A68" s="89" t="s">
        <v>36</v>
      </c>
      <c r="B68" s="90" t="s">
        <v>26</v>
      </c>
      <c r="C68" s="22"/>
      <c r="D68" s="75">
        <v>1.3522832622777141</v>
      </c>
      <c r="E68" s="78">
        <f>INDEX('DALLE Informations géométriques'!$P$2:$P$1000,MATCH(A68,'DALLE Informations géométriques'!$J$2:$J$1000,0))</f>
        <v>-3.5500000000000007</v>
      </c>
      <c r="F68" s="78">
        <f>INDEX('DALLE Informations géométriques'!$O$2:$O$1000,MATCH(A68,'DALLE Informations géométriques'!$J$2:$J$1000,0))</f>
        <v>7.15</v>
      </c>
      <c r="G68" s="22"/>
      <c r="H68" s="22"/>
      <c r="I68" s="22"/>
      <c r="J68" s="78" t="e">
        <f>INDEX('DALLE Informations géométriques'!$P$2:$P$1000,MATCH(#REF!,'DALLE Informations géométriques'!$J$2:$J$1000,0))</f>
        <v>#REF!</v>
      </c>
      <c r="K68" s="78" t="e">
        <f>INDEX('DALLE Informations géométriques'!$O$2:$O$1000,MATCH(#REF!,'DALLE Informations géométriques'!$J$2:$J$1000,0))</f>
        <v>#REF!</v>
      </c>
      <c r="L68" s="78" t="e">
        <f>INDEX('DALLE Informations géométriques'!$R$2:$R$1000,MATCH(#REF!,'DALLE Informations géométriques'!$J$2:$J$1000,0))</f>
        <v>#REF!</v>
      </c>
      <c r="M68" s="25"/>
      <c r="N68" s="25"/>
      <c r="Q68" s="25"/>
      <c r="R68" s="25"/>
      <c r="S68" s="25"/>
      <c r="T68" s="25"/>
      <c r="U68" s="25"/>
      <c r="V68" s="25"/>
      <c r="W68" s="25"/>
    </row>
    <row r="69" spans="1:23" x14ac:dyDescent="0.25">
      <c r="A69" s="91" t="s">
        <v>37</v>
      </c>
      <c r="B69" s="92" t="s">
        <v>26</v>
      </c>
      <c r="C69" s="22"/>
      <c r="D69" s="75">
        <v>1.2618501370311783</v>
      </c>
      <c r="E69" s="78"/>
      <c r="F69" s="78">
        <f>INDEX('DALLE Informations géométriques'!$O$2:$O$1000,MATCH(A69,'DALLE Informations géométriques'!$J$2:$J$1000,0))</f>
        <v>7.08</v>
      </c>
      <c r="G69" s="22"/>
      <c r="H69" s="22"/>
      <c r="I69" s="22"/>
      <c r="J69" s="78" t="e">
        <f>INDEX('DALLE Informations géométriques'!$P$2:$P$1000,MATCH(#REF!,'DALLE Informations géométriques'!$J$2:$J$1000,0))</f>
        <v>#REF!</v>
      </c>
      <c r="K69" s="78" t="e">
        <f>INDEX('DALLE Informations géométriques'!$O$2:$O$1000,MATCH(#REF!,'DALLE Informations géométriques'!$J$2:$J$1000,0))</f>
        <v>#REF!</v>
      </c>
      <c r="L69" s="78" t="e">
        <f>INDEX('DALLE Informations géométriques'!$R$2:$R$1000,MATCH(#REF!,'DALLE Informations géométriques'!$J$2:$J$1000,0))</f>
        <v>#REF!</v>
      </c>
      <c r="M69" s="25"/>
      <c r="N69" s="25"/>
      <c r="Q69" s="25"/>
      <c r="R69" s="25"/>
      <c r="S69" s="25"/>
      <c r="T69" s="25"/>
      <c r="U69" s="25"/>
      <c r="V69" s="25"/>
      <c r="W69" s="25"/>
    </row>
    <row r="70" spans="1:23" x14ac:dyDescent="0.25">
      <c r="A70" s="91" t="s">
        <v>38</v>
      </c>
      <c r="B70" s="92" t="s">
        <v>26</v>
      </c>
      <c r="C70" s="22"/>
      <c r="D70" s="75">
        <v>1.2709954966483092</v>
      </c>
      <c r="E70" s="78"/>
      <c r="F70" s="78">
        <f>INDEX('DALLE Informations géométriques'!$O$2:$O$1000,MATCH(A70,'DALLE Informations géométriques'!$J$2:$J$1000,0))</f>
        <v>7.01</v>
      </c>
      <c r="G70" s="22"/>
      <c r="H70" s="22"/>
      <c r="I70" s="22"/>
      <c r="J70" s="78" t="e">
        <f>INDEX('DALLE Informations géométriques'!$P$2:$P$1000,MATCH(#REF!,'DALLE Informations géométriques'!$J$2:$J$1000,0))</f>
        <v>#REF!</v>
      </c>
      <c r="K70" s="78" t="e">
        <f>INDEX('DALLE Informations géométriques'!$O$2:$O$1000,MATCH(#REF!,'DALLE Informations géométriques'!$J$2:$J$1000,0))</f>
        <v>#REF!</v>
      </c>
      <c r="L70" s="78" t="e">
        <f>INDEX('DALLE Informations géométriques'!$R$2:$R$1000,MATCH(#REF!,'DALLE Informations géométriques'!$J$2:$J$1000,0))</f>
        <v>#REF!</v>
      </c>
      <c r="M70" s="25"/>
      <c r="N70" s="51"/>
      <c r="Q70" s="25"/>
      <c r="R70" s="25"/>
      <c r="S70" s="25"/>
      <c r="T70" s="25"/>
      <c r="U70" s="25"/>
      <c r="V70" s="25"/>
      <c r="W70" s="25"/>
    </row>
    <row r="71" spans="1:23" x14ac:dyDescent="0.25">
      <c r="A71" s="91" t="s">
        <v>39</v>
      </c>
      <c r="B71" s="92" t="s">
        <v>26</v>
      </c>
      <c r="C71" s="22"/>
      <c r="D71" s="75">
        <v>3.1694042661036552</v>
      </c>
      <c r="E71" s="78"/>
      <c r="F71" s="78">
        <f>INDEX('DALLE Informations géométriques'!$O$2:$O$1000,MATCH(A71,'DALLE Informations géométriques'!$J$2:$J$1000,0))</f>
        <v>7.97</v>
      </c>
      <c r="G71" s="22"/>
      <c r="H71" s="22"/>
      <c r="I71" s="22"/>
      <c r="J71" s="78" t="e">
        <f>INDEX('DALLE Informations géométriques'!$P$2:$P$1000,MATCH(#REF!,'DALLE Informations géométriques'!$J$2:$J$1000,0))</f>
        <v>#REF!</v>
      </c>
      <c r="K71" s="78" t="e">
        <f>INDEX('DALLE Informations géométriques'!$O$2:$O$1000,MATCH(#REF!,'DALLE Informations géométriques'!$J$2:$J$1000,0))</f>
        <v>#REF!</v>
      </c>
      <c r="L71" s="78" t="e">
        <f>INDEX('DALLE Informations géométriques'!$R$2:$R$1000,MATCH(#REF!,'DALLE Informations géométriques'!$J$2:$J$1000,0))</f>
        <v>#REF!</v>
      </c>
      <c r="M71" s="25"/>
      <c r="N71" s="25"/>
      <c r="Q71" s="25"/>
      <c r="R71" s="25"/>
      <c r="S71" s="25"/>
      <c r="T71" s="25"/>
      <c r="U71" s="25"/>
      <c r="V71" s="25"/>
      <c r="W71" s="25"/>
    </row>
    <row r="72" spans="1:23" x14ac:dyDescent="0.25">
      <c r="A72" s="91" t="s">
        <v>40</v>
      </c>
      <c r="B72" s="92" t="s">
        <v>26</v>
      </c>
      <c r="C72" s="22"/>
      <c r="D72" s="75">
        <v>3.286749836257902</v>
      </c>
      <c r="E72" s="78"/>
      <c r="F72" s="78">
        <f>INDEX('DALLE Informations géométriques'!$O$2:$O$1000,MATCH(A72,'DALLE Informations géométriques'!$J$2:$J$1000,0))</f>
        <v>7.91</v>
      </c>
      <c r="G72" s="22"/>
      <c r="H72" s="22"/>
      <c r="I72" s="22"/>
      <c r="J72" s="78" t="e">
        <f>INDEX('DALLE Informations géométriques'!$P$2:$P$1000,MATCH(#REF!,'DALLE Informations géométriques'!$J$2:$J$1000,0))</f>
        <v>#REF!</v>
      </c>
      <c r="K72" s="78" t="e">
        <f>INDEX('DALLE Informations géométriques'!$O$2:$O$1000,MATCH(#REF!,'DALLE Informations géométriques'!$J$2:$J$1000,0))</f>
        <v>#REF!</v>
      </c>
      <c r="L72" s="78" t="e">
        <f>INDEX('DALLE Informations géométriques'!$R$2:$R$1000,MATCH(#REF!,'DALLE Informations géométriques'!$J$2:$J$1000,0))</f>
        <v>#REF!</v>
      </c>
      <c r="M72" s="25"/>
      <c r="N72" s="51"/>
      <c r="Q72" s="25"/>
      <c r="R72" s="25"/>
      <c r="S72" s="25"/>
      <c r="T72" s="25"/>
      <c r="U72" s="25"/>
      <c r="V72" s="25"/>
      <c r="W72" s="25"/>
    </row>
    <row r="73" spans="1:23" x14ac:dyDescent="0.25">
      <c r="A73" s="91" t="s">
        <v>41</v>
      </c>
      <c r="B73" s="92" t="s">
        <v>26</v>
      </c>
      <c r="C73" s="22"/>
      <c r="D73" s="75">
        <v>2.8811763558640195</v>
      </c>
      <c r="E73" s="78"/>
      <c r="F73" s="78">
        <f>INDEX('DALLE Informations géométriques'!$O$2:$O$1000,MATCH(A73,'DALLE Informations géométriques'!$J$2:$J$1000,0))</f>
        <v>7.84</v>
      </c>
      <c r="G73" s="22"/>
      <c r="H73" s="22"/>
      <c r="I73" s="22"/>
      <c r="J73" s="78" t="e">
        <f>INDEX('DALLE Informations géométriques'!$P$2:$P$1000,MATCH(#REF!,'DALLE Informations géométriques'!$J$2:$J$1000,0))</f>
        <v>#REF!</v>
      </c>
      <c r="K73" s="78" t="e">
        <f>INDEX('DALLE Informations géométriques'!$O$2:$O$1000,MATCH(#REF!,'DALLE Informations géométriques'!$J$2:$J$1000,0))</f>
        <v>#REF!</v>
      </c>
      <c r="L73" s="78" t="e">
        <f>INDEX('DALLE Informations géométriques'!$R$2:$R$1000,MATCH(#REF!,'DALLE Informations géométriques'!$J$2:$J$1000,0))</f>
        <v>#REF!</v>
      </c>
      <c r="M73" s="25"/>
      <c r="N73" s="47">
        <v>-1</v>
      </c>
      <c r="P73" s="48"/>
      <c r="Q73" s="47">
        <v>-1</v>
      </c>
      <c r="R73" s="47">
        <f t="shared" ref="R73:R78" si="0">($AC$34+$AC$35*LN(ABS(Q73)))</f>
        <v>0</v>
      </c>
      <c r="S73" s="25"/>
      <c r="T73" s="25"/>
      <c r="U73" s="25"/>
      <c r="V73" s="25"/>
      <c r="W73" s="25"/>
    </row>
    <row r="74" spans="1:23" x14ac:dyDescent="0.25">
      <c r="A74" s="91" t="s">
        <v>42</v>
      </c>
      <c r="B74" s="92" t="s">
        <v>26</v>
      </c>
      <c r="C74" s="22"/>
      <c r="D74" s="75">
        <v>2.7671793721280142</v>
      </c>
      <c r="E74" s="78"/>
      <c r="F74" s="78">
        <f>INDEX('DALLE Informations géométriques'!$O$2:$O$1000,MATCH(A74,'DALLE Informations géométriques'!$J$2:$J$1000,0))</f>
        <v>7.77</v>
      </c>
      <c r="G74" s="22"/>
      <c r="H74" s="22"/>
      <c r="I74" s="22"/>
      <c r="J74" s="78" t="e">
        <f>INDEX('DALLE Informations géométriques'!$P$2:$P$1000,MATCH(#REF!,'DALLE Informations géométriques'!$J$2:$J$1000,0))</f>
        <v>#REF!</v>
      </c>
      <c r="K74" s="78" t="e">
        <f>INDEX('DALLE Informations géométriques'!$O$2:$O$1000,MATCH(#REF!,'DALLE Informations géométriques'!$J$2:$J$1000,0))</f>
        <v>#REF!</v>
      </c>
      <c r="L74" s="78" t="e">
        <f>INDEX('DALLE Informations géométriques'!$R$2:$R$1000,MATCH(#REF!,'DALLE Informations géométriques'!$J$2:$J$1000,0))</f>
        <v>#REF!</v>
      </c>
      <c r="M74" s="25"/>
      <c r="N74" s="47">
        <v>-2</v>
      </c>
      <c r="O74" s="47">
        <f t="shared" ref="O74:O78" si="1">($Z$34+$Z$35*LN(ABS(N74)))</f>
        <v>0</v>
      </c>
      <c r="P74" s="48"/>
      <c r="Q74" s="47">
        <v>-2</v>
      </c>
      <c r="R74" s="47">
        <f t="shared" si="0"/>
        <v>0</v>
      </c>
      <c r="S74" s="25"/>
      <c r="T74" s="25"/>
      <c r="U74" s="25"/>
      <c r="V74" s="25"/>
      <c r="W74" s="25"/>
    </row>
    <row r="75" spans="1:23" x14ac:dyDescent="0.25">
      <c r="A75" s="91" t="s">
        <v>43</v>
      </c>
      <c r="B75" s="92" t="s">
        <v>26</v>
      </c>
      <c r="C75" s="22"/>
      <c r="D75" s="75">
        <v>2.7331267064801459</v>
      </c>
      <c r="E75" s="78"/>
      <c r="F75" s="78">
        <f>INDEX('DALLE Informations géométriques'!$O$2:$O$1000,MATCH(A75,'DALLE Informations géométriques'!$J$2:$J$1000,0))</f>
        <v>7.69</v>
      </c>
      <c r="G75" s="22"/>
      <c r="H75" s="22"/>
      <c r="I75" s="22"/>
      <c r="J75" s="78" t="e">
        <f>INDEX('DALLE Informations géométriques'!$P$2:$P$1000,MATCH(#REF!,'DALLE Informations géométriques'!$J$2:$J$1000,0))</f>
        <v>#REF!</v>
      </c>
      <c r="K75" s="78" t="e">
        <f>INDEX('DALLE Informations géométriques'!$O$2:$O$1000,MATCH(#REF!,'DALLE Informations géométriques'!$J$2:$J$1000,0))</f>
        <v>#REF!</v>
      </c>
      <c r="L75" s="78" t="e">
        <f>INDEX('DALLE Informations géométriques'!$R$2:$R$1000,MATCH(#REF!,'DALLE Informations géométriques'!$J$2:$J$1000,0))</f>
        <v>#REF!</v>
      </c>
      <c r="M75" s="25"/>
      <c r="N75" s="47">
        <v>-3</v>
      </c>
      <c r="O75" s="47">
        <f t="shared" si="1"/>
        <v>0</v>
      </c>
      <c r="P75" s="48"/>
      <c r="Q75" s="47">
        <v>-3</v>
      </c>
      <c r="R75" s="47">
        <f t="shared" si="0"/>
        <v>0</v>
      </c>
      <c r="S75" s="25"/>
      <c r="T75" s="25"/>
      <c r="U75" s="25"/>
      <c r="V75" s="25"/>
      <c r="W75" s="25"/>
    </row>
    <row r="76" spans="1:23" x14ac:dyDescent="0.25">
      <c r="A76" s="91" t="s">
        <v>44</v>
      </c>
      <c r="B76" s="92" t="s">
        <v>26</v>
      </c>
      <c r="C76" s="22"/>
      <c r="D76" s="75">
        <v>2.5012606359987934</v>
      </c>
      <c r="E76" s="78"/>
      <c r="F76" s="78">
        <f>INDEX('DALLE Informations géométriques'!$O$2:$O$1000,MATCH(A76,'DALLE Informations géométriques'!$J$2:$J$1000,0))</f>
        <v>7.61</v>
      </c>
      <c r="G76" s="22"/>
      <c r="H76" s="22"/>
      <c r="I76" s="22"/>
      <c r="J76" s="78" t="e">
        <f>INDEX('DALLE Informations géométriques'!$P$2:$P$1000,MATCH(#REF!,'DALLE Informations géométriques'!$J$2:$J$1000,0))</f>
        <v>#REF!</v>
      </c>
      <c r="K76" s="78" t="e">
        <f>INDEX('DALLE Informations géométriques'!$O$2:$O$1000,MATCH(#REF!,'DALLE Informations géométriques'!$J$2:$J$1000,0))</f>
        <v>#REF!</v>
      </c>
      <c r="L76" s="78" t="e">
        <f>INDEX('DALLE Informations géométriques'!$R$2:$R$1000,MATCH(#REF!,'DALLE Informations géométriques'!$J$2:$J$1000,0))</f>
        <v>#REF!</v>
      </c>
      <c r="M76" s="25"/>
      <c r="N76" s="47">
        <v>-4</v>
      </c>
      <c r="O76" s="47">
        <f t="shared" si="1"/>
        <v>0</v>
      </c>
      <c r="P76" s="48"/>
      <c r="Q76" s="47">
        <v>-4</v>
      </c>
      <c r="R76" s="47">
        <f t="shared" si="0"/>
        <v>0</v>
      </c>
      <c r="S76" s="25"/>
      <c r="T76" s="25"/>
      <c r="U76" s="25"/>
      <c r="V76" s="25"/>
      <c r="W76" s="25"/>
    </row>
    <row r="77" spans="1:23" x14ac:dyDescent="0.25">
      <c r="A77" s="91" t="s">
        <v>45</v>
      </c>
      <c r="B77" s="92" t="s">
        <v>26</v>
      </c>
      <c r="C77" s="22"/>
      <c r="D77" s="75">
        <v>2.2699204722961208</v>
      </c>
      <c r="E77" s="78"/>
      <c r="F77" s="78">
        <f>INDEX('DALLE Informations géométriques'!$O$2:$O$1000,MATCH(A77,'DALLE Informations géométriques'!$J$2:$J$1000,0))</f>
        <v>7.52</v>
      </c>
      <c r="G77" s="22"/>
      <c r="H77" s="22"/>
      <c r="I77" s="22"/>
      <c r="J77" s="78" t="e">
        <f>INDEX('DALLE Informations géométriques'!$P$2:$P$1000,MATCH(#REF!,'DALLE Informations géométriques'!$J$2:$J$1000,0))</f>
        <v>#REF!</v>
      </c>
      <c r="K77" s="78" t="e">
        <f>INDEX('DALLE Informations géométriques'!$O$2:$O$1000,MATCH(#REF!,'DALLE Informations géométriques'!$J$2:$J$1000,0))</f>
        <v>#REF!</v>
      </c>
      <c r="L77" s="78" t="e">
        <f>INDEX('DALLE Informations géométriques'!$R$2:$R$1000,MATCH(#REF!,'DALLE Informations géométriques'!$J$2:$J$1000,0))</f>
        <v>#REF!</v>
      </c>
      <c r="M77" s="25"/>
      <c r="N77" s="47">
        <v>-5</v>
      </c>
      <c r="O77" s="47">
        <f t="shared" si="1"/>
        <v>0</v>
      </c>
      <c r="P77" s="48"/>
      <c r="Q77" s="47">
        <v>-5</v>
      </c>
      <c r="R77" s="47">
        <f t="shared" si="0"/>
        <v>0</v>
      </c>
      <c r="S77" s="25"/>
      <c r="T77" s="25"/>
      <c r="U77" s="25"/>
      <c r="V77" s="25"/>
      <c r="W77" s="25"/>
    </row>
    <row r="78" spans="1:23" x14ac:dyDescent="0.25">
      <c r="A78" s="91" t="s">
        <v>46</v>
      </c>
      <c r="B78" s="92" t="s">
        <v>26</v>
      </c>
      <c r="C78" s="22"/>
      <c r="D78" s="75">
        <v>2.4460143187080594</v>
      </c>
      <c r="E78" s="78"/>
      <c r="F78" s="78">
        <f>INDEX('DALLE Informations géométriques'!$O$2:$O$1000,MATCH(A78,'DALLE Informations géométriques'!$J$2:$J$1000,0))</f>
        <v>7.43</v>
      </c>
      <c r="G78" s="22"/>
      <c r="H78" s="22"/>
      <c r="I78" s="22"/>
      <c r="J78" s="78" t="e">
        <f>INDEX('DALLE Informations géométriques'!$P$2:$P$1000,MATCH(#REF!,'DALLE Informations géométriques'!$J$2:$J$1000,0))</f>
        <v>#REF!</v>
      </c>
      <c r="K78" s="78" t="e">
        <f>INDEX('DALLE Informations géométriques'!$O$2:$O$1000,MATCH(#REF!,'DALLE Informations géométriques'!$J$2:$J$1000,0))</f>
        <v>#REF!</v>
      </c>
      <c r="L78" s="78" t="e">
        <f>INDEX('DALLE Informations géométriques'!$R$2:$R$1000,MATCH(#REF!,'DALLE Informations géométriques'!$J$2:$J$1000,0))</f>
        <v>#REF!</v>
      </c>
      <c r="M78" s="25"/>
      <c r="N78" s="47">
        <v>-6</v>
      </c>
      <c r="O78" s="47">
        <f t="shared" si="1"/>
        <v>0</v>
      </c>
      <c r="P78" s="48"/>
      <c r="Q78" s="47">
        <v>-6</v>
      </c>
      <c r="R78" s="47">
        <f t="shared" si="0"/>
        <v>0</v>
      </c>
      <c r="S78" s="25"/>
      <c r="T78" s="25"/>
      <c r="U78" s="25"/>
      <c r="V78" s="25"/>
      <c r="W78" s="25"/>
    </row>
    <row r="79" spans="1:23" x14ac:dyDescent="0.25">
      <c r="A79" s="25"/>
      <c r="B79" s="25"/>
      <c r="C79" s="25"/>
      <c r="G79" s="25"/>
      <c r="J79" s="25"/>
      <c r="K79" s="59"/>
      <c r="L79" s="59"/>
      <c r="M79" s="25"/>
      <c r="N79" s="25"/>
      <c r="Q79" s="25"/>
      <c r="R79" s="25"/>
      <c r="S79" s="25"/>
      <c r="T79" s="25"/>
      <c r="U79" s="25"/>
      <c r="V79" s="25"/>
      <c r="W79" s="25"/>
    </row>
    <row r="80" spans="1:23" x14ac:dyDescent="0.25">
      <c r="A80" s="25"/>
      <c r="B80" s="25"/>
      <c r="C80" s="25"/>
      <c r="G80" s="25"/>
      <c r="J80" s="25"/>
      <c r="K80" s="59"/>
      <c r="L80" s="59"/>
      <c r="M80" s="25"/>
      <c r="N80" s="25"/>
      <c r="Q80" s="25"/>
      <c r="R80" s="25"/>
      <c r="S80" s="25"/>
      <c r="T80" s="25"/>
      <c r="U80" s="25"/>
      <c r="V80" s="25"/>
      <c r="W80" s="25"/>
    </row>
    <row r="81" spans="1:23" x14ac:dyDescent="0.25">
      <c r="A81" s="25"/>
      <c r="B81" s="25"/>
      <c r="C81" s="25"/>
      <c r="G81" s="25"/>
      <c r="J81" s="25"/>
      <c r="K81" s="59"/>
      <c r="L81" s="59"/>
      <c r="M81" s="25"/>
      <c r="N81" s="25"/>
      <c r="Q81" s="25"/>
      <c r="R81" s="25"/>
      <c r="S81" s="25"/>
      <c r="T81" s="25"/>
      <c r="U81" s="25"/>
      <c r="V81" s="25"/>
      <c r="W81" s="25"/>
    </row>
    <row r="82" spans="1:23" x14ac:dyDescent="0.25">
      <c r="A82" s="25"/>
      <c r="B82" s="25"/>
      <c r="C82" s="25"/>
      <c r="G82" s="25"/>
      <c r="J82" s="25"/>
      <c r="K82" s="59"/>
      <c r="L82" s="59"/>
      <c r="M82" s="25"/>
      <c r="N82" s="25"/>
      <c r="Q82" s="25"/>
      <c r="R82" s="25"/>
      <c r="S82" s="25"/>
      <c r="T82" s="25"/>
      <c r="U82" s="25"/>
      <c r="V82" s="25"/>
      <c r="W82" s="25"/>
    </row>
    <row r="83" spans="1:23" x14ac:dyDescent="0.25">
      <c r="A83" s="25"/>
      <c r="B83" s="25"/>
      <c r="C83" s="25"/>
      <c r="G83" s="25"/>
      <c r="J83" s="25"/>
      <c r="K83" s="59"/>
      <c r="L83" s="59"/>
      <c r="M83" s="25"/>
      <c r="N83" s="25"/>
      <c r="Q83" s="25"/>
      <c r="R83" s="25"/>
      <c r="S83" s="25"/>
      <c r="T83" s="25"/>
      <c r="U83" s="25"/>
      <c r="V83" s="25"/>
      <c r="W83" s="25"/>
    </row>
    <row r="84" spans="1:23" x14ac:dyDescent="0.25">
      <c r="A84" s="25"/>
      <c r="B84" s="25"/>
      <c r="C84" s="25"/>
      <c r="G84" s="25"/>
      <c r="J84" s="25"/>
      <c r="K84" s="59"/>
      <c r="L84" s="59"/>
      <c r="M84" s="25"/>
      <c r="N84" s="25"/>
      <c r="Q84" s="25"/>
      <c r="R84" s="25"/>
      <c r="S84" s="25"/>
      <c r="T84" s="25"/>
      <c r="U84" s="25"/>
      <c r="V84" s="25"/>
      <c r="W84" s="25"/>
    </row>
    <row r="85" spans="1:23" x14ac:dyDescent="0.25">
      <c r="A85" s="25"/>
      <c r="B85" s="25"/>
      <c r="C85" s="25"/>
      <c r="J85" s="25"/>
      <c r="K85" s="25"/>
      <c r="L85" s="25"/>
      <c r="M85" s="25"/>
      <c r="N85" s="25"/>
      <c r="Q85" s="25"/>
      <c r="R85" s="25"/>
      <c r="S85" s="25"/>
      <c r="T85" s="25"/>
      <c r="U85" s="25"/>
    </row>
    <row r="86" spans="1:23" x14ac:dyDescent="0.25">
      <c r="A86" s="25"/>
      <c r="B86" s="25"/>
      <c r="C86" s="25"/>
      <c r="J86" s="25"/>
      <c r="K86" s="25"/>
      <c r="L86" s="25"/>
      <c r="M86" s="25"/>
      <c r="N86" s="25"/>
      <c r="Q86" s="25"/>
      <c r="R86" s="25"/>
      <c r="S86" s="25"/>
      <c r="T86" s="25"/>
      <c r="U86" s="25"/>
    </row>
    <row r="87" spans="1:23" x14ac:dyDescent="0.25">
      <c r="A87" s="25"/>
      <c r="B87" s="25"/>
      <c r="C87" s="25"/>
      <c r="J87" s="25"/>
      <c r="K87" s="25"/>
      <c r="L87" s="25"/>
      <c r="M87" s="25"/>
      <c r="N87" s="25"/>
      <c r="Q87" s="25"/>
      <c r="R87" s="25"/>
      <c r="S87" s="25"/>
      <c r="T87" s="25"/>
      <c r="U87" s="25"/>
    </row>
    <row r="88" spans="1:23" x14ac:dyDescent="0.25">
      <c r="A88" s="25"/>
      <c r="B88" s="25"/>
      <c r="C88" s="25"/>
      <c r="J88" s="25"/>
      <c r="K88" s="25"/>
      <c r="L88" s="25"/>
      <c r="M88" s="25"/>
      <c r="N88" s="25"/>
      <c r="Q88" s="25"/>
      <c r="R88" s="25"/>
      <c r="S88" s="25"/>
      <c r="T88" s="25"/>
      <c r="U88" s="25"/>
    </row>
    <row r="89" spans="1:23" x14ac:dyDescent="0.25">
      <c r="A89" s="25"/>
      <c r="B89" s="25"/>
      <c r="C89" s="25"/>
      <c r="J89" s="25"/>
      <c r="K89" s="25"/>
      <c r="L89" s="25"/>
      <c r="M89" s="25"/>
      <c r="N89" s="25"/>
      <c r="Q89" s="25"/>
      <c r="R89" s="25"/>
      <c r="S89" s="25"/>
      <c r="T89" s="25"/>
      <c r="U89" s="25"/>
    </row>
    <row r="90" spans="1:23" x14ac:dyDescent="0.25">
      <c r="A90" s="25"/>
      <c r="B90" s="25"/>
      <c r="C90" s="25"/>
      <c r="J90" s="25"/>
      <c r="K90" s="25"/>
      <c r="L90" s="25"/>
      <c r="M90" s="25"/>
      <c r="N90" s="25"/>
      <c r="Q90" s="25"/>
      <c r="R90" s="25"/>
      <c r="S90" s="25"/>
      <c r="T90" s="25"/>
      <c r="U90" s="25"/>
    </row>
    <row r="91" spans="1:23" x14ac:dyDescent="0.25">
      <c r="A91" s="25"/>
      <c r="B91" s="25"/>
      <c r="C91" s="25"/>
      <c r="J91" s="25"/>
      <c r="K91" s="25"/>
      <c r="L91" s="25"/>
      <c r="M91" s="25"/>
      <c r="N91" s="25"/>
      <c r="Q91" s="25"/>
      <c r="R91" s="25"/>
      <c r="S91" s="25"/>
      <c r="T91" s="25"/>
      <c r="U91" s="25"/>
    </row>
    <row r="92" spans="1:23" x14ac:dyDescent="0.25">
      <c r="A92" s="25"/>
      <c r="B92" s="25"/>
      <c r="C92" s="25"/>
      <c r="J92" s="25"/>
      <c r="K92" s="25"/>
      <c r="L92" s="25"/>
      <c r="M92" s="25"/>
      <c r="N92" s="25"/>
      <c r="Q92" s="25"/>
      <c r="R92" s="25"/>
      <c r="S92" s="25"/>
      <c r="T92" s="25"/>
      <c r="U92" s="25"/>
    </row>
    <row r="93" spans="1:23" x14ac:dyDescent="0.25">
      <c r="A93" s="25"/>
      <c r="B93" s="25"/>
      <c r="C93" s="25"/>
      <c r="J93" s="25"/>
      <c r="K93" s="25"/>
      <c r="L93" s="25"/>
      <c r="M93" s="25"/>
      <c r="N93" s="25"/>
      <c r="Q93" s="25"/>
      <c r="R93" s="25"/>
      <c r="S93" s="25"/>
      <c r="T93" s="25"/>
      <c r="U93" s="25"/>
    </row>
    <row r="94" spans="1:23" x14ac:dyDescent="0.25">
      <c r="A94" s="25"/>
      <c r="B94" s="25"/>
      <c r="C94" s="25"/>
      <c r="J94" s="25"/>
      <c r="K94" s="25"/>
      <c r="L94" s="25"/>
      <c r="M94" s="25"/>
      <c r="N94" s="25"/>
      <c r="Q94" s="25"/>
      <c r="R94" s="25"/>
      <c r="S94" s="25"/>
      <c r="T94" s="25"/>
      <c r="U94" s="25"/>
    </row>
    <row r="95" spans="1:23" x14ac:dyDescent="0.25">
      <c r="A95" s="25"/>
      <c r="B95" s="25"/>
      <c r="C95" s="25"/>
      <c r="J95" s="25"/>
      <c r="K95" s="25"/>
      <c r="L95" s="25"/>
      <c r="M95" s="25"/>
      <c r="N95" s="25"/>
      <c r="Q95" s="25"/>
      <c r="R95" s="25"/>
      <c r="S95" s="25"/>
      <c r="T95" s="25"/>
      <c r="U95" s="25"/>
    </row>
    <row r="96" spans="1:23" x14ac:dyDescent="0.25">
      <c r="A96" s="25"/>
      <c r="B96" s="25"/>
      <c r="C96" s="25"/>
      <c r="J96" s="25"/>
      <c r="K96" s="25"/>
      <c r="L96" s="25"/>
      <c r="M96" s="25"/>
      <c r="N96" s="25"/>
      <c r="Q96" s="25"/>
      <c r="R96" s="25"/>
      <c r="S96" s="25"/>
      <c r="T96" s="25"/>
      <c r="U96" s="25"/>
    </row>
    <row r="97" spans="1:21" x14ac:dyDescent="0.25">
      <c r="A97" s="25"/>
      <c r="B97" s="25"/>
      <c r="C97" s="25"/>
      <c r="J97" s="25"/>
      <c r="K97" s="25"/>
      <c r="L97" s="25"/>
      <c r="M97" s="25"/>
      <c r="N97" s="25"/>
      <c r="Q97" s="25"/>
      <c r="R97" s="25"/>
      <c r="S97" s="25"/>
      <c r="T97" s="25"/>
      <c r="U97" s="25"/>
    </row>
    <row r="98" spans="1:21" x14ac:dyDescent="0.25">
      <c r="A98" s="25"/>
      <c r="B98" s="25"/>
      <c r="C98" s="25"/>
      <c r="J98" s="25"/>
      <c r="K98" s="25"/>
      <c r="L98" s="25"/>
      <c r="M98" s="25"/>
      <c r="N98" s="25"/>
      <c r="Q98" s="25"/>
      <c r="R98" s="25"/>
      <c r="S98" s="25"/>
      <c r="T98" s="25"/>
      <c r="U98" s="25"/>
    </row>
    <row r="99" spans="1:21" x14ac:dyDescent="0.25">
      <c r="A99" s="25"/>
      <c r="B99" s="25"/>
      <c r="C99" s="25"/>
      <c r="J99" s="25"/>
      <c r="K99" s="25"/>
      <c r="L99" s="25"/>
      <c r="M99" s="25"/>
      <c r="N99" s="25"/>
      <c r="Q99" s="25"/>
      <c r="R99" s="25"/>
      <c r="S99" s="25"/>
      <c r="T99" s="25"/>
      <c r="U99" s="25"/>
    </row>
    <row r="100" spans="1:21" x14ac:dyDescent="0.25">
      <c r="A100" s="25"/>
      <c r="B100" s="25"/>
      <c r="C100" s="25"/>
      <c r="J100" s="25"/>
      <c r="K100" s="25"/>
      <c r="L100" s="25"/>
      <c r="M100" s="25"/>
      <c r="N100" s="25"/>
      <c r="Q100" s="25"/>
      <c r="R100" s="25"/>
      <c r="S100" s="25"/>
      <c r="T100" s="25"/>
      <c r="U100" s="25"/>
    </row>
    <row r="101" spans="1:21" x14ac:dyDescent="0.25">
      <c r="A101" s="25"/>
      <c r="B101" s="25"/>
      <c r="C101" s="25"/>
      <c r="J101" s="25"/>
      <c r="K101" s="25"/>
      <c r="L101" s="25"/>
      <c r="M101" s="25"/>
      <c r="N101" s="25"/>
      <c r="Q101" s="25"/>
      <c r="R101" s="25"/>
      <c r="S101" s="25"/>
      <c r="T101" s="25"/>
      <c r="U101" s="25"/>
    </row>
    <row r="102" spans="1:21" x14ac:dyDescent="0.25">
      <c r="A102" s="25"/>
      <c r="B102" s="25"/>
      <c r="C102" s="25"/>
      <c r="J102" s="25"/>
      <c r="K102" s="25"/>
      <c r="L102" s="25"/>
      <c r="M102" s="25"/>
      <c r="N102" s="25"/>
      <c r="Q102" s="25"/>
      <c r="R102" s="25"/>
      <c r="S102" s="25"/>
      <c r="T102" s="25"/>
      <c r="U102" s="25"/>
    </row>
    <row r="103" spans="1:21" x14ac:dyDescent="0.25">
      <c r="A103" s="25"/>
      <c r="B103" s="25"/>
      <c r="C103" s="25"/>
      <c r="J103" s="25"/>
      <c r="K103" s="25"/>
      <c r="L103" s="25"/>
      <c r="M103" s="25"/>
      <c r="N103" s="25"/>
      <c r="Q103" s="25"/>
      <c r="R103" s="25"/>
      <c r="S103" s="25"/>
      <c r="T103" s="25"/>
      <c r="U103" s="25"/>
    </row>
    <row r="104" spans="1:21" x14ac:dyDescent="0.25">
      <c r="A104" s="25"/>
      <c r="B104" s="25"/>
      <c r="C104" s="25"/>
      <c r="J104" s="25"/>
      <c r="K104" s="25"/>
      <c r="L104" s="25"/>
      <c r="M104" s="25"/>
      <c r="N104" s="25"/>
      <c r="Q104" s="25"/>
      <c r="R104" s="25"/>
      <c r="S104" s="25"/>
      <c r="T104" s="25"/>
      <c r="U104" s="25"/>
    </row>
    <row r="105" spans="1:21" x14ac:dyDescent="0.25">
      <c r="A105" s="25"/>
      <c r="B105" s="25"/>
      <c r="C105" s="25"/>
      <c r="J105" s="25"/>
      <c r="K105" s="25"/>
      <c r="L105" s="25"/>
      <c r="M105" s="25"/>
      <c r="N105" s="25"/>
      <c r="Q105" s="25"/>
      <c r="R105" s="25"/>
      <c r="S105" s="25"/>
      <c r="T105" s="25"/>
      <c r="U105" s="25"/>
    </row>
    <row r="106" spans="1:21" x14ac:dyDescent="0.25">
      <c r="A106" s="25"/>
      <c r="B106" s="25"/>
      <c r="C106" s="25"/>
      <c r="J106" s="25"/>
      <c r="K106" s="25"/>
      <c r="L106" s="25"/>
      <c r="M106" s="25"/>
      <c r="N106" s="25"/>
      <c r="Q106" s="25"/>
      <c r="R106" s="25"/>
      <c r="S106" s="25"/>
      <c r="T106" s="25"/>
      <c r="U106" s="25"/>
    </row>
    <row r="107" spans="1:21" x14ac:dyDescent="0.25">
      <c r="A107" s="25"/>
      <c r="B107" s="25"/>
      <c r="C107" s="25"/>
      <c r="J107" s="25"/>
      <c r="K107" s="25"/>
      <c r="L107" s="25"/>
      <c r="M107" s="25"/>
      <c r="N107" s="25"/>
      <c r="Q107" s="25"/>
      <c r="R107" s="25"/>
      <c r="S107" s="25"/>
      <c r="T107" s="25"/>
      <c r="U107" s="25"/>
    </row>
    <row r="108" spans="1:21" x14ac:dyDescent="0.25">
      <c r="A108" s="25"/>
      <c r="B108" s="25"/>
      <c r="C108" s="25"/>
      <c r="J108" s="25"/>
      <c r="K108" s="25"/>
      <c r="L108" s="25"/>
      <c r="M108" s="25"/>
      <c r="N108" s="25"/>
      <c r="Q108" s="25"/>
      <c r="R108" s="25"/>
      <c r="S108" s="25"/>
      <c r="T108" s="25"/>
      <c r="U108" s="25"/>
    </row>
    <row r="109" spans="1:21" x14ac:dyDescent="0.25">
      <c r="A109" s="25"/>
      <c r="B109" s="25"/>
      <c r="C109" s="25"/>
      <c r="J109" s="25"/>
      <c r="K109" s="25"/>
      <c r="L109" s="25"/>
      <c r="M109" s="25"/>
      <c r="N109" s="25"/>
      <c r="Q109" s="25"/>
      <c r="R109" s="25"/>
      <c r="S109" s="25"/>
      <c r="T109" s="25"/>
      <c r="U109" s="25"/>
    </row>
    <row r="110" spans="1:21" x14ac:dyDescent="0.25">
      <c r="A110" s="25"/>
      <c r="B110" s="25"/>
      <c r="C110" s="25"/>
      <c r="J110" s="25"/>
      <c r="K110" s="25"/>
      <c r="L110" s="25"/>
      <c r="M110" s="25"/>
      <c r="N110" s="25"/>
      <c r="Q110" s="25"/>
      <c r="R110" s="25"/>
      <c r="S110" s="25"/>
      <c r="T110" s="25"/>
      <c r="U110" s="25"/>
    </row>
    <row r="111" spans="1:21" x14ac:dyDescent="0.25">
      <c r="A111" s="25"/>
      <c r="B111" s="25"/>
      <c r="C111" s="25"/>
      <c r="J111" s="25"/>
      <c r="K111" s="25"/>
      <c r="L111" s="25"/>
      <c r="M111" s="25"/>
      <c r="N111" s="25"/>
      <c r="Q111" s="25"/>
      <c r="R111" s="25"/>
      <c r="S111" s="25"/>
      <c r="T111" s="25"/>
      <c r="U111" s="25"/>
    </row>
    <row r="112" spans="1:21" x14ac:dyDescent="0.25">
      <c r="A112" s="25"/>
      <c r="B112" s="25"/>
      <c r="C112" s="25"/>
      <c r="J112" s="25"/>
      <c r="K112" s="25"/>
      <c r="L112" s="25"/>
      <c r="M112" s="25"/>
      <c r="N112" s="25"/>
      <c r="Q112" s="25"/>
      <c r="R112" s="25"/>
      <c r="S112" s="25"/>
      <c r="T112" s="25"/>
      <c r="U112" s="25"/>
    </row>
    <row r="113" spans="1:21" x14ac:dyDescent="0.25">
      <c r="A113" s="25"/>
      <c r="B113" s="25"/>
      <c r="C113" s="25"/>
      <c r="J113" s="25"/>
      <c r="K113" s="25"/>
      <c r="L113" s="25"/>
      <c r="M113" s="25"/>
      <c r="N113" s="25"/>
      <c r="Q113" s="25"/>
      <c r="R113" s="25"/>
      <c r="S113" s="25"/>
      <c r="T113" s="25"/>
      <c r="U113" s="25"/>
    </row>
    <row r="114" spans="1:21" x14ac:dyDescent="0.25">
      <c r="A114" s="25"/>
      <c r="B114" s="25"/>
      <c r="C114" s="25"/>
      <c r="J114" s="25"/>
      <c r="K114" s="25"/>
      <c r="L114" s="25"/>
      <c r="M114" s="25"/>
      <c r="N114" s="25"/>
      <c r="Q114" s="25"/>
      <c r="R114" s="25"/>
      <c r="S114" s="25"/>
      <c r="T114" s="25"/>
      <c r="U114" s="25"/>
    </row>
    <row r="115" spans="1:21" x14ac:dyDescent="0.25">
      <c r="A115" s="25"/>
      <c r="B115" s="25"/>
      <c r="C115" s="25"/>
      <c r="J115" s="25"/>
      <c r="K115" s="25"/>
      <c r="L115" s="25"/>
      <c r="M115" s="25"/>
      <c r="N115" s="25"/>
      <c r="Q115" s="25"/>
      <c r="R115" s="25"/>
      <c r="S115" s="25"/>
      <c r="T115" s="25"/>
      <c r="U115" s="25"/>
    </row>
    <row r="116" spans="1:21" x14ac:dyDescent="0.25">
      <c r="A116" s="25"/>
      <c r="B116" s="25"/>
      <c r="C116" s="25"/>
      <c r="J116" s="25"/>
      <c r="K116" s="25"/>
      <c r="L116" s="25"/>
      <c r="M116" s="25"/>
      <c r="N116" s="25"/>
      <c r="Q116" s="25"/>
      <c r="R116" s="25"/>
      <c r="S116" s="25"/>
      <c r="T116" s="25"/>
      <c r="U116" s="25"/>
    </row>
    <row r="117" spans="1:21" x14ac:dyDescent="0.25">
      <c r="A117" s="25"/>
      <c r="B117" s="25"/>
      <c r="C117" s="25"/>
      <c r="J117" s="25"/>
      <c r="K117" s="25"/>
      <c r="L117" s="25"/>
      <c r="M117" s="25"/>
      <c r="N117" s="25"/>
      <c r="Q117" s="25"/>
      <c r="R117" s="25"/>
      <c r="S117" s="25"/>
      <c r="T117" s="25"/>
      <c r="U117" s="25"/>
    </row>
    <row r="118" spans="1:21" x14ac:dyDescent="0.25">
      <c r="A118" s="25"/>
      <c r="B118" s="25"/>
      <c r="C118" s="25"/>
      <c r="J118" s="25"/>
      <c r="K118" s="25"/>
      <c r="L118" s="25"/>
      <c r="M118" s="25"/>
      <c r="N118" s="25"/>
      <c r="Q118" s="25"/>
      <c r="R118" s="25"/>
      <c r="S118" s="25"/>
      <c r="T118" s="25"/>
      <c r="U118" s="25"/>
    </row>
    <row r="119" spans="1:21" x14ac:dyDescent="0.25">
      <c r="Q119" s="25"/>
      <c r="R119" s="25"/>
      <c r="S119" s="25"/>
    </row>
    <row r="120" spans="1:21" x14ac:dyDescent="0.25">
      <c r="R120" s="25"/>
      <c r="S120" s="25"/>
    </row>
  </sheetData>
  <mergeCells count="16">
    <mergeCell ref="Y33:Z33"/>
    <mergeCell ref="AB33:AC33"/>
    <mergeCell ref="AB4:AC5"/>
    <mergeCell ref="AB6:AC7"/>
    <mergeCell ref="AB9:AC10"/>
    <mergeCell ref="Z9:AA10"/>
    <mergeCell ref="Z4:AA5"/>
    <mergeCell ref="Z6:AA7"/>
    <mergeCell ref="AB14:AC14"/>
    <mergeCell ref="AB21:AC21"/>
    <mergeCell ref="AB20:AC20"/>
    <mergeCell ref="AB19:AC19"/>
    <mergeCell ref="AB18:AC18"/>
    <mergeCell ref="AB17:AC17"/>
    <mergeCell ref="AB16:AC16"/>
    <mergeCell ref="AB8:AC8"/>
  </mergeCells>
  <dataValidations count="2">
    <dataValidation type="list" allowBlank="1" showInputMessage="1" showErrorMessage="1" sqref="B68:B78" xr:uid="{78CFDEE9-34B8-4207-AD08-0B2848642FD2}">
      <formula1>#REF!</formula1>
    </dataValidation>
    <dataValidation type="list" allowBlank="1" showInputMessage="1" showErrorMessage="1" sqref="AB6:AC7" xr:uid="{A6A783FE-5F5C-4207-B375-A98770F9F517}">
      <formula1>$AP$2:$AP$25</formula1>
    </dataValidation>
  </dataValidations>
  <pageMargins left="0.7" right="0.7" top="0.75" bottom="0.75" header="0.3" footer="0.3"/>
  <pageSetup paperSize="9" orientation="portrait" horizontalDpi="300" verticalDpi="300" r:id="rId1"/>
  <ignoredErrors>
    <ignoredError sqref="J68:L78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 macro="[0]!Calculs_congel">
                <anchor moveWithCells="1" sizeWithCells="1">
                  <from>
                    <xdr:col>8</xdr:col>
                    <xdr:colOff>619125</xdr:colOff>
                    <xdr:row>51</xdr:row>
                    <xdr:rowOff>76200</xdr:rowOff>
                  </from>
                  <to>
                    <xdr:col>14</xdr:col>
                    <xdr:colOff>66675</xdr:colOff>
                    <xdr:row>64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23413-5D24-4253-8BAF-A62D1549D33C}">
  <sheetPr codeName="Feuil1"/>
  <dimension ref="A1:AL275"/>
  <sheetViews>
    <sheetView topLeftCell="H1" zoomScale="55" zoomScaleNormal="55" workbookViewId="0">
      <pane ySplit="1" topLeftCell="A2" activePane="bottomLeft" state="frozen"/>
      <selection pane="bottomLeft" activeCell="R16" sqref="R16"/>
    </sheetView>
  </sheetViews>
  <sheetFormatPr defaultColWidth="11.5703125" defaultRowHeight="15" x14ac:dyDescent="0.25"/>
  <cols>
    <col min="1" max="1" width="26.85546875" style="109" bestFit="1" customWidth="1"/>
    <col min="2" max="6" width="11.5703125" style="109"/>
    <col min="7" max="7" width="17.7109375" style="109" bestFit="1" customWidth="1"/>
    <col min="8" max="8" width="11.5703125" style="109"/>
    <col min="9" max="9" width="14.85546875" style="109" customWidth="1"/>
    <col min="10" max="11" width="16.42578125" style="109" customWidth="1"/>
    <col min="12" max="12" width="15" style="109" customWidth="1"/>
    <col min="13" max="13" width="13.28515625" style="109" customWidth="1"/>
    <col min="14" max="14" width="17.7109375" style="109" bestFit="1" customWidth="1"/>
    <col min="15" max="17" width="19" style="22" customWidth="1"/>
    <col min="18" max="18" width="22.28515625" style="22" bestFit="1" customWidth="1"/>
    <col min="19" max="19" width="11.5703125" style="109" bestFit="1" customWidth="1"/>
    <col min="20" max="20" width="11.28515625" style="109" bestFit="1" customWidth="1"/>
    <col min="21" max="22" width="11.28515625" style="109" customWidth="1"/>
    <col min="23" max="23" width="13.42578125" style="109" customWidth="1"/>
    <col min="24" max="24" width="12.85546875" style="22" customWidth="1"/>
    <col min="25" max="25" width="12.42578125" style="109" customWidth="1"/>
    <col min="26" max="26" width="14.5703125" style="109" customWidth="1"/>
    <col min="27" max="27" width="8.7109375" style="2" customWidth="1"/>
    <col min="28" max="28" width="8.7109375" style="109" customWidth="1"/>
    <col min="29" max="29" width="8.7109375" style="2" customWidth="1"/>
    <col min="30" max="30" width="8.7109375" style="109" customWidth="1"/>
    <col min="31" max="31" width="8.7109375" style="2" customWidth="1"/>
    <col min="32" max="36" width="8.7109375" style="109" customWidth="1"/>
    <col min="37" max="37" width="3.28515625" style="109" customWidth="1"/>
    <col min="38" max="16384" width="11.5703125" style="109"/>
  </cols>
  <sheetData>
    <row r="1" spans="1:38" ht="43.9" customHeight="1" thickBot="1" x14ac:dyDescent="0.3">
      <c r="B1" s="24"/>
      <c r="C1" s="24"/>
      <c r="D1" s="24"/>
      <c r="E1" s="24"/>
      <c r="F1" s="24"/>
      <c r="I1" s="63"/>
      <c r="J1" s="111"/>
      <c r="K1" s="111"/>
      <c r="L1" s="111"/>
      <c r="M1" s="111"/>
      <c r="N1" s="111"/>
      <c r="O1" s="84"/>
      <c r="P1" s="84"/>
      <c r="Q1" s="84"/>
      <c r="R1" s="84"/>
      <c r="S1" s="111"/>
      <c r="T1" s="111"/>
      <c r="U1" s="111"/>
      <c r="V1" s="111"/>
      <c r="W1" s="111"/>
      <c r="X1" s="84"/>
      <c r="Y1" s="111"/>
      <c r="Z1" s="111"/>
      <c r="AA1" s="148"/>
      <c r="AB1" s="148"/>
      <c r="AC1" s="148"/>
      <c r="AD1" s="148"/>
      <c r="AE1" s="148"/>
      <c r="AF1" s="148"/>
      <c r="AG1" s="148"/>
      <c r="AH1" s="148"/>
      <c r="AI1" s="148"/>
      <c r="AJ1" s="149"/>
      <c r="AL1" s="73"/>
    </row>
    <row r="2" spans="1:38" x14ac:dyDescent="0.25">
      <c r="G2" s="103"/>
      <c r="H2" s="112"/>
      <c r="I2" s="123" t="s">
        <v>0</v>
      </c>
      <c r="J2" s="8" t="str">
        <f>_xlfn.CONCAT(I2,"a")</f>
        <v>SC-01a</v>
      </c>
      <c r="K2" s="98" t="e">
        <f>MATCH(J2,#REF!,0)+2</f>
        <v>#REF!</v>
      </c>
      <c r="L2" s="8">
        <f>L3+1.9</f>
        <v>30.349999999999998</v>
      </c>
      <c r="M2" s="9">
        <f>DEGREES(ASIN((6.74-4.68)/(2.55+2*12+2*1.9)))</f>
        <v>3.8919314922094999</v>
      </c>
      <c r="N2" s="9">
        <f>L2*COS(RADIANS(M2))-1.5</f>
        <v>28.780008256273643</v>
      </c>
      <c r="O2" s="9">
        <v>4.7</v>
      </c>
      <c r="P2" s="35">
        <v>16.32</v>
      </c>
      <c r="Q2" s="9">
        <f>$A$14</f>
        <v>-30</v>
      </c>
      <c r="R2" s="9">
        <v>-1.4582999999999999</v>
      </c>
      <c r="S2" s="9">
        <v>1.2366999999999999</v>
      </c>
      <c r="T2" s="9">
        <v>-1.9776</v>
      </c>
      <c r="U2" s="9">
        <v>-0.54790000000000005</v>
      </c>
      <c r="V2" s="9">
        <v>1.1249</v>
      </c>
      <c r="W2" s="9">
        <v>0.92900000000000005</v>
      </c>
      <c r="X2" s="9">
        <v>-1.4482999999999999</v>
      </c>
      <c r="Y2" s="9" t="s">
        <v>30</v>
      </c>
      <c r="Z2" s="9" t="s">
        <v>27</v>
      </c>
      <c r="AA2" s="10"/>
      <c r="AB2" s="8"/>
      <c r="AC2" s="10"/>
      <c r="AD2" s="8"/>
      <c r="AE2" s="10"/>
      <c r="AF2" s="17"/>
      <c r="AG2" s="10"/>
      <c r="AH2" s="17"/>
      <c r="AI2" s="10"/>
      <c r="AJ2" s="11"/>
    </row>
    <row r="3" spans="1:38" x14ac:dyDescent="0.25">
      <c r="A3" s="4"/>
      <c r="I3" s="124"/>
      <c r="J3" s="5" t="str">
        <f>_xlfn.CONCAT(I2,"b")</f>
        <v>SC-01b</v>
      </c>
      <c r="K3" s="23" t="e">
        <f>MATCH(J3,#REF!,0)+2</f>
        <v>#REF!</v>
      </c>
      <c r="L3" s="5">
        <f t="shared" ref="L3:L14" si="0">L4+2</f>
        <v>28.45</v>
      </c>
      <c r="M3" s="6">
        <f>M2</f>
        <v>3.8919314922094999</v>
      </c>
      <c r="N3" s="6">
        <f t="shared" ref="N3:N16" si="1">L3*COS(RADIANS(M3))-1.5</f>
        <v>26.884389946984683</v>
      </c>
      <c r="O3" s="6">
        <v>4.83</v>
      </c>
      <c r="P3" s="6">
        <v>16.25</v>
      </c>
      <c r="Q3" s="6">
        <f>$A$14</f>
        <v>-30</v>
      </c>
      <c r="R3" s="6">
        <v>-1.3436999999999999</v>
      </c>
      <c r="S3" s="6">
        <v>1.1860999999999999</v>
      </c>
      <c r="T3" s="6">
        <v>-1.8544</v>
      </c>
      <c r="U3" s="6">
        <v>-0.49509999999999998</v>
      </c>
      <c r="V3" s="6">
        <v>1.1359999999999999</v>
      </c>
      <c r="W3" s="6">
        <v>0.93510000000000004</v>
      </c>
      <c r="X3" s="6">
        <v>-1.3069</v>
      </c>
      <c r="Y3" s="6" t="s">
        <v>30</v>
      </c>
      <c r="Z3" s="6" t="s">
        <v>27</v>
      </c>
      <c r="AA3" s="7"/>
      <c r="AB3" s="5"/>
      <c r="AC3" s="7"/>
      <c r="AD3" s="5"/>
      <c r="AE3" s="7"/>
      <c r="AF3" s="18"/>
      <c r="AG3" s="7"/>
      <c r="AH3" s="18"/>
      <c r="AI3" s="7"/>
      <c r="AJ3" s="12"/>
    </row>
    <row r="4" spans="1:38" x14ac:dyDescent="0.25">
      <c r="A4" s="3"/>
      <c r="D4" s="28"/>
      <c r="E4" s="71"/>
      <c r="I4" s="124"/>
      <c r="J4" s="5" t="str">
        <f>_xlfn.CONCAT(I2,"c")</f>
        <v>SC-01c</v>
      </c>
      <c r="K4" s="23" t="e">
        <f>MATCH(J4,#REF!,0)+2</f>
        <v>#REF!</v>
      </c>
      <c r="L4" s="5">
        <f t="shared" si="0"/>
        <v>26.45</v>
      </c>
      <c r="M4" s="6">
        <f t="shared" ref="M4:M15" si="2">M3</f>
        <v>3.8919314922094999</v>
      </c>
      <c r="N4" s="6">
        <f t="shared" si="1"/>
        <v>24.889002252996306</v>
      </c>
      <c r="O4" s="6">
        <v>4.97</v>
      </c>
      <c r="P4" s="6">
        <v>16.36</v>
      </c>
      <c r="Q4" s="6">
        <f t="shared" ref="Q4:Q15" si="3">$A$14</f>
        <v>-30</v>
      </c>
      <c r="R4" s="6">
        <v>-1.2988999999999999</v>
      </c>
      <c r="S4" s="6">
        <v>1.1815</v>
      </c>
      <c r="T4" s="6">
        <v>-1.6451</v>
      </c>
      <c r="U4" s="6">
        <v>-0.34620000000000001</v>
      </c>
      <c r="V4" s="6">
        <v>1.1482000000000001</v>
      </c>
      <c r="W4" s="6">
        <v>0.93899999999999995</v>
      </c>
      <c r="X4" s="6">
        <v>-1.1158999999999999</v>
      </c>
      <c r="Y4" s="6" t="s">
        <v>30</v>
      </c>
      <c r="Z4" s="6" t="s">
        <v>27</v>
      </c>
      <c r="AA4" s="7"/>
      <c r="AB4" s="5"/>
      <c r="AC4" s="7"/>
      <c r="AD4" s="5"/>
      <c r="AE4" s="7"/>
      <c r="AF4" s="18"/>
      <c r="AG4" s="7"/>
      <c r="AH4" s="18"/>
      <c r="AI4" s="7"/>
      <c r="AJ4" s="12"/>
    </row>
    <row r="5" spans="1:38" x14ac:dyDescent="0.25">
      <c r="A5" s="3"/>
      <c r="D5" s="28"/>
      <c r="E5" s="72"/>
      <c r="I5" s="124"/>
      <c r="J5" s="43" t="str">
        <f>_xlfn.CONCAT(I2,"d")</f>
        <v>SC-01d</v>
      </c>
      <c r="K5" s="23" t="e">
        <f>MATCH(J5,#REF!,0)+2</f>
        <v>#REF!</v>
      </c>
      <c r="L5" s="43">
        <f t="shared" si="0"/>
        <v>24.45</v>
      </c>
      <c r="M5" s="6">
        <f t="shared" si="2"/>
        <v>3.8919314922094999</v>
      </c>
      <c r="N5" s="52">
        <f t="shared" si="1"/>
        <v>22.893614559007926</v>
      </c>
      <c r="O5" s="52">
        <v>5.0999999999999996</v>
      </c>
      <c r="P5" s="6">
        <v>16.54</v>
      </c>
      <c r="Q5" s="6">
        <f t="shared" si="3"/>
        <v>-30</v>
      </c>
      <c r="R5" s="52">
        <v>-1.2329000000000001</v>
      </c>
      <c r="S5" s="52">
        <v>1.0883</v>
      </c>
      <c r="T5" s="52">
        <v>-1.4663999999999999</v>
      </c>
      <c r="U5" s="52">
        <v>-0.23350000000000001</v>
      </c>
      <c r="V5" s="52">
        <v>1.1565000000000001</v>
      </c>
      <c r="W5" s="52">
        <v>0.89739999999999998</v>
      </c>
      <c r="X5" s="6">
        <v>-0.95050000000000001</v>
      </c>
      <c r="Y5" s="6" t="s">
        <v>30</v>
      </c>
      <c r="Z5" s="6" t="s">
        <v>27</v>
      </c>
      <c r="AA5" s="7"/>
      <c r="AB5" s="5"/>
      <c r="AC5" s="7"/>
      <c r="AD5" s="5"/>
      <c r="AE5" s="7"/>
      <c r="AF5" s="18"/>
      <c r="AG5" s="7"/>
      <c r="AH5" s="18"/>
      <c r="AI5" s="7"/>
      <c r="AJ5" s="12"/>
    </row>
    <row r="6" spans="1:38" x14ac:dyDescent="0.25">
      <c r="A6" s="3"/>
      <c r="D6" s="28"/>
      <c r="I6" s="124"/>
      <c r="J6" s="5" t="str">
        <f>_xlfn.CONCAT(I2,"e")</f>
        <v>SC-01e</v>
      </c>
      <c r="K6" s="23" t="e">
        <f>MATCH(J6,#REF!,0)+2</f>
        <v>#REF!</v>
      </c>
      <c r="L6" s="5">
        <f t="shared" si="0"/>
        <v>22.45</v>
      </c>
      <c r="M6" s="6">
        <f t="shared" si="2"/>
        <v>3.8919314922094999</v>
      </c>
      <c r="N6" s="6">
        <f t="shared" si="1"/>
        <v>20.898226865019549</v>
      </c>
      <c r="O6" s="6">
        <v>5.23</v>
      </c>
      <c r="P6" s="6">
        <v>16.399999999999999</v>
      </c>
      <c r="Q6" s="6">
        <f t="shared" si="3"/>
        <v>-30</v>
      </c>
      <c r="R6" s="6">
        <v>-1.1403000000000001</v>
      </c>
      <c r="S6" s="6">
        <v>1.0616000000000001</v>
      </c>
      <c r="T6" s="6">
        <v>-1.3415999999999999</v>
      </c>
      <c r="U6" s="6">
        <v>-0.20130000000000001</v>
      </c>
      <c r="V6" s="6">
        <v>1.1579999999999999</v>
      </c>
      <c r="W6" s="6">
        <v>0.89629999999999999</v>
      </c>
      <c r="X6" s="6">
        <v>-0.87280000000000002</v>
      </c>
      <c r="Y6" s="6" t="s">
        <v>30</v>
      </c>
      <c r="Z6" s="6" t="s">
        <v>27</v>
      </c>
      <c r="AA6" s="7"/>
      <c r="AB6" s="5"/>
      <c r="AC6" s="7"/>
      <c r="AD6" s="5"/>
      <c r="AE6" s="7"/>
      <c r="AF6" s="18"/>
      <c r="AG6" s="7"/>
      <c r="AH6" s="18"/>
      <c r="AI6" s="7"/>
      <c r="AJ6" s="12"/>
    </row>
    <row r="7" spans="1:38" x14ac:dyDescent="0.25">
      <c r="A7" s="3"/>
      <c r="D7" s="28"/>
      <c r="I7" s="124"/>
      <c r="J7" s="5" t="str">
        <f>_xlfn.CONCAT(I2,"f")</f>
        <v>SC-01f</v>
      </c>
      <c r="K7" s="23" t="e">
        <f>MATCH(J7,#REF!,0)+2</f>
        <v>#REF!</v>
      </c>
      <c r="L7" s="5">
        <f t="shared" si="0"/>
        <v>20.45</v>
      </c>
      <c r="M7" s="6">
        <f t="shared" si="2"/>
        <v>3.8919314922094999</v>
      </c>
      <c r="N7" s="6">
        <f t="shared" si="1"/>
        <v>18.902839171031172</v>
      </c>
      <c r="O7" s="6">
        <v>5.37</v>
      </c>
      <c r="P7" s="6">
        <v>16.37</v>
      </c>
      <c r="Q7" s="6">
        <f t="shared" si="3"/>
        <v>-30</v>
      </c>
      <c r="R7" s="6">
        <v>-0.88239999999999996</v>
      </c>
      <c r="S7" s="6">
        <v>1.0304</v>
      </c>
      <c r="T7" s="6">
        <v>-1.1524000000000001</v>
      </c>
      <c r="U7" s="6">
        <v>-0.27</v>
      </c>
      <c r="V7" s="6">
        <v>1.1551</v>
      </c>
      <c r="W7" s="6">
        <v>0.91010000000000002</v>
      </c>
      <c r="X7" s="6">
        <v>-0.6502</v>
      </c>
      <c r="Y7" s="6" t="s">
        <v>30</v>
      </c>
      <c r="Z7" s="6" t="s">
        <v>27</v>
      </c>
      <c r="AA7" s="7"/>
      <c r="AB7" s="5"/>
      <c r="AC7" s="7"/>
      <c r="AD7" s="5"/>
      <c r="AE7" s="7"/>
      <c r="AF7" s="18"/>
      <c r="AG7" s="7"/>
      <c r="AH7" s="18"/>
      <c r="AI7" s="7"/>
      <c r="AJ7" s="12"/>
    </row>
    <row r="8" spans="1:38" x14ac:dyDescent="0.25">
      <c r="A8" s="20"/>
      <c r="I8" s="124"/>
      <c r="J8" s="5" t="str">
        <f>_xlfn.CONCAT(I2,"g")</f>
        <v>SC-01g</v>
      </c>
      <c r="K8" s="23" t="e">
        <f>MATCH(J8,#REF!,0)+2</f>
        <v>#REF!</v>
      </c>
      <c r="L8" s="5">
        <f t="shared" si="0"/>
        <v>18.45</v>
      </c>
      <c r="M8" s="6">
        <f t="shared" si="2"/>
        <v>3.8919314922094999</v>
      </c>
      <c r="N8" s="6">
        <f t="shared" si="1"/>
        <v>16.907451477042791</v>
      </c>
      <c r="O8" s="6">
        <v>5.5</v>
      </c>
      <c r="P8" s="6">
        <v>16.39</v>
      </c>
      <c r="Q8" s="6">
        <f t="shared" si="3"/>
        <v>-30</v>
      </c>
      <c r="R8" s="6">
        <v>-0.69699999999999995</v>
      </c>
      <c r="S8" s="6">
        <v>1.0061</v>
      </c>
      <c r="T8" s="6">
        <v>-1.048</v>
      </c>
      <c r="U8" s="6">
        <v>-0.34939999999999999</v>
      </c>
      <c r="V8" s="6">
        <v>1.149</v>
      </c>
      <c r="W8" s="6">
        <v>0.9194</v>
      </c>
      <c r="X8" s="6">
        <v>-0.51080000000000003</v>
      </c>
      <c r="Y8" s="6" t="s">
        <v>30</v>
      </c>
      <c r="Z8" s="6" t="s">
        <v>27</v>
      </c>
      <c r="AA8" s="7"/>
      <c r="AB8" s="5"/>
      <c r="AC8" s="7"/>
      <c r="AD8" s="5"/>
      <c r="AE8" s="7"/>
      <c r="AF8" s="18"/>
      <c r="AG8" s="7"/>
      <c r="AH8" s="18"/>
      <c r="AI8" s="7"/>
      <c r="AJ8" s="12"/>
    </row>
    <row r="9" spans="1:38" x14ac:dyDescent="0.25">
      <c r="I9" s="124"/>
      <c r="J9" s="5" t="str">
        <f>_xlfn.CONCAT(I2,"h")</f>
        <v>SC-01h</v>
      </c>
      <c r="K9" s="23" t="e">
        <f>MATCH(J9,#REF!,0)+2</f>
        <v>#REF!</v>
      </c>
      <c r="L9" s="5">
        <f t="shared" si="0"/>
        <v>16.45</v>
      </c>
      <c r="M9" s="6">
        <f t="shared" si="2"/>
        <v>3.8919314922094999</v>
      </c>
      <c r="N9" s="6">
        <f t="shared" si="1"/>
        <v>14.912063783054414</v>
      </c>
      <c r="O9" s="6">
        <v>5.64</v>
      </c>
      <c r="P9" s="6">
        <v>16.37</v>
      </c>
      <c r="Q9" s="6">
        <f t="shared" si="3"/>
        <v>-30</v>
      </c>
      <c r="R9" s="6">
        <v>-0.20419999999999999</v>
      </c>
      <c r="S9" s="6">
        <v>0.96099999999999997</v>
      </c>
      <c r="T9" s="6">
        <v>-0.87139999999999995</v>
      </c>
      <c r="U9" s="6">
        <v>-0.66510000000000002</v>
      </c>
      <c r="V9" s="6">
        <v>1.1419999999999999</v>
      </c>
      <c r="W9" s="6">
        <v>0.92020000000000002</v>
      </c>
      <c r="X9" s="6">
        <v>-0.32</v>
      </c>
      <c r="Y9" s="6" t="s">
        <v>30</v>
      </c>
      <c r="Z9" s="6" t="s">
        <v>27</v>
      </c>
      <c r="AA9" s="7"/>
      <c r="AB9" s="5"/>
      <c r="AC9" s="7"/>
      <c r="AD9" s="5"/>
      <c r="AE9" s="7"/>
      <c r="AF9" s="18"/>
      <c r="AG9" s="7"/>
      <c r="AH9" s="18"/>
      <c r="AI9" s="7"/>
      <c r="AJ9" s="12"/>
      <c r="AL9" s="22"/>
    </row>
    <row r="10" spans="1:38" x14ac:dyDescent="0.25">
      <c r="A10" s="3"/>
      <c r="I10" s="124"/>
      <c r="J10" s="5" t="str">
        <f>_xlfn.CONCAT(I2,"i")</f>
        <v>SC-01i</v>
      </c>
      <c r="K10" s="23" t="e">
        <f>MATCH(J10,#REF!,0)+2</f>
        <v>#REF!</v>
      </c>
      <c r="L10" s="5">
        <f t="shared" si="0"/>
        <v>14.45</v>
      </c>
      <c r="M10" s="6">
        <f t="shared" si="2"/>
        <v>3.8919314922094999</v>
      </c>
      <c r="N10" s="6">
        <f t="shared" si="1"/>
        <v>12.916676089066035</v>
      </c>
      <c r="O10" s="6">
        <v>5.76</v>
      </c>
      <c r="P10" s="6">
        <v>16.45</v>
      </c>
      <c r="Q10" s="6">
        <f t="shared" si="3"/>
        <v>-30</v>
      </c>
      <c r="R10" s="6">
        <v>-1.3899999999999999E-2</v>
      </c>
      <c r="S10" s="6">
        <v>0.97260000000000002</v>
      </c>
      <c r="T10" s="6">
        <v>-0.72209999999999996</v>
      </c>
      <c r="U10" s="6">
        <v>-0.70820000000000005</v>
      </c>
      <c r="V10" s="6">
        <v>1.1357999999999999</v>
      </c>
      <c r="W10" s="6">
        <v>0.91390000000000005</v>
      </c>
      <c r="X10" s="6">
        <v>-0.21479999999999999</v>
      </c>
      <c r="Y10" s="6" t="s">
        <v>30</v>
      </c>
      <c r="Z10" s="6" t="s">
        <v>27</v>
      </c>
      <c r="AA10" s="7"/>
      <c r="AB10" s="5"/>
      <c r="AC10" s="7"/>
      <c r="AD10" s="5"/>
      <c r="AE10" s="7"/>
      <c r="AF10" s="18"/>
      <c r="AG10" s="7"/>
      <c r="AH10" s="18"/>
      <c r="AI10" s="7"/>
      <c r="AJ10" s="12"/>
      <c r="AL10" s="22"/>
    </row>
    <row r="11" spans="1:38" x14ac:dyDescent="0.25">
      <c r="A11" s="20"/>
      <c r="I11" s="124"/>
      <c r="J11" s="5" t="str">
        <f>_xlfn.CONCAT(I2,"j")</f>
        <v>SC-01j</v>
      </c>
      <c r="K11" s="23" t="e">
        <f>MATCH(J11,#REF!,0)+2</f>
        <v>#REF!</v>
      </c>
      <c r="L11" s="5">
        <f t="shared" si="0"/>
        <v>12.45</v>
      </c>
      <c r="M11" s="6">
        <f t="shared" si="2"/>
        <v>3.8919314922094999</v>
      </c>
      <c r="N11" s="6">
        <f t="shared" si="1"/>
        <v>10.921288395077656</v>
      </c>
      <c r="O11" s="6">
        <v>5.9</v>
      </c>
      <c r="P11" s="6">
        <v>16.46</v>
      </c>
      <c r="Q11" s="6">
        <f t="shared" si="3"/>
        <v>-30</v>
      </c>
      <c r="R11" s="62">
        <v>0.1694</v>
      </c>
      <c r="S11" s="6">
        <v>0.95540000000000003</v>
      </c>
      <c r="T11" s="6">
        <v>-0.60599999999999998</v>
      </c>
      <c r="U11" s="6">
        <v>-0.77569999999999995</v>
      </c>
      <c r="V11" s="6">
        <v>1.1302000000000001</v>
      </c>
      <c r="W11" s="6">
        <v>0.90739999999999998</v>
      </c>
      <c r="X11" s="6">
        <v>-0.12559999999999999</v>
      </c>
      <c r="Y11" s="6" t="s">
        <v>30</v>
      </c>
      <c r="Z11" s="6" t="s">
        <v>27</v>
      </c>
      <c r="AA11" s="7"/>
      <c r="AB11" s="5"/>
      <c r="AC11" s="7"/>
      <c r="AD11" s="5"/>
      <c r="AE11" s="7"/>
      <c r="AF11" s="18"/>
      <c r="AG11" s="7"/>
      <c r="AH11" s="18"/>
      <c r="AI11" s="7"/>
      <c r="AJ11" s="12"/>
      <c r="AL11" s="22"/>
    </row>
    <row r="12" spans="1:38" x14ac:dyDescent="0.25">
      <c r="I12" s="124"/>
      <c r="J12" s="5" t="str">
        <f>_xlfn.CONCAT(I2,"k")</f>
        <v>SC-01k</v>
      </c>
      <c r="K12" s="23" t="e">
        <f>MATCH(J12,#REF!,0)+2</f>
        <v>#REF!</v>
      </c>
      <c r="L12" s="5">
        <f t="shared" si="0"/>
        <v>10.45</v>
      </c>
      <c r="M12" s="6">
        <f t="shared" si="2"/>
        <v>3.8919314922094999</v>
      </c>
      <c r="N12" s="6">
        <f t="shared" si="1"/>
        <v>8.9259007010892777</v>
      </c>
      <c r="O12" s="6">
        <v>6.04</v>
      </c>
      <c r="P12" s="6">
        <v>16.46</v>
      </c>
      <c r="Q12" s="6">
        <f t="shared" si="3"/>
        <v>-30</v>
      </c>
      <c r="R12" s="6">
        <v>0.35580000000000001</v>
      </c>
      <c r="S12" s="6">
        <v>0.96160000000000001</v>
      </c>
      <c r="T12" s="6">
        <v>-0.51949999999999996</v>
      </c>
      <c r="U12" s="6">
        <v>-0.86919999999999997</v>
      </c>
      <c r="V12" s="6">
        <v>1.1258999999999999</v>
      </c>
      <c r="W12" s="6">
        <v>0.92989999999999995</v>
      </c>
      <c r="X12" s="6" t="s">
        <v>4</v>
      </c>
      <c r="Y12" s="6" t="s">
        <v>30</v>
      </c>
      <c r="Z12" s="6" t="s">
        <v>28</v>
      </c>
      <c r="AA12" s="7"/>
      <c r="AB12" s="5"/>
      <c r="AC12" s="7"/>
      <c r="AD12" s="5"/>
      <c r="AE12" s="7"/>
      <c r="AF12" s="18"/>
      <c r="AG12" s="7"/>
      <c r="AH12" s="18"/>
      <c r="AI12" s="7"/>
      <c r="AJ12" s="12"/>
      <c r="AL12" s="22"/>
    </row>
    <row r="13" spans="1:38" x14ac:dyDescent="0.25">
      <c r="A13" s="3" t="s">
        <v>219</v>
      </c>
      <c r="I13" s="124"/>
      <c r="J13" s="5" t="str">
        <f>_xlfn.CONCAT(I2,"l")</f>
        <v>SC-01l</v>
      </c>
      <c r="K13" s="23" t="e">
        <f>MATCH(J13,#REF!,0)+2</f>
        <v>#REF!</v>
      </c>
      <c r="L13" s="5">
        <f t="shared" si="0"/>
        <v>8.4499999999999993</v>
      </c>
      <c r="M13" s="6">
        <f t="shared" si="2"/>
        <v>3.8919314922094999</v>
      </c>
      <c r="N13" s="6">
        <f t="shared" si="1"/>
        <v>6.9305130071008989</v>
      </c>
      <c r="O13" s="6">
        <v>6.18</v>
      </c>
      <c r="P13" s="6">
        <v>16.48</v>
      </c>
      <c r="Q13" s="6">
        <f t="shared" si="3"/>
        <v>-30</v>
      </c>
      <c r="R13" s="6">
        <v>0.52880000000000005</v>
      </c>
      <c r="S13" s="6">
        <v>0.96050000000000002</v>
      </c>
      <c r="T13" s="6">
        <v>-0.32</v>
      </c>
      <c r="U13" s="6">
        <v>-0.8488</v>
      </c>
      <c r="V13" s="6">
        <v>1.1226</v>
      </c>
      <c r="W13" s="6">
        <v>0.95809999999999995</v>
      </c>
      <c r="X13" s="6" t="s">
        <v>4</v>
      </c>
      <c r="Y13" s="6" t="s">
        <v>30</v>
      </c>
      <c r="Z13" s="6" t="s">
        <v>28</v>
      </c>
      <c r="AA13" s="7"/>
      <c r="AB13" s="5"/>
      <c r="AC13" s="7"/>
      <c r="AD13" s="5"/>
      <c r="AE13" s="7"/>
      <c r="AF13" s="18"/>
      <c r="AG13" s="7"/>
      <c r="AH13" s="18"/>
      <c r="AI13" s="7"/>
      <c r="AJ13" s="12"/>
      <c r="AL13" s="22"/>
    </row>
    <row r="14" spans="1:38" x14ac:dyDescent="0.25">
      <c r="A14" s="3">
        <f>'DALLE - SYNTHESE'!AB14</f>
        <v>-30</v>
      </c>
      <c r="I14" s="124"/>
      <c r="J14" s="5" t="str">
        <f>_xlfn.CONCAT(I2,"m")</f>
        <v>SC-01m</v>
      </c>
      <c r="K14" s="23" t="e">
        <f>MATCH(J14,#REF!,0)+2</f>
        <v>#REF!</v>
      </c>
      <c r="L14" s="5">
        <f t="shared" si="0"/>
        <v>6.4499999999999993</v>
      </c>
      <c r="M14" s="6">
        <f t="shared" si="2"/>
        <v>3.8919314922094999</v>
      </c>
      <c r="N14" s="6">
        <f t="shared" si="1"/>
        <v>4.9351253131125201</v>
      </c>
      <c r="O14" s="6">
        <v>6.33</v>
      </c>
      <c r="P14" s="6">
        <v>16.489999999999998</v>
      </c>
      <c r="Q14" s="6">
        <f t="shared" si="3"/>
        <v>-30</v>
      </c>
      <c r="R14" s="6">
        <v>0.69140000000000001</v>
      </c>
      <c r="S14" s="6">
        <v>0.9617</v>
      </c>
      <c r="T14" s="6">
        <v>-0.2339</v>
      </c>
      <c r="U14" s="6">
        <v>-0.92</v>
      </c>
      <c r="V14" s="6">
        <v>1.1205000000000001</v>
      </c>
      <c r="W14" s="6">
        <v>0.95389999999999997</v>
      </c>
      <c r="X14" s="6" t="s">
        <v>4</v>
      </c>
      <c r="Y14" s="6" t="s">
        <v>30</v>
      </c>
      <c r="Z14" s="6" t="s">
        <v>28</v>
      </c>
      <c r="AA14" s="7"/>
      <c r="AB14" s="5"/>
      <c r="AC14" s="7"/>
      <c r="AD14" s="5"/>
      <c r="AE14" s="7"/>
      <c r="AF14" s="18"/>
      <c r="AG14" s="7"/>
      <c r="AH14" s="18"/>
      <c r="AI14" s="7"/>
      <c r="AJ14" s="12"/>
      <c r="AL14" s="22"/>
    </row>
    <row r="15" spans="1:38" x14ac:dyDescent="0.25">
      <c r="I15" s="124"/>
      <c r="J15" s="5" t="str">
        <f>_xlfn.CONCAT(I2,"n")</f>
        <v>SC-01n</v>
      </c>
      <c r="K15" s="23" t="e">
        <f>MATCH(J15,#REF!,0)+2</f>
        <v>#REF!</v>
      </c>
      <c r="L15" s="5">
        <f>L16+1.9</f>
        <v>4.4499999999999993</v>
      </c>
      <c r="M15" s="6">
        <f t="shared" si="2"/>
        <v>3.8919314922094999</v>
      </c>
      <c r="N15" s="6">
        <f t="shared" si="1"/>
        <v>2.9397376191241413</v>
      </c>
      <c r="O15" s="6">
        <v>6.46</v>
      </c>
      <c r="P15" s="6">
        <v>16.64</v>
      </c>
      <c r="Q15" s="6">
        <f t="shared" si="3"/>
        <v>-30</v>
      </c>
      <c r="R15" s="6">
        <v>0.85119999999999996</v>
      </c>
      <c r="S15" s="6">
        <v>0.96460000000000001</v>
      </c>
      <c r="T15" s="6">
        <v>-0.1024</v>
      </c>
      <c r="U15" s="6">
        <v>-0.95330000000000004</v>
      </c>
      <c r="V15" s="6">
        <v>1.1191</v>
      </c>
      <c r="W15" s="6">
        <v>0.91579999999999995</v>
      </c>
      <c r="X15" s="6" t="s">
        <v>4</v>
      </c>
      <c r="Y15" s="6" t="s">
        <v>30</v>
      </c>
      <c r="Z15" s="6" t="s">
        <v>28</v>
      </c>
      <c r="AA15" s="7"/>
      <c r="AB15" s="5"/>
      <c r="AC15" s="7"/>
      <c r="AD15" s="5"/>
      <c r="AE15" s="7"/>
      <c r="AF15" s="18"/>
      <c r="AG15" s="7"/>
      <c r="AH15" s="18"/>
      <c r="AI15" s="7"/>
      <c r="AJ15" s="12"/>
      <c r="AL15" s="22"/>
    </row>
    <row r="16" spans="1:38" ht="15.75" thickBot="1" x14ac:dyDescent="0.3">
      <c r="A16" s="3" t="s">
        <v>219</v>
      </c>
      <c r="I16" s="125"/>
      <c r="J16" s="13" t="str">
        <f>_xlfn.CONCAT(I2,"o")</f>
        <v>SC-01o</v>
      </c>
      <c r="K16" s="23" t="e">
        <f>MATCH(J16,#REF!,0)+2</f>
        <v>#REF!</v>
      </c>
      <c r="L16" s="13">
        <v>2.5499999999999998</v>
      </c>
      <c r="M16" s="14">
        <f>M15</f>
        <v>3.8919314922094999</v>
      </c>
      <c r="N16" s="14">
        <f t="shared" si="1"/>
        <v>1.0441193098351826</v>
      </c>
      <c r="O16" s="14">
        <v>6.58</v>
      </c>
      <c r="P16" s="6">
        <v>16.73</v>
      </c>
      <c r="Q16" s="14">
        <f>$A$14</f>
        <v>-30</v>
      </c>
      <c r="R16" s="14">
        <v>0.99039999999999995</v>
      </c>
      <c r="S16" s="14">
        <v>0.98080000000000001</v>
      </c>
      <c r="T16" s="14">
        <v>-7.4999999999999997E-3</v>
      </c>
      <c r="U16" s="14">
        <v>-0.99780000000000002</v>
      </c>
      <c r="V16" s="14">
        <v>1.1180000000000001</v>
      </c>
      <c r="W16" s="14">
        <v>0.98819999999999997</v>
      </c>
      <c r="X16" s="6" t="s">
        <v>4</v>
      </c>
      <c r="Y16" s="14" t="s">
        <v>30</v>
      </c>
      <c r="Z16" s="14" t="s">
        <v>28</v>
      </c>
      <c r="AA16" s="15"/>
      <c r="AB16" s="13"/>
      <c r="AC16" s="15"/>
      <c r="AD16" s="13"/>
      <c r="AE16" s="15"/>
      <c r="AF16" s="19"/>
      <c r="AG16" s="15"/>
      <c r="AH16" s="19"/>
      <c r="AI16" s="15"/>
      <c r="AJ16" s="16"/>
      <c r="AL16" s="22"/>
    </row>
    <row r="17" spans="1:38" x14ac:dyDescent="0.25">
      <c r="A17" s="3">
        <v>-5</v>
      </c>
      <c r="I17" s="123" t="s">
        <v>8</v>
      </c>
      <c r="J17" s="8" t="str">
        <f>_xlfn.CONCAT(I17,"a")</f>
        <v>SC-02a</v>
      </c>
      <c r="K17" s="8"/>
      <c r="L17" s="8">
        <f>L18+1.9</f>
        <v>30.06</v>
      </c>
      <c r="M17" s="9">
        <f>DEGREES(ASIN((6.55-7.53)/(2.16+2*13+1.9)))</f>
        <v>-1.8682573258309088</v>
      </c>
      <c r="N17" s="9">
        <f>L17*COS(RADIANS(M17))-1.5</f>
        <v>28.544021035806772</v>
      </c>
      <c r="O17" s="9">
        <v>7.52</v>
      </c>
      <c r="P17" s="35">
        <v>-2.6099999999999994</v>
      </c>
      <c r="Q17" s="9">
        <f>$A$14</f>
        <v>-30</v>
      </c>
      <c r="R17" s="9">
        <v>1.3167</v>
      </c>
      <c r="S17" s="9">
        <v>0.35510000000000003</v>
      </c>
      <c r="T17" s="9">
        <v>0.90380000000000005</v>
      </c>
      <c r="U17" s="9">
        <v>-0.41289999999999999</v>
      </c>
      <c r="V17" s="9">
        <v>1.2661</v>
      </c>
      <c r="W17" s="9">
        <v>0.6895</v>
      </c>
      <c r="X17" s="9">
        <v>0.39169999999999999</v>
      </c>
      <c r="Y17" s="9" t="s">
        <v>29</v>
      </c>
      <c r="Z17" s="9" t="s">
        <v>26</v>
      </c>
      <c r="AA17" s="10"/>
      <c r="AB17" s="8"/>
      <c r="AC17" s="10"/>
      <c r="AD17" s="8"/>
      <c r="AE17" s="10"/>
      <c r="AF17" s="17"/>
      <c r="AG17" s="10"/>
      <c r="AH17" s="17"/>
      <c r="AI17" s="17"/>
      <c r="AJ17" s="11"/>
    </row>
    <row r="18" spans="1:38" x14ac:dyDescent="0.25">
      <c r="I18" s="124"/>
      <c r="J18" s="5" t="str">
        <f>_xlfn.CONCAT(I17,"b")</f>
        <v>SC-02b</v>
      </c>
      <c r="K18" s="5"/>
      <c r="L18" s="5">
        <f t="shared" ref="L18:L29" si="4">L19+2</f>
        <v>28.16</v>
      </c>
      <c r="M18" s="6">
        <f>M17</f>
        <v>-1.8682573258309088</v>
      </c>
      <c r="N18" s="6">
        <f t="shared" ref="N18:N81" si="5">L18*COS(RADIANS(M18))-1.5</f>
        <v>26.645031016910139</v>
      </c>
      <c r="O18" s="6">
        <v>7.49</v>
      </c>
      <c r="P18" s="6">
        <v>-3.75</v>
      </c>
      <c r="Q18" s="6">
        <f>$A$14</f>
        <v>-30</v>
      </c>
      <c r="R18" s="6">
        <v>1.2202</v>
      </c>
      <c r="S18" s="6">
        <v>0.371</v>
      </c>
      <c r="T18" s="6">
        <v>0.74939999999999996</v>
      </c>
      <c r="U18" s="6">
        <v>-0.47260000000000002</v>
      </c>
      <c r="V18" s="6">
        <v>1.2727999999999999</v>
      </c>
      <c r="W18" s="6">
        <v>0.87329999999999997</v>
      </c>
      <c r="X18" s="6">
        <v>0.37459999999999999</v>
      </c>
      <c r="Y18" s="6" t="s">
        <v>29</v>
      </c>
      <c r="Z18" s="6" t="s">
        <v>26</v>
      </c>
      <c r="AA18" s="7"/>
      <c r="AB18" s="5"/>
      <c r="AC18" s="7"/>
      <c r="AD18" s="5"/>
      <c r="AE18" s="7"/>
      <c r="AF18" s="18"/>
      <c r="AG18" s="7"/>
      <c r="AH18" s="18"/>
      <c r="AI18" s="18"/>
      <c r="AJ18" s="12"/>
    </row>
    <row r="19" spans="1:38" x14ac:dyDescent="0.25">
      <c r="A19" s="3" t="s">
        <v>7</v>
      </c>
      <c r="I19" s="124"/>
      <c r="J19" s="5" t="str">
        <f>_xlfn.CONCAT(I17,"c")</f>
        <v>SC-02c</v>
      </c>
      <c r="K19" s="5"/>
      <c r="L19" s="5">
        <f t="shared" si="4"/>
        <v>26.16</v>
      </c>
      <c r="M19" s="6">
        <f t="shared" ref="M19:M30" si="6">M18</f>
        <v>-1.8682573258309088</v>
      </c>
      <c r="N19" s="6">
        <f t="shared" si="5"/>
        <v>24.64609415491368</v>
      </c>
      <c r="O19" s="6">
        <v>7.45</v>
      </c>
      <c r="P19" s="6">
        <v>-3.6400000000000006</v>
      </c>
      <c r="Q19" s="6">
        <f t="shared" ref="Q19:Q30" si="7">$A$14</f>
        <v>-30</v>
      </c>
      <c r="R19" s="6">
        <v>1.0855999999999999</v>
      </c>
      <c r="S19" s="6">
        <v>0.4859</v>
      </c>
      <c r="T19" s="6">
        <v>0.52829999999999999</v>
      </c>
      <c r="U19" s="6">
        <v>0.55730000000000002</v>
      </c>
      <c r="V19" s="6">
        <v>1.0517000000000001</v>
      </c>
      <c r="W19" s="6">
        <v>0.92159999999999997</v>
      </c>
      <c r="X19" s="6">
        <v>0.32269999999999999</v>
      </c>
      <c r="Y19" s="6" t="s">
        <v>30</v>
      </c>
      <c r="Z19" s="6" t="s">
        <v>26</v>
      </c>
      <c r="AA19" s="7"/>
      <c r="AB19" s="5"/>
      <c r="AC19" s="7"/>
      <c r="AD19" s="5"/>
      <c r="AE19" s="7"/>
      <c r="AF19" s="18"/>
      <c r="AG19" s="7"/>
      <c r="AH19" s="18"/>
      <c r="AI19" s="18"/>
      <c r="AJ19" s="12"/>
    </row>
    <row r="20" spans="1:38" x14ac:dyDescent="0.25">
      <c r="A20" s="3">
        <f>114.3/2/1000</f>
        <v>5.7149999999999999E-2</v>
      </c>
      <c r="I20" s="124"/>
      <c r="J20" s="5" t="str">
        <f>_xlfn.CONCAT(I17,"d")</f>
        <v>SC-02d</v>
      </c>
      <c r="K20" s="5"/>
      <c r="L20" s="5">
        <f t="shared" si="4"/>
        <v>24.16</v>
      </c>
      <c r="M20" s="6">
        <f t="shared" si="6"/>
        <v>-1.8682573258309088</v>
      </c>
      <c r="N20" s="6">
        <f t="shared" si="5"/>
        <v>22.647157292917221</v>
      </c>
      <c r="O20" s="6">
        <v>7.41</v>
      </c>
      <c r="P20" s="6">
        <v>-3.4600000000000009</v>
      </c>
      <c r="Q20" s="6">
        <f t="shared" si="7"/>
        <v>-30</v>
      </c>
      <c r="R20" s="6">
        <v>0.96309999999999996</v>
      </c>
      <c r="S20" s="6">
        <v>0.35930000000000001</v>
      </c>
      <c r="T20" s="6">
        <v>0.58950000000000002</v>
      </c>
      <c r="U20" s="6">
        <v>-0.376</v>
      </c>
      <c r="V20" s="6">
        <v>1.0690999999999999</v>
      </c>
      <c r="W20" s="6">
        <v>0.87370000000000003</v>
      </c>
      <c r="X20" s="6">
        <v>0.31480000000000002</v>
      </c>
      <c r="Y20" s="6" t="s">
        <v>30</v>
      </c>
      <c r="Z20" s="6" t="s">
        <v>26</v>
      </c>
      <c r="AA20" s="7"/>
      <c r="AB20" s="5"/>
      <c r="AC20" s="7"/>
      <c r="AD20" s="5"/>
      <c r="AE20" s="7"/>
      <c r="AF20" s="18"/>
      <c r="AG20" s="7"/>
      <c r="AH20" s="18"/>
      <c r="AI20" s="18"/>
      <c r="AJ20" s="12"/>
    </row>
    <row r="21" spans="1:38" x14ac:dyDescent="0.25">
      <c r="I21" s="124"/>
      <c r="J21" s="5" t="str">
        <f>_xlfn.CONCAT(I17,"e")</f>
        <v>SC-02e</v>
      </c>
      <c r="K21" s="5"/>
      <c r="L21" s="5">
        <f t="shared" si="4"/>
        <v>22.16</v>
      </c>
      <c r="M21" s="6">
        <f t="shared" si="6"/>
        <v>-1.8682573258309088</v>
      </c>
      <c r="N21" s="6">
        <f t="shared" si="5"/>
        <v>20.648220430920762</v>
      </c>
      <c r="O21" s="6">
        <v>7.37</v>
      </c>
      <c r="P21" s="6">
        <v>-3.6000000000000014</v>
      </c>
      <c r="Q21" s="6">
        <f t="shared" si="7"/>
        <v>-30</v>
      </c>
      <c r="R21" s="6">
        <v>0.89990000000000003</v>
      </c>
      <c r="S21" s="6">
        <v>0.36820000000000003</v>
      </c>
      <c r="T21" s="6">
        <v>0.60419999999999996</v>
      </c>
      <c r="U21" s="6">
        <v>-0.29430000000000001</v>
      </c>
      <c r="V21" s="6">
        <v>1.0842000000000001</v>
      </c>
      <c r="W21" s="6">
        <v>0.81869999999999998</v>
      </c>
      <c r="X21" s="6">
        <v>0.34620000000000001</v>
      </c>
      <c r="Y21" s="6" t="s">
        <v>30</v>
      </c>
      <c r="Z21" s="6" t="s">
        <v>26</v>
      </c>
      <c r="AA21" s="7"/>
      <c r="AB21" s="5"/>
      <c r="AC21" s="7"/>
      <c r="AD21" s="5"/>
      <c r="AE21" s="7"/>
      <c r="AF21" s="18"/>
      <c r="AG21" s="7"/>
      <c r="AH21" s="18"/>
      <c r="AI21" s="18"/>
      <c r="AJ21" s="12"/>
    </row>
    <row r="22" spans="1:38" x14ac:dyDescent="0.25">
      <c r="A22" s="3"/>
      <c r="I22" s="124"/>
      <c r="J22" s="5" t="str">
        <f>_xlfn.CONCAT(I17,"f")</f>
        <v>SC-02f</v>
      </c>
      <c r="K22" s="5"/>
      <c r="L22" s="5">
        <f t="shared" si="4"/>
        <v>20.16</v>
      </c>
      <c r="M22" s="6">
        <f t="shared" si="6"/>
        <v>-1.8682573258309088</v>
      </c>
      <c r="N22" s="6">
        <f t="shared" si="5"/>
        <v>18.649283568924304</v>
      </c>
      <c r="O22" s="6">
        <v>7.33</v>
      </c>
      <c r="P22" s="6">
        <v>-3.629999999999999</v>
      </c>
      <c r="Q22" s="6">
        <f t="shared" si="7"/>
        <v>-30</v>
      </c>
      <c r="R22" s="6">
        <v>0.93469999999999998</v>
      </c>
      <c r="S22" s="6">
        <v>0.35870000000000002</v>
      </c>
      <c r="T22" s="6">
        <v>0.7399</v>
      </c>
      <c r="U22" s="6">
        <v>-0.2019</v>
      </c>
      <c r="V22" s="6">
        <v>0.88739999999999997</v>
      </c>
      <c r="W22" s="6">
        <v>0.5978</v>
      </c>
      <c r="X22" s="6">
        <v>0.48070000000000002</v>
      </c>
      <c r="Y22" s="6" t="s">
        <v>30</v>
      </c>
      <c r="Z22" s="6" t="s">
        <v>26</v>
      </c>
      <c r="AA22" s="7"/>
      <c r="AB22" s="5"/>
      <c r="AC22" s="7"/>
      <c r="AD22" s="5"/>
      <c r="AE22" s="7"/>
      <c r="AF22" s="18"/>
      <c r="AG22" s="7"/>
      <c r="AH22" s="18"/>
      <c r="AI22" s="18"/>
      <c r="AJ22" s="12"/>
    </row>
    <row r="23" spans="1:38" x14ac:dyDescent="0.25">
      <c r="A23" s="3"/>
      <c r="I23" s="124"/>
      <c r="J23" s="5" t="str">
        <f>_xlfn.CONCAT(I17,"g")</f>
        <v>SC-02g</v>
      </c>
      <c r="K23" s="5"/>
      <c r="L23" s="5">
        <f t="shared" si="4"/>
        <v>18.16</v>
      </c>
      <c r="M23" s="6">
        <f t="shared" si="6"/>
        <v>-1.8682573258309088</v>
      </c>
      <c r="N23" s="6">
        <f t="shared" si="5"/>
        <v>16.650346706927845</v>
      </c>
      <c r="O23" s="6">
        <v>7.28</v>
      </c>
      <c r="P23" s="6">
        <v>-3.6099999999999994</v>
      </c>
      <c r="Q23" s="6">
        <f t="shared" si="7"/>
        <v>-30</v>
      </c>
      <c r="R23" s="6">
        <v>1.0755999999999999</v>
      </c>
      <c r="S23" s="6">
        <v>0.35460000000000003</v>
      </c>
      <c r="T23" s="6">
        <v>0.75329999999999997</v>
      </c>
      <c r="U23" s="6">
        <v>-0.32219999999999999</v>
      </c>
      <c r="V23" s="6">
        <v>0.92530000000000001</v>
      </c>
      <c r="W23" s="6">
        <v>0.63</v>
      </c>
      <c r="X23" s="6">
        <v>0.38150000000000001</v>
      </c>
      <c r="Y23" s="6" t="s">
        <v>30</v>
      </c>
      <c r="Z23" s="6" t="s">
        <v>26</v>
      </c>
      <c r="AA23" s="7"/>
      <c r="AB23" s="5"/>
      <c r="AC23" s="7"/>
      <c r="AD23" s="5"/>
      <c r="AE23" s="7"/>
      <c r="AF23" s="18"/>
      <c r="AG23" s="7"/>
      <c r="AH23" s="18"/>
      <c r="AI23" s="18"/>
      <c r="AJ23" s="12"/>
    </row>
    <row r="24" spans="1:38" x14ac:dyDescent="0.25">
      <c r="A24" s="3"/>
      <c r="I24" s="124"/>
      <c r="J24" s="5" t="str">
        <f>_xlfn.CONCAT(I17,"h")</f>
        <v>SC-02h</v>
      </c>
      <c r="K24" s="5"/>
      <c r="L24" s="5">
        <f t="shared" si="4"/>
        <v>16.16</v>
      </c>
      <c r="M24" s="6">
        <f t="shared" si="6"/>
        <v>-1.8682573258309088</v>
      </c>
      <c r="N24" s="6">
        <f t="shared" si="5"/>
        <v>14.651409844931386</v>
      </c>
      <c r="O24" s="6">
        <v>7.22</v>
      </c>
      <c r="P24" s="6">
        <v>-3.629999999999999</v>
      </c>
      <c r="Q24" s="6">
        <f t="shared" si="7"/>
        <v>-30</v>
      </c>
      <c r="R24" s="6">
        <v>1.2548999999999999</v>
      </c>
      <c r="S24" s="6">
        <v>0.34279999999999999</v>
      </c>
      <c r="T24" s="6">
        <v>0.72330000000000005</v>
      </c>
      <c r="U24" s="6">
        <v>-0.56079999999999997</v>
      </c>
      <c r="V24" s="6">
        <v>0.96319999999999995</v>
      </c>
      <c r="W24" s="6">
        <v>0.76570000000000005</v>
      </c>
      <c r="X24" s="6">
        <v>0.29530000000000001</v>
      </c>
      <c r="Y24" s="6" t="s">
        <v>30</v>
      </c>
      <c r="Z24" s="6" t="s">
        <v>26</v>
      </c>
      <c r="AA24" s="7"/>
      <c r="AB24" s="5"/>
      <c r="AC24" s="7"/>
      <c r="AD24" s="5"/>
      <c r="AE24" s="7"/>
      <c r="AF24" s="18"/>
      <c r="AG24" s="7"/>
      <c r="AH24" s="18"/>
      <c r="AI24" s="18"/>
      <c r="AJ24" s="12"/>
    </row>
    <row r="25" spans="1:38" x14ac:dyDescent="0.25">
      <c r="A25" s="3"/>
      <c r="I25" s="124"/>
      <c r="J25" s="5" t="str">
        <f>_xlfn.CONCAT(I17,"i")</f>
        <v>SC-02i</v>
      </c>
      <c r="K25" s="5"/>
      <c r="L25" s="5">
        <f t="shared" si="4"/>
        <v>14.16</v>
      </c>
      <c r="M25" s="6">
        <f t="shared" si="6"/>
        <v>-1.8682573258309088</v>
      </c>
      <c r="N25" s="6">
        <f t="shared" si="5"/>
        <v>12.652472982934928</v>
      </c>
      <c r="O25" s="6">
        <v>7.15</v>
      </c>
      <c r="P25" s="6">
        <v>-3.5500000000000007</v>
      </c>
      <c r="Q25" s="6">
        <f t="shared" si="7"/>
        <v>-30</v>
      </c>
      <c r="R25" s="6">
        <v>1.3204</v>
      </c>
      <c r="S25" s="6">
        <v>0.3836</v>
      </c>
      <c r="T25" s="6">
        <v>0.59209999999999996</v>
      </c>
      <c r="U25" s="6">
        <v>-0.73440000000000005</v>
      </c>
      <c r="V25" s="6">
        <v>0.99219999999999997</v>
      </c>
      <c r="W25" s="6">
        <v>0.76619999999999999</v>
      </c>
      <c r="X25" s="6">
        <v>0.23019999999999999</v>
      </c>
      <c r="Y25" s="6" t="s">
        <v>30</v>
      </c>
      <c r="Z25" s="6" t="s">
        <v>26</v>
      </c>
      <c r="AA25" s="7"/>
      <c r="AB25" s="5"/>
      <c r="AC25" s="7"/>
      <c r="AD25" s="5"/>
      <c r="AE25" s="7"/>
      <c r="AF25" s="18"/>
      <c r="AG25" s="7"/>
      <c r="AH25" s="18"/>
      <c r="AI25" s="18"/>
      <c r="AJ25" s="12"/>
      <c r="AL25" s="22"/>
    </row>
    <row r="26" spans="1:38" x14ac:dyDescent="0.25">
      <c r="A26" s="3"/>
      <c r="I26" s="124"/>
      <c r="J26" s="5" t="str">
        <f>_xlfn.CONCAT(I17,"j")</f>
        <v>SC-02j</v>
      </c>
      <c r="K26" s="5"/>
      <c r="L26" s="5">
        <f t="shared" si="4"/>
        <v>12.16</v>
      </c>
      <c r="M26" s="6">
        <f t="shared" si="6"/>
        <v>-1.8682573258309088</v>
      </c>
      <c r="N26" s="6">
        <f t="shared" si="5"/>
        <v>10.653536120938469</v>
      </c>
      <c r="O26" s="6">
        <v>7.08</v>
      </c>
      <c r="P26" s="6">
        <v>-3.5399999999999991</v>
      </c>
      <c r="Q26" s="6">
        <f t="shared" si="7"/>
        <v>-30</v>
      </c>
      <c r="R26" s="6">
        <v>1.3351999999999999</v>
      </c>
      <c r="S26" s="6">
        <v>0.39250000000000002</v>
      </c>
      <c r="T26" s="6">
        <v>0.5272</v>
      </c>
      <c r="U26" s="6">
        <v>-0.80459999999999998</v>
      </c>
      <c r="V26" s="6">
        <v>1.0122</v>
      </c>
      <c r="W26" s="6">
        <v>0.85680000000000001</v>
      </c>
      <c r="X26" s="6">
        <v>0.1239</v>
      </c>
      <c r="Y26" s="6" t="s">
        <v>30</v>
      </c>
      <c r="Z26" s="6" t="s">
        <v>26</v>
      </c>
      <c r="AA26" s="7"/>
      <c r="AB26" s="5"/>
      <c r="AC26" s="7"/>
      <c r="AD26" s="5"/>
      <c r="AE26" s="7"/>
      <c r="AF26" s="18"/>
      <c r="AG26" s="7"/>
      <c r="AH26" s="18"/>
      <c r="AI26" s="18"/>
      <c r="AJ26" s="12"/>
      <c r="AL26" s="22"/>
    </row>
    <row r="27" spans="1:38" x14ac:dyDescent="0.25">
      <c r="I27" s="124"/>
      <c r="J27" s="5" t="str">
        <f>_xlfn.CONCAT(I17,"k")</f>
        <v>SC-02k</v>
      </c>
      <c r="K27" s="5"/>
      <c r="L27" s="5">
        <f t="shared" si="4"/>
        <v>10.16</v>
      </c>
      <c r="M27" s="6">
        <f t="shared" si="6"/>
        <v>-1.8682573258309088</v>
      </c>
      <c r="N27" s="6">
        <f t="shared" si="5"/>
        <v>8.6545992589420102</v>
      </c>
      <c r="O27" s="6">
        <v>7.01</v>
      </c>
      <c r="P27" s="6">
        <v>-3.5399999999999991</v>
      </c>
      <c r="Q27" s="6">
        <f t="shared" si="7"/>
        <v>-30</v>
      </c>
      <c r="R27" s="6">
        <v>1.3230999999999999</v>
      </c>
      <c r="S27" s="6">
        <v>0.41189999999999999</v>
      </c>
      <c r="T27" s="6">
        <v>0.52980000000000005</v>
      </c>
      <c r="U27" s="6">
        <v>-0.79379999999999995</v>
      </c>
      <c r="V27" s="6">
        <v>1.0239</v>
      </c>
      <c r="W27" s="6">
        <v>0.84309999999999996</v>
      </c>
      <c r="X27" s="6">
        <v>4.7500000000000001E-2</v>
      </c>
      <c r="Y27" s="6" t="s">
        <v>30</v>
      </c>
      <c r="Z27" s="6" t="s">
        <v>26</v>
      </c>
      <c r="AA27" s="7"/>
      <c r="AB27" s="5"/>
      <c r="AC27" s="7"/>
      <c r="AD27" s="5"/>
      <c r="AE27" s="7"/>
      <c r="AF27" s="18"/>
      <c r="AG27" s="7"/>
      <c r="AH27" s="18"/>
      <c r="AI27" s="18"/>
      <c r="AJ27" s="12"/>
      <c r="AL27" s="22"/>
    </row>
    <row r="28" spans="1:38" x14ac:dyDescent="0.25">
      <c r="I28" s="124"/>
      <c r="J28" s="5" t="str">
        <f>_xlfn.CONCAT(I17,"l")</f>
        <v>SC-02l</v>
      </c>
      <c r="K28" s="5"/>
      <c r="L28" s="5">
        <f t="shared" si="4"/>
        <v>8.16</v>
      </c>
      <c r="M28" s="6">
        <f t="shared" si="6"/>
        <v>-1.8682573258309088</v>
      </c>
      <c r="N28" s="6">
        <f t="shared" si="5"/>
        <v>6.6556623969455515</v>
      </c>
      <c r="O28" s="6">
        <v>6.93</v>
      </c>
      <c r="P28" s="6">
        <v>-3.5199999999999996</v>
      </c>
      <c r="Q28" s="6">
        <f t="shared" si="7"/>
        <v>-30</v>
      </c>
      <c r="R28" s="6">
        <v>1.2892999999999999</v>
      </c>
      <c r="S28" s="6">
        <v>0.44679999999999997</v>
      </c>
      <c r="T28" s="6">
        <v>0.41689999999999999</v>
      </c>
      <c r="U28" s="6">
        <v>-0.87239999999999995</v>
      </c>
      <c r="V28" s="6">
        <v>1.0279</v>
      </c>
      <c r="W28" s="6">
        <v>0.90369999999999995</v>
      </c>
      <c r="X28" s="6" t="s">
        <v>4</v>
      </c>
      <c r="Y28" s="6" t="s">
        <v>30</v>
      </c>
      <c r="Z28" s="6" t="s">
        <v>28</v>
      </c>
      <c r="AA28" s="7"/>
      <c r="AB28" s="5"/>
      <c r="AC28" s="7"/>
      <c r="AD28" s="5"/>
      <c r="AE28" s="7"/>
      <c r="AF28" s="18"/>
      <c r="AG28" s="7"/>
      <c r="AH28" s="18"/>
      <c r="AI28" s="18"/>
      <c r="AJ28" s="12"/>
      <c r="AL28" s="22"/>
    </row>
    <row r="29" spans="1:38" x14ac:dyDescent="0.25">
      <c r="I29" s="124"/>
      <c r="J29" s="5" t="str">
        <f>_xlfn.CONCAT(I17,"m")</f>
        <v>SC-02m</v>
      </c>
      <c r="K29" s="5"/>
      <c r="L29" s="5">
        <f t="shared" si="4"/>
        <v>6.16</v>
      </c>
      <c r="M29" s="6">
        <f t="shared" si="6"/>
        <v>-1.8682573258309088</v>
      </c>
      <c r="N29" s="6">
        <f t="shared" si="5"/>
        <v>4.6567255349490928</v>
      </c>
      <c r="O29" s="6">
        <v>6.84</v>
      </c>
      <c r="P29" s="6">
        <v>-3.5100000000000016</v>
      </c>
      <c r="Q29" s="6">
        <f t="shared" si="7"/>
        <v>-30</v>
      </c>
      <c r="R29" s="6">
        <v>1.2408999999999999</v>
      </c>
      <c r="S29" s="6">
        <v>0.47649999999999998</v>
      </c>
      <c r="T29" s="6">
        <v>0.32240000000000002</v>
      </c>
      <c r="U29" s="6">
        <v>-0.91849999999999998</v>
      </c>
      <c r="V29" s="6">
        <v>1.0249999999999999</v>
      </c>
      <c r="W29" s="6">
        <v>0.90229999999999999</v>
      </c>
      <c r="X29" s="6" t="s">
        <v>4</v>
      </c>
      <c r="Y29" s="6" t="s">
        <v>30</v>
      </c>
      <c r="Z29" s="6" t="s">
        <v>28</v>
      </c>
      <c r="AA29" s="7"/>
      <c r="AB29" s="5"/>
      <c r="AC29" s="7"/>
      <c r="AD29" s="5"/>
      <c r="AE29" s="7"/>
      <c r="AF29" s="18"/>
      <c r="AG29" s="7"/>
      <c r="AH29" s="18"/>
      <c r="AI29" s="18"/>
      <c r="AJ29" s="12"/>
      <c r="AL29" s="22"/>
    </row>
    <row r="30" spans="1:38" x14ac:dyDescent="0.25">
      <c r="C30" s="4"/>
      <c r="I30" s="124"/>
      <c r="J30" s="5" t="str">
        <f>_xlfn.CONCAT(I17,"n")</f>
        <v>SC-02n</v>
      </c>
      <c r="K30" s="5"/>
      <c r="L30" s="5">
        <f>L31+2</f>
        <v>4.16</v>
      </c>
      <c r="M30" s="6">
        <f t="shared" si="6"/>
        <v>-1.8682573258309088</v>
      </c>
      <c r="N30" s="6">
        <f t="shared" si="5"/>
        <v>2.6577886729526341</v>
      </c>
      <c r="O30" s="6">
        <v>6.75</v>
      </c>
      <c r="P30" s="6">
        <v>-3.3599999999999994</v>
      </c>
      <c r="Q30" s="6">
        <f t="shared" si="7"/>
        <v>-30</v>
      </c>
      <c r="R30" s="6">
        <v>1.1873</v>
      </c>
      <c r="S30" s="6">
        <v>0.51549999999999996</v>
      </c>
      <c r="T30" s="6">
        <v>0.19409999999999999</v>
      </c>
      <c r="U30" s="6">
        <v>-0.99750000000000005</v>
      </c>
      <c r="V30" s="6">
        <v>1.0173000000000001</v>
      </c>
      <c r="W30" s="6">
        <v>0.98309999999999997</v>
      </c>
      <c r="X30" s="6" t="s">
        <v>4</v>
      </c>
      <c r="Y30" s="6" t="s">
        <v>30</v>
      </c>
      <c r="Z30" s="6" t="s">
        <v>28</v>
      </c>
      <c r="AA30" s="7"/>
      <c r="AB30" s="5"/>
      <c r="AC30" s="7"/>
      <c r="AD30" s="5"/>
      <c r="AE30" s="7"/>
      <c r="AF30" s="18"/>
      <c r="AG30" s="7"/>
      <c r="AH30" s="18"/>
      <c r="AI30" s="18"/>
      <c r="AJ30" s="12"/>
      <c r="AL30" s="22"/>
    </row>
    <row r="31" spans="1:38" ht="15.75" thickBot="1" x14ac:dyDescent="0.3">
      <c r="I31" s="125"/>
      <c r="J31" s="13" t="str">
        <f>_xlfn.CONCAT(I17,"o")</f>
        <v>SC-02o</v>
      </c>
      <c r="K31" s="13"/>
      <c r="L31" s="13">
        <v>2.16</v>
      </c>
      <c r="M31" s="14">
        <f>M30</f>
        <v>-1.8682573258309088</v>
      </c>
      <c r="N31" s="14">
        <f t="shared" si="5"/>
        <v>0.6588518109561754</v>
      </c>
      <c r="O31" s="14">
        <v>6.66</v>
      </c>
      <c r="P31" s="6">
        <v>-3.2699999999999996</v>
      </c>
      <c r="Q31" s="14">
        <f>$A$14</f>
        <v>-30</v>
      </c>
      <c r="R31" s="14">
        <v>1.1186</v>
      </c>
      <c r="S31" s="14">
        <v>0.54020000000000001</v>
      </c>
      <c r="T31" s="14">
        <v>6.5199999999999994E-2</v>
      </c>
      <c r="U31" s="14">
        <v>-1.0547</v>
      </c>
      <c r="V31" s="14">
        <v>1.0076000000000001</v>
      </c>
      <c r="W31" s="14">
        <v>0.97</v>
      </c>
      <c r="X31" s="14" t="s">
        <v>4</v>
      </c>
      <c r="Y31" s="14" t="s">
        <v>30</v>
      </c>
      <c r="Z31" s="14" t="s">
        <v>28</v>
      </c>
      <c r="AA31" s="15"/>
      <c r="AB31" s="13"/>
      <c r="AC31" s="15"/>
      <c r="AD31" s="13"/>
      <c r="AE31" s="15"/>
      <c r="AF31" s="19"/>
      <c r="AG31" s="15"/>
      <c r="AH31" s="19"/>
      <c r="AI31" s="19"/>
      <c r="AJ31" s="16"/>
      <c r="AL31" s="22"/>
    </row>
    <row r="32" spans="1:38" x14ac:dyDescent="0.25">
      <c r="I32" s="123" t="s">
        <v>9</v>
      </c>
      <c r="J32" s="8" t="str">
        <f>_xlfn.CONCAT(I32,"a")</f>
        <v>SC-03a</v>
      </c>
      <c r="K32" s="8"/>
      <c r="L32" s="8">
        <f t="shared" ref="L32:L44" si="8">L33+2</f>
        <v>29.95</v>
      </c>
      <c r="M32" s="9">
        <f>DEGREES(ASIN((6.54-7.66)/(1.95+2*13+1.9)))</f>
        <v>-2.1502961321130249</v>
      </c>
      <c r="N32" s="9">
        <f t="shared" si="5"/>
        <v>28.428910458479354</v>
      </c>
      <c r="O32" s="9">
        <v>7.66</v>
      </c>
      <c r="P32" s="35">
        <v>-12.61</v>
      </c>
      <c r="Q32" s="9">
        <f>$A$14</f>
        <v>-30</v>
      </c>
      <c r="R32" s="9">
        <v>1.0048999999999999</v>
      </c>
      <c r="S32" s="9">
        <v>1.0738000000000001</v>
      </c>
      <c r="T32" s="9">
        <v>0.91010000000000002</v>
      </c>
      <c r="U32" s="9">
        <v>-9.1899999999999996E-2</v>
      </c>
      <c r="V32" s="9">
        <v>1.3022</v>
      </c>
      <c r="W32" s="9">
        <v>0.94010000000000005</v>
      </c>
      <c r="X32" s="9">
        <v>0.03</v>
      </c>
      <c r="Y32" s="9" t="s">
        <v>29</v>
      </c>
      <c r="Z32" s="9" t="s">
        <v>26</v>
      </c>
      <c r="AA32" s="10"/>
      <c r="AB32" s="8"/>
      <c r="AC32" s="10"/>
      <c r="AD32" s="8"/>
      <c r="AE32" s="10"/>
      <c r="AF32" s="17"/>
      <c r="AG32" s="10"/>
      <c r="AH32" s="17"/>
      <c r="AI32" s="17"/>
      <c r="AJ32" s="11"/>
    </row>
    <row r="33" spans="9:38" x14ac:dyDescent="0.25">
      <c r="I33" s="124"/>
      <c r="J33" s="5" t="str">
        <f>_xlfn.CONCAT(I32,"b")</f>
        <v>SC-03b</v>
      </c>
      <c r="K33" s="5"/>
      <c r="L33" s="5">
        <f t="shared" si="8"/>
        <v>27.95</v>
      </c>
      <c r="M33" s="6">
        <f>DEGREES(ASIN((6.54-7.66)/(1.95+2*13+1.9)))</f>
        <v>-2.1502961321130249</v>
      </c>
      <c r="N33" s="6">
        <f t="shared" si="5"/>
        <v>26.430318775108447</v>
      </c>
      <c r="O33" s="6">
        <v>7.6</v>
      </c>
      <c r="P33" s="6">
        <v>-13.75</v>
      </c>
      <c r="Q33" s="6">
        <f>$A$14</f>
        <v>-30</v>
      </c>
      <c r="R33" s="6">
        <v>0.85580000000000001</v>
      </c>
      <c r="S33" s="6">
        <v>1.0161</v>
      </c>
      <c r="T33" s="6">
        <v>1.1106</v>
      </c>
      <c r="U33" s="6">
        <v>0.2591</v>
      </c>
      <c r="V33" s="6">
        <v>1.2835000000000001</v>
      </c>
      <c r="W33" s="6">
        <v>1.1520999999999999</v>
      </c>
      <c r="X33" s="6" t="s">
        <v>4</v>
      </c>
      <c r="Y33" s="6" t="s">
        <v>29</v>
      </c>
      <c r="Z33" s="6" t="s">
        <v>28</v>
      </c>
      <c r="AA33" s="7"/>
      <c r="AB33" s="31"/>
      <c r="AC33" s="7"/>
      <c r="AD33" s="31"/>
      <c r="AE33" s="7"/>
      <c r="AF33" s="32"/>
      <c r="AG33" s="7"/>
      <c r="AH33" s="32"/>
      <c r="AI33" s="32"/>
      <c r="AJ33" s="64"/>
    </row>
    <row r="34" spans="9:38" x14ac:dyDescent="0.25">
      <c r="I34" s="124"/>
      <c r="J34" s="5" t="str">
        <f>_xlfn.CONCAT(I32,"c")</f>
        <v>SC-03c</v>
      </c>
      <c r="K34" s="5"/>
      <c r="L34" s="5">
        <f t="shared" si="8"/>
        <v>25.95</v>
      </c>
      <c r="M34" s="6">
        <f t="shared" ref="M34:M46" si="9">DEGREES(ASIN((6.54-7.66)/(1.95+2*13+1.9)))</f>
        <v>-2.1502961321130249</v>
      </c>
      <c r="N34" s="6">
        <f t="shared" si="5"/>
        <v>24.431727091737539</v>
      </c>
      <c r="O34" s="6">
        <v>7.54</v>
      </c>
      <c r="P34" s="6">
        <v>-13.66</v>
      </c>
      <c r="Q34" s="6">
        <f t="shared" ref="Q34:Q45" si="10">$A$14</f>
        <v>-30</v>
      </c>
      <c r="R34" s="6">
        <v>0.69720000000000004</v>
      </c>
      <c r="S34" s="6">
        <v>1.0136000000000001</v>
      </c>
      <c r="T34" s="6">
        <v>1.0523</v>
      </c>
      <c r="U34" s="6">
        <v>0.36</v>
      </c>
      <c r="V34" s="6">
        <v>1.2612000000000001</v>
      </c>
      <c r="W34" s="6">
        <v>0.95820000000000005</v>
      </c>
      <c r="X34" s="6" t="s">
        <v>4</v>
      </c>
      <c r="Y34" s="6" t="s">
        <v>29</v>
      </c>
      <c r="Z34" s="6" t="s">
        <v>28</v>
      </c>
      <c r="AA34" s="7"/>
      <c r="AB34" s="31"/>
      <c r="AC34" s="7"/>
      <c r="AD34" s="31"/>
      <c r="AE34" s="7"/>
      <c r="AF34" s="32"/>
      <c r="AG34" s="7"/>
      <c r="AH34" s="32"/>
      <c r="AI34" s="32"/>
      <c r="AJ34" s="64"/>
    </row>
    <row r="35" spans="9:38" x14ac:dyDescent="0.25">
      <c r="I35" s="124"/>
      <c r="J35" s="5" t="str">
        <f>_xlfn.CONCAT(I32,"d")</f>
        <v>SC-03d</v>
      </c>
      <c r="K35" s="5"/>
      <c r="L35" s="5">
        <f t="shared" si="8"/>
        <v>23.95</v>
      </c>
      <c r="M35" s="6">
        <f t="shared" si="9"/>
        <v>-2.1502961321130249</v>
      </c>
      <c r="N35" s="6">
        <f t="shared" si="5"/>
        <v>22.433135408366628</v>
      </c>
      <c r="O35" s="6">
        <v>7.47</v>
      </c>
      <c r="P35" s="6">
        <v>-13.469999999999999</v>
      </c>
      <c r="Q35" s="6">
        <f t="shared" si="10"/>
        <v>-30</v>
      </c>
      <c r="R35" s="6">
        <v>0.56840000000000002</v>
      </c>
      <c r="S35" s="6">
        <v>0.90239999999999998</v>
      </c>
      <c r="T35" s="6">
        <v>0.92400000000000004</v>
      </c>
      <c r="U35" s="6">
        <v>0.35570000000000002</v>
      </c>
      <c r="V35" s="6">
        <v>1.2238</v>
      </c>
      <c r="W35" s="6">
        <v>0.97940000000000005</v>
      </c>
      <c r="X35" s="6" t="s">
        <v>4</v>
      </c>
      <c r="Y35" s="6" t="s">
        <v>29</v>
      </c>
      <c r="Z35" s="6" t="s">
        <v>28</v>
      </c>
      <c r="AA35" s="7"/>
      <c r="AB35" s="31"/>
      <c r="AC35" s="7"/>
      <c r="AD35" s="31"/>
      <c r="AE35" s="7"/>
      <c r="AF35" s="32"/>
      <c r="AG35" s="7"/>
      <c r="AH35" s="32"/>
      <c r="AI35" s="32"/>
      <c r="AJ35" s="64"/>
    </row>
    <row r="36" spans="9:38" x14ac:dyDescent="0.25">
      <c r="I36" s="124"/>
      <c r="J36" s="5" t="str">
        <f>_xlfn.CONCAT(I32,"e")</f>
        <v>SC-03e</v>
      </c>
      <c r="K36" s="5"/>
      <c r="L36" s="5">
        <f t="shared" si="8"/>
        <v>21.95</v>
      </c>
      <c r="M36" s="6">
        <f t="shared" si="9"/>
        <v>-2.1502961321130249</v>
      </c>
      <c r="N36" s="6">
        <f t="shared" si="5"/>
        <v>20.43454372499572</v>
      </c>
      <c r="O36" s="6">
        <v>7.41</v>
      </c>
      <c r="P36" s="6">
        <v>-13.600000000000001</v>
      </c>
      <c r="Q36" s="6">
        <f t="shared" si="10"/>
        <v>-30</v>
      </c>
      <c r="R36" s="6">
        <v>0.50339999999999996</v>
      </c>
      <c r="S36" s="6">
        <v>0.87549999999999994</v>
      </c>
      <c r="T36" s="6">
        <v>0.83630000000000004</v>
      </c>
      <c r="U36" s="6">
        <v>0.33279999999999998</v>
      </c>
      <c r="V36" s="6">
        <v>1.2110000000000001</v>
      </c>
      <c r="W36" s="6">
        <v>0.98670000000000002</v>
      </c>
      <c r="X36" s="6" t="s">
        <v>4</v>
      </c>
      <c r="Y36" s="6" t="s">
        <v>30</v>
      </c>
      <c r="Z36" s="6" t="s">
        <v>28</v>
      </c>
      <c r="AA36" s="7"/>
      <c r="AB36" s="31"/>
      <c r="AC36" s="7"/>
      <c r="AD36" s="31"/>
      <c r="AE36" s="7"/>
      <c r="AF36" s="32"/>
      <c r="AG36" s="7"/>
      <c r="AH36" s="32"/>
      <c r="AI36" s="32"/>
      <c r="AJ36" s="64"/>
    </row>
    <row r="37" spans="9:38" x14ac:dyDescent="0.25">
      <c r="I37" s="124"/>
      <c r="J37" s="5" t="str">
        <f>_xlfn.CONCAT(I32,"f")</f>
        <v>SC-03f</v>
      </c>
      <c r="K37" s="5"/>
      <c r="L37" s="5">
        <f t="shared" si="8"/>
        <v>19.95</v>
      </c>
      <c r="M37" s="6">
        <f t="shared" si="9"/>
        <v>-2.1502961321130249</v>
      </c>
      <c r="N37" s="6">
        <f t="shared" si="5"/>
        <v>18.435952041624812</v>
      </c>
      <c r="O37" s="6">
        <v>7.34</v>
      </c>
      <c r="P37" s="6">
        <v>-13.629999999999999</v>
      </c>
      <c r="Q37" s="6">
        <f t="shared" si="10"/>
        <v>-30</v>
      </c>
      <c r="R37" s="6">
        <v>0.53090000000000004</v>
      </c>
      <c r="S37" s="6">
        <v>0.92249999999999999</v>
      </c>
      <c r="T37" s="6">
        <v>0.76280000000000003</v>
      </c>
      <c r="U37" s="6">
        <v>0.2319</v>
      </c>
      <c r="V37" s="6">
        <v>1.1859999999999999</v>
      </c>
      <c r="W37" s="6">
        <v>1.0045999999999999</v>
      </c>
      <c r="X37" s="6" t="s">
        <v>4</v>
      </c>
      <c r="Y37" s="6" t="s">
        <v>30</v>
      </c>
      <c r="Z37" s="6" t="s">
        <v>28</v>
      </c>
      <c r="AA37" s="7"/>
      <c r="AB37" s="5"/>
      <c r="AC37" s="7"/>
      <c r="AD37" s="5"/>
      <c r="AE37" s="7"/>
      <c r="AF37" s="18"/>
      <c r="AG37" s="7"/>
      <c r="AH37" s="18"/>
      <c r="AI37" s="18"/>
      <c r="AJ37" s="12"/>
    </row>
    <row r="38" spans="9:38" x14ac:dyDescent="0.25">
      <c r="I38" s="124"/>
      <c r="J38" s="5" t="str">
        <f>_xlfn.CONCAT(I32,"g")</f>
        <v>SC-03g</v>
      </c>
      <c r="K38" s="5"/>
      <c r="L38" s="5">
        <f t="shared" si="8"/>
        <v>17.95</v>
      </c>
      <c r="M38" s="6">
        <f t="shared" si="9"/>
        <v>-2.1502961321130249</v>
      </c>
      <c r="N38" s="6">
        <f t="shared" si="5"/>
        <v>16.437360358253905</v>
      </c>
      <c r="O38" s="6">
        <v>7.26</v>
      </c>
      <c r="P38" s="6">
        <v>-13.61</v>
      </c>
      <c r="Q38" s="6">
        <f t="shared" si="10"/>
        <v>-30</v>
      </c>
      <c r="R38" s="6">
        <v>0.63119999999999998</v>
      </c>
      <c r="S38" s="6">
        <v>0.77869999999999995</v>
      </c>
      <c r="T38" s="6">
        <v>0.68430000000000002</v>
      </c>
      <c r="U38" s="6">
        <v>5.7599999999999998E-2</v>
      </c>
      <c r="V38" s="6">
        <v>1.1595</v>
      </c>
      <c r="W38" s="6">
        <v>0.99860000000000004</v>
      </c>
      <c r="X38" s="6" t="s">
        <v>4</v>
      </c>
      <c r="Y38" s="6" t="s">
        <v>30</v>
      </c>
      <c r="Z38" s="6" t="s">
        <v>28</v>
      </c>
      <c r="AA38" s="7"/>
      <c r="AB38" s="5"/>
      <c r="AC38" s="7"/>
      <c r="AD38" s="5"/>
      <c r="AE38" s="7"/>
      <c r="AF38" s="18"/>
      <c r="AG38" s="7"/>
      <c r="AH38" s="18"/>
      <c r="AI38" s="18"/>
      <c r="AJ38" s="12"/>
    </row>
    <row r="39" spans="9:38" x14ac:dyDescent="0.25">
      <c r="I39" s="124"/>
      <c r="J39" s="5" t="str">
        <f>_xlfn.CONCAT(I32,"h")</f>
        <v>SC-03h</v>
      </c>
      <c r="K39" s="5"/>
      <c r="L39" s="5">
        <f t="shared" si="8"/>
        <v>15.95</v>
      </c>
      <c r="M39" s="6">
        <f t="shared" si="9"/>
        <v>-2.1502961321130249</v>
      </c>
      <c r="N39" s="6">
        <f t="shared" si="5"/>
        <v>14.438768674882995</v>
      </c>
      <c r="O39" s="6">
        <v>7.19</v>
      </c>
      <c r="P39" s="6">
        <v>-13.629999999999999</v>
      </c>
      <c r="Q39" s="6">
        <f t="shared" si="10"/>
        <v>-30</v>
      </c>
      <c r="R39" s="6">
        <v>0.75160000000000005</v>
      </c>
      <c r="S39" s="6">
        <v>0.74950000000000006</v>
      </c>
      <c r="T39" s="6">
        <v>0.64090000000000003</v>
      </c>
      <c r="U39" s="6">
        <v>-0.1114</v>
      </c>
      <c r="V39" s="6">
        <v>1.645</v>
      </c>
      <c r="W39" s="6">
        <v>0.99580000000000002</v>
      </c>
      <c r="X39" s="6" t="s">
        <v>4</v>
      </c>
      <c r="Y39" s="6" t="s">
        <v>30</v>
      </c>
      <c r="Z39" s="6" t="s">
        <v>28</v>
      </c>
      <c r="AA39" s="7"/>
      <c r="AB39" s="5"/>
      <c r="AC39" s="7"/>
      <c r="AD39" s="5"/>
      <c r="AE39" s="7"/>
      <c r="AF39" s="18"/>
      <c r="AG39" s="7"/>
      <c r="AH39" s="18"/>
      <c r="AI39" s="18"/>
      <c r="AJ39" s="12"/>
    </row>
    <row r="40" spans="9:38" x14ac:dyDescent="0.25">
      <c r="I40" s="124"/>
      <c r="J40" s="5" t="str">
        <f>_xlfn.CONCAT(I32,"i")</f>
        <v>SC-03i</v>
      </c>
      <c r="K40" s="5"/>
      <c r="L40" s="5">
        <f t="shared" si="8"/>
        <v>13.95</v>
      </c>
      <c r="M40" s="6">
        <f t="shared" si="9"/>
        <v>-2.1502961321130249</v>
      </c>
      <c r="N40" s="6">
        <f t="shared" si="5"/>
        <v>12.440176991512086</v>
      </c>
      <c r="O40" s="6">
        <v>7.12</v>
      </c>
      <c r="P40" s="6">
        <v>-13.55</v>
      </c>
      <c r="Q40" s="6">
        <f t="shared" si="10"/>
        <v>-30</v>
      </c>
      <c r="R40" s="6">
        <v>0.86399999999999999</v>
      </c>
      <c r="S40" s="6">
        <v>0.70530000000000004</v>
      </c>
      <c r="T40" s="6">
        <v>0.5635</v>
      </c>
      <c r="U40" s="6">
        <v>-0.29799999999999999</v>
      </c>
      <c r="V40" s="6">
        <v>1.6359999999999999</v>
      </c>
      <c r="W40" s="6">
        <v>0.97219999999999995</v>
      </c>
      <c r="X40" s="6" t="s">
        <v>4</v>
      </c>
      <c r="Y40" s="6" t="s">
        <v>30</v>
      </c>
      <c r="Z40" s="6" t="s">
        <v>28</v>
      </c>
      <c r="AA40" s="7"/>
      <c r="AB40" s="5"/>
      <c r="AC40" s="7"/>
      <c r="AD40" s="5"/>
      <c r="AE40" s="7"/>
      <c r="AF40" s="18"/>
      <c r="AG40" s="7"/>
      <c r="AH40" s="18"/>
      <c r="AI40" s="18"/>
      <c r="AJ40" s="12"/>
    </row>
    <row r="41" spans="9:38" x14ac:dyDescent="0.25">
      <c r="I41" s="124"/>
      <c r="J41" s="5" t="str">
        <f>_xlfn.CONCAT(I32,"j")</f>
        <v>SC-03j</v>
      </c>
      <c r="K41" s="5"/>
      <c r="L41" s="5">
        <f t="shared" si="8"/>
        <v>11.95</v>
      </c>
      <c r="M41" s="6">
        <f t="shared" si="9"/>
        <v>-2.1502961321130249</v>
      </c>
      <c r="N41" s="6">
        <f t="shared" si="5"/>
        <v>10.441585308141178</v>
      </c>
      <c r="O41" s="6">
        <v>7.04</v>
      </c>
      <c r="P41" s="6">
        <v>-13.54</v>
      </c>
      <c r="Q41" s="6">
        <f t="shared" si="10"/>
        <v>-30</v>
      </c>
      <c r="R41" s="6">
        <v>0.95340000000000003</v>
      </c>
      <c r="S41" s="6">
        <v>0.65229999999999999</v>
      </c>
      <c r="T41" s="6">
        <v>0.47239999999999999</v>
      </c>
      <c r="U41" s="6">
        <v>-0.46920000000000001</v>
      </c>
      <c r="V41" s="6">
        <v>1.1059000000000001</v>
      </c>
      <c r="W41" s="6">
        <v>0.96940000000000004</v>
      </c>
      <c r="X41" s="6" t="s">
        <v>4</v>
      </c>
      <c r="Y41" s="6" t="s">
        <v>30</v>
      </c>
      <c r="Z41" s="6" t="s">
        <v>28</v>
      </c>
      <c r="AA41" s="7"/>
      <c r="AB41" s="5"/>
      <c r="AC41" s="7"/>
      <c r="AD41" s="5"/>
      <c r="AE41" s="7"/>
      <c r="AF41" s="18"/>
      <c r="AG41" s="7"/>
      <c r="AH41" s="18"/>
      <c r="AI41" s="18"/>
      <c r="AJ41" s="12"/>
    </row>
    <row r="42" spans="9:38" x14ac:dyDescent="0.25">
      <c r="I42" s="124"/>
      <c r="J42" s="5" t="str">
        <f>_xlfn.CONCAT(I32,"k")</f>
        <v>SC-03k</v>
      </c>
      <c r="K42" s="5"/>
      <c r="L42" s="5">
        <f t="shared" si="8"/>
        <v>9.9499999999999993</v>
      </c>
      <c r="M42" s="6">
        <f t="shared" si="9"/>
        <v>-2.1502961321130249</v>
      </c>
      <c r="N42" s="6">
        <f t="shared" si="5"/>
        <v>8.4429936247702688</v>
      </c>
      <c r="O42" s="6">
        <v>6.96</v>
      </c>
      <c r="P42" s="6">
        <v>-13.54</v>
      </c>
      <c r="Q42" s="6">
        <f t="shared" si="10"/>
        <v>-30</v>
      </c>
      <c r="R42" s="6">
        <v>1.0124</v>
      </c>
      <c r="S42" s="6">
        <v>0.61419999999999997</v>
      </c>
      <c r="T42" s="6">
        <v>0.34410000000000002</v>
      </c>
      <c r="U42" s="6">
        <v>-0.67310000000000003</v>
      </c>
      <c r="V42" s="6">
        <v>1.0931999999999999</v>
      </c>
      <c r="W42" s="6">
        <v>0.95179999999999998</v>
      </c>
      <c r="X42" s="6" t="s">
        <v>4</v>
      </c>
      <c r="Y42" s="6" t="s">
        <v>30</v>
      </c>
      <c r="Z42" s="6" t="s">
        <v>28</v>
      </c>
      <c r="AA42" s="7"/>
      <c r="AB42" s="5"/>
      <c r="AC42" s="7"/>
      <c r="AD42" s="5"/>
      <c r="AE42" s="7"/>
      <c r="AF42" s="18"/>
      <c r="AG42" s="33"/>
      <c r="AH42" s="34"/>
      <c r="AI42" s="34"/>
      <c r="AJ42" s="65"/>
      <c r="AL42" s="22"/>
    </row>
    <row r="43" spans="9:38" x14ac:dyDescent="0.25">
      <c r="I43" s="124"/>
      <c r="J43" s="5" t="str">
        <f>_xlfn.CONCAT(I32,"l")</f>
        <v>SC-03l</v>
      </c>
      <c r="K43" s="5"/>
      <c r="L43" s="5">
        <f t="shared" si="8"/>
        <v>7.95</v>
      </c>
      <c r="M43" s="6">
        <f t="shared" si="9"/>
        <v>-2.1502961321130249</v>
      </c>
      <c r="N43" s="6">
        <f t="shared" si="5"/>
        <v>6.4444019413993612</v>
      </c>
      <c r="O43" s="6">
        <v>6.88</v>
      </c>
      <c r="P43" s="6">
        <v>-13.52</v>
      </c>
      <c r="Q43" s="6">
        <f t="shared" si="10"/>
        <v>-30</v>
      </c>
      <c r="R43" s="6">
        <v>1.0223</v>
      </c>
      <c r="S43" s="6">
        <v>0.60129999999999995</v>
      </c>
      <c r="T43" s="6">
        <v>0.2586</v>
      </c>
      <c r="U43" s="6">
        <v>-0.76370000000000005</v>
      </c>
      <c r="V43" s="6">
        <v>1.0851999999999999</v>
      </c>
      <c r="W43" s="6">
        <v>0.9526</v>
      </c>
      <c r="X43" s="6" t="s">
        <v>4</v>
      </c>
      <c r="Y43" s="6" t="s">
        <v>30</v>
      </c>
      <c r="Z43" s="6" t="s">
        <v>28</v>
      </c>
      <c r="AA43" s="7"/>
      <c r="AB43" s="5"/>
      <c r="AC43" s="7"/>
      <c r="AD43" s="5"/>
      <c r="AE43" s="7"/>
      <c r="AF43" s="18"/>
      <c r="AG43" s="7"/>
      <c r="AH43" s="18"/>
      <c r="AI43" s="18"/>
      <c r="AJ43" s="12"/>
      <c r="AL43" s="22"/>
    </row>
    <row r="44" spans="9:38" x14ac:dyDescent="0.25">
      <c r="I44" s="124"/>
      <c r="J44" s="5" t="str">
        <f>_xlfn.CONCAT(I32,"m")</f>
        <v>SC-03m</v>
      </c>
      <c r="K44" s="5"/>
      <c r="L44" s="5">
        <f t="shared" si="8"/>
        <v>5.95</v>
      </c>
      <c r="M44" s="6">
        <f t="shared" si="9"/>
        <v>-2.1502961321130249</v>
      </c>
      <c r="N44" s="6">
        <f t="shared" si="5"/>
        <v>4.4458102580284526</v>
      </c>
      <c r="O44" s="6">
        <v>6.8</v>
      </c>
      <c r="P44" s="6">
        <v>-13.510000000000002</v>
      </c>
      <c r="Q44" s="6">
        <f t="shared" si="10"/>
        <v>-30</v>
      </c>
      <c r="R44" s="6">
        <v>1.0128999999999999</v>
      </c>
      <c r="S44" s="6">
        <v>0.55500000000000005</v>
      </c>
      <c r="T44" s="6">
        <v>0.1774</v>
      </c>
      <c r="U44" s="6">
        <v>-0.83079999999999998</v>
      </c>
      <c r="V44" s="6">
        <v>1.0789</v>
      </c>
      <c r="W44" s="6">
        <v>0.96619999999999995</v>
      </c>
      <c r="X44" s="6" t="s">
        <v>4</v>
      </c>
      <c r="Y44" s="6" t="s">
        <v>30</v>
      </c>
      <c r="Z44" s="6" t="s">
        <v>28</v>
      </c>
      <c r="AA44" s="7"/>
      <c r="AB44" s="5"/>
      <c r="AC44" s="7"/>
      <c r="AD44" s="5"/>
      <c r="AE44" s="7"/>
      <c r="AF44" s="18"/>
      <c r="AG44" s="7"/>
      <c r="AH44" s="18"/>
      <c r="AI44" s="18"/>
      <c r="AJ44" s="12"/>
      <c r="AL44" s="22"/>
    </row>
    <row r="45" spans="9:38" x14ac:dyDescent="0.25">
      <c r="I45" s="124"/>
      <c r="J45" s="5" t="str">
        <f>_xlfn.CONCAT(I32,"n")</f>
        <v>SC-03n</v>
      </c>
      <c r="K45" s="5"/>
      <c r="L45" s="5">
        <f>L46+2</f>
        <v>3.95</v>
      </c>
      <c r="M45" s="6">
        <f t="shared" si="9"/>
        <v>-2.1502961321130249</v>
      </c>
      <c r="N45" s="6">
        <f t="shared" si="5"/>
        <v>2.4472185746575446</v>
      </c>
      <c r="O45" s="6">
        <v>6.72</v>
      </c>
      <c r="P45" s="6">
        <v>-13.36</v>
      </c>
      <c r="Q45" s="6">
        <f t="shared" si="10"/>
        <v>-30</v>
      </c>
      <c r="R45" s="6">
        <v>1.0226999999999999</v>
      </c>
      <c r="S45" s="6">
        <v>0.53480000000000005</v>
      </c>
      <c r="T45" s="6">
        <v>9.7600000000000006E-2</v>
      </c>
      <c r="U45" s="6">
        <v>-0.92510000000000003</v>
      </c>
      <c r="V45" s="6">
        <v>1.0740000000000001</v>
      </c>
      <c r="W45" s="6">
        <v>0.98909999999999998</v>
      </c>
      <c r="X45" s="6" t="s">
        <v>4</v>
      </c>
      <c r="Y45" s="6" t="s">
        <v>30</v>
      </c>
      <c r="Z45" s="6" t="s">
        <v>28</v>
      </c>
      <c r="AA45" s="7"/>
      <c r="AB45" s="5"/>
      <c r="AC45" s="7"/>
      <c r="AD45" s="5"/>
      <c r="AE45" s="7"/>
      <c r="AF45" s="18"/>
      <c r="AG45" s="7"/>
      <c r="AH45" s="18"/>
      <c r="AI45" s="18"/>
      <c r="AJ45" s="12"/>
      <c r="AL45" s="22"/>
    </row>
    <row r="46" spans="9:38" ht="15.75" thickBot="1" x14ac:dyDescent="0.3">
      <c r="I46" s="125"/>
      <c r="J46" s="13" t="str">
        <f>_xlfn.CONCAT(I32,"o")</f>
        <v>SC-03o</v>
      </c>
      <c r="K46" s="13"/>
      <c r="L46" s="13">
        <v>1.95</v>
      </c>
      <c r="M46" s="6">
        <f t="shared" si="9"/>
        <v>-2.1502961321130249</v>
      </c>
      <c r="N46" s="14">
        <f t="shared" si="5"/>
        <v>0.4486268912866358</v>
      </c>
      <c r="O46" s="14">
        <v>6.63</v>
      </c>
      <c r="P46" s="6">
        <v>-13.27</v>
      </c>
      <c r="Q46" s="14">
        <f>$A$14</f>
        <v>-30</v>
      </c>
      <c r="R46" s="14">
        <v>1.0646</v>
      </c>
      <c r="S46" s="14">
        <v>0.52780000000000005</v>
      </c>
      <c r="T46" s="14">
        <v>1.1599999999999999E-2</v>
      </c>
      <c r="U46" s="14">
        <v>-1.0483</v>
      </c>
      <c r="V46" s="14">
        <v>1.0701000000000001</v>
      </c>
      <c r="W46" s="14">
        <v>1.014</v>
      </c>
      <c r="X46" s="14" t="s">
        <v>4</v>
      </c>
      <c r="Y46" s="14" t="s">
        <v>30</v>
      </c>
      <c r="Z46" s="14" t="s">
        <v>28</v>
      </c>
      <c r="AA46" s="15"/>
      <c r="AB46" s="13"/>
      <c r="AC46" s="15"/>
      <c r="AD46" s="13"/>
      <c r="AE46" s="15"/>
      <c r="AF46" s="19"/>
      <c r="AG46" s="15"/>
      <c r="AH46" s="19"/>
      <c r="AI46" s="19"/>
      <c r="AJ46" s="16"/>
      <c r="AL46" s="22"/>
    </row>
    <row r="47" spans="9:38" x14ac:dyDescent="0.25">
      <c r="I47" s="123" t="s">
        <v>10</v>
      </c>
      <c r="J47" s="8" t="str">
        <f>_xlfn.CONCAT(I47,"a")</f>
        <v>SC-04a</v>
      </c>
      <c r="K47" s="8"/>
      <c r="L47" s="8">
        <f>L48+1.9</f>
        <v>29.86</v>
      </c>
      <c r="M47" s="35">
        <f>DEGREES(ASIN((6.76-4.54)/(1.96+2*13+1.9)))</f>
        <v>4.2637006763092078</v>
      </c>
      <c r="N47" s="9">
        <f t="shared" si="5"/>
        <v>28.277360527756652</v>
      </c>
      <c r="O47" s="9">
        <v>5.54</v>
      </c>
      <c r="P47" s="35">
        <v>-2.6099999999999994</v>
      </c>
      <c r="Q47" s="9">
        <f>$A$14</f>
        <v>-30</v>
      </c>
      <c r="R47" s="9">
        <v>-2.3281000000000001</v>
      </c>
      <c r="S47" s="9">
        <v>0.53949999999999998</v>
      </c>
      <c r="T47" s="9">
        <v>-2.1554000000000002</v>
      </c>
      <c r="U47" s="9">
        <v>0.15459999999999999</v>
      </c>
      <c r="V47" s="9">
        <v>0.98860000000000003</v>
      </c>
      <c r="W47" s="9">
        <v>0.82310000000000005</v>
      </c>
      <c r="X47" s="9">
        <v>-1.7085999999999999</v>
      </c>
      <c r="Y47" s="9" t="s">
        <v>30</v>
      </c>
      <c r="Z47" s="9" t="s">
        <v>27</v>
      </c>
      <c r="AA47" s="36"/>
      <c r="AB47" s="37"/>
      <c r="AC47" s="36"/>
      <c r="AD47" s="37"/>
      <c r="AE47" s="36"/>
      <c r="AF47" s="38"/>
      <c r="AG47" s="36"/>
      <c r="AH47" s="38"/>
      <c r="AI47" s="38"/>
      <c r="AJ47" s="66"/>
    </row>
    <row r="48" spans="9:38" x14ac:dyDescent="0.25">
      <c r="I48" s="124"/>
      <c r="J48" s="5" t="str">
        <f>_xlfn.CONCAT(I47,"b")</f>
        <v>SC-04b</v>
      </c>
      <c r="K48" s="5"/>
      <c r="L48" s="5">
        <f t="shared" ref="L48:L59" si="11">L49+2</f>
        <v>27.96</v>
      </c>
      <c r="M48" s="6">
        <f>DEGREES(ASIN((6.76-4.54)/(1.96+2*13+1.9)))</f>
        <v>4.2637006763092078</v>
      </c>
      <c r="N48" s="6">
        <f t="shared" si="5"/>
        <v>26.382618900069527</v>
      </c>
      <c r="O48" s="6">
        <v>4.71</v>
      </c>
      <c r="P48" s="6">
        <v>-3.75</v>
      </c>
      <c r="Q48" s="6">
        <f>$A$14</f>
        <v>-30</v>
      </c>
      <c r="R48" s="6">
        <v>-2.2320000000000002</v>
      </c>
      <c r="S48" s="6">
        <v>0.5413</v>
      </c>
      <c r="T48" s="6">
        <v>-2.0242</v>
      </c>
      <c r="U48" s="6">
        <v>0.21590000000000001</v>
      </c>
      <c r="V48" s="6">
        <v>1.0047999999999999</v>
      </c>
      <c r="W48" s="6">
        <v>0.83930000000000005</v>
      </c>
      <c r="X48" s="6">
        <v>-1.5863</v>
      </c>
      <c r="Y48" s="6" t="s">
        <v>30</v>
      </c>
      <c r="Z48" s="6" t="s">
        <v>27</v>
      </c>
      <c r="AA48" s="39"/>
      <c r="AB48" s="40"/>
      <c r="AC48" s="39"/>
      <c r="AD48" s="40"/>
      <c r="AE48" s="39"/>
      <c r="AF48" s="41"/>
      <c r="AG48" s="39"/>
      <c r="AH48" s="41"/>
      <c r="AI48" s="41"/>
      <c r="AJ48" s="67"/>
    </row>
    <row r="49" spans="4:38" x14ac:dyDescent="0.25">
      <c r="I49" s="124"/>
      <c r="J49" s="5" t="str">
        <f>_xlfn.CONCAT(I47,"c")</f>
        <v>SC-04c</v>
      </c>
      <c r="K49" s="5"/>
      <c r="L49" s="5">
        <f t="shared" si="11"/>
        <v>25.96</v>
      </c>
      <c r="M49" s="6">
        <f t="shared" ref="M49:M61" si="12">DEGREES(ASIN((6.76-4.54)/(1.96+2*13+1.9)))</f>
        <v>4.2637006763092078</v>
      </c>
      <c r="N49" s="6">
        <f t="shared" si="5"/>
        <v>24.388154028819919</v>
      </c>
      <c r="O49" s="6">
        <v>4.88</v>
      </c>
      <c r="P49" s="6">
        <v>-3.66</v>
      </c>
      <c r="Q49" s="6">
        <f t="shared" ref="Q49:Q60" si="13">$A$14</f>
        <v>-30</v>
      </c>
      <c r="R49" s="6">
        <v>-2.1326000000000001</v>
      </c>
      <c r="S49" s="6">
        <v>0.51170000000000004</v>
      </c>
      <c r="T49" s="6">
        <v>-1.8472</v>
      </c>
      <c r="U49" s="6">
        <v>0.28460000000000002</v>
      </c>
      <c r="V49" s="6">
        <v>1.028</v>
      </c>
      <c r="W49" s="6">
        <v>0.83699999999999997</v>
      </c>
      <c r="X49" s="6">
        <v>-1.3527</v>
      </c>
      <c r="Y49" s="6" t="s">
        <v>30</v>
      </c>
      <c r="Z49" s="6" t="s">
        <v>27</v>
      </c>
      <c r="AA49" s="39"/>
      <c r="AB49" s="40"/>
      <c r="AC49" s="39"/>
      <c r="AD49" s="40"/>
      <c r="AE49" s="39"/>
      <c r="AF49" s="41"/>
      <c r="AG49" s="39"/>
      <c r="AH49" s="41"/>
      <c r="AI49" s="41"/>
      <c r="AJ49" s="67"/>
    </row>
    <row r="50" spans="4:38" x14ac:dyDescent="0.25">
      <c r="I50" s="124"/>
      <c r="J50" s="5" t="str">
        <f>_xlfn.CONCAT(I47,"d")</f>
        <v>SC-04d</v>
      </c>
      <c r="K50" s="5"/>
      <c r="L50" s="5">
        <f t="shared" si="11"/>
        <v>23.96</v>
      </c>
      <c r="M50" s="6">
        <f t="shared" si="12"/>
        <v>4.2637006763092078</v>
      </c>
      <c r="N50" s="6">
        <f t="shared" si="5"/>
        <v>22.393689157570311</v>
      </c>
      <c r="O50" s="6">
        <v>5.04</v>
      </c>
      <c r="P50" s="6">
        <v>-3.4699999999999989</v>
      </c>
      <c r="Q50" s="6">
        <f t="shared" si="13"/>
        <v>-30</v>
      </c>
      <c r="R50" s="6">
        <v>-2.0207000000000002</v>
      </c>
      <c r="S50" s="6">
        <v>0.54510000000000003</v>
      </c>
      <c r="T50" s="6">
        <v>-1.5008999999999999</v>
      </c>
      <c r="U50" s="6">
        <v>0.4844</v>
      </c>
      <c r="V50" s="6">
        <v>1.056</v>
      </c>
      <c r="W50" s="6">
        <v>0.82540000000000002</v>
      </c>
      <c r="X50" s="6">
        <v>-1.1672</v>
      </c>
      <c r="Y50" s="6" t="s">
        <v>30</v>
      </c>
      <c r="Z50" s="6" t="s">
        <v>27</v>
      </c>
      <c r="AA50" s="39"/>
      <c r="AB50" s="40"/>
      <c r="AC50" s="39"/>
      <c r="AD50" s="40"/>
      <c r="AE50" s="39"/>
      <c r="AF50" s="41"/>
      <c r="AG50" s="39"/>
      <c r="AH50" s="41"/>
      <c r="AI50" s="41"/>
      <c r="AJ50" s="67"/>
    </row>
    <row r="51" spans="4:38" x14ac:dyDescent="0.25">
      <c r="I51" s="124"/>
      <c r="J51" s="5" t="str">
        <f>_xlfn.CONCAT(I47,"e")</f>
        <v>SC-04e</v>
      </c>
      <c r="K51" s="5"/>
      <c r="L51" s="5">
        <f t="shared" si="11"/>
        <v>21.96</v>
      </c>
      <c r="M51" s="6">
        <f t="shared" si="12"/>
        <v>4.2637006763092078</v>
      </c>
      <c r="N51" s="6">
        <f t="shared" si="5"/>
        <v>20.399224286320703</v>
      </c>
      <c r="O51" s="6">
        <v>5.2</v>
      </c>
      <c r="P51" s="6">
        <v>-3.6000000000000014</v>
      </c>
      <c r="Q51" s="6">
        <f t="shared" si="13"/>
        <v>-30</v>
      </c>
      <c r="R51" s="6">
        <v>-1.8705000000000001</v>
      </c>
      <c r="S51" s="6">
        <v>1.0826</v>
      </c>
      <c r="T51" s="6">
        <v>-1.4292</v>
      </c>
      <c r="U51" s="6">
        <v>0.44879999999999998</v>
      </c>
      <c r="V51" s="6">
        <v>1.0895999999999999</v>
      </c>
      <c r="W51" s="6">
        <v>0.83909999999999996</v>
      </c>
      <c r="X51" s="6">
        <v>-0.9819</v>
      </c>
      <c r="Y51" s="6" t="s">
        <v>30</v>
      </c>
      <c r="Z51" s="6" t="s">
        <v>27</v>
      </c>
      <c r="AA51" s="39"/>
      <c r="AB51" s="40"/>
      <c r="AC51" s="39"/>
      <c r="AD51" s="40"/>
      <c r="AE51" s="39"/>
      <c r="AF51" s="41"/>
      <c r="AG51" s="39"/>
      <c r="AH51" s="41"/>
      <c r="AI51" s="41"/>
      <c r="AJ51" s="67"/>
    </row>
    <row r="52" spans="4:38" x14ac:dyDescent="0.25">
      <c r="I52" s="124"/>
      <c r="J52" s="5" t="str">
        <f>_xlfn.CONCAT(I47,"f")</f>
        <v>SC-04f</v>
      </c>
      <c r="K52" s="5"/>
      <c r="L52" s="5">
        <f t="shared" si="11"/>
        <v>19.96</v>
      </c>
      <c r="M52" s="6">
        <f t="shared" si="12"/>
        <v>4.2637006763092078</v>
      </c>
      <c r="N52" s="6">
        <f t="shared" si="5"/>
        <v>18.404759415071094</v>
      </c>
      <c r="O52" s="6">
        <v>5.36</v>
      </c>
      <c r="P52" s="6">
        <v>-3.629999999999999</v>
      </c>
      <c r="Q52" s="6">
        <f t="shared" si="13"/>
        <v>-30</v>
      </c>
      <c r="R52" s="6">
        <v>-1.6167</v>
      </c>
      <c r="S52" s="6">
        <v>1.1171</v>
      </c>
      <c r="T52" s="6">
        <v>-1.2385999999999999</v>
      </c>
      <c r="U52" s="6">
        <v>0.3775</v>
      </c>
      <c r="V52" s="6">
        <v>1.1183000000000001</v>
      </c>
      <c r="W52" s="6">
        <v>0.86619999999999997</v>
      </c>
      <c r="X52" s="6">
        <v>-0.81559999999999999</v>
      </c>
      <c r="Y52" s="6" t="s">
        <v>30</v>
      </c>
      <c r="Z52" s="6" t="s">
        <v>27</v>
      </c>
      <c r="AA52" s="39"/>
      <c r="AB52" s="40"/>
      <c r="AC52" s="39"/>
      <c r="AD52" s="40"/>
      <c r="AE52" s="39"/>
      <c r="AF52" s="41"/>
      <c r="AG52" s="39"/>
      <c r="AH52" s="41"/>
      <c r="AI52" s="41"/>
      <c r="AJ52" s="67"/>
    </row>
    <row r="53" spans="4:38" x14ac:dyDescent="0.25">
      <c r="I53" s="124"/>
      <c r="J53" s="5" t="str">
        <f>_xlfn.CONCAT(I47,"g")</f>
        <v>SC-04g</v>
      </c>
      <c r="K53" s="5"/>
      <c r="L53" s="5">
        <f t="shared" si="11"/>
        <v>17.96</v>
      </c>
      <c r="M53" s="6">
        <f t="shared" si="12"/>
        <v>4.2637006763092078</v>
      </c>
      <c r="N53" s="6">
        <f t="shared" si="5"/>
        <v>16.410294543821486</v>
      </c>
      <c r="O53" s="6">
        <v>5.51</v>
      </c>
      <c r="P53" s="6">
        <v>-3.6099999999999994</v>
      </c>
      <c r="Q53" s="6">
        <f t="shared" si="13"/>
        <v>-30</v>
      </c>
      <c r="R53" s="6">
        <v>-1.2794000000000001</v>
      </c>
      <c r="S53" s="6">
        <v>0.97770000000000001</v>
      </c>
      <c r="T53" s="6">
        <v>-1.1061000000000001</v>
      </c>
      <c r="U53" s="6">
        <v>0.17449999999999999</v>
      </c>
      <c r="V53" s="6">
        <v>1.1468</v>
      </c>
      <c r="W53" s="6">
        <v>0.89910000000000001</v>
      </c>
      <c r="X53" s="6">
        <v>-0.65720000000000001</v>
      </c>
      <c r="Y53" s="6" t="s">
        <v>30</v>
      </c>
      <c r="Z53" s="6" t="s">
        <v>27</v>
      </c>
      <c r="AA53" s="39"/>
      <c r="AB53" s="40"/>
      <c r="AC53" s="39"/>
      <c r="AD53" s="40"/>
      <c r="AE53" s="39"/>
      <c r="AF53" s="41"/>
      <c r="AG53" s="39"/>
      <c r="AH53" s="41"/>
      <c r="AI53" s="41"/>
      <c r="AJ53" s="67"/>
    </row>
    <row r="54" spans="4:38" x14ac:dyDescent="0.25">
      <c r="I54" s="124"/>
      <c r="J54" s="5" t="str">
        <f>_xlfn.CONCAT(I47,"h")</f>
        <v>SC-04h</v>
      </c>
      <c r="K54" s="5"/>
      <c r="L54" s="5">
        <f t="shared" si="11"/>
        <v>15.96</v>
      </c>
      <c r="M54" s="6">
        <f t="shared" si="12"/>
        <v>4.2637006763092078</v>
      </c>
      <c r="N54" s="6">
        <f t="shared" si="5"/>
        <v>14.415829672571876</v>
      </c>
      <c r="O54" s="6">
        <v>5.65</v>
      </c>
      <c r="P54" s="6">
        <v>-3.629999999999999</v>
      </c>
      <c r="Q54" s="6">
        <f t="shared" si="13"/>
        <v>-30</v>
      </c>
      <c r="R54" s="6">
        <v>-0.93669999999999998</v>
      </c>
      <c r="S54" s="6">
        <v>1.0606</v>
      </c>
      <c r="T54" s="6">
        <v>-0.9738</v>
      </c>
      <c r="U54" s="6">
        <v>-3.0499999999999999E-2</v>
      </c>
      <c r="V54" s="6">
        <v>1.1711</v>
      </c>
      <c r="W54" s="6">
        <v>0.93779999999999997</v>
      </c>
      <c r="X54" s="6">
        <v>-0.49680000000000002</v>
      </c>
      <c r="Y54" s="6" t="s">
        <v>30</v>
      </c>
      <c r="Z54" s="6" t="s">
        <v>27</v>
      </c>
      <c r="AA54" s="39"/>
      <c r="AB54" s="40"/>
      <c r="AC54" s="39"/>
      <c r="AD54" s="40"/>
      <c r="AE54" s="39"/>
      <c r="AF54" s="41"/>
      <c r="AG54" s="39"/>
      <c r="AH54" s="41"/>
      <c r="AI54" s="41"/>
      <c r="AJ54" s="67"/>
    </row>
    <row r="55" spans="4:38" x14ac:dyDescent="0.25">
      <c r="I55" s="124"/>
      <c r="J55" s="5" t="str">
        <f>_xlfn.CONCAT(I47,"i")</f>
        <v>SC-04i</v>
      </c>
      <c r="K55" s="5"/>
      <c r="L55" s="5">
        <f t="shared" si="11"/>
        <v>13.96</v>
      </c>
      <c r="M55" s="6">
        <f t="shared" si="12"/>
        <v>4.2637006763092078</v>
      </c>
      <c r="N55" s="6">
        <f t="shared" si="5"/>
        <v>12.421364801322268</v>
      </c>
      <c r="O55" s="6">
        <v>5.8</v>
      </c>
      <c r="P55" s="6">
        <v>-3.5500000000000007</v>
      </c>
      <c r="Q55" s="6">
        <f t="shared" si="13"/>
        <v>-30</v>
      </c>
      <c r="R55" s="6">
        <v>-0.61460000000000004</v>
      </c>
      <c r="S55" s="6">
        <v>1.1826000000000001</v>
      </c>
      <c r="T55" s="6">
        <v>-0.80869999999999997</v>
      </c>
      <c r="U55" s="6">
        <v>-0.19359999999999999</v>
      </c>
      <c r="V55" s="6">
        <v>1.1874</v>
      </c>
      <c r="W55" s="6">
        <v>0.97740000000000005</v>
      </c>
      <c r="X55" s="6">
        <v>-0.34489999999999998</v>
      </c>
      <c r="Y55" s="6" t="s">
        <v>30</v>
      </c>
      <c r="Z55" s="6" t="s">
        <v>27</v>
      </c>
      <c r="AA55" s="39"/>
      <c r="AB55" s="40"/>
      <c r="AC55" s="39"/>
      <c r="AD55" s="40"/>
      <c r="AE55" s="39"/>
      <c r="AF55" s="41"/>
      <c r="AG55" s="39"/>
      <c r="AH55" s="41"/>
      <c r="AI55" s="41"/>
      <c r="AJ55" s="67"/>
    </row>
    <row r="56" spans="4:38" x14ac:dyDescent="0.25">
      <c r="D56" s="77"/>
      <c r="E56" s="77"/>
      <c r="I56" s="124"/>
      <c r="J56" s="5" t="str">
        <f>_xlfn.CONCAT(I47,"j")</f>
        <v>SC-04j</v>
      </c>
      <c r="K56" s="5"/>
      <c r="L56" s="5">
        <f t="shared" si="11"/>
        <v>11.96</v>
      </c>
      <c r="M56" s="6">
        <f t="shared" si="12"/>
        <v>4.2637006763092078</v>
      </c>
      <c r="N56" s="6">
        <f t="shared" si="5"/>
        <v>10.426899930072659</v>
      </c>
      <c r="O56" s="6">
        <v>5.94</v>
      </c>
      <c r="P56" s="6">
        <v>-3.5399999999999991</v>
      </c>
      <c r="Q56" s="6">
        <f t="shared" si="13"/>
        <v>-30</v>
      </c>
      <c r="R56" s="6">
        <v>-0.3211</v>
      </c>
      <c r="S56" s="6">
        <v>1.0609999999999999</v>
      </c>
      <c r="T56" s="6">
        <v>-0.75619999999999998</v>
      </c>
      <c r="U56" s="6">
        <v>-0.4284</v>
      </c>
      <c r="V56" s="6">
        <v>1.1982999999999999</v>
      </c>
      <c r="W56" s="6">
        <v>1.0085999999999999</v>
      </c>
      <c r="X56" s="6">
        <v>-0.1928</v>
      </c>
      <c r="Y56" s="6" t="s">
        <v>30</v>
      </c>
      <c r="Z56" s="6" t="s">
        <v>27</v>
      </c>
      <c r="AA56" s="39"/>
      <c r="AB56" s="40"/>
      <c r="AC56" s="39"/>
      <c r="AD56" s="40"/>
      <c r="AE56" s="39"/>
      <c r="AF56" s="41"/>
      <c r="AG56" s="39"/>
      <c r="AH56" s="41"/>
      <c r="AI56" s="41"/>
      <c r="AJ56" s="67"/>
    </row>
    <row r="57" spans="4:38" x14ac:dyDescent="0.25">
      <c r="I57" s="124"/>
      <c r="J57" s="5" t="str">
        <f>_xlfn.CONCAT(I47,"k")</f>
        <v>SC-04k</v>
      </c>
      <c r="K57" s="5"/>
      <c r="L57" s="5">
        <f t="shared" si="11"/>
        <v>9.9600000000000009</v>
      </c>
      <c r="M57" s="6">
        <f t="shared" si="12"/>
        <v>4.2637006763092078</v>
      </c>
      <c r="N57" s="6">
        <f t="shared" si="5"/>
        <v>8.4324350588230512</v>
      </c>
      <c r="O57" s="6">
        <v>6.08</v>
      </c>
      <c r="P57" s="6">
        <v>-3.5399999999999991</v>
      </c>
      <c r="Q57" s="6">
        <f t="shared" si="13"/>
        <v>-30</v>
      </c>
      <c r="R57" s="6">
        <v>-5.8799999999999998E-2</v>
      </c>
      <c r="S57" s="6">
        <v>1.0983000000000001</v>
      </c>
      <c r="T57" s="6">
        <v>-0.57540000000000002</v>
      </c>
      <c r="U57" s="6">
        <v>-0.51</v>
      </c>
      <c r="V57" s="6">
        <v>1.1983999999999999</v>
      </c>
      <c r="W57" s="6">
        <v>1.0366</v>
      </c>
      <c r="X57" s="6">
        <v>-4.7399999999999998E-2</v>
      </c>
      <c r="Y57" s="6" t="s">
        <v>30</v>
      </c>
      <c r="Z57" s="6" t="s">
        <v>27</v>
      </c>
      <c r="AA57" s="39"/>
      <c r="AB57" s="40"/>
      <c r="AC57" s="39"/>
      <c r="AD57" s="40"/>
      <c r="AE57" s="39"/>
      <c r="AF57" s="42"/>
      <c r="AG57" s="39"/>
      <c r="AH57" s="42"/>
      <c r="AI57" s="42"/>
      <c r="AJ57" s="68"/>
      <c r="AL57" s="22"/>
    </row>
    <row r="58" spans="4:38" x14ac:dyDescent="0.25">
      <c r="G58" s="110" t="s">
        <v>29</v>
      </c>
      <c r="I58" s="124"/>
      <c r="J58" s="5" t="str">
        <f>_xlfn.CONCAT(I47,"l")</f>
        <v>SC-04l</v>
      </c>
      <c r="K58" s="5"/>
      <c r="L58" s="5">
        <f t="shared" si="11"/>
        <v>7.96</v>
      </c>
      <c r="M58" s="6">
        <f t="shared" si="12"/>
        <v>4.2637006763092078</v>
      </c>
      <c r="N58" s="6">
        <f t="shared" si="5"/>
        <v>6.4379701875734421</v>
      </c>
      <c r="O58" s="6">
        <v>6.22</v>
      </c>
      <c r="P58" s="6">
        <v>-3.5199999999999996</v>
      </c>
      <c r="Q58" s="6">
        <f t="shared" si="13"/>
        <v>-30</v>
      </c>
      <c r="R58" s="6">
        <v>0.16489999999999999</v>
      </c>
      <c r="S58" s="6">
        <v>1.0961000000000001</v>
      </c>
      <c r="T58" s="6">
        <v>-0.40989999999999999</v>
      </c>
      <c r="U58" s="6">
        <v>-0.57430000000000003</v>
      </c>
      <c r="V58" s="6">
        <v>1.1926000000000001</v>
      </c>
      <c r="W58" s="6">
        <v>1.0496000000000001</v>
      </c>
      <c r="X58" s="6" t="s">
        <v>4</v>
      </c>
      <c r="Y58" s="6" t="s">
        <v>30</v>
      </c>
      <c r="Z58" s="6" t="s">
        <v>28</v>
      </c>
      <c r="AA58" s="39"/>
      <c r="AB58" s="40"/>
      <c r="AC58" s="39"/>
      <c r="AD58" s="40"/>
      <c r="AE58" s="39"/>
      <c r="AF58" s="42"/>
      <c r="AG58" s="39"/>
      <c r="AH58" s="42"/>
      <c r="AI58" s="42"/>
      <c r="AJ58" s="68"/>
      <c r="AL58" s="22"/>
    </row>
    <row r="59" spans="4:38" x14ac:dyDescent="0.25">
      <c r="G59" s="110" t="s">
        <v>30</v>
      </c>
      <c r="I59" s="124"/>
      <c r="J59" s="5" t="str">
        <f>_xlfn.CONCAT(I47,"m")</f>
        <v>SC-04m</v>
      </c>
      <c r="K59" s="5"/>
      <c r="L59" s="5">
        <f t="shared" si="11"/>
        <v>5.96</v>
      </c>
      <c r="M59" s="6">
        <f t="shared" si="12"/>
        <v>4.2637006763092078</v>
      </c>
      <c r="N59" s="6">
        <f t="shared" si="5"/>
        <v>4.4435053163238329</v>
      </c>
      <c r="O59" s="6">
        <v>6.36</v>
      </c>
      <c r="P59" s="6">
        <v>-3.5100000000000016</v>
      </c>
      <c r="Q59" s="6">
        <f t="shared" si="13"/>
        <v>-30</v>
      </c>
      <c r="R59" s="6">
        <v>0.36969999999999997</v>
      </c>
      <c r="S59" s="6">
        <v>1.0941000000000001</v>
      </c>
      <c r="T59" s="6">
        <v>-0.2495</v>
      </c>
      <c r="U59" s="6">
        <v>-0.61919999999999997</v>
      </c>
      <c r="V59" s="6">
        <v>1.1816</v>
      </c>
      <c r="W59" s="6">
        <v>1.0485</v>
      </c>
      <c r="X59" s="6" t="s">
        <v>4</v>
      </c>
      <c r="Y59" s="6" t="s">
        <v>30</v>
      </c>
      <c r="Z59" s="6" t="s">
        <v>28</v>
      </c>
      <c r="AA59" s="39"/>
      <c r="AB59" s="40"/>
      <c r="AC59" s="39"/>
      <c r="AD59" s="40"/>
      <c r="AE59" s="39"/>
      <c r="AF59" s="42"/>
      <c r="AG59" s="39"/>
      <c r="AH59" s="42"/>
      <c r="AI59" s="42"/>
      <c r="AJ59" s="68"/>
      <c r="AL59" s="22"/>
    </row>
    <row r="60" spans="4:38" x14ac:dyDescent="0.25">
      <c r="G60" s="110"/>
      <c r="I60" s="124"/>
      <c r="J60" s="5" t="str">
        <f>_xlfn.CONCAT(I47,"n")</f>
        <v>SC-04n</v>
      </c>
      <c r="K60" s="5"/>
      <c r="L60" s="5">
        <f>L61+2</f>
        <v>3.96</v>
      </c>
      <c r="M60" s="6">
        <f t="shared" si="12"/>
        <v>4.2637006763092078</v>
      </c>
      <c r="N60" s="6">
        <f t="shared" si="5"/>
        <v>2.4490404450742247</v>
      </c>
      <c r="O60" s="6">
        <v>6.5</v>
      </c>
      <c r="P60" s="6">
        <v>-3.3599999999999994</v>
      </c>
      <c r="Q60" s="6">
        <f t="shared" si="13"/>
        <v>-30</v>
      </c>
      <c r="R60" s="6">
        <v>0.58089999999999997</v>
      </c>
      <c r="S60" s="6">
        <v>1.1039000000000001</v>
      </c>
      <c r="T60" s="6">
        <v>-0.14480000000000001</v>
      </c>
      <c r="U60" s="6">
        <v>-0.72570000000000001</v>
      </c>
      <c r="V60" s="6">
        <v>1.1647000000000001</v>
      </c>
      <c r="W60" s="6">
        <v>1.0407</v>
      </c>
      <c r="X60" s="6" t="s">
        <v>4</v>
      </c>
      <c r="Y60" s="6" t="s">
        <v>30</v>
      </c>
      <c r="Z60" s="6" t="s">
        <v>28</v>
      </c>
      <c r="AA60" s="39"/>
      <c r="AB60" s="43"/>
      <c r="AC60" s="39"/>
      <c r="AD60" s="43"/>
      <c r="AE60" s="39"/>
      <c r="AF60" s="42"/>
      <c r="AG60" s="39"/>
      <c r="AH60" s="42"/>
      <c r="AI60" s="42"/>
      <c r="AJ60" s="68"/>
      <c r="AL60" s="22"/>
    </row>
    <row r="61" spans="4:38" ht="15.75" thickBot="1" x14ac:dyDescent="0.3">
      <c r="G61" s="110" t="s">
        <v>28</v>
      </c>
      <c r="I61" s="125"/>
      <c r="J61" s="13" t="str">
        <f>_xlfn.CONCAT(I47,"o")</f>
        <v>SC-04o</v>
      </c>
      <c r="K61" s="13"/>
      <c r="L61" s="13">
        <v>1.96</v>
      </c>
      <c r="M61" s="14">
        <f t="shared" si="12"/>
        <v>4.2637006763092078</v>
      </c>
      <c r="N61" s="14">
        <f t="shared" si="5"/>
        <v>0.45457557382461622</v>
      </c>
      <c r="O61" s="14">
        <v>6.64</v>
      </c>
      <c r="P61" s="6">
        <v>-3.2699999999999996</v>
      </c>
      <c r="Q61" s="14">
        <f>$A$14</f>
        <v>-30</v>
      </c>
      <c r="R61" s="14">
        <v>0.79269999999999996</v>
      </c>
      <c r="S61" s="14">
        <v>1.127</v>
      </c>
      <c r="T61" s="14">
        <v>0.01</v>
      </c>
      <c r="U61" s="14">
        <v>-0.78269999999999995</v>
      </c>
      <c r="V61" s="14">
        <v>1.1449</v>
      </c>
      <c r="W61" s="14">
        <v>1.0283</v>
      </c>
      <c r="X61" s="14" t="s">
        <v>4</v>
      </c>
      <c r="Y61" s="14" t="s">
        <v>30</v>
      </c>
      <c r="Z61" s="14" t="s">
        <v>28</v>
      </c>
      <c r="AA61" s="44"/>
      <c r="AB61" s="45"/>
      <c r="AC61" s="44"/>
      <c r="AD61" s="45"/>
      <c r="AE61" s="44"/>
      <c r="AF61" s="46"/>
      <c r="AG61" s="44"/>
      <c r="AH61" s="46"/>
      <c r="AI61" s="46"/>
      <c r="AJ61" s="69"/>
      <c r="AL61" s="22"/>
    </row>
    <row r="62" spans="4:38" x14ac:dyDescent="0.25">
      <c r="G62" s="110" t="s">
        <v>26</v>
      </c>
      <c r="I62" s="123" t="s">
        <v>32</v>
      </c>
      <c r="J62" s="8" t="str">
        <f>_xlfn.CONCAT(I62,"a")</f>
        <v>SC-05a</v>
      </c>
      <c r="K62" s="8"/>
      <c r="L62" s="8">
        <f>L63+1.9</f>
        <v>30.349999999999998</v>
      </c>
      <c r="M62" s="70">
        <f>DEGREES(ASIN((6.56-7.98)/(2.45+13*2+1.9)))</f>
        <v>-2.6817041171450144</v>
      </c>
      <c r="N62" s="9">
        <f t="shared" si="5"/>
        <v>28.816762689970709</v>
      </c>
      <c r="O62" s="9">
        <v>7.97</v>
      </c>
      <c r="P62" s="35">
        <v>-12.61</v>
      </c>
      <c r="Q62" s="9">
        <f>$A$14</f>
        <v>-30</v>
      </c>
      <c r="R62" s="9">
        <v>0.47499999999999998</v>
      </c>
      <c r="S62" s="9">
        <v>0.76759999999999995</v>
      </c>
      <c r="T62" s="9">
        <v>1.0255000000000001</v>
      </c>
      <c r="U62" s="9">
        <v>0.55430000000000001</v>
      </c>
      <c r="V62" s="9">
        <v>1.2095</v>
      </c>
      <c r="W62" s="9">
        <v>1.0181</v>
      </c>
      <c r="X62" s="9">
        <v>0.59989999999999999</v>
      </c>
      <c r="Y62" s="9" t="s">
        <v>29</v>
      </c>
      <c r="Z62" s="9" t="s">
        <v>26</v>
      </c>
      <c r="AA62" s="36"/>
      <c r="AB62" s="37"/>
      <c r="AC62" s="36"/>
      <c r="AD62" s="37"/>
      <c r="AE62" s="36"/>
      <c r="AF62" s="38"/>
      <c r="AG62" s="36"/>
      <c r="AH62" s="38"/>
      <c r="AI62" s="38"/>
      <c r="AJ62" s="66"/>
      <c r="AL62" s="22"/>
    </row>
    <row r="63" spans="4:38" x14ac:dyDescent="0.25">
      <c r="G63" s="110" t="s">
        <v>27</v>
      </c>
      <c r="I63" s="124"/>
      <c r="J63" s="5" t="str">
        <f>_xlfn.CONCAT(I62,"b")</f>
        <v>SC-05b</v>
      </c>
      <c r="K63" s="5"/>
      <c r="L63" s="5">
        <f t="shared" ref="L63:L74" si="14">L64+2</f>
        <v>28.45</v>
      </c>
      <c r="M63" s="6">
        <f>DEGREES(ASIN((6.56-7.98)/(2.45+13*2+1.9)))</f>
        <v>-2.6817041171450144</v>
      </c>
      <c r="N63" s="6">
        <f t="shared" si="5"/>
        <v>26.918843444140581</v>
      </c>
      <c r="O63" s="6">
        <v>7.91</v>
      </c>
      <c r="P63" s="6">
        <v>-13.75</v>
      </c>
      <c r="Q63" s="6">
        <f>$A$14</f>
        <v>-30</v>
      </c>
      <c r="R63" s="6">
        <v>0.44840000000000002</v>
      </c>
      <c r="S63" s="6">
        <v>0.72489999999999999</v>
      </c>
      <c r="T63" s="6">
        <v>0.98529999999999995</v>
      </c>
      <c r="U63" s="6">
        <v>0.54049999999999998</v>
      </c>
      <c r="V63" s="6">
        <v>1.2062999999999999</v>
      </c>
      <c r="W63" s="6">
        <v>0.92449999999999999</v>
      </c>
      <c r="X63" s="6">
        <v>0.56159999999999999</v>
      </c>
      <c r="Y63" s="6" t="s">
        <v>29</v>
      </c>
      <c r="Z63" s="6" t="s">
        <v>26</v>
      </c>
      <c r="AA63" s="39"/>
      <c r="AB63" s="40"/>
      <c r="AC63" s="39"/>
      <c r="AD63" s="40"/>
      <c r="AE63" s="39"/>
      <c r="AF63" s="41"/>
      <c r="AG63" s="39"/>
      <c r="AH63" s="41"/>
      <c r="AI63" s="41"/>
      <c r="AJ63" s="67"/>
      <c r="AL63" s="22"/>
    </row>
    <row r="64" spans="4:38" x14ac:dyDescent="0.25">
      <c r="I64" s="124"/>
      <c r="J64" s="5" t="str">
        <f>_xlfn.CONCAT(I62,"c")</f>
        <v>SC-05c</v>
      </c>
      <c r="K64" s="5"/>
      <c r="L64" s="5">
        <f t="shared" si="14"/>
        <v>26.45</v>
      </c>
      <c r="M64" s="6">
        <f t="shared" ref="M64:M76" si="15">DEGREES(ASIN((6.56-7.98)/(2.45+13*2+1.9)))</f>
        <v>-2.6817041171450144</v>
      </c>
      <c r="N64" s="6">
        <f t="shared" si="5"/>
        <v>24.921033711687816</v>
      </c>
      <c r="O64" s="6">
        <v>7.84</v>
      </c>
      <c r="P64" s="6">
        <v>-13.66</v>
      </c>
      <c r="Q64" s="6">
        <f t="shared" ref="Q64:Q75" si="16">$A$14</f>
        <v>-30</v>
      </c>
      <c r="R64" s="6">
        <v>0.38300000000000001</v>
      </c>
      <c r="S64" s="6">
        <v>0.7</v>
      </c>
      <c r="T64" s="6">
        <v>0.90890000000000004</v>
      </c>
      <c r="U64" s="6">
        <v>0.52590000000000003</v>
      </c>
      <c r="V64" s="6">
        <v>1.2053</v>
      </c>
      <c r="W64" s="6">
        <v>1.1262000000000001</v>
      </c>
      <c r="X64" s="6">
        <v>0.50139999999999996</v>
      </c>
      <c r="Y64" s="6" t="s">
        <v>29</v>
      </c>
      <c r="Z64" s="6" t="s">
        <v>26</v>
      </c>
      <c r="AA64" s="39"/>
      <c r="AB64" s="40"/>
      <c r="AC64" s="39"/>
      <c r="AD64" s="40"/>
      <c r="AE64" s="39"/>
      <c r="AF64" s="41"/>
      <c r="AG64" s="39"/>
      <c r="AH64" s="41"/>
      <c r="AI64" s="41"/>
      <c r="AJ64" s="67"/>
      <c r="AL64" s="22"/>
    </row>
    <row r="65" spans="9:38" x14ac:dyDescent="0.25">
      <c r="I65" s="124"/>
      <c r="J65" s="5" t="str">
        <f>_xlfn.CONCAT(I62,"d")</f>
        <v>SC-05d</v>
      </c>
      <c r="K65" s="5"/>
      <c r="L65" s="5">
        <f t="shared" si="14"/>
        <v>24.45</v>
      </c>
      <c r="M65" s="6">
        <f t="shared" si="15"/>
        <v>-2.6817041171450144</v>
      </c>
      <c r="N65" s="6">
        <f t="shared" si="5"/>
        <v>22.923223979235051</v>
      </c>
      <c r="O65" s="6">
        <v>7.77</v>
      </c>
      <c r="P65" s="6">
        <v>-13.469999999999999</v>
      </c>
      <c r="Q65" s="6">
        <f t="shared" si="16"/>
        <v>-30</v>
      </c>
      <c r="R65" s="6">
        <v>0.31480000000000002</v>
      </c>
      <c r="S65" s="6">
        <v>0.70569999999999999</v>
      </c>
      <c r="T65" s="6">
        <v>0.87319999999999998</v>
      </c>
      <c r="U65" s="6">
        <v>0.5534</v>
      </c>
      <c r="V65" s="6">
        <v>1.2056</v>
      </c>
      <c r="W65" s="6">
        <v>1.083</v>
      </c>
      <c r="X65" s="6">
        <v>0.46060000000000001</v>
      </c>
      <c r="Y65" s="6" t="s">
        <v>29</v>
      </c>
      <c r="Z65" s="6" t="s">
        <v>26</v>
      </c>
      <c r="AA65" s="39"/>
      <c r="AB65" s="40"/>
      <c r="AC65" s="39"/>
      <c r="AD65" s="40"/>
      <c r="AE65" s="39"/>
      <c r="AF65" s="41"/>
      <c r="AG65" s="39"/>
      <c r="AH65" s="41"/>
      <c r="AI65" s="41"/>
      <c r="AJ65" s="67"/>
      <c r="AL65" s="22"/>
    </row>
    <row r="66" spans="9:38" x14ac:dyDescent="0.25">
      <c r="I66" s="124"/>
      <c r="J66" s="5" t="str">
        <f>_xlfn.CONCAT(I62,"e")</f>
        <v>SC-05e</v>
      </c>
      <c r="K66" s="5"/>
      <c r="L66" s="5">
        <f t="shared" si="14"/>
        <v>22.45</v>
      </c>
      <c r="M66" s="6">
        <f t="shared" si="15"/>
        <v>-2.6817041171450144</v>
      </c>
      <c r="N66" s="6">
        <f t="shared" si="5"/>
        <v>20.925414246782285</v>
      </c>
      <c r="O66" s="6">
        <v>7.69</v>
      </c>
      <c r="P66" s="6">
        <v>-13.600000000000001</v>
      </c>
      <c r="Q66" s="6">
        <f t="shared" si="16"/>
        <v>-30</v>
      </c>
      <c r="R66" s="6">
        <v>0.26479999999999998</v>
      </c>
      <c r="S66" s="6">
        <v>0.69430000000000003</v>
      </c>
      <c r="T66" s="6">
        <v>0.8629</v>
      </c>
      <c r="U66" s="6">
        <v>0.59360000000000002</v>
      </c>
      <c r="V66" s="6">
        <v>1.2098</v>
      </c>
      <c r="W66" s="6">
        <v>1.1299999999999999</v>
      </c>
      <c r="X66" s="6">
        <v>0.36980000000000002</v>
      </c>
      <c r="Y66" s="6" t="s">
        <v>29</v>
      </c>
      <c r="Z66" s="6" t="s">
        <v>26</v>
      </c>
      <c r="AA66" s="39"/>
      <c r="AB66" s="40"/>
      <c r="AC66" s="39"/>
      <c r="AD66" s="40"/>
      <c r="AE66" s="39"/>
      <c r="AF66" s="41"/>
      <c r="AG66" s="39"/>
      <c r="AH66" s="41"/>
      <c r="AI66" s="41"/>
      <c r="AJ66" s="67"/>
      <c r="AL66" s="22"/>
    </row>
    <row r="67" spans="9:38" x14ac:dyDescent="0.25">
      <c r="I67" s="124"/>
      <c r="J67" s="5" t="str">
        <f>_xlfn.CONCAT(I62,"f")</f>
        <v>SC-05f</v>
      </c>
      <c r="K67" s="5"/>
      <c r="L67" s="5">
        <f t="shared" si="14"/>
        <v>20.45</v>
      </c>
      <c r="M67" s="6">
        <f t="shared" si="15"/>
        <v>-2.6817041171450144</v>
      </c>
      <c r="N67" s="6">
        <f t="shared" si="5"/>
        <v>18.927604514329524</v>
      </c>
      <c r="O67" s="6">
        <v>7.61</v>
      </c>
      <c r="P67" s="6">
        <v>-13.629999999999999</v>
      </c>
      <c r="Q67" s="6">
        <f t="shared" si="16"/>
        <v>-30</v>
      </c>
      <c r="R67" s="6">
        <v>0.26329999999999998</v>
      </c>
      <c r="S67" s="6">
        <v>0.6946</v>
      </c>
      <c r="T67" s="6">
        <v>0.76170000000000004</v>
      </c>
      <c r="U67" s="6">
        <v>0.49419999999999997</v>
      </c>
      <c r="V67" s="6">
        <v>1.2148000000000001</v>
      </c>
      <c r="W67" s="6">
        <v>1.0009999999999999</v>
      </c>
      <c r="X67" s="6">
        <v>0.32769999999999999</v>
      </c>
      <c r="Y67" s="6" t="s">
        <v>30</v>
      </c>
      <c r="Z67" s="6" t="s">
        <v>26</v>
      </c>
      <c r="AA67" s="39"/>
      <c r="AB67" s="40"/>
      <c r="AC67" s="39"/>
      <c r="AD67" s="40"/>
      <c r="AE67" s="39"/>
      <c r="AF67" s="41"/>
      <c r="AG67" s="39"/>
      <c r="AH67" s="41"/>
      <c r="AI67" s="41"/>
      <c r="AJ67" s="67"/>
      <c r="AL67" s="22"/>
    </row>
    <row r="68" spans="9:38" x14ac:dyDescent="0.25">
      <c r="I68" s="124"/>
      <c r="J68" s="5" t="str">
        <f>_xlfn.CONCAT(I62,"g")</f>
        <v>SC-05g</v>
      </c>
      <c r="K68" s="5"/>
      <c r="L68" s="5">
        <f t="shared" si="14"/>
        <v>18.45</v>
      </c>
      <c r="M68" s="6">
        <f t="shared" si="15"/>
        <v>-2.6817041171450144</v>
      </c>
      <c r="N68" s="6">
        <f t="shared" si="5"/>
        <v>16.929794781876758</v>
      </c>
      <c r="O68" s="6">
        <v>7.52</v>
      </c>
      <c r="P68" s="6">
        <v>-13.61</v>
      </c>
      <c r="Q68" s="6">
        <f t="shared" si="16"/>
        <v>-30</v>
      </c>
      <c r="R68" s="6">
        <v>0.32690000000000002</v>
      </c>
      <c r="S68" s="6">
        <v>0.67710000000000004</v>
      </c>
      <c r="T68" s="6">
        <v>0.66990000000000005</v>
      </c>
      <c r="U68" s="6">
        <v>0.34229999999999999</v>
      </c>
      <c r="V68" s="6">
        <v>1.2198</v>
      </c>
      <c r="W68" s="6">
        <v>0.9486</v>
      </c>
      <c r="X68" s="6">
        <v>0.26979999999999998</v>
      </c>
      <c r="Y68" s="6" t="s">
        <v>30</v>
      </c>
      <c r="Z68" s="6" t="s">
        <v>26</v>
      </c>
      <c r="AA68" s="39"/>
      <c r="AB68" s="40"/>
      <c r="AC68" s="39"/>
      <c r="AD68" s="40"/>
      <c r="AE68" s="39"/>
      <c r="AF68" s="41"/>
      <c r="AG68" s="39"/>
      <c r="AH68" s="41"/>
      <c r="AI68" s="41"/>
      <c r="AJ68" s="67"/>
      <c r="AL68" s="22"/>
    </row>
    <row r="69" spans="9:38" x14ac:dyDescent="0.25">
      <c r="I69" s="124"/>
      <c r="J69" s="5" t="str">
        <f>_xlfn.CONCAT(I62,"h")</f>
        <v>SC-05h</v>
      </c>
      <c r="K69" s="5"/>
      <c r="L69" s="5">
        <f t="shared" si="14"/>
        <v>16.45</v>
      </c>
      <c r="M69" s="6">
        <f t="shared" si="15"/>
        <v>-2.6817041171450144</v>
      </c>
      <c r="N69" s="6">
        <f t="shared" si="5"/>
        <v>14.931985049423993</v>
      </c>
      <c r="O69" s="6">
        <v>7.43</v>
      </c>
      <c r="P69" s="6">
        <v>-13.629999999999999</v>
      </c>
      <c r="Q69" s="6">
        <f t="shared" si="16"/>
        <v>-30</v>
      </c>
      <c r="R69" s="6">
        <v>0.39929999999999999</v>
      </c>
      <c r="S69" s="6">
        <v>0.62860000000000005</v>
      </c>
      <c r="T69" s="6">
        <v>0.72209999999999996</v>
      </c>
      <c r="U69" s="6">
        <v>0.29870000000000002</v>
      </c>
      <c r="V69" s="6">
        <v>1.2219</v>
      </c>
      <c r="W69" s="6">
        <v>0.90629999999999999</v>
      </c>
      <c r="X69" s="6">
        <v>0.25140000000000001</v>
      </c>
      <c r="Y69" s="6" t="s">
        <v>30</v>
      </c>
      <c r="Z69" s="6" t="s">
        <v>26</v>
      </c>
      <c r="AA69" s="39"/>
      <c r="AB69" s="40"/>
      <c r="AC69" s="39"/>
      <c r="AD69" s="40"/>
      <c r="AE69" s="39"/>
      <c r="AF69" s="41"/>
      <c r="AG69" s="39"/>
      <c r="AH69" s="41"/>
      <c r="AI69" s="41"/>
      <c r="AJ69" s="67"/>
      <c r="AL69" s="22"/>
    </row>
    <row r="70" spans="9:38" x14ac:dyDescent="0.25">
      <c r="I70" s="124"/>
      <c r="J70" s="5" t="str">
        <f>_xlfn.CONCAT(I62,"i")</f>
        <v>SC-05i</v>
      </c>
      <c r="K70" s="5"/>
      <c r="L70" s="5">
        <f t="shared" si="14"/>
        <v>14.45</v>
      </c>
      <c r="M70" s="6">
        <f t="shared" si="15"/>
        <v>-2.6817041171450144</v>
      </c>
      <c r="N70" s="6">
        <f t="shared" si="5"/>
        <v>12.934175316971226</v>
      </c>
      <c r="O70" s="6">
        <v>7.34</v>
      </c>
      <c r="P70" s="6">
        <v>-13.55</v>
      </c>
      <c r="Q70" s="6">
        <f t="shared" si="16"/>
        <v>-30</v>
      </c>
      <c r="R70" s="6">
        <v>0.45700000000000002</v>
      </c>
      <c r="S70" s="6">
        <v>0.63990000000000002</v>
      </c>
      <c r="T70" s="6">
        <v>0.6391</v>
      </c>
      <c r="U70" s="6">
        <v>0.18770000000000001</v>
      </c>
      <c r="V70" s="6">
        <v>1.2202999999999999</v>
      </c>
      <c r="W70" s="6">
        <v>0.9375</v>
      </c>
      <c r="X70" s="6">
        <v>0.2306</v>
      </c>
      <c r="Y70" s="6" t="s">
        <v>30</v>
      </c>
      <c r="Z70" s="6" t="s">
        <v>26</v>
      </c>
      <c r="AA70" s="39"/>
      <c r="AB70" s="40"/>
      <c r="AC70" s="39"/>
      <c r="AD70" s="40"/>
      <c r="AE70" s="39"/>
      <c r="AF70" s="41"/>
      <c r="AG70" s="39"/>
      <c r="AH70" s="41"/>
      <c r="AI70" s="41"/>
      <c r="AJ70" s="67"/>
    </row>
    <row r="71" spans="9:38" x14ac:dyDescent="0.25">
      <c r="I71" s="124"/>
      <c r="J71" s="5" t="str">
        <f>_xlfn.CONCAT(I62,"j")</f>
        <v>SC-05j</v>
      </c>
      <c r="K71" s="5"/>
      <c r="L71" s="5">
        <f t="shared" si="14"/>
        <v>12.45</v>
      </c>
      <c r="M71" s="6">
        <f t="shared" si="15"/>
        <v>-2.6817041171450144</v>
      </c>
      <c r="N71" s="6">
        <f t="shared" si="5"/>
        <v>10.936365584518462</v>
      </c>
      <c r="O71" s="6">
        <v>7.24</v>
      </c>
      <c r="P71" s="6">
        <v>-13.54</v>
      </c>
      <c r="Q71" s="6">
        <f t="shared" si="16"/>
        <v>-30</v>
      </c>
      <c r="R71" s="6">
        <v>0.4763</v>
      </c>
      <c r="S71" s="6">
        <v>0.61770000000000003</v>
      </c>
      <c r="T71" s="6">
        <v>0.46479999999999999</v>
      </c>
      <c r="U71" s="6">
        <v>-1.14E-2</v>
      </c>
      <c r="V71" s="6">
        <v>1.2132000000000001</v>
      </c>
      <c r="W71" s="6">
        <v>0.92820000000000003</v>
      </c>
      <c r="X71" s="6">
        <v>0.2908</v>
      </c>
      <c r="Y71" s="6" t="s">
        <v>30</v>
      </c>
      <c r="Z71" s="6" t="s">
        <v>26</v>
      </c>
      <c r="AA71" s="39"/>
      <c r="AB71" s="40"/>
      <c r="AC71" s="39"/>
      <c r="AD71" s="40"/>
      <c r="AE71" s="39"/>
      <c r="AF71" s="41"/>
      <c r="AG71" s="39"/>
      <c r="AH71" s="41"/>
      <c r="AI71" s="41"/>
      <c r="AJ71" s="67"/>
    </row>
    <row r="72" spans="9:38" x14ac:dyDescent="0.25">
      <c r="I72" s="124"/>
      <c r="J72" s="5" t="str">
        <f>_xlfn.CONCAT(I62,"k")</f>
        <v>SC-05k</v>
      </c>
      <c r="K72" s="5"/>
      <c r="L72" s="5">
        <f t="shared" si="14"/>
        <v>10.45</v>
      </c>
      <c r="M72" s="6">
        <f t="shared" si="15"/>
        <v>-2.6817041171450144</v>
      </c>
      <c r="N72" s="6">
        <f t="shared" si="5"/>
        <v>8.9385558520656971</v>
      </c>
      <c r="O72" s="6">
        <v>7.13</v>
      </c>
      <c r="P72" s="6">
        <v>-13.54</v>
      </c>
      <c r="Q72" s="6">
        <f t="shared" si="16"/>
        <v>-30</v>
      </c>
      <c r="R72" s="6">
        <v>0.47560000000000002</v>
      </c>
      <c r="S72" s="6">
        <v>0.63349999999999995</v>
      </c>
      <c r="T72" s="6">
        <v>0.46939999999999998</v>
      </c>
      <c r="U72" s="6">
        <v>0</v>
      </c>
      <c r="V72" s="6">
        <v>1.212</v>
      </c>
      <c r="W72" s="6">
        <v>0.88029999999999997</v>
      </c>
      <c r="X72" s="6" t="s">
        <v>4</v>
      </c>
      <c r="Y72" s="6" t="s">
        <v>30</v>
      </c>
      <c r="Z72" s="6" t="s">
        <v>28</v>
      </c>
      <c r="AA72" s="39"/>
      <c r="AB72" s="40"/>
      <c r="AC72" s="39"/>
      <c r="AD72" s="40"/>
      <c r="AE72" s="39"/>
      <c r="AF72" s="42"/>
      <c r="AG72" s="39"/>
      <c r="AH72" s="42"/>
      <c r="AI72" s="42"/>
      <c r="AJ72" s="68"/>
    </row>
    <row r="73" spans="9:38" x14ac:dyDescent="0.25">
      <c r="I73" s="124"/>
      <c r="J73" s="5" t="str">
        <f>_xlfn.CONCAT(I62,"l")</f>
        <v>SC-05l</v>
      </c>
      <c r="K73" s="5"/>
      <c r="L73" s="5">
        <f t="shared" si="14"/>
        <v>8.4499999999999993</v>
      </c>
      <c r="M73" s="6">
        <f t="shared" si="15"/>
        <v>-2.6817041171450144</v>
      </c>
      <c r="N73" s="6">
        <f t="shared" si="5"/>
        <v>6.9407461196129319</v>
      </c>
      <c r="O73" s="6">
        <v>7.03</v>
      </c>
      <c r="P73" s="6">
        <v>-13.52</v>
      </c>
      <c r="Q73" s="6">
        <f t="shared" si="16"/>
        <v>-30</v>
      </c>
      <c r="R73" s="6">
        <v>0.42030000000000001</v>
      </c>
      <c r="S73" s="6">
        <v>0.60360000000000003</v>
      </c>
      <c r="T73" s="6">
        <v>0.37340000000000001</v>
      </c>
      <c r="U73" s="6">
        <v>-4.6800000000000001E-2</v>
      </c>
      <c r="V73" s="6">
        <v>1.2044999999999999</v>
      </c>
      <c r="W73" s="6">
        <v>0.85489999999999999</v>
      </c>
      <c r="X73" s="6" t="s">
        <v>4</v>
      </c>
      <c r="Y73" s="6" t="s">
        <v>30</v>
      </c>
      <c r="Z73" s="6" t="s">
        <v>28</v>
      </c>
      <c r="AA73" s="39"/>
      <c r="AB73" s="40"/>
      <c r="AC73" s="39"/>
      <c r="AD73" s="40"/>
      <c r="AE73" s="39"/>
      <c r="AF73" s="42"/>
      <c r="AG73" s="39"/>
      <c r="AH73" s="42"/>
      <c r="AI73" s="42"/>
      <c r="AJ73" s="68"/>
    </row>
    <row r="74" spans="9:38" x14ac:dyDescent="0.25">
      <c r="I74" s="124"/>
      <c r="J74" s="5" t="str">
        <f>_xlfn.CONCAT(I62,"m")</f>
        <v>SC-05m</v>
      </c>
      <c r="K74" s="5"/>
      <c r="L74" s="5">
        <f t="shared" si="14"/>
        <v>6.45</v>
      </c>
      <c r="M74" s="6">
        <f t="shared" si="15"/>
        <v>-2.6817041171450144</v>
      </c>
      <c r="N74" s="6">
        <f t="shared" si="5"/>
        <v>4.9429363871601675</v>
      </c>
      <c r="O74" s="6">
        <v>6.92</v>
      </c>
      <c r="P74" s="6">
        <v>-13.510000000000002</v>
      </c>
      <c r="Q74" s="6">
        <f t="shared" si="16"/>
        <v>-30</v>
      </c>
      <c r="R74" s="6">
        <v>0.32800000000000001</v>
      </c>
      <c r="S74" s="6">
        <v>0.59289999999999998</v>
      </c>
      <c r="T74" s="6">
        <v>0.27400000000000002</v>
      </c>
      <c r="U74" s="6">
        <v>-6.08E-2</v>
      </c>
      <c r="V74" s="6">
        <v>1.1952</v>
      </c>
      <c r="W74" s="6">
        <v>0.92279999999999995</v>
      </c>
      <c r="X74" s="6" t="s">
        <v>4</v>
      </c>
      <c r="Y74" s="6" t="s">
        <v>30</v>
      </c>
      <c r="Z74" s="6" t="s">
        <v>28</v>
      </c>
      <c r="AA74" s="39"/>
      <c r="AB74" s="40"/>
      <c r="AC74" s="39"/>
      <c r="AD74" s="40"/>
      <c r="AE74" s="39"/>
      <c r="AF74" s="42"/>
      <c r="AG74" s="39"/>
      <c r="AH74" s="42"/>
      <c r="AI74" s="42"/>
      <c r="AJ74" s="68"/>
    </row>
    <row r="75" spans="9:38" x14ac:dyDescent="0.25">
      <c r="I75" s="124"/>
      <c r="J75" s="5" t="str">
        <f>_xlfn.CONCAT(I62,"n")</f>
        <v>SC-05n</v>
      </c>
      <c r="K75" s="5"/>
      <c r="L75" s="5">
        <f>L76+2</f>
        <v>4.45</v>
      </c>
      <c r="M75" s="6">
        <f t="shared" si="15"/>
        <v>-2.6817041171450144</v>
      </c>
      <c r="N75" s="6">
        <f t="shared" si="5"/>
        <v>2.9451266547074022</v>
      </c>
      <c r="O75" s="6">
        <v>6.81</v>
      </c>
      <c r="P75" s="6">
        <v>-13.36</v>
      </c>
      <c r="Q75" s="6">
        <f t="shared" si="16"/>
        <v>-30</v>
      </c>
      <c r="R75" s="6">
        <v>0.2399</v>
      </c>
      <c r="S75" s="6">
        <v>0.55520000000000003</v>
      </c>
      <c r="T75" s="6">
        <v>0.13969999999999999</v>
      </c>
      <c r="U75" s="6">
        <v>-0.1023</v>
      </c>
      <c r="V75" s="6">
        <v>1.1839999999999999</v>
      </c>
      <c r="W75" s="6">
        <v>0.92390000000000005</v>
      </c>
      <c r="X75" s="6" t="s">
        <v>4</v>
      </c>
      <c r="Y75" s="6" t="s">
        <v>30</v>
      </c>
      <c r="Z75" s="6" t="s">
        <v>28</v>
      </c>
      <c r="AA75" s="39"/>
      <c r="AB75" s="43"/>
      <c r="AC75" s="39"/>
      <c r="AD75" s="43"/>
      <c r="AE75" s="39"/>
      <c r="AF75" s="42"/>
      <c r="AG75" s="39"/>
      <c r="AH75" s="42"/>
      <c r="AI75" s="42"/>
      <c r="AJ75" s="68"/>
    </row>
    <row r="76" spans="9:38" ht="15.75" thickBot="1" x14ac:dyDescent="0.3">
      <c r="I76" s="125"/>
      <c r="J76" s="13" t="str">
        <f>_xlfn.CONCAT(I62,"o")</f>
        <v>SC-05o</v>
      </c>
      <c r="K76" s="13"/>
      <c r="L76" s="13">
        <v>2.4500000000000002</v>
      </c>
      <c r="M76" s="14">
        <f t="shared" si="15"/>
        <v>-2.6817041171450144</v>
      </c>
      <c r="N76" s="14">
        <f t="shared" si="5"/>
        <v>0.94731692225463737</v>
      </c>
      <c r="O76" s="14">
        <v>6.7</v>
      </c>
      <c r="P76" s="6">
        <v>-13.27</v>
      </c>
      <c r="Q76" s="14">
        <f>$A$14</f>
        <v>-30</v>
      </c>
      <c r="R76" s="14">
        <v>0.18720000000000001</v>
      </c>
      <c r="S76" s="14">
        <v>0.57640000000000002</v>
      </c>
      <c r="T76" s="14">
        <v>8.4699999999999998E-2</v>
      </c>
      <c r="U76" s="14">
        <v>-0.1021</v>
      </c>
      <c r="V76" s="14">
        <v>1.1731</v>
      </c>
      <c r="W76" s="14">
        <v>0.97799999999999998</v>
      </c>
      <c r="X76" s="14" t="s">
        <v>4</v>
      </c>
      <c r="Y76" s="14" t="s">
        <v>30</v>
      </c>
      <c r="Z76" s="14" t="s">
        <v>28</v>
      </c>
      <c r="AA76" s="44"/>
      <c r="AB76" s="45"/>
      <c r="AC76" s="44"/>
      <c r="AD76" s="45"/>
      <c r="AE76" s="44"/>
      <c r="AF76" s="46"/>
      <c r="AG76" s="44"/>
      <c r="AH76" s="46"/>
      <c r="AI76" s="46"/>
      <c r="AJ76" s="69"/>
    </row>
    <row r="77" spans="9:38" x14ac:dyDescent="0.25">
      <c r="I77" s="123" t="s">
        <v>33</v>
      </c>
      <c r="J77" s="8" t="str">
        <f>_xlfn.CONCAT(I77,"a")</f>
        <v>SC-06a</v>
      </c>
      <c r="K77" s="8"/>
      <c r="L77" s="5">
        <f>L78+1.9</f>
        <v>29.86</v>
      </c>
      <c r="M77" s="70">
        <f>DEGREES(ASIN((6.55-4.65)/(1.96+13*2+1.9)))</f>
        <v>3.6482108345672715</v>
      </c>
      <c r="N77" s="9">
        <f t="shared" si="5"/>
        <v>28.29948992852059</v>
      </c>
      <c r="O77" s="9">
        <v>4.66</v>
      </c>
      <c r="P77" s="35">
        <v>-2.6099999999999994</v>
      </c>
      <c r="Q77" s="9">
        <f>$A$14</f>
        <v>-30</v>
      </c>
      <c r="R77" s="9">
        <v>-2.9918</v>
      </c>
      <c r="S77" s="9">
        <v>1.0623</v>
      </c>
      <c r="T77" s="9">
        <v>-2.3140999999999998</v>
      </c>
      <c r="U77" s="9">
        <v>0.68500000000000005</v>
      </c>
      <c r="V77" s="9">
        <v>1.2222999999999999</v>
      </c>
      <c r="W77" s="9">
        <v>0.9425</v>
      </c>
      <c r="X77" s="9">
        <v>-1.7461</v>
      </c>
      <c r="Y77" s="9" t="s">
        <v>30</v>
      </c>
      <c r="Z77" s="9" t="s">
        <v>27</v>
      </c>
      <c r="AA77" s="36"/>
      <c r="AB77" s="37"/>
      <c r="AC77" s="36"/>
      <c r="AD77" s="37"/>
      <c r="AE77" s="36"/>
      <c r="AF77" s="38"/>
      <c r="AG77" s="36"/>
      <c r="AH77" s="38"/>
      <c r="AI77" s="38"/>
      <c r="AJ77" s="66"/>
      <c r="AL77" s="22"/>
    </row>
    <row r="78" spans="9:38" x14ac:dyDescent="0.25">
      <c r="I78" s="124"/>
      <c r="J78" s="5" t="str">
        <f>_xlfn.CONCAT(I77,"b")</f>
        <v>SC-06b</v>
      </c>
      <c r="K78" s="5"/>
      <c r="L78" s="5">
        <f t="shared" ref="L78:L89" si="17">L79+2</f>
        <v>27.96</v>
      </c>
      <c r="M78" s="6">
        <f>DEGREES(ASIN((6.55-4.65)/(1.96+13*2+1.9)))</f>
        <v>3.6482108345672715</v>
      </c>
      <c r="N78" s="6">
        <f t="shared" si="5"/>
        <v>26.403340200985792</v>
      </c>
      <c r="O78" s="6">
        <v>4.8</v>
      </c>
      <c r="P78" s="6">
        <v>-3.75</v>
      </c>
      <c r="Q78" s="6">
        <f>$A$14</f>
        <v>-30</v>
      </c>
      <c r="R78" s="6">
        <v>-2.859</v>
      </c>
      <c r="S78" s="6">
        <v>1.0527</v>
      </c>
      <c r="T78" s="6">
        <v>-2.0562999999999998</v>
      </c>
      <c r="U78" s="6">
        <v>0.75429999999999997</v>
      </c>
      <c r="V78" s="6">
        <v>1.2051000000000001</v>
      </c>
      <c r="W78" s="6">
        <v>0.73329999999999995</v>
      </c>
      <c r="X78" s="6">
        <v>-1.6763999999999999</v>
      </c>
      <c r="Y78" s="6" t="s">
        <v>30</v>
      </c>
      <c r="Z78" s="6" t="s">
        <v>27</v>
      </c>
      <c r="AA78" s="39"/>
      <c r="AB78" s="40"/>
      <c r="AC78" s="39"/>
      <c r="AD78" s="40"/>
      <c r="AE78" s="39"/>
      <c r="AF78" s="41"/>
      <c r="AG78" s="39"/>
      <c r="AH78" s="41"/>
      <c r="AI78" s="41"/>
      <c r="AJ78" s="67"/>
      <c r="AL78" s="22"/>
    </row>
    <row r="79" spans="9:38" x14ac:dyDescent="0.25">
      <c r="I79" s="124"/>
      <c r="J79" s="5" t="str">
        <f>_xlfn.CONCAT(I77,"c")</f>
        <v>SC-06c</v>
      </c>
      <c r="K79" s="5"/>
      <c r="L79" s="5">
        <f t="shared" si="17"/>
        <v>25.96</v>
      </c>
      <c r="M79" s="6">
        <f t="shared" ref="M79:M91" si="18">DEGREES(ASIN((6.55-4.65)/(1.96+13*2+1.9)))</f>
        <v>3.6482108345672715</v>
      </c>
      <c r="N79" s="6">
        <f t="shared" si="5"/>
        <v>24.407393119370212</v>
      </c>
      <c r="O79" s="6">
        <v>4.95</v>
      </c>
      <c r="P79" s="6">
        <v>-3.66</v>
      </c>
      <c r="Q79" s="6">
        <f t="shared" ref="Q79:Q90" si="19">$A$14</f>
        <v>-30</v>
      </c>
      <c r="R79" s="6">
        <v>-2.6280000000000001</v>
      </c>
      <c r="S79" s="6">
        <v>1.0913999999999999</v>
      </c>
      <c r="T79" s="6">
        <v>-1.8621000000000001</v>
      </c>
      <c r="U79" s="6">
        <v>0.7732</v>
      </c>
      <c r="V79" s="6">
        <v>1.1991000000000001</v>
      </c>
      <c r="W79" s="6">
        <v>0.87570000000000003</v>
      </c>
      <c r="X79" s="6">
        <v>-1.4958</v>
      </c>
      <c r="Y79" s="6" t="s">
        <v>30</v>
      </c>
      <c r="Z79" s="6" t="s">
        <v>27</v>
      </c>
      <c r="AA79" s="39"/>
      <c r="AB79" s="40"/>
      <c r="AC79" s="39"/>
      <c r="AD79" s="40"/>
      <c r="AE79" s="39"/>
      <c r="AF79" s="41"/>
      <c r="AG79" s="39"/>
      <c r="AH79" s="41"/>
      <c r="AI79" s="41"/>
      <c r="AJ79" s="67"/>
      <c r="AL79" s="22"/>
    </row>
    <row r="80" spans="9:38" x14ac:dyDescent="0.25">
      <c r="I80" s="124"/>
      <c r="J80" s="5" t="str">
        <f>_xlfn.CONCAT(I77,"d")</f>
        <v>SC-06d</v>
      </c>
      <c r="K80" s="5"/>
      <c r="L80" s="5">
        <f t="shared" si="17"/>
        <v>23.96</v>
      </c>
      <c r="M80" s="6">
        <f t="shared" si="18"/>
        <v>3.6482108345672715</v>
      </c>
      <c r="N80" s="6">
        <f t="shared" si="5"/>
        <v>22.411446037754633</v>
      </c>
      <c r="O80" s="6">
        <v>5.09</v>
      </c>
      <c r="P80" s="6">
        <v>-3.4699999999999989</v>
      </c>
      <c r="Q80" s="6">
        <f t="shared" si="19"/>
        <v>-30</v>
      </c>
      <c r="R80" s="6">
        <v>-2.4577</v>
      </c>
      <c r="S80" s="6">
        <v>1.0991</v>
      </c>
      <c r="T80" s="6">
        <v>-1.6863999999999999</v>
      </c>
      <c r="U80" s="6">
        <v>0.77829999999999999</v>
      </c>
      <c r="V80" s="6">
        <v>1.1938</v>
      </c>
      <c r="W80" s="6">
        <v>0.86329999999999996</v>
      </c>
      <c r="X80" s="6">
        <v>-1.4338</v>
      </c>
      <c r="Y80" s="6" t="s">
        <v>30</v>
      </c>
      <c r="Z80" s="6" t="s">
        <v>27</v>
      </c>
      <c r="AA80" s="39"/>
      <c r="AB80" s="40"/>
      <c r="AC80" s="39"/>
      <c r="AD80" s="40"/>
      <c r="AE80" s="39"/>
      <c r="AF80" s="41"/>
      <c r="AG80" s="39"/>
      <c r="AH80" s="41"/>
      <c r="AI80" s="41"/>
      <c r="AJ80" s="67"/>
      <c r="AL80" s="22"/>
    </row>
    <row r="81" spans="9:38" x14ac:dyDescent="0.25">
      <c r="I81" s="124"/>
      <c r="J81" s="5" t="str">
        <f>_xlfn.CONCAT(I77,"e")</f>
        <v>SC-06e</v>
      </c>
      <c r="K81" s="5"/>
      <c r="L81" s="5">
        <f t="shared" si="17"/>
        <v>21.96</v>
      </c>
      <c r="M81" s="6">
        <f t="shared" si="18"/>
        <v>3.6482108345672715</v>
      </c>
      <c r="N81" s="6">
        <f t="shared" si="5"/>
        <v>20.415498956139054</v>
      </c>
      <c r="O81" s="6">
        <v>5.23</v>
      </c>
      <c r="P81" s="6">
        <v>-3.6000000000000014</v>
      </c>
      <c r="Q81" s="6">
        <f t="shared" si="19"/>
        <v>-30</v>
      </c>
      <c r="R81" s="6">
        <v>-2.2658</v>
      </c>
      <c r="S81" s="6">
        <v>1.0951</v>
      </c>
      <c r="T81" s="6">
        <v>-1.5210999999999999</v>
      </c>
      <c r="U81" s="6">
        <v>0.74470000000000003</v>
      </c>
      <c r="V81" s="6">
        <v>1.2042999999999999</v>
      </c>
      <c r="W81" s="6">
        <v>0.83299999999999996</v>
      </c>
      <c r="X81" s="6">
        <v>-1.2027000000000001</v>
      </c>
      <c r="Y81" s="6" t="s">
        <v>30</v>
      </c>
      <c r="Z81" s="6" t="s">
        <v>27</v>
      </c>
      <c r="AA81" s="39"/>
      <c r="AB81" s="40"/>
      <c r="AC81" s="39"/>
      <c r="AD81" s="40"/>
      <c r="AE81" s="39"/>
      <c r="AF81" s="41"/>
      <c r="AG81" s="39"/>
      <c r="AH81" s="41"/>
      <c r="AI81" s="41"/>
      <c r="AJ81" s="67"/>
      <c r="AL81" s="22"/>
    </row>
    <row r="82" spans="9:38" x14ac:dyDescent="0.25">
      <c r="I82" s="124"/>
      <c r="J82" s="5" t="str">
        <f>_xlfn.CONCAT(I77,"f")</f>
        <v>SC-06f</v>
      </c>
      <c r="K82" s="5"/>
      <c r="L82" s="5">
        <f t="shared" si="17"/>
        <v>19.96</v>
      </c>
      <c r="M82" s="6">
        <f t="shared" si="18"/>
        <v>3.6482108345672715</v>
      </c>
      <c r="N82" s="6">
        <f t="shared" ref="N82:N121" si="20">L82*COS(RADIANS(M82))-1.5</f>
        <v>18.419551874523474</v>
      </c>
      <c r="O82" s="6">
        <v>5.37</v>
      </c>
      <c r="P82" s="6">
        <v>-3.629999999999999</v>
      </c>
      <c r="Q82" s="6">
        <f t="shared" si="19"/>
        <v>-30</v>
      </c>
      <c r="R82" s="6">
        <v>-2.0230999999999999</v>
      </c>
      <c r="S82" s="6">
        <v>1.0934999999999999</v>
      </c>
      <c r="T82" s="6">
        <v>-1.4023000000000001</v>
      </c>
      <c r="U82" s="6">
        <v>0.62690000000000001</v>
      </c>
      <c r="V82" s="6">
        <v>1.1883999999999999</v>
      </c>
      <c r="W82" s="6">
        <v>0.84109999999999996</v>
      </c>
      <c r="X82" s="6">
        <v>-1.0271999999999999</v>
      </c>
      <c r="Y82" s="6" t="s">
        <v>29</v>
      </c>
      <c r="Z82" s="6" t="s">
        <v>27</v>
      </c>
      <c r="AA82" s="39"/>
      <c r="AB82" s="40"/>
      <c r="AC82" s="39"/>
      <c r="AD82" s="40"/>
      <c r="AE82" s="39"/>
      <c r="AF82" s="41"/>
      <c r="AG82" s="39"/>
      <c r="AH82" s="41"/>
      <c r="AI82" s="41"/>
      <c r="AJ82" s="67"/>
      <c r="AL82" s="22"/>
    </row>
    <row r="83" spans="9:38" x14ac:dyDescent="0.25">
      <c r="I83" s="124"/>
      <c r="J83" s="5" t="str">
        <f>_xlfn.CONCAT(I77,"g")</f>
        <v>SC-06g</v>
      </c>
      <c r="K83" s="5"/>
      <c r="L83" s="5">
        <f t="shared" si="17"/>
        <v>17.96</v>
      </c>
      <c r="M83" s="6">
        <f t="shared" si="18"/>
        <v>3.6482108345672715</v>
      </c>
      <c r="N83" s="6">
        <f t="shared" si="20"/>
        <v>16.423604792907899</v>
      </c>
      <c r="O83" s="6">
        <v>5.5</v>
      </c>
      <c r="P83" s="6">
        <v>-3.6099999999999994</v>
      </c>
      <c r="Q83" s="6">
        <f t="shared" si="19"/>
        <v>-30</v>
      </c>
      <c r="R83" s="6">
        <v>-1.7685</v>
      </c>
      <c r="S83" s="6">
        <v>0.52059999999999995</v>
      </c>
      <c r="T83" s="6">
        <v>-1.1536999999999999</v>
      </c>
      <c r="U83" s="6">
        <v>0.62090000000000001</v>
      </c>
      <c r="V83" s="6">
        <v>1.1840999999999999</v>
      </c>
      <c r="W83" s="6">
        <v>0.73680000000000001</v>
      </c>
      <c r="X83" s="6">
        <v>-0.87490000000000001</v>
      </c>
      <c r="Y83" s="6" t="s">
        <v>29</v>
      </c>
      <c r="Z83" s="6" t="s">
        <v>27</v>
      </c>
      <c r="AA83" s="39"/>
      <c r="AB83" s="40"/>
      <c r="AC83" s="39"/>
      <c r="AD83" s="40"/>
      <c r="AE83" s="39"/>
      <c r="AF83" s="41"/>
      <c r="AG83" s="39"/>
      <c r="AH83" s="41"/>
      <c r="AI83" s="41"/>
      <c r="AJ83" s="67"/>
      <c r="AL83" s="22"/>
    </row>
    <row r="84" spans="9:38" x14ac:dyDescent="0.25">
      <c r="I84" s="124"/>
      <c r="J84" s="5" t="str">
        <f>_xlfn.CONCAT(I77,"h")</f>
        <v>SC-06h</v>
      </c>
      <c r="K84" s="5"/>
      <c r="L84" s="5">
        <f t="shared" si="17"/>
        <v>15.96</v>
      </c>
      <c r="M84" s="6">
        <f t="shared" si="18"/>
        <v>3.6482108345672715</v>
      </c>
      <c r="N84" s="6">
        <f t="shared" si="20"/>
        <v>14.427657711292319</v>
      </c>
      <c r="O84" s="6">
        <v>5.62</v>
      </c>
      <c r="P84" s="6">
        <v>-3.629999999999999</v>
      </c>
      <c r="Q84" s="6">
        <f t="shared" si="19"/>
        <v>-30</v>
      </c>
      <c r="R84" s="6">
        <v>-1.5105999999999999</v>
      </c>
      <c r="S84" s="6">
        <v>0.5131</v>
      </c>
      <c r="T84" s="6">
        <v>-0.98860000000000003</v>
      </c>
      <c r="U84" s="6">
        <v>0.52200000000000002</v>
      </c>
      <c r="V84" s="6">
        <v>1.1780999999999999</v>
      </c>
      <c r="W84" s="6">
        <v>0.74480000000000002</v>
      </c>
      <c r="X84" s="6">
        <v>-0.66979999999999995</v>
      </c>
      <c r="Y84" s="6" t="s">
        <v>29</v>
      </c>
      <c r="Z84" s="6" t="s">
        <v>27</v>
      </c>
      <c r="AA84" s="39"/>
      <c r="AB84" s="40"/>
      <c r="AC84" s="39"/>
      <c r="AD84" s="40"/>
      <c r="AE84" s="39"/>
      <c r="AF84" s="41"/>
      <c r="AG84" s="39"/>
      <c r="AH84" s="41"/>
      <c r="AI84" s="41"/>
      <c r="AJ84" s="67"/>
      <c r="AL84" s="22"/>
    </row>
    <row r="85" spans="9:38" x14ac:dyDescent="0.25">
      <c r="I85" s="124"/>
      <c r="J85" s="5" t="str">
        <f>_xlfn.CONCAT(I77,"i")</f>
        <v>SC-06i</v>
      </c>
      <c r="K85" s="5"/>
      <c r="L85" s="5">
        <f t="shared" si="17"/>
        <v>13.96</v>
      </c>
      <c r="M85" s="6">
        <f t="shared" si="18"/>
        <v>3.6482108345672715</v>
      </c>
      <c r="N85" s="6">
        <f t="shared" si="20"/>
        <v>12.43171062967674</v>
      </c>
      <c r="O85" s="6">
        <v>5.75</v>
      </c>
      <c r="P85" s="6">
        <v>-3.5500000000000007</v>
      </c>
      <c r="Q85" s="6">
        <f t="shared" si="19"/>
        <v>-30</v>
      </c>
      <c r="R85" s="6">
        <v>-1.2565</v>
      </c>
      <c r="S85" s="6">
        <v>0.51039999999999996</v>
      </c>
      <c r="T85" s="6">
        <v>-0.86199999999999999</v>
      </c>
      <c r="U85" s="6">
        <v>0.40050000000000002</v>
      </c>
      <c r="V85" s="6">
        <v>1.1700999999999999</v>
      </c>
      <c r="W85" s="6">
        <v>0.82979999999999998</v>
      </c>
      <c r="X85" s="6">
        <v>-0.48609999999999998</v>
      </c>
      <c r="Y85" s="6" t="s">
        <v>29</v>
      </c>
      <c r="Z85" s="6" t="s">
        <v>27</v>
      </c>
      <c r="AA85" s="39"/>
      <c r="AB85" s="40"/>
      <c r="AC85" s="39"/>
      <c r="AD85" s="40"/>
      <c r="AE85" s="39"/>
      <c r="AF85" s="41"/>
      <c r="AG85" s="39"/>
      <c r="AH85" s="41"/>
      <c r="AI85" s="41"/>
      <c r="AJ85" s="67"/>
    </row>
    <row r="86" spans="9:38" x14ac:dyDescent="0.25">
      <c r="I86" s="124"/>
      <c r="J86" s="5" t="str">
        <f>_xlfn.CONCAT(I77,"j")</f>
        <v>SC-06j</v>
      </c>
      <c r="K86" s="5"/>
      <c r="L86" s="5">
        <f t="shared" si="17"/>
        <v>11.96</v>
      </c>
      <c r="M86" s="6">
        <f t="shared" si="18"/>
        <v>3.6482108345672715</v>
      </c>
      <c r="N86" s="6">
        <f t="shared" si="20"/>
        <v>10.435763548061161</v>
      </c>
      <c r="O86" s="6">
        <v>5.88</v>
      </c>
      <c r="P86" s="6">
        <v>-3.5399999999999991</v>
      </c>
      <c r="Q86" s="6">
        <f t="shared" si="19"/>
        <v>-30</v>
      </c>
      <c r="R86" s="6">
        <v>-1.0298</v>
      </c>
      <c r="S86" s="6">
        <v>0.55789999999999995</v>
      </c>
      <c r="T86" s="6">
        <v>-0.7218</v>
      </c>
      <c r="U86" s="6">
        <v>0.31409999999999999</v>
      </c>
      <c r="V86" s="6">
        <v>1.1611</v>
      </c>
      <c r="W86" s="6">
        <v>0.89829999999999999</v>
      </c>
      <c r="X86" s="6">
        <v>-0.2989</v>
      </c>
      <c r="Y86" s="6" t="s">
        <v>29</v>
      </c>
      <c r="Z86" s="6" t="s">
        <v>27</v>
      </c>
      <c r="AA86" s="39"/>
      <c r="AB86" s="40"/>
      <c r="AC86" s="39"/>
      <c r="AD86" s="40"/>
      <c r="AE86" s="39"/>
      <c r="AF86" s="41"/>
      <c r="AG86" s="39"/>
      <c r="AH86" s="41"/>
      <c r="AI86" s="41"/>
      <c r="AJ86" s="67"/>
    </row>
    <row r="87" spans="9:38" x14ac:dyDescent="0.25">
      <c r="I87" s="124"/>
      <c r="J87" s="5" t="str">
        <f>_xlfn.CONCAT(I77,"k")</f>
        <v>SC-06k</v>
      </c>
      <c r="K87" s="5"/>
      <c r="L87" s="5">
        <f t="shared" si="17"/>
        <v>9.9600000000000009</v>
      </c>
      <c r="M87" s="6">
        <f t="shared" si="18"/>
        <v>3.6482108345672715</v>
      </c>
      <c r="N87" s="6">
        <f t="shared" si="20"/>
        <v>8.439816466445583</v>
      </c>
      <c r="O87" s="6">
        <v>6</v>
      </c>
      <c r="P87" s="6">
        <v>-3.5399999999999991</v>
      </c>
      <c r="Q87" s="6">
        <f t="shared" si="19"/>
        <v>-30</v>
      </c>
      <c r="R87" s="6">
        <v>-0.84089999999999998</v>
      </c>
      <c r="S87" s="6">
        <v>0.54749999999999999</v>
      </c>
      <c r="T87" s="6">
        <v>-0.60760000000000003</v>
      </c>
      <c r="U87" s="6">
        <v>0.2273</v>
      </c>
      <c r="V87" s="6">
        <v>1.1529</v>
      </c>
      <c r="W87" s="6">
        <v>0.99550000000000005</v>
      </c>
      <c r="X87" s="6">
        <v>-0.1268</v>
      </c>
      <c r="Y87" s="6" t="s">
        <v>29</v>
      </c>
      <c r="Z87" s="6" t="s">
        <v>27</v>
      </c>
      <c r="AA87" s="39"/>
      <c r="AB87" s="40"/>
      <c r="AC87" s="39"/>
      <c r="AD87" s="40"/>
      <c r="AE87" s="39"/>
      <c r="AF87" s="42"/>
      <c r="AG87" s="39"/>
      <c r="AH87" s="42"/>
      <c r="AI87" s="42"/>
      <c r="AJ87" s="68"/>
    </row>
    <row r="88" spans="9:38" x14ac:dyDescent="0.25">
      <c r="I88" s="124"/>
      <c r="J88" s="5" t="str">
        <f>_xlfn.CONCAT(I77,"l")</f>
        <v>SC-06l</v>
      </c>
      <c r="K88" s="5"/>
      <c r="L88" s="5">
        <f t="shared" si="17"/>
        <v>7.96</v>
      </c>
      <c r="M88" s="6">
        <f t="shared" si="18"/>
        <v>3.6482108345672715</v>
      </c>
      <c r="N88" s="6">
        <f t="shared" si="20"/>
        <v>6.4438693848300028</v>
      </c>
      <c r="O88" s="6">
        <v>6.12</v>
      </c>
      <c r="P88" s="6">
        <v>-3.5199999999999996</v>
      </c>
      <c r="Q88" s="6">
        <f t="shared" si="19"/>
        <v>-30</v>
      </c>
      <c r="R88" s="6">
        <v>-0.68540000000000001</v>
      </c>
      <c r="S88" s="6">
        <v>0.53269999999999995</v>
      </c>
      <c r="T88" s="6">
        <v>-0.49349999999999999</v>
      </c>
      <c r="U88" s="6">
        <v>0.18629999999999999</v>
      </c>
      <c r="V88" s="6">
        <v>1.1453</v>
      </c>
      <c r="W88" s="6">
        <v>0.98080000000000001</v>
      </c>
      <c r="X88" s="6" t="s">
        <v>4</v>
      </c>
      <c r="Y88" s="6" t="s">
        <v>29</v>
      </c>
      <c r="Z88" s="6" t="s">
        <v>28</v>
      </c>
      <c r="AA88" s="39"/>
      <c r="AB88" s="40"/>
      <c r="AC88" s="39"/>
      <c r="AD88" s="40"/>
      <c r="AE88" s="39"/>
      <c r="AF88" s="42"/>
      <c r="AG88" s="39"/>
      <c r="AH88" s="42"/>
      <c r="AI88" s="42"/>
      <c r="AJ88" s="68"/>
    </row>
    <row r="89" spans="9:38" x14ac:dyDescent="0.25">
      <c r="I89" s="124"/>
      <c r="J89" s="5" t="str">
        <f>_xlfn.CONCAT(I77,"m")</f>
        <v>SC-06m</v>
      </c>
      <c r="K89" s="5"/>
      <c r="L89" s="5">
        <f t="shared" si="17"/>
        <v>5.96</v>
      </c>
      <c r="M89" s="6">
        <f t="shared" si="18"/>
        <v>3.6482108345672715</v>
      </c>
      <c r="N89" s="6">
        <f t="shared" si="20"/>
        <v>4.4479223032144244</v>
      </c>
      <c r="O89" s="6">
        <v>6.24</v>
      </c>
      <c r="P89" s="6">
        <v>-3.5100000000000016</v>
      </c>
      <c r="Q89" s="6">
        <f t="shared" si="19"/>
        <v>-30</v>
      </c>
      <c r="R89" s="6">
        <v>-0.55259999999999998</v>
      </c>
      <c r="S89" s="6">
        <v>0.5514</v>
      </c>
      <c r="T89" s="6">
        <v>-0.36399999999999999</v>
      </c>
      <c r="U89" s="6">
        <v>0.1918</v>
      </c>
      <c r="V89" s="6">
        <v>1.1396999999999999</v>
      </c>
      <c r="W89" s="6">
        <v>0.93340000000000001</v>
      </c>
      <c r="X89" s="6" t="s">
        <v>4</v>
      </c>
      <c r="Y89" s="6" t="s">
        <v>29</v>
      </c>
      <c r="Z89" s="6" t="s">
        <v>28</v>
      </c>
      <c r="AA89" s="39"/>
      <c r="AB89" s="40"/>
      <c r="AC89" s="39"/>
      <c r="AD89" s="40"/>
      <c r="AE89" s="39"/>
      <c r="AF89" s="42"/>
      <c r="AG89" s="39"/>
      <c r="AH89" s="42"/>
      <c r="AI89" s="42"/>
      <c r="AJ89" s="68"/>
    </row>
    <row r="90" spans="9:38" x14ac:dyDescent="0.25">
      <c r="I90" s="124"/>
      <c r="J90" s="5" t="str">
        <f>_xlfn.CONCAT(I77,"n")</f>
        <v>SC-06n</v>
      </c>
      <c r="K90" s="5"/>
      <c r="L90" s="5">
        <f>L91+2</f>
        <v>3.96</v>
      </c>
      <c r="M90" s="6">
        <f t="shared" si="18"/>
        <v>3.6482108345672715</v>
      </c>
      <c r="N90" s="6">
        <f t="shared" si="20"/>
        <v>2.4519752215988455</v>
      </c>
      <c r="O90" s="6">
        <v>6.36</v>
      </c>
      <c r="P90" s="6">
        <v>-3.3599999999999994</v>
      </c>
      <c r="Q90" s="6">
        <f t="shared" si="19"/>
        <v>-30</v>
      </c>
      <c r="R90" s="6">
        <v>-0.39460000000000001</v>
      </c>
      <c r="S90" s="6">
        <v>0.57050000000000001</v>
      </c>
      <c r="T90" s="6">
        <v>-0.24229999999999999</v>
      </c>
      <c r="U90" s="6">
        <v>0.15229999999999999</v>
      </c>
      <c r="V90" s="6">
        <v>1.1377999999999999</v>
      </c>
      <c r="W90" s="6">
        <v>1.0289999999999999</v>
      </c>
      <c r="X90" s="6" t="s">
        <v>4</v>
      </c>
      <c r="Y90" s="6" t="s">
        <v>29</v>
      </c>
      <c r="Z90" s="6" t="s">
        <v>28</v>
      </c>
      <c r="AA90" s="39"/>
      <c r="AB90" s="43"/>
      <c r="AC90" s="39"/>
      <c r="AD90" s="43"/>
      <c r="AE90" s="39"/>
      <c r="AF90" s="42"/>
      <c r="AG90" s="39"/>
      <c r="AH90" s="42"/>
      <c r="AI90" s="42"/>
      <c r="AJ90" s="68"/>
    </row>
    <row r="91" spans="9:38" ht="15.75" thickBot="1" x14ac:dyDescent="0.3">
      <c r="I91" s="125"/>
      <c r="J91" s="13" t="str">
        <f>_xlfn.CONCAT(I77,"o")</f>
        <v>SC-06o</v>
      </c>
      <c r="K91" s="13"/>
      <c r="L91" s="13">
        <v>1.96</v>
      </c>
      <c r="M91" s="14">
        <f t="shared" si="18"/>
        <v>3.6482108345672715</v>
      </c>
      <c r="N91" s="14">
        <f t="shared" si="20"/>
        <v>0.45602813998326708</v>
      </c>
      <c r="O91" s="14">
        <v>6.46</v>
      </c>
      <c r="P91" s="6">
        <v>-3.2699999999999996</v>
      </c>
      <c r="Q91" s="14">
        <f>$A$14</f>
        <v>-30</v>
      </c>
      <c r="R91" s="14">
        <v>-0.20979999999999999</v>
      </c>
      <c r="S91" s="14">
        <v>0.56469999999999998</v>
      </c>
      <c r="T91" s="14">
        <v>-0.18490000000000001</v>
      </c>
      <c r="U91" s="14">
        <v>2.12E-2</v>
      </c>
      <c r="V91" s="14">
        <v>1.1354</v>
      </c>
      <c r="W91" s="14">
        <v>1.0084</v>
      </c>
      <c r="X91" s="14" t="s">
        <v>4</v>
      </c>
      <c r="Y91" s="14" t="s">
        <v>29</v>
      </c>
      <c r="Z91" s="14" t="s">
        <v>28</v>
      </c>
      <c r="AA91" s="44"/>
      <c r="AB91" s="45"/>
      <c r="AC91" s="44"/>
      <c r="AD91" s="45"/>
      <c r="AE91" s="44"/>
      <c r="AF91" s="46"/>
      <c r="AG91" s="44"/>
      <c r="AH91" s="46"/>
      <c r="AI91" s="46"/>
      <c r="AJ91" s="69"/>
    </row>
    <row r="92" spans="9:38" x14ac:dyDescent="0.25">
      <c r="I92" s="123" t="s">
        <v>34</v>
      </c>
      <c r="J92" s="8" t="str">
        <f>_xlfn.CONCAT(I92,"a")</f>
        <v>SC-07a</v>
      </c>
      <c r="K92" s="8"/>
      <c r="L92" s="5">
        <f>L93+1.9</f>
        <v>29.79</v>
      </c>
      <c r="M92" s="6">
        <f>DEGREES(ASIN((5.77-6.04)/(1.89+13*2+1.9)))</f>
        <v>-0.51930420524574861</v>
      </c>
      <c r="N92" s="9">
        <f t="shared" si="20"/>
        <v>28.288776409916537</v>
      </c>
      <c r="O92" s="9">
        <v>6.04</v>
      </c>
      <c r="P92" s="35">
        <v>-12.61</v>
      </c>
      <c r="Q92" s="9">
        <f>$A$14</f>
        <v>-30</v>
      </c>
      <c r="R92" s="9">
        <v>-1.232</v>
      </c>
      <c r="S92" s="9">
        <v>2.6700000000000002E-2</v>
      </c>
      <c r="T92" s="9">
        <v>-0.48949999999999999</v>
      </c>
      <c r="U92" s="9">
        <v>0.74209999999999998</v>
      </c>
      <c r="V92" s="9">
        <v>1.0287999999999999</v>
      </c>
      <c r="W92" s="9">
        <v>0.75670000000000004</v>
      </c>
      <c r="X92" s="9">
        <v>-0.42709999999999998</v>
      </c>
      <c r="Y92" s="9" t="s">
        <v>29</v>
      </c>
      <c r="Z92" s="9" t="s">
        <v>27</v>
      </c>
      <c r="AA92" s="36"/>
      <c r="AB92" s="37"/>
      <c r="AC92" s="36"/>
      <c r="AD92" s="37"/>
      <c r="AE92" s="36"/>
      <c r="AF92" s="38"/>
      <c r="AG92" s="36"/>
      <c r="AH92" s="38"/>
      <c r="AI92" s="38"/>
      <c r="AJ92" s="66"/>
    </row>
    <row r="93" spans="9:38" x14ac:dyDescent="0.25">
      <c r="I93" s="124"/>
      <c r="J93" s="5" t="str">
        <f>_xlfn.CONCAT(I92,"b")</f>
        <v>SC-07b</v>
      </c>
      <c r="K93" s="5"/>
      <c r="L93" s="5">
        <f t="shared" ref="L93:L104" si="21">L94+2</f>
        <v>27.89</v>
      </c>
      <c r="M93" s="6">
        <f>DEGREES(ASIN((5.77-6.04)/(1.89+13*2+1.9)))</f>
        <v>-0.51930420524574861</v>
      </c>
      <c r="N93" s="6">
        <f t="shared" si="20"/>
        <v>26.388854450237403</v>
      </c>
      <c r="O93" s="6">
        <v>6.06</v>
      </c>
      <c r="P93" s="6">
        <v>-13.75</v>
      </c>
      <c r="Q93" s="6">
        <f>$A$14</f>
        <v>-30</v>
      </c>
      <c r="R93" s="6">
        <v>-1.1186</v>
      </c>
      <c r="S93" s="6">
        <v>0.68410000000000004</v>
      </c>
      <c r="T93" s="6">
        <v>-0.8014</v>
      </c>
      <c r="U93" s="6">
        <v>0.31719999999999998</v>
      </c>
      <c r="V93" s="6">
        <v>0.92230000000000001</v>
      </c>
      <c r="W93" s="6">
        <v>0.56240000000000001</v>
      </c>
      <c r="X93" s="6">
        <v>-0.2291</v>
      </c>
      <c r="Y93" s="6" t="s">
        <v>29</v>
      </c>
      <c r="Z93" s="6" t="s">
        <v>27</v>
      </c>
      <c r="AA93" s="39"/>
      <c r="AB93" s="40"/>
      <c r="AC93" s="39"/>
      <c r="AD93" s="40"/>
      <c r="AE93" s="39"/>
      <c r="AF93" s="41"/>
      <c r="AG93" s="39"/>
      <c r="AH93" s="41"/>
      <c r="AI93" s="41"/>
      <c r="AJ93" s="67"/>
    </row>
    <row r="94" spans="9:38" x14ac:dyDescent="0.25">
      <c r="I94" s="124"/>
      <c r="J94" s="5" t="str">
        <f>_xlfn.CONCAT(I92,"c")</f>
        <v>SC-07c</v>
      </c>
      <c r="K94" s="5"/>
      <c r="L94" s="5">
        <f t="shared" si="21"/>
        <v>25.89</v>
      </c>
      <c r="M94" s="6">
        <f t="shared" ref="M94:M106" si="22">DEGREES(ASIN((5.77-6.04)/(1.89+13*2+1.9)))</f>
        <v>-0.51930420524574861</v>
      </c>
      <c r="N94" s="6">
        <f t="shared" si="20"/>
        <v>24.388936597943577</v>
      </c>
      <c r="O94" s="6">
        <v>6.08</v>
      </c>
      <c r="P94" s="6">
        <v>-13.66</v>
      </c>
      <c r="Q94" s="6">
        <f t="shared" ref="Q94:Q105" si="23">$A$14</f>
        <v>-30</v>
      </c>
      <c r="R94" s="6">
        <v>-1.0455000000000001</v>
      </c>
      <c r="S94" s="6">
        <v>0.81530000000000002</v>
      </c>
      <c r="T94" s="6">
        <v>-0.68389999999999995</v>
      </c>
      <c r="U94" s="6">
        <v>0.36159999999999998</v>
      </c>
      <c r="V94" s="6">
        <v>1.2786</v>
      </c>
      <c r="W94" s="6">
        <v>1.0043</v>
      </c>
      <c r="X94" s="6">
        <v>-0.21099999999999999</v>
      </c>
      <c r="Y94" s="6" t="s">
        <v>30</v>
      </c>
      <c r="Z94" s="6" t="s">
        <v>27</v>
      </c>
      <c r="AA94" s="39"/>
      <c r="AB94" s="40"/>
      <c r="AC94" s="39"/>
      <c r="AD94" s="40"/>
      <c r="AE94" s="39"/>
      <c r="AF94" s="41"/>
      <c r="AG94" s="39"/>
      <c r="AH94" s="41"/>
      <c r="AI94" s="41"/>
      <c r="AJ94" s="67"/>
    </row>
    <row r="95" spans="9:38" x14ac:dyDescent="0.25">
      <c r="I95" s="124"/>
      <c r="J95" s="5" t="str">
        <f>_xlfn.CONCAT(I92,"d")</f>
        <v>SC-07d</v>
      </c>
      <c r="K95" s="5"/>
      <c r="L95" s="5">
        <f t="shared" si="21"/>
        <v>23.89</v>
      </c>
      <c r="M95" s="6">
        <f t="shared" si="22"/>
        <v>-0.51930420524574861</v>
      </c>
      <c r="N95" s="6">
        <f t="shared" si="20"/>
        <v>22.38901874564975</v>
      </c>
      <c r="O95" s="6">
        <v>6.08</v>
      </c>
      <c r="P95" s="6">
        <v>-13.469999999999999</v>
      </c>
      <c r="Q95" s="6">
        <f t="shared" si="23"/>
        <v>-30</v>
      </c>
      <c r="R95" s="6">
        <v>-0.99319999999999997</v>
      </c>
      <c r="S95" s="6">
        <v>1.0686</v>
      </c>
      <c r="T95" s="6">
        <v>-0.82230000000000003</v>
      </c>
      <c r="U95" s="6">
        <v>0.17169999999999999</v>
      </c>
      <c r="V95" s="6">
        <v>1.0609999999999999</v>
      </c>
      <c r="W95" s="6">
        <v>0.96319999999999995</v>
      </c>
      <c r="X95" s="6">
        <v>-0.15709999999999999</v>
      </c>
      <c r="Y95" s="6" t="s">
        <v>30</v>
      </c>
      <c r="Z95" s="6" t="s">
        <v>27</v>
      </c>
      <c r="AA95" s="39"/>
      <c r="AB95" s="40"/>
      <c r="AC95" s="39"/>
      <c r="AD95" s="40"/>
      <c r="AE95" s="39"/>
      <c r="AF95" s="41"/>
      <c r="AG95" s="39"/>
      <c r="AH95" s="41"/>
      <c r="AI95" s="41"/>
      <c r="AJ95" s="67"/>
    </row>
    <row r="96" spans="9:38" x14ac:dyDescent="0.25">
      <c r="I96" s="124"/>
      <c r="J96" s="5" t="str">
        <f>_xlfn.CONCAT(I92,"e")</f>
        <v>SC-07e</v>
      </c>
      <c r="K96" s="5"/>
      <c r="L96" s="5">
        <f t="shared" si="21"/>
        <v>21.89</v>
      </c>
      <c r="M96" s="6">
        <f t="shared" si="22"/>
        <v>-0.51930420524574861</v>
      </c>
      <c r="N96" s="6">
        <f t="shared" si="20"/>
        <v>20.389100893355923</v>
      </c>
      <c r="O96" s="6">
        <v>6.06</v>
      </c>
      <c r="P96" s="6">
        <v>-13.600000000000001</v>
      </c>
      <c r="Q96" s="6">
        <f t="shared" si="23"/>
        <v>-30</v>
      </c>
      <c r="R96" s="6">
        <v>-0.90469999999999995</v>
      </c>
      <c r="S96" s="6">
        <v>0.31280000000000002</v>
      </c>
      <c r="T96" s="6">
        <v>-0.8175</v>
      </c>
      <c r="U96" s="6">
        <v>8.7499999999999994E-2</v>
      </c>
      <c r="V96" s="6">
        <v>1.1904999999999999</v>
      </c>
      <c r="W96" s="6">
        <v>1.0709</v>
      </c>
      <c r="X96" s="6">
        <v>-0.1094</v>
      </c>
      <c r="Y96" s="6" t="s">
        <v>29</v>
      </c>
      <c r="Z96" s="6" t="s">
        <v>27</v>
      </c>
      <c r="AA96" s="39"/>
      <c r="AB96" s="40"/>
      <c r="AC96" s="39"/>
      <c r="AD96" s="40"/>
      <c r="AE96" s="39"/>
      <c r="AF96" s="41"/>
      <c r="AG96" s="39"/>
      <c r="AH96" s="41"/>
      <c r="AI96" s="41"/>
      <c r="AJ96" s="67"/>
    </row>
    <row r="97" spans="9:38" x14ac:dyDescent="0.25">
      <c r="I97" s="124"/>
      <c r="J97" s="5" t="str">
        <f>_xlfn.CONCAT(I92,"f")</f>
        <v>SC-07f</v>
      </c>
      <c r="K97" s="5"/>
      <c r="L97" s="5">
        <f t="shared" si="21"/>
        <v>19.89</v>
      </c>
      <c r="M97" s="6">
        <f t="shared" si="22"/>
        <v>-0.51930420524574861</v>
      </c>
      <c r="N97" s="6">
        <f t="shared" si="20"/>
        <v>18.3891830410621</v>
      </c>
      <c r="O97" s="6">
        <v>6.03</v>
      </c>
      <c r="P97" s="6">
        <v>-13.629999999999999</v>
      </c>
      <c r="Q97" s="6">
        <f t="shared" si="23"/>
        <v>-30</v>
      </c>
      <c r="R97" s="6">
        <v>-0.748</v>
      </c>
      <c r="S97" s="6">
        <v>0.49009999999999998</v>
      </c>
      <c r="T97" s="6">
        <v>-0.5393</v>
      </c>
      <c r="U97" s="6">
        <v>0.2114</v>
      </c>
      <c r="V97" s="6">
        <v>1.1891</v>
      </c>
      <c r="W97" s="6">
        <v>0.96750000000000003</v>
      </c>
      <c r="X97" s="6">
        <v>-9.8699999999999996E-2</v>
      </c>
      <c r="Y97" s="6" t="s">
        <v>29</v>
      </c>
      <c r="Z97" s="6" t="s">
        <v>27</v>
      </c>
      <c r="AA97" s="39"/>
      <c r="AB97" s="40"/>
      <c r="AC97" s="39"/>
      <c r="AD97" s="40"/>
      <c r="AE97" s="39"/>
      <c r="AF97" s="41"/>
      <c r="AG97" s="39"/>
      <c r="AH97" s="41"/>
      <c r="AI97" s="41"/>
      <c r="AJ97" s="67"/>
    </row>
    <row r="98" spans="9:38" x14ac:dyDescent="0.25">
      <c r="I98" s="124"/>
      <c r="J98" s="5" t="str">
        <f>_xlfn.CONCAT(I92,"g")</f>
        <v>SC-07g</v>
      </c>
      <c r="K98" s="5"/>
      <c r="L98" s="5">
        <f t="shared" si="21"/>
        <v>17.89</v>
      </c>
      <c r="M98" s="6">
        <f t="shared" si="22"/>
        <v>-0.51930420524574861</v>
      </c>
      <c r="N98" s="6">
        <f t="shared" si="20"/>
        <v>16.389265188768274</v>
      </c>
      <c r="O98" s="6">
        <v>5.99</v>
      </c>
      <c r="P98" s="6">
        <v>-13.61</v>
      </c>
      <c r="Q98" s="6">
        <f t="shared" si="23"/>
        <v>-30</v>
      </c>
      <c r="R98" s="6">
        <v>-0.53459999999999996</v>
      </c>
      <c r="S98" s="6">
        <v>1.9099999999999999E-2</v>
      </c>
      <c r="T98" s="6">
        <v>-0.64459999999999995</v>
      </c>
      <c r="U98" s="6">
        <v>-0.10979999999999999</v>
      </c>
      <c r="V98" s="6">
        <v>0.98360000000000003</v>
      </c>
      <c r="W98" s="6">
        <v>0.88570000000000004</v>
      </c>
      <c r="X98" s="6">
        <v>-0.1671</v>
      </c>
      <c r="Y98" s="6" t="s">
        <v>30</v>
      </c>
      <c r="Z98" s="6" t="s">
        <v>27</v>
      </c>
      <c r="AA98" s="39"/>
      <c r="AB98" s="40"/>
      <c r="AC98" s="39"/>
      <c r="AD98" s="40"/>
      <c r="AE98" s="39"/>
      <c r="AF98" s="41"/>
      <c r="AG98" s="39"/>
      <c r="AH98" s="41"/>
      <c r="AI98" s="41"/>
      <c r="AJ98" s="67"/>
    </row>
    <row r="99" spans="9:38" x14ac:dyDescent="0.25">
      <c r="I99" s="124"/>
      <c r="J99" s="5" t="str">
        <f>_xlfn.CONCAT(I92,"h")</f>
        <v>SC-07h</v>
      </c>
      <c r="K99" s="5"/>
      <c r="L99" s="5">
        <f t="shared" si="21"/>
        <v>15.89</v>
      </c>
      <c r="M99" s="6">
        <f t="shared" si="22"/>
        <v>-0.51930420524574861</v>
      </c>
      <c r="N99" s="6">
        <f t="shared" si="20"/>
        <v>14.389347336474447</v>
      </c>
      <c r="O99" s="6">
        <v>5.95</v>
      </c>
      <c r="P99" s="6">
        <v>-13.629999999999999</v>
      </c>
      <c r="Q99" s="6">
        <f t="shared" si="23"/>
        <v>-30</v>
      </c>
      <c r="R99" s="6">
        <v>-0.29920000000000002</v>
      </c>
      <c r="S99" s="6">
        <v>0.35420000000000001</v>
      </c>
      <c r="T99" s="6">
        <v>-0.66220000000000001</v>
      </c>
      <c r="U99" s="6">
        <v>-0.36309999999999998</v>
      </c>
      <c r="V99" s="6">
        <v>1.1122000000000001</v>
      </c>
      <c r="W99" s="6">
        <v>0.75219999999999998</v>
      </c>
      <c r="X99" s="6">
        <v>-0.25309999999999999</v>
      </c>
      <c r="Y99" s="6" t="s">
        <v>30</v>
      </c>
      <c r="Z99" s="6" t="s">
        <v>27</v>
      </c>
      <c r="AA99" s="39"/>
      <c r="AB99" s="40"/>
      <c r="AC99" s="39"/>
      <c r="AD99" s="40"/>
      <c r="AE99" s="39"/>
      <c r="AF99" s="41"/>
      <c r="AG99" s="39"/>
      <c r="AH99" s="41"/>
      <c r="AI99" s="41"/>
      <c r="AJ99" s="67"/>
    </row>
    <row r="100" spans="9:38" x14ac:dyDescent="0.25">
      <c r="I100" s="124"/>
      <c r="J100" s="5" t="str">
        <f>_xlfn.CONCAT(I92,"i")</f>
        <v>SC-07i</v>
      </c>
      <c r="K100" s="5"/>
      <c r="L100" s="5">
        <f t="shared" si="21"/>
        <v>13.89</v>
      </c>
      <c r="M100" s="6">
        <f t="shared" si="22"/>
        <v>-0.51930420524574861</v>
      </c>
      <c r="N100" s="6">
        <f t="shared" si="20"/>
        <v>12.389429484180621</v>
      </c>
      <c r="O100" s="6">
        <v>5.92</v>
      </c>
      <c r="P100" s="6">
        <v>-13.55</v>
      </c>
      <c r="Q100" s="6">
        <f t="shared" si="23"/>
        <v>-30</v>
      </c>
      <c r="R100" s="6">
        <v>-8.8599999999999998E-2</v>
      </c>
      <c r="S100" s="6">
        <v>0.68259999999999998</v>
      </c>
      <c r="T100" s="6">
        <v>-0.75629999999999997</v>
      </c>
      <c r="U100" s="6">
        <v>-0.66200000000000003</v>
      </c>
      <c r="V100" s="6">
        <v>1.1293</v>
      </c>
      <c r="W100" s="6">
        <v>0.72440000000000004</v>
      </c>
      <c r="X100" s="6">
        <v>-0.35160000000000002</v>
      </c>
      <c r="Y100" s="6" t="s">
        <v>30</v>
      </c>
      <c r="Z100" s="6" t="s">
        <v>27</v>
      </c>
      <c r="AA100" s="39"/>
      <c r="AB100" s="40"/>
      <c r="AC100" s="39"/>
      <c r="AD100" s="40"/>
      <c r="AE100" s="39"/>
      <c r="AF100" s="41"/>
      <c r="AG100" s="39"/>
      <c r="AH100" s="41"/>
      <c r="AI100" s="41"/>
      <c r="AJ100" s="67"/>
      <c r="AL100" s="22"/>
    </row>
    <row r="101" spans="9:38" x14ac:dyDescent="0.25">
      <c r="I101" s="124"/>
      <c r="J101" s="5" t="str">
        <f>_xlfn.CONCAT(I92,"j")</f>
        <v>SC-07j</v>
      </c>
      <c r="K101" s="5"/>
      <c r="L101" s="5">
        <f t="shared" si="21"/>
        <v>11.89</v>
      </c>
      <c r="M101" s="6">
        <f t="shared" si="22"/>
        <v>-0.51930420524574861</v>
      </c>
      <c r="N101" s="6">
        <f t="shared" si="20"/>
        <v>10.389511631886796</v>
      </c>
      <c r="O101" s="6">
        <v>5.88</v>
      </c>
      <c r="P101" s="6">
        <v>-13.54</v>
      </c>
      <c r="Q101" s="6">
        <f t="shared" si="23"/>
        <v>-30</v>
      </c>
      <c r="R101" s="6">
        <v>6.4899999999999999E-2</v>
      </c>
      <c r="S101" s="6">
        <v>0.45029999999999998</v>
      </c>
      <c r="T101" s="6">
        <v>-0.82089999999999996</v>
      </c>
      <c r="U101" s="6">
        <v>-0.88590000000000002</v>
      </c>
      <c r="V101" s="6">
        <v>0.98519999999999996</v>
      </c>
      <c r="W101" s="6">
        <v>0.75970000000000004</v>
      </c>
      <c r="X101" s="6">
        <v>-0.41909999999999997</v>
      </c>
      <c r="Y101" s="6" t="s">
        <v>30</v>
      </c>
      <c r="Z101" s="6" t="s">
        <v>27</v>
      </c>
      <c r="AA101" s="39"/>
      <c r="AB101" s="40"/>
      <c r="AC101" s="39"/>
      <c r="AD101" s="40"/>
      <c r="AE101" s="39"/>
      <c r="AF101" s="41"/>
      <c r="AG101" s="39"/>
      <c r="AH101" s="41"/>
      <c r="AI101" s="41"/>
      <c r="AJ101" s="67"/>
      <c r="AL101" s="22"/>
    </row>
    <row r="102" spans="9:38" x14ac:dyDescent="0.25">
      <c r="I102" s="124"/>
      <c r="J102" s="5" t="str">
        <f>_xlfn.CONCAT(I92,"k")</f>
        <v>SC-07k</v>
      </c>
      <c r="K102" s="5"/>
      <c r="L102" s="5">
        <f t="shared" si="21"/>
        <v>9.89</v>
      </c>
      <c r="M102" s="6">
        <f t="shared" si="22"/>
        <v>-0.51930420524574861</v>
      </c>
      <c r="N102" s="6">
        <f t="shared" si="20"/>
        <v>8.3895937795929694</v>
      </c>
      <c r="O102" s="6">
        <v>5.84</v>
      </c>
      <c r="P102" s="6">
        <v>-13.54</v>
      </c>
      <c r="Q102" s="6">
        <f t="shared" si="23"/>
        <v>-30</v>
      </c>
      <c r="R102" s="6">
        <v>0.14599999999999999</v>
      </c>
      <c r="S102" s="6">
        <v>0.247</v>
      </c>
      <c r="T102" s="6">
        <v>-0.67649999999999999</v>
      </c>
      <c r="U102" s="6">
        <v>-0.82320000000000004</v>
      </c>
      <c r="V102" s="6">
        <v>1.0895999999999999</v>
      </c>
      <c r="W102" s="6">
        <v>0.85580000000000001</v>
      </c>
      <c r="X102" s="6">
        <v>-0.32390000000000002</v>
      </c>
      <c r="Y102" s="6" t="s">
        <v>30</v>
      </c>
      <c r="Z102" s="6" t="s">
        <v>27</v>
      </c>
      <c r="AA102" s="39"/>
      <c r="AB102" s="40"/>
      <c r="AC102" s="39"/>
      <c r="AD102" s="40"/>
      <c r="AE102" s="39"/>
      <c r="AF102" s="42"/>
      <c r="AG102" s="39"/>
      <c r="AH102" s="42"/>
      <c r="AI102" s="42"/>
      <c r="AJ102" s="68"/>
      <c r="AL102" s="22"/>
    </row>
    <row r="103" spans="9:38" x14ac:dyDescent="0.25">
      <c r="I103" s="124"/>
      <c r="J103" s="5" t="str">
        <f>_xlfn.CONCAT(I92,"l")</f>
        <v>SC-07l</v>
      </c>
      <c r="K103" s="5"/>
      <c r="L103" s="5">
        <f t="shared" si="21"/>
        <v>7.89</v>
      </c>
      <c r="M103" s="6">
        <f t="shared" si="22"/>
        <v>-0.51930420524574861</v>
      </c>
      <c r="N103" s="6">
        <f t="shared" si="20"/>
        <v>6.3896759272991428</v>
      </c>
      <c r="O103" s="6">
        <v>5.82</v>
      </c>
      <c r="P103" s="6">
        <v>-13.52</v>
      </c>
      <c r="Q103" s="6">
        <f t="shared" si="23"/>
        <v>-30</v>
      </c>
      <c r="R103" s="6">
        <v>0.1857</v>
      </c>
      <c r="S103" s="6">
        <v>0.53810000000000002</v>
      </c>
      <c r="T103" s="6">
        <v>-0.70930000000000004</v>
      </c>
      <c r="U103" s="6">
        <v>-0.89480000000000004</v>
      </c>
      <c r="V103" s="6">
        <v>1.1716</v>
      </c>
      <c r="W103" s="6">
        <v>0.98350000000000004</v>
      </c>
      <c r="X103" s="6">
        <v>-0.26190000000000002</v>
      </c>
      <c r="Y103" s="6" t="s">
        <v>30</v>
      </c>
      <c r="Z103" s="6" t="s">
        <v>27</v>
      </c>
      <c r="AA103" s="39"/>
      <c r="AB103" s="40"/>
      <c r="AC103" s="39"/>
      <c r="AD103" s="40"/>
      <c r="AE103" s="39"/>
      <c r="AF103" s="42"/>
      <c r="AG103" s="39"/>
      <c r="AH103" s="42"/>
      <c r="AI103" s="42"/>
      <c r="AJ103" s="68"/>
      <c r="AL103" s="22"/>
    </row>
    <row r="104" spans="9:38" x14ac:dyDescent="0.25">
      <c r="I104" s="124"/>
      <c r="J104" s="5" t="str">
        <f>_xlfn.CONCAT(I92,"m")</f>
        <v>SC-07m</v>
      </c>
      <c r="K104" s="5"/>
      <c r="L104" s="5">
        <f t="shared" si="21"/>
        <v>5.89</v>
      </c>
      <c r="M104" s="6">
        <f t="shared" si="22"/>
        <v>-0.51930420524574861</v>
      </c>
      <c r="N104" s="6">
        <f t="shared" si="20"/>
        <v>4.3897580750053171</v>
      </c>
      <c r="O104" s="6">
        <v>5.8</v>
      </c>
      <c r="P104" s="6">
        <v>-13.510000000000002</v>
      </c>
      <c r="Q104" s="6">
        <f t="shared" si="23"/>
        <v>-30</v>
      </c>
      <c r="R104" s="6">
        <v>0.20469999999999999</v>
      </c>
      <c r="S104" s="6">
        <v>0.98599999999999999</v>
      </c>
      <c r="T104" s="6">
        <v>-0.76400000000000001</v>
      </c>
      <c r="U104" s="6">
        <v>-0.91410000000000002</v>
      </c>
      <c r="V104" s="6">
        <v>1.1599999999999999</v>
      </c>
      <c r="W104" s="6">
        <v>0.94240000000000002</v>
      </c>
      <c r="X104" s="6">
        <v>-0.27379999999999999</v>
      </c>
      <c r="Y104" s="6" t="s">
        <v>30</v>
      </c>
      <c r="Z104" s="6" t="s">
        <v>27</v>
      </c>
      <c r="AA104" s="39"/>
      <c r="AB104" s="40"/>
      <c r="AC104" s="39"/>
      <c r="AD104" s="40"/>
      <c r="AE104" s="39"/>
      <c r="AF104" s="42"/>
      <c r="AG104" s="39"/>
      <c r="AH104" s="42"/>
      <c r="AI104" s="42"/>
      <c r="AJ104" s="68"/>
      <c r="AL104" s="22"/>
    </row>
    <row r="105" spans="9:38" x14ac:dyDescent="0.25">
      <c r="I105" s="124"/>
      <c r="J105" s="5" t="str">
        <f>_xlfn.CONCAT(I92,"n")</f>
        <v>SC-07n</v>
      </c>
      <c r="K105" s="5"/>
      <c r="L105" s="5">
        <f>L106+2</f>
        <v>3.8899999999999997</v>
      </c>
      <c r="M105" s="6">
        <f t="shared" si="22"/>
        <v>-0.51930420524574861</v>
      </c>
      <c r="N105" s="6">
        <f t="shared" si="20"/>
        <v>2.389840222711491</v>
      </c>
      <c r="O105" s="6">
        <v>5.79</v>
      </c>
      <c r="P105" s="6">
        <v>-13.36</v>
      </c>
      <c r="Q105" s="6">
        <f t="shared" si="23"/>
        <v>-30</v>
      </c>
      <c r="R105" s="6">
        <v>0.2</v>
      </c>
      <c r="S105" s="6">
        <v>0.24460000000000001</v>
      </c>
      <c r="T105" s="6">
        <v>-0.79679999999999995</v>
      </c>
      <c r="U105" s="6">
        <v>-0.99639999999999995</v>
      </c>
      <c r="V105" s="6">
        <v>1.1194</v>
      </c>
      <c r="W105" s="6">
        <v>0.96399999999999997</v>
      </c>
      <c r="X105" s="6">
        <v>-0.29189999999999999</v>
      </c>
      <c r="Y105" s="6" t="s">
        <v>30</v>
      </c>
      <c r="Z105" s="6" t="s">
        <v>27</v>
      </c>
      <c r="AA105" s="39"/>
      <c r="AB105" s="43"/>
      <c r="AC105" s="39"/>
      <c r="AD105" s="43"/>
      <c r="AE105" s="39"/>
      <c r="AF105" s="42"/>
      <c r="AG105" s="39"/>
      <c r="AH105" s="42"/>
      <c r="AI105" s="42"/>
      <c r="AJ105" s="68"/>
      <c r="AL105" s="22"/>
    </row>
    <row r="106" spans="9:38" ht="15.75" thickBot="1" x14ac:dyDescent="0.3">
      <c r="I106" s="147"/>
      <c r="J106" s="82" t="str">
        <f>_xlfn.CONCAT(I92,"o")</f>
        <v>SC-07o</v>
      </c>
      <c r="K106" s="82"/>
      <c r="L106" s="82">
        <v>1.89</v>
      </c>
      <c r="M106" s="83">
        <f t="shared" si="22"/>
        <v>-0.51930420524574861</v>
      </c>
      <c r="N106" s="83">
        <f t="shared" si="20"/>
        <v>0.38992237041766531</v>
      </c>
      <c r="O106" s="83">
        <v>5.78</v>
      </c>
      <c r="P106" s="83">
        <v>-13.27</v>
      </c>
      <c r="Q106" s="83">
        <f>$A$14</f>
        <v>-30</v>
      </c>
      <c r="R106" s="83">
        <v>0.16739999999999999</v>
      </c>
      <c r="S106" s="83">
        <v>0.50380000000000003</v>
      </c>
      <c r="T106" s="83">
        <v>-0.84630000000000005</v>
      </c>
      <c r="U106" s="83">
        <v>-1.0156000000000001</v>
      </c>
      <c r="V106" s="83">
        <v>1.1174999999999999</v>
      </c>
      <c r="W106" s="83">
        <v>0.99260000000000004</v>
      </c>
      <c r="X106" s="83">
        <v>-0.34339999999999998</v>
      </c>
      <c r="Y106" s="83" t="s">
        <v>30</v>
      </c>
      <c r="Z106" s="83" t="s">
        <v>27</v>
      </c>
      <c r="AA106" s="85"/>
      <c r="AB106" s="86"/>
      <c r="AC106" s="85"/>
      <c r="AD106" s="86"/>
      <c r="AE106" s="85"/>
      <c r="AF106" s="87"/>
      <c r="AG106" s="85"/>
      <c r="AH106" s="87"/>
      <c r="AI106" s="87"/>
      <c r="AJ106" s="88"/>
      <c r="AL106" s="22"/>
    </row>
    <row r="107" spans="9:38" x14ac:dyDescent="0.25">
      <c r="I107" s="123" t="s">
        <v>35</v>
      </c>
      <c r="J107" s="8" t="str">
        <f>_xlfn.CONCAT(I107,"a")</f>
        <v>SC-08a</v>
      </c>
      <c r="K107" s="8"/>
      <c r="L107" s="8">
        <f>L108+1.9</f>
        <v>29.75</v>
      </c>
      <c r="M107" s="9">
        <f>DEGREES(ASIN((7.95-7.92)/(1.85+13*2+1.9)))</f>
        <v>5.7777266443916522E-2</v>
      </c>
      <c r="N107" s="9">
        <f t="shared" si="20"/>
        <v>28.249984873945735</v>
      </c>
      <c r="O107" s="9">
        <v>7.93</v>
      </c>
      <c r="P107" s="35">
        <v>-2.6099999999999994</v>
      </c>
      <c r="Q107" s="9">
        <f>$A$14</f>
        <v>-30</v>
      </c>
      <c r="R107" s="9">
        <v>1.4735</v>
      </c>
      <c r="S107" s="9">
        <v>5.6399999999999999E-2</v>
      </c>
      <c r="T107" s="9">
        <v>1.2903</v>
      </c>
      <c r="U107" s="9">
        <v>-0.18340000000000001</v>
      </c>
      <c r="V107" s="9">
        <v>1.1605000000000001</v>
      </c>
      <c r="W107" s="9">
        <v>0.74690000000000001</v>
      </c>
      <c r="X107" s="9">
        <v>0.78169999999999995</v>
      </c>
      <c r="Y107" s="9" t="s">
        <v>29</v>
      </c>
      <c r="Z107" s="9" t="s">
        <v>26</v>
      </c>
      <c r="AA107" s="36"/>
      <c r="AB107" s="37"/>
      <c r="AC107" s="36"/>
      <c r="AD107" s="37"/>
      <c r="AE107" s="36"/>
      <c r="AF107" s="38"/>
      <c r="AG107" s="36"/>
      <c r="AH107" s="38"/>
      <c r="AI107" s="38"/>
      <c r="AJ107" s="66"/>
    </row>
    <row r="108" spans="9:38" x14ac:dyDescent="0.25">
      <c r="I108" s="124"/>
      <c r="J108" s="5" t="str">
        <f>_xlfn.CONCAT(I107,"b")</f>
        <v>SC-08b</v>
      </c>
      <c r="K108" s="5"/>
      <c r="L108" s="5">
        <f t="shared" ref="L108:L119" si="24">L109+2</f>
        <v>27.85</v>
      </c>
      <c r="M108" s="6">
        <f>DEGREES(ASIN((7.95-7.92)/(1.85+13*2+1.9)))</f>
        <v>5.7777266443916522E-2</v>
      </c>
      <c r="N108" s="6">
        <f t="shared" si="20"/>
        <v>26.349985839979453</v>
      </c>
      <c r="O108" s="6">
        <v>7.93</v>
      </c>
      <c r="P108" s="6">
        <v>-3.75</v>
      </c>
      <c r="Q108" s="6">
        <f>$A$14</f>
        <v>-30</v>
      </c>
      <c r="R108" s="6">
        <v>1.3547</v>
      </c>
      <c r="S108" s="6">
        <v>0.67479999999999996</v>
      </c>
      <c r="T108" s="6">
        <v>1.2547999999999999</v>
      </c>
      <c r="U108" s="6">
        <v>-9.9900000000000003E-2</v>
      </c>
      <c r="V108" s="6">
        <v>1.1647000000000001</v>
      </c>
      <c r="W108" s="6">
        <v>0.74160000000000004</v>
      </c>
      <c r="X108" s="6">
        <v>0.75980000000000003</v>
      </c>
      <c r="Y108" s="6" t="s">
        <v>29</v>
      </c>
      <c r="Z108" s="6" t="s">
        <v>26</v>
      </c>
      <c r="AA108" s="39"/>
      <c r="AB108" s="40"/>
      <c r="AC108" s="39"/>
      <c r="AD108" s="40"/>
      <c r="AE108" s="39"/>
      <c r="AF108" s="41"/>
      <c r="AG108" s="39"/>
      <c r="AH108" s="41"/>
      <c r="AI108" s="41"/>
      <c r="AJ108" s="67"/>
    </row>
    <row r="109" spans="9:38" x14ac:dyDescent="0.25">
      <c r="I109" s="124"/>
      <c r="J109" s="5" t="str">
        <f>_xlfn.CONCAT(I107,"c")</f>
        <v>SC-08c</v>
      </c>
      <c r="K109" s="5"/>
      <c r="L109" s="5">
        <f t="shared" si="24"/>
        <v>25.85</v>
      </c>
      <c r="M109" s="6">
        <f t="shared" ref="M109:M121" si="25">DEGREES(ASIN((7.95-7.92)/(1.85+13*2+1.9)))</f>
        <v>5.7777266443916522E-2</v>
      </c>
      <c r="N109" s="6">
        <f t="shared" si="20"/>
        <v>24.349986856857051</v>
      </c>
      <c r="O109" s="6">
        <v>7.94</v>
      </c>
      <c r="P109" s="6">
        <v>-3.66</v>
      </c>
      <c r="Q109" s="6">
        <f t="shared" ref="Q109:Q120" si="26">$A$14</f>
        <v>-30</v>
      </c>
      <c r="R109" s="6">
        <v>1.2750999999999999</v>
      </c>
      <c r="S109" s="6">
        <v>0.20660000000000001</v>
      </c>
      <c r="T109" s="6">
        <v>1.1342000000000001</v>
      </c>
      <c r="U109" s="6">
        <v>-0.14319999999999999</v>
      </c>
      <c r="V109" s="6">
        <v>1.1095999999999999</v>
      </c>
      <c r="W109" s="6">
        <v>0.87739999999999996</v>
      </c>
      <c r="X109" s="6">
        <v>0.76480000000000004</v>
      </c>
      <c r="Y109" s="6" t="s">
        <v>29</v>
      </c>
      <c r="Z109" s="6" t="s">
        <v>26</v>
      </c>
      <c r="AA109" s="39"/>
      <c r="AB109" s="40"/>
      <c r="AC109" s="39"/>
      <c r="AD109" s="40"/>
      <c r="AE109" s="39"/>
      <c r="AF109" s="41"/>
      <c r="AG109" s="39"/>
      <c r="AH109" s="41"/>
      <c r="AI109" s="41"/>
      <c r="AJ109" s="67"/>
    </row>
    <row r="110" spans="9:38" x14ac:dyDescent="0.25">
      <c r="I110" s="124"/>
      <c r="J110" s="5" t="str">
        <f>_xlfn.CONCAT(I107,"d")</f>
        <v>SC-08d</v>
      </c>
      <c r="K110" s="5"/>
      <c r="L110" s="5">
        <f t="shared" si="24"/>
        <v>23.85</v>
      </c>
      <c r="M110" s="6">
        <f t="shared" si="25"/>
        <v>5.7777266443916522E-2</v>
      </c>
      <c r="N110" s="6">
        <f t="shared" si="20"/>
        <v>22.349987873734648</v>
      </c>
      <c r="O110" s="6">
        <v>7.95</v>
      </c>
      <c r="P110" s="6">
        <v>-3.4699999999999989</v>
      </c>
      <c r="Q110" s="6">
        <f t="shared" si="26"/>
        <v>-30</v>
      </c>
      <c r="R110" s="6">
        <v>1.2591000000000001</v>
      </c>
      <c r="S110" s="6">
        <v>0.66239999999999999</v>
      </c>
      <c r="T110" s="6">
        <v>1.2146999999999999</v>
      </c>
      <c r="U110" s="6">
        <v>-3.32E-2</v>
      </c>
      <c r="V110" s="6">
        <v>1.4222999999999999</v>
      </c>
      <c r="W110" s="6">
        <v>0.77310000000000001</v>
      </c>
      <c r="X110" s="6">
        <v>0.87339999999999995</v>
      </c>
      <c r="Y110" s="6" t="s">
        <v>29</v>
      </c>
      <c r="Z110" s="6" t="s">
        <v>26</v>
      </c>
      <c r="AA110" s="39"/>
      <c r="AB110" s="40"/>
      <c r="AC110" s="39"/>
      <c r="AD110" s="40"/>
      <c r="AE110" s="39"/>
      <c r="AF110" s="41"/>
      <c r="AG110" s="39"/>
      <c r="AH110" s="41"/>
      <c r="AI110" s="41"/>
      <c r="AJ110" s="67"/>
    </row>
    <row r="111" spans="9:38" x14ac:dyDescent="0.25">
      <c r="I111" s="124"/>
      <c r="J111" s="5" t="str">
        <f>_xlfn.CONCAT(I107,"e")</f>
        <v>SC-08e</v>
      </c>
      <c r="K111" s="5"/>
      <c r="L111" s="5">
        <f t="shared" si="24"/>
        <v>21.85</v>
      </c>
      <c r="M111" s="6">
        <f t="shared" si="25"/>
        <v>5.7777266443916522E-2</v>
      </c>
      <c r="N111" s="6">
        <f t="shared" si="20"/>
        <v>20.349988890612245</v>
      </c>
      <c r="O111" s="6">
        <v>7.96</v>
      </c>
      <c r="P111" s="6">
        <v>-3.6000000000000014</v>
      </c>
      <c r="Q111" s="6">
        <f t="shared" si="26"/>
        <v>-30</v>
      </c>
      <c r="R111" s="6">
        <v>1.2981</v>
      </c>
      <c r="S111" s="6">
        <v>1.0565</v>
      </c>
      <c r="T111" s="6">
        <v>1.2544</v>
      </c>
      <c r="U111" s="6">
        <v>-4.3799999999999999E-2</v>
      </c>
      <c r="V111" s="6">
        <v>0.997</v>
      </c>
      <c r="W111" s="6">
        <v>1.0170999999999999</v>
      </c>
      <c r="X111" s="6">
        <v>0.66879999999999995</v>
      </c>
      <c r="Y111" s="6" t="s">
        <v>30</v>
      </c>
      <c r="Z111" s="6" t="s">
        <v>26</v>
      </c>
      <c r="AA111" s="39"/>
      <c r="AB111" s="40"/>
      <c r="AC111" s="39"/>
      <c r="AD111" s="40"/>
      <c r="AE111" s="39"/>
      <c r="AF111" s="41"/>
      <c r="AG111" s="39"/>
      <c r="AH111" s="41"/>
      <c r="AI111" s="41"/>
      <c r="AJ111" s="67"/>
    </row>
    <row r="112" spans="9:38" x14ac:dyDescent="0.25">
      <c r="I112" s="124"/>
      <c r="J112" s="5" t="str">
        <f>_xlfn.CONCAT(I107,"f")</f>
        <v>SC-08f</v>
      </c>
      <c r="K112" s="5"/>
      <c r="L112" s="5">
        <f t="shared" si="24"/>
        <v>19.850000000000001</v>
      </c>
      <c r="M112" s="6">
        <f t="shared" si="25"/>
        <v>5.7777266443916522E-2</v>
      </c>
      <c r="N112" s="6">
        <f t="shared" si="20"/>
        <v>18.349989907489846</v>
      </c>
      <c r="O112" s="6">
        <v>7.96</v>
      </c>
      <c r="P112" s="6">
        <v>-3.629999999999999</v>
      </c>
      <c r="Q112" s="6">
        <f t="shared" si="26"/>
        <v>-30</v>
      </c>
      <c r="R112" s="6">
        <v>1.3817999999999999</v>
      </c>
      <c r="S112" s="6">
        <v>0.59</v>
      </c>
      <c r="T112" s="6">
        <v>1.3988</v>
      </c>
      <c r="U112" s="6">
        <v>1.46E-2</v>
      </c>
      <c r="V112" s="6">
        <v>1.1434</v>
      </c>
      <c r="W112" s="6">
        <v>1.0125999999999999</v>
      </c>
      <c r="X112" s="6">
        <v>0.70120000000000005</v>
      </c>
      <c r="Y112" s="6" t="s">
        <v>30</v>
      </c>
      <c r="Z112" s="6" t="s">
        <v>26</v>
      </c>
      <c r="AA112" s="39"/>
      <c r="AB112" s="40"/>
      <c r="AC112" s="39"/>
      <c r="AD112" s="40"/>
      <c r="AE112" s="39"/>
      <c r="AF112" s="41"/>
      <c r="AG112" s="39"/>
      <c r="AH112" s="41"/>
      <c r="AI112" s="41"/>
      <c r="AJ112" s="67"/>
    </row>
    <row r="113" spans="9:36" x14ac:dyDescent="0.25">
      <c r="I113" s="124"/>
      <c r="J113" s="5" t="str">
        <f>_xlfn.CONCAT(I107,"g")</f>
        <v>SC-08g</v>
      </c>
      <c r="K113" s="5"/>
      <c r="L113" s="5">
        <f t="shared" si="24"/>
        <v>17.850000000000001</v>
      </c>
      <c r="M113" s="6">
        <f t="shared" si="25"/>
        <v>5.7777266443916522E-2</v>
      </c>
      <c r="N113" s="6">
        <f t="shared" si="20"/>
        <v>16.349990924367443</v>
      </c>
      <c r="O113" s="6">
        <v>7.96</v>
      </c>
      <c r="P113" s="6">
        <v>-3.6099999999999994</v>
      </c>
      <c r="Q113" s="6">
        <f t="shared" si="26"/>
        <v>-30</v>
      </c>
      <c r="R113" s="6">
        <v>1.4743999999999999</v>
      </c>
      <c r="S113" s="6">
        <v>0.1211</v>
      </c>
      <c r="T113" s="6">
        <v>1.1906000000000001</v>
      </c>
      <c r="U113" s="6">
        <v>-0.28420000000000001</v>
      </c>
      <c r="V113" s="6">
        <v>1.1368</v>
      </c>
      <c r="W113" s="6">
        <v>0.98850000000000005</v>
      </c>
      <c r="X113" s="6">
        <v>0.75409999999999999</v>
      </c>
      <c r="Y113" s="6" t="s">
        <v>29</v>
      </c>
      <c r="Z113" s="6" t="s">
        <v>26</v>
      </c>
      <c r="AA113" s="39"/>
      <c r="AB113" s="40"/>
      <c r="AC113" s="39"/>
      <c r="AD113" s="40"/>
      <c r="AE113" s="39"/>
      <c r="AF113" s="41"/>
      <c r="AG113" s="39"/>
      <c r="AH113" s="41"/>
      <c r="AI113" s="41"/>
      <c r="AJ113" s="67"/>
    </row>
    <row r="114" spans="9:36" x14ac:dyDescent="0.25">
      <c r="I114" s="124"/>
      <c r="J114" s="5" t="str">
        <f>_xlfn.CONCAT(I107,"h")</f>
        <v>SC-08h</v>
      </c>
      <c r="K114" s="5"/>
      <c r="L114" s="5">
        <f t="shared" si="24"/>
        <v>15.85</v>
      </c>
      <c r="M114" s="6">
        <f t="shared" si="25"/>
        <v>5.7777266443916522E-2</v>
      </c>
      <c r="N114" s="6">
        <f t="shared" si="20"/>
        <v>14.349991941245039</v>
      </c>
      <c r="O114" s="6">
        <v>7.96</v>
      </c>
      <c r="P114" s="6">
        <v>-3.629999999999999</v>
      </c>
      <c r="Q114" s="6">
        <f t="shared" si="26"/>
        <v>-30</v>
      </c>
      <c r="R114" s="6">
        <v>1.5587</v>
      </c>
      <c r="S114" s="6">
        <v>0.27389999999999998</v>
      </c>
      <c r="T114" s="6">
        <v>1.367</v>
      </c>
      <c r="U114" s="6">
        <v>-0.19170000000000001</v>
      </c>
      <c r="V114" s="6">
        <v>1.1893</v>
      </c>
      <c r="W114" s="6">
        <v>1.0351999999999999</v>
      </c>
      <c r="X114" s="6">
        <v>0.76649999999999996</v>
      </c>
      <c r="Y114" s="6" t="s">
        <v>29</v>
      </c>
      <c r="Z114" s="6" t="s">
        <v>26</v>
      </c>
      <c r="AA114" s="39"/>
      <c r="AB114" s="40"/>
      <c r="AC114" s="39"/>
      <c r="AD114" s="40"/>
      <c r="AE114" s="39"/>
      <c r="AF114" s="41"/>
      <c r="AG114" s="39"/>
      <c r="AH114" s="41"/>
      <c r="AI114" s="41"/>
      <c r="AJ114" s="67"/>
    </row>
    <row r="115" spans="9:36" x14ac:dyDescent="0.25">
      <c r="I115" s="124"/>
      <c r="J115" s="5" t="str">
        <f>_xlfn.CONCAT(I107,"i")</f>
        <v>SC-08i</v>
      </c>
      <c r="K115" s="5"/>
      <c r="L115" s="5">
        <f t="shared" si="24"/>
        <v>13.85</v>
      </c>
      <c r="M115" s="6">
        <f t="shared" si="25"/>
        <v>5.7777266443916522E-2</v>
      </c>
      <c r="N115" s="6">
        <f t="shared" si="20"/>
        <v>12.349992958122636</v>
      </c>
      <c r="O115" s="6">
        <v>7.95</v>
      </c>
      <c r="P115" s="6">
        <v>-3.5500000000000007</v>
      </c>
      <c r="Q115" s="6">
        <f t="shared" si="26"/>
        <v>-30</v>
      </c>
      <c r="R115" s="6">
        <v>1.6202000000000001</v>
      </c>
      <c r="S115" s="6">
        <v>0.28820000000000001</v>
      </c>
      <c r="T115" s="6">
        <v>1.3565</v>
      </c>
      <c r="U115" s="6">
        <v>-0.26100000000000001</v>
      </c>
      <c r="V115" s="6">
        <v>1.1835</v>
      </c>
      <c r="W115" s="6">
        <v>1.1354</v>
      </c>
      <c r="X115" s="6">
        <v>0.75180000000000002</v>
      </c>
      <c r="Y115" s="6" t="s">
        <v>30</v>
      </c>
      <c r="Z115" s="6" t="s">
        <v>26</v>
      </c>
      <c r="AA115" s="39"/>
      <c r="AB115" s="40"/>
      <c r="AC115" s="39"/>
      <c r="AD115" s="40"/>
      <c r="AE115" s="39"/>
      <c r="AF115" s="41"/>
      <c r="AG115" s="39"/>
      <c r="AH115" s="41"/>
      <c r="AI115" s="41"/>
      <c r="AJ115" s="67"/>
    </row>
    <row r="116" spans="9:36" x14ac:dyDescent="0.25">
      <c r="I116" s="124"/>
      <c r="J116" s="5" t="str">
        <f>_xlfn.CONCAT(I107,"j")</f>
        <v>SC-08j</v>
      </c>
      <c r="K116" s="5"/>
      <c r="L116" s="5">
        <f t="shared" si="24"/>
        <v>11.85</v>
      </c>
      <c r="M116" s="6">
        <f t="shared" si="25"/>
        <v>5.7777266443916522E-2</v>
      </c>
      <c r="N116" s="6">
        <f t="shared" si="20"/>
        <v>10.349993975000233</v>
      </c>
      <c r="O116" s="6">
        <v>7.95</v>
      </c>
      <c r="P116" s="6">
        <v>-3.5399999999999991</v>
      </c>
      <c r="Q116" s="6">
        <f t="shared" si="26"/>
        <v>-30</v>
      </c>
      <c r="R116" s="6">
        <v>1.6402000000000001</v>
      </c>
      <c r="S116" s="6">
        <v>0.98009999999999997</v>
      </c>
      <c r="T116" s="6">
        <v>1.2905</v>
      </c>
      <c r="U116" s="6">
        <v>-0.34970000000000001</v>
      </c>
      <c r="V116" s="6">
        <v>0.90200000000000002</v>
      </c>
      <c r="W116" s="6">
        <v>1.0760000000000001</v>
      </c>
      <c r="X116" s="6">
        <v>0.78659999999999997</v>
      </c>
      <c r="Y116" s="6" t="s">
        <v>30</v>
      </c>
      <c r="Z116" s="6" t="s">
        <v>26</v>
      </c>
      <c r="AA116" s="39"/>
      <c r="AB116" s="40"/>
      <c r="AC116" s="39"/>
      <c r="AD116" s="40"/>
      <c r="AE116" s="39"/>
      <c r="AF116" s="41"/>
      <c r="AG116" s="39"/>
      <c r="AH116" s="41"/>
      <c r="AI116" s="41"/>
      <c r="AJ116" s="67"/>
    </row>
    <row r="117" spans="9:36" x14ac:dyDescent="0.25">
      <c r="I117" s="124"/>
      <c r="J117" s="5" t="str">
        <f>_xlfn.CONCAT(I107,"k")</f>
        <v>SC-08k</v>
      </c>
      <c r="K117" s="5"/>
      <c r="L117" s="5">
        <f t="shared" si="24"/>
        <v>9.85</v>
      </c>
      <c r="M117" s="6">
        <f t="shared" si="25"/>
        <v>5.7777266443916522E-2</v>
      </c>
      <c r="N117" s="6">
        <f t="shared" si="20"/>
        <v>8.3499949918778302</v>
      </c>
      <c r="O117" s="6">
        <v>7.95</v>
      </c>
      <c r="P117" s="6">
        <v>-3.5399999999999991</v>
      </c>
      <c r="Q117" s="6">
        <f t="shared" si="26"/>
        <v>-30</v>
      </c>
      <c r="R117" s="6">
        <v>1.6343000000000001</v>
      </c>
      <c r="S117" s="6">
        <v>0.69379999999999997</v>
      </c>
      <c r="T117" s="6">
        <v>1.2833000000000001</v>
      </c>
      <c r="U117" s="6">
        <v>-0.35099999999999998</v>
      </c>
      <c r="V117" s="6">
        <v>1.1267</v>
      </c>
      <c r="W117" s="6">
        <v>1.0011000000000001</v>
      </c>
      <c r="X117" s="6">
        <v>0.84840000000000004</v>
      </c>
      <c r="Y117" s="6" t="s">
        <v>29</v>
      </c>
      <c r="Z117" s="6" t="s">
        <v>26</v>
      </c>
      <c r="AA117" s="39"/>
      <c r="AB117" s="40"/>
      <c r="AC117" s="39"/>
      <c r="AD117" s="40"/>
      <c r="AE117" s="39"/>
      <c r="AF117" s="42"/>
      <c r="AG117" s="39"/>
      <c r="AH117" s="42"/>
      <c r="AI117" s="42"/>
      <c r="AJ117" s="68"/>
    </row>
    <row r="118" spans="9:36" x14ac:dyDescent="0.25">
      <c r="I118" s="124"/>
      <c r="J118" s="5" t="str">
        <f>_xlfn.CONCAT(I107,"l")</f>
        <v>SC-08l</v>
      </c>
      <c r="K118" s="5"/>
      <c r="L118" s="5">
        <f t="shared" si="24"/>
        <v>7.85</v>
      </c>
      <c r="M118" s="6">
        <f t="shared" si="25"/>
        <v>5.7777266443916522E-2</v>
      </c>
      <c r="N118" s="6">
        <f t="shared" si="20"/>
        <v>6.3499960087554284</v>
      </c>
      <c r="O118" s="6">
        <v>7.95</v>
      </c>
      <c r="P118" s="6">
        <v>-3.5199999999999996</v>
      </c>
      <c r="Q118" s="6">
        <f t="shared" si="26"/>
        <v>-30</v>
      </c>
      <c r="R118" s="6">
        <v>1.5809</v>
      </c>
      <c r="S118" s="6">
        <v>0.69430000000000003</v>
      </c>
      <c r="T118" s="6">
        <v>1.3652</v>
      </c>
      <c r="U118" s="6">
        <v>-0.21529999999999999</v>
      </c>
      <c r="V118" s="6">
        <v>1.0561</v>
      </c>
      <c r="W118" s="6">
        <v>0.87150000000000005</v>
      </c>
      <c r="X118" s="6">
        <v>0.95120000000000005</v>
      </c>
      <c r="Y118" s="6" t="s">
        <v>29</v>
      </c>
      <c r="Z118" s="6" t="s">
        <v>26</v>
      </c>
      <c r="AA118" s="39"/>
      <c r="AB118" s="40"/>
      <c r="AC118" s="39"/>
      <c r="AD118" s="40"/>
      <c r="AE118" s="39"/>
      <c r="AF118" s="42"/>
      <c r="AG118" s="39"/>
      <c r="AH118" s="42"/>
      <c r="AI118" s="42"/>
      <c r="AJ118" s="68"/>
    </row>
    <row r="119" spans="9:36" x14ac:dyDescent="0.25">
      <c r="I119" s="124"/>
      <c r="J119" s="5" t="str">
        <f>_xlfn.CONCAT(I107,"m")</f>
        <v>SC-08m</v>
      </c>
      <c r="K119" s="5"/>
      <c r="L119" s="5">
        <f t="shared" si="24"/>
        <v>5.85</v>
      </c>
      <c r="M119" s="6">
        <f t="shared" si="25"/>
        <v>5.7777266443916522E-2</v>
      </c>
      <c r="N119" s="6">
        <f t="shared" si="20"/>
        <v>4.3499970256330265</v>
      </c>
      <c r="O119" s="6">
        <v>7.95</v>
      </c>
      <c r="P119" s="6">
        <v>-3.5100000000000016</v>
      </c>
      <c r="Q119" s="6">
        <f t="shared" si="26"/>
        <v>-30</v>
      </c>
      <c r="R119" s="6">
        <v>1.4976</v>
      </c>
      <c r="S119" s="6">
        <v>0.31419999999999998</v>
      </c>
      <c r="T119" s="6">
        <v>1.3297000000000001</v>
      </c>
      <c r="U119" s="6">
        <v>-0.16750000000000001</v>
      </c>
      <c r="V119" s="6">
        <v>1.0976999999999999</v>
      </c>
      <c r="W119" s="6">
        <v>0.94120000000000004</v>
      </c>
      <c r="X119" s="6">
        <v>0.86329999999999996</v>
      </c>
      <c r="Y119" s="6" t="s">
        <v>29</v>
      </c>
      <c r="Z119" s="6" t="s">
        <v>26</v>
      </c>
      <c r="AA119" s="39"/>
      <c r="AB119" s="40"/>
      <c r="AC119" s="39"/>
      <c r="AD119" s="40"/>
      <c r="AE119" s="39"/>
      <c r="AF119" s="42"/>
      <c r="AG119" s="39"/>
      <c r="AH119" s="42"/>
      <c r="AI119" s="42"/>
      <c r="AJ119" s="68"/>
    </row>
    <row r="120" spans="9:36" x14ac:dyDescent="0.25">
      <c r="I120" s="124"/>
      <c r="J120" s="5" t="str">
        <f>_xlfn.CONCAT(I107,"n")</f>
        <v>SC-08n</v>
      </c>
      <c r="K120" s="5"/>
      <c r="L120" s="5">
        <f>L121+2</f>
        <v>3.85</v>
      </c>
      <c r="M120" s="6">
        <f t="shared" si="25"/>
        <v>5.7777266443916522E-2</v>
      </c>
      <c r="N120" s="6">
        <f t="shared" si="20"/>
        <v>2.3499980425106246</v>
      </c>
      <c r="O120" s="6">
        <v>7.96</v>
      </c>
      <c r="P120" s="6">
        <v>-3.3599999999999994</v>
      </c>
      <c r="Q120" s="6">
        <f t="shared" si="26"/>
        <v>-30</v>
      </c>
      <c r="R120" s="6">
        <v>1.4381999999999999</v>
      </c>
      <c r="S120" s="6">
        <v>0.40660000000000002</v>
      </c>
      <c r="T120" s="6">
        <v>1.3129999999999999</v>
      </c>
      <c r="U120" s="6">
        <v>-0.12479999999999999</v>
      </c>
      <c r="V120" s="6">
        <v>1.1785000000000001</v>
      </c>
      <c r="W120" s="6">
        <v>0.95050000000000001</v>
      </c>
      <c r="X120" s="6">
        <v>0.87270000000000003</v>
      </c>
      <c r="Y120" s="6" t="s">
        <v>30</v>
      </c>
      <c r="Z120" s="6" t="s">
        <v>26</v>
      </c>
      <c r="AA120" s="39"/>
      <c r="AB120" s="43"/>
      <c r="AC120" s="39"/>
      <c r="AD120" s="43"/>
      <c r="AE120" s="39"/>
      <c r="AF120" s="42"/>
      <c r="AG120" s="39"/>
      <c r="AH120" s="42"/>
      <c r="AI120" s="42"/>
      <c r="AJ120" s="68"/>
    </row>
    <row r="121" spans="9:36" ht="15.75" thickBot="1" x14ac:dyDescent="0.3">
      <c r="I121" s="147"/>
      <c r="J121" s="82" t="str">
        <f>_xlfn.CONCAT(I107,"o")</f>
        <v>SC-08o</v>
      </c>
      <c r="K121" s="82"/>
      <c r="L121" s="82">
        <v>1.85</v>
      </c>
      <c r="M121" s="83">
        <f t="shared" si="25"/>
        <v>5.7777266443916522E-2</v>
      </c>
      <c r="N121" s="83">
        <f t="shared" si="20"/>
        <v>0.34999905938822229</v>
      </c>
      <c r="O121" s="83">
        <v>7.95</v>
      </c>
      <c r="P121" s="83">
        <v>-3.2699999999999996</v>
      </c>
      <c r="Q121" s="83">
        <f>$A$14</f>
        <v>-30</v>
      </c>
      <c r="R121" s="83">
        <v>1.4206000000000001</v>
      </c>
      <c r="S121" s="83">
        <v>1.0719000000000001</v>
      </c>
      <c r="T121" s="83">
        <v>1.3096000000000001</v>
      </c>
      <c r="U121" s="83">
        <v>-0.1106</v>
      </c>
      <c r="V121" s="83">
        <v>1.1676</v>
      </c>
      <c r="W121" s="83">
        <v>0.97899999999999998</v>
      </c>
      <c r="X121" s="83">
        <v>0.85229999999999995</v>
      </c>
      <c r="Y121" s="83" t="s">
        <v>30</v>
      </c>
      <c r="Z121" s="83" t="s">
        <v>26</v>
      </c>
      <c r="AA121" s="85"/>
      <c r="AB121" s="86"/>
      <c r="AC121" s="85"/>
      <c r="AD121" s="86"/>
      <c r="AE121" s="85"/>
      <c r="AF121" s="87"/>
      <c r="AG121" s="85"/>
      <c r="AH121" s="87"/>
      <c r="AI121" s="87"/>
      <c r="AJ121" s="88"/>
    </row>
    <row r="122" spans="9:36" x14ac:dyDescent="0.25">
      <c r="I122" s="123" t="s">
        <v>203</v>
      </c>
      <c r="J122" s="8" t="s">
        <v>51</v>
      </c>
      <c r="K122" s="8"/>
      <c r="L122" s="126"/>
      <c r="M122" s="127"/>
      <c r="N122" s="128"/>
      <c r="O122" s="9">
        <v>9.43</v>
      </c>
      <c r="P122" s="35">
        <v>-5</v>
      </c>
      <c r="Q122" s="9">
        <f t="shared" ref="Q122:Q185" si="27">$A$14</f>
        <v>-30</v>
      </c>
      <c r="R122" s="9">
        <v>3.48</v>
      </c>
      <c r="S122" s="126"/>
      <c r="T122" s="127"/>
      <c r="U122" s="127"/>
      <c r="V122" s="127"/>
      <c r="W122" s="128"/>
      <c r="X122" s="9">
        <v>2.2395</v>
      </c>
      <c r="Y122" s="135"/>
      <c r="Z122" s="9" t="s">
        <v>26</v>
      </c>
      <c r="AA122" s="138"/>
      <c r="AB122" s="139"/>
      <c r="AC122" s="139"/>
      <c r="AD122" s="139"/>
      <c r="AE122" s="139"/>
      <c r="AF122" s="139"/>
      <c r="AG122" s="139"/>
      <c r="AH122" s="139"/>
      <c r="AI122" s="139"/>
      <c r="AJ122" s="140"/>
    </row>
    <row r="123" spans="9:36" x14ac:dyDescent="0.25">
      <c r="I123" s="124"/>
      <c r="J123" s="5" t="s">
        <v>52</v>
      </c>
      <c r="K123" s="5"/>
      <c r="L123" s="129"/>
      <c r="M123" s="130"/>
      <c r="N123" s="131"/>
      <c r="O123" s="6">
        <v>9.09</v>
      </c>
      <c r="P123" s="6">
        <v>-4.5</v>
      </c>
      <c r="Q123" s="6">
        <f t="shared" si="27"/>
        <v>-30</v>
      </c>
      <c r="R123" s="6">
        <v>3.09</v>
      </c>
      <c r="S123" s="129"/>
      <c r="T123" s="130"/>
      <c r="U123" s="130"/>
      <c r="V123" s="130"/>
      <c r="W123" s="131"/>
      <c r="X123" s="6">
        <v>1.8935999999999999</v>
      </c>
      <c r="Y123" s="136"/>
      <c r="Z123" s="6" t="s">
        <v>26</v>
      </c>
      <c r="AA123" s="141"/>
      <c r="AB123" s="142"/>
      <c r="AC123" s="142"/>
      <c r="AD123" s="142"/>
      <c r="AE123" s="142"/>
      <c r="AF123" s="142"/>
      <c r="AG123" s="142"/>
      <c r="AH123" s="142"/>
      <c r="AI123" s="142"/>
      <c r="AJ123" s="143"/>
    </row>
    <row r="124" spans="9:36" x14ac:dyDescent="0.25">
      <c r="I124" s="124"/>
      <c r="J124" s="5" t="s">
        <v>53</v>
      </c>
      <c r="K124" s="5"/>
      <c r="L124" s="129"/>
      <c r="M124" s="130"/>
      <c r="N124" s="131"/>
      <c r="O124" s="6">
        <v>8.66</v>
      </c>
      <c r="P124" s="6">
        <v>-3.5</v>
      </c>
      <c r="Q124" s="6">
        <f t="shared" si="27"/>
        <v>-30</v>
      </c>
      <c r="R124" s="6">
        <v>2.62</v>
      </c>
      <c r="S124" s="129"/>
      <c r="T124" s="130"/>
      <c r="U124" s="130"/>
      <c r="V124" s="130"/>
      <c r="W124" s="131"/>
      <c r="X124" s="6">
        <v>1.4503999999999999</v>
      </c>
      <c r="Y124" s="136"/>
      <c r="Z124" s="6" t="s">
        <v>26</v>
      </c>
      <c r="AA124" s="141"/>
      <c r="AB124" s="142"/>
      <c r="AC124" s="142"/>
      <c r="AD124" s="142"/>
      <c r="AE124" s="142"/>
      <c r="AF124" s="142"/>
      <c r="AG124" s="142"/>
      <c r="AH124" s="142"/>
      <c r="AI124" s="142"/>
      <c r="AJ124" s="143"/>
    </row>
    <row r="125" spans="9:36" x14ac:dyDescent="0.25">
      <c r="I125" s="124"/>
      <c r="J125" s="5" t="s">
        <v>54</v>
      </c>
      <c r="K125" s="5"/>
      <c r="L125" s="129"/>
      <c r="M125" s="130"/>
      <c r="N125" s="131"/>
      <c r="O125" s="6">
        <v>8.23</v>
      </c>
      <c r="P125" s="6">
        <v>-3.2</v>
      </c>
      <c r="Q125" s="6">
        <f t="shared" si="27"/>
        <v>-30</v>
      </c>
      <c r="R125" s="6">
        <v>2.14</v>
      </c>
      <c r="S125" s="129"/>
      <c r="T125" s="130"/>
      <c r="U125" s="130"/>
      <c r="V125" s="130"/>
      <c r="W125" s="131"/>
      <c r="X125" s="6">
        <v>1.0290999999999999</v>
      </c>
      <c r="Y125" s="136"/>
      <c r="Z125" s="6" t="s">
        <v>26</v>
      </c>
      <c r="AA125" s="141"/>
      <c r="AB125" s="142"/>
      <c r="AC125" s="142"/>
      <c r="AD125" s="142"/>
      <c r="AE125" s="142"/>
      <c r="AF125" s="142"/>
      <c r="AG125" s="142"/>
      <c r="AH125" s="142"/>
      <c r="AI125" s="142"/>
      <c r="AJ125" s="143"/>
    </row>
    <row r="126" spans="9:36" x14ac:dyDescent="0.25">
      <c r="I126" s="124"/>
      <c r="J126" s="5" t="s">
        <v>55</v>
      </c>
      <c r="K126" s="5"/>
      <c r="L126" s="129"/>
      <c r="M126" s="130"/>
      <c r="N126" s="131"/>
      <c r="O126" s="6">
        <v>7.8</v>
      </c>
      <c r="P126" s="6">
        <v>-3.1</v>
      </c>
      <c r="Q126" s="6">
        <f t="shared" si="27"/>
        <v>-30</v>
      </c>
      <c r="R126" s="6">
        <v>1.66</v>
      </c>
      <c r="S126" s="129"/>
      <c r="T126" s="130"/>
      <c r="U126" s="130"/>
      <c r="V126" s="130"/>
      <c r="W126" s="131"/>
      <c r="X126" s="6">
        <v>0.60240000000000005</v>
      </c>
      <c r="Y126" s="136"/>
      <c r="Z126" s="6" t="s">
        <v>26</v>
      </c>
      <c r="AA126" s="141"/>
      <c r="AB126" s="142"/>
      <c r="AC126" s="142"/>
      <c r="AD126" s="142"/>
      <c r="AE126" s="142"/>
      <c r="AF126" s="142"/>
      <c r="AG126" s="142"/>
      <c r="AH126" s="142"/>
      <c r="AI126" s="142"/>
      <c r="AJ126" s="143"/>
    </row>
    <row r="127" spans="9:36" x14ac:dyDescent="0.25">
      <c r="I127" s="124"/>
      <c r="J127" s="5" t="s">
        <v>56</v>
      </c>
      <c r="K127" s="5"/>
      <c r="L127" s="129"/>
      <c r="M127" s="130"/>
      <c r="N127" s="131"/>
      <c r="O127" s="6">
        <v>7.36</v>
      </c>
      <c r="P127" s="6">
        <v>-3</v>
      </c>
      <c r="Q127" s="6">
        <f t="shared" si="27"/>
        <v>-30</v>
      </c>
      <c r="R127" s="6">
        <v>1.18</v>
      </c>
      <c r="S127" s="129"/>
      <c r="T127" s="130"/>
      <c r="U127" s="130"/>
      <c r="V127" s="130"/>
      <c r="W127" s="131"/>
      <c r="X127" s="6">
        <v>0.17150000000000001</v>
      </c>
      <c r="Y127" s="136"/>
      <c r="Z127" s="6" t="s">
        <v>26</v>
      </c>
      <c r="AA127" s="141"/>
      <c r="AB127" s="142"/>
      <c r="AC127" s="142"/>
      <c r="AD127" s="142"/>
      <c r="AE127" s="142"/>
      <c r="AF127" s="142"/>
      <c r="AG127" s="142"/>
      <c r="AH127" s="142"/>
      <c r="AI127" s="142"/>
      <c r="AJ127" s="143"/>
    </row>
    <row r="128" spans="9:36" x14ac:dyDescent="0.25">
      <c r="I128" s="124"/>
      <c r="J128" s="5" t="s">
        <v>57</v>
      </c>
      <c r="K128" s="5"/>
      <c r="L128" s="129"/>
      <c r="M128" s="130"/>
      <c r="N128" s="131"/>
      <c r="O128" s="6">
        <v>6.93</v>
      </c>
      <c r="P128" s="6">
        <v>-2.8</v>
      </c>
      <c r="Q128" s="6">
        <f t="shared" si="27"/>
        <v>-30</v>
      </c>
      <c r="R128" s="6">
        <v>0.7</v>
      </c>
      <c r="S128" s="129"/>
      <c r="T128" s="130"/>
      <c r="U128" s="130"/>
      <c r="V128" s="130"/>
      <c r="W128" s="131"/>
      <c r="X128" s="6" t="s">
        <v>4</v>
      </c>
      <c r="Y128" s="136"/>
      <c r="Z128" s="6" t="s">
        <v>28</v>
      </c>
      <c r="AA128" s="141"/>
      <c r="AB128" s="142"/>
      <c r="AC128" s="142"/>
      <c r="AD128" s="142"/>
      <c r="AE128" s="142"/>
      <c r="AF128" s="142"/>
      <c r="AG128" s="142"/>
      <c r="AH128" s="142"/>
      <c r="AI128" s="142"/>
      <c r="AJ128" s="143"/>
    </row>
    <row r="129" spans="9:36" x14ac:dyDescent="0.25">
      <c r="I129" s="124"/>
      <c r="J129" s="5" t="s">
        <v>58</v>
      </c>
      <c r="K129" s="5"/>
      <c r="L129" s="129"/>
      <c r="M129" s="130"/>
      <c r="N129" s="131"/>
      <c r="O129" s="6">
        <v>6.5</v>
      </c>
      <c r="P129" s="6">
        <v>-2.6</v>
      </c>
      <c r="Q129" s="6">
        <f t="shared" si="27"/>
        <v>-30</v>
      </c>
      <c r="R129" s="6">
        <v>0.23</v>
      </c>
      <c r="S129" s="129"/>
      <c r="T129" s="130"/>
      <c r="U129" s="130"/>
      <c r="V129" s="130"/>
      <c r="W129" s="131"/>
      <c r="X129" s="6" t="s">
        <v>4</v>
      </c>
      <c r="Y129" s="136"/>
      <c r="Z129" s="6" t="s">
        <v>28</v>
      </c>
      <c r="AA129" s="141"/>
      <c r="AB129" s="142"/>
      <c r="AC129" s="142"/>
      <c r="AD129" s="142"/>
      <c r="AE129" s="142"/>
      <c r="AF129" s="142"/>
      <c r="AG129" s="142"/>
      <c r="AH129" s="142"/>
      <c r="AI129" s="142"/>
      <c r="AJ129" s="143"/>
    </row>
    <row r="130" spans="9:36" x14ac:dyDescent="0.25">
      <c r="I130" s="124"/>
      <c r="J130" s="5" t="s">
        <v>59</v>
      </c>
      <c r="K130" s="5"/>
      <c r="L130" s="129"/>
      <c r="M130" s="130"/>
      <c r="N130" s="131"/>
      <c r="O130" s="6">
        <v>6.07</v>
      </c>
      <c r="P130" s="6">
        <v>-2.5</v>
      </c>
      <c r="Q130" s="6">
        <f t="shared" si="27"/>
        <v>-30</v>
      </c>
      <c r="R130" s="6">
        <v>-0.2</v>
      </c>
      <c r="S130" s="129"/>
      <c r="T130" s="130"/>
      <c r="U130" s="130"/>
      <c r="V130" s="130"/>
      <c r="W130" s="131"/>
      <c r="X130" s="6" t="s">
        <v>4</v>
      </c>
      <c r="Y130" s="136"/>
      <c r="Z130" s="6" t="s">
        <v>28</v>
      </c>
      <c r="AA130" s="141"/>
      <c r="AB130" s="142"/>
      <c r="AC130" s="142"/>
      <c r="AD130" s="142"/>
      <c r="AE130" s="142"/>
      <c r="AF130" s="142"/>
      <c r="AG130" s="142"/>
      <c r="AH130" s="142"/>
      <c r="AI130" s="142"/>
      <c r="AJ130" s="143"/>
    </row>
    <row r="131" spans="9:36" x14ac:dyDescent="0.25">
      <c r="I131" s="124"/>
      <c r="J131" s="5" t="s">
        <v>60</v>
      </c>
      <c r="K131" s="5"/>
      <c r="L131" s="129"/>
      <c r="M131" s="130"/>
      <c r="N131" s="131"/>
      <c r="O131" s="6">
        <v>5.64</v>
      </c>
      <c r="P131" s="6">
        <v>-2.2999999999999998</v>
      </c>
      <c r="Q131" s="6">
        <f t="shared" si="27"/>
        <v>-30</v>
      </c>
      <c r="R131" s="6">
        <v>-0.63</v>
      </c>
      <c r="S131" s="129"/>
      <c r="T131" s="130"/>
      <c r="U131" s="130"/>
      <c r="V131" s="130"/>
      <c r="W131" s="131"/>
      <c r="X131" s="6">
        <v>-0.41139999999999999</v>
      </c>
      <c r="Y131" s="136"/>
      <c r="Z131" s="6" t="s">
        <v>27</v>
      </c>
      <c r="AA131" s="141"/>
      <c r="AB131" s="142"/>
      <c r="AC131" s="142"/>
      <c r="AD131" s="142"/>
      <c r="AE131" s="142"/>
      <c r="AF131" s="142"/>
      <c r="AG131" s="142"/>
      <c r="AH131" s="142"/>
      <c r="AI131" s="142"/>
      <c r="AJ131" s="143"/>
    </row>
    <row r="132" spans="9:36" x14ac:dyDescent="0.25">
      <c r="I132" s="124"/>
      <c r="J132" s="5" t="s">
        <v>61</v>
      </c>
      <c r="K132" s="5"/>
      <c r="L132" s="129"/>
      <c r="M132" s="130"/>
      <c r="N132" s="131"/>
      <c r="O132" s="6">
        <v>5.21</v>
      </c>
      <c r="P132" s="6">
        <v>-2</v>
      </c>
      <c r="Q132" s="6">
        <f t="shared" si="27"/>
        <v>-30</v>
      </c>
      <c r="R132" s="6">
        <v>-1.06</v>
      </c>
      <c r="S132" s="129"/>
      <c r="T132" s="130"/>
      <c r="U132" s="130"/>
      <c r="V132" s="130"/>
      <c r="W132" s="131"/>
      <c r="X132" s="6">
        <v>-0.86199999999999999</v>
      </c>
      <c r="Y132" s="136"/>
      <c r="Z132" s="6" t="s">
        <v>27</v>
      </c>
      <c r="AA132" s="141"/>
      <c r="AB132" s="142"/>
      <c r="AC132" s="142"/>
      <c r="AD132" s="142"/>
      <c r="AE132" s="142"/>
      <c r="AF132" s="142"/>
      <c r="AG132" s="142"/>
      <c r="AH132" s="142"/>
      <c r="AI132" s="142"/>
      <c r="AJ132" s="143"/>
    </row>
    <row r="133" spans="9:36" x14ac:dyDescent="0.25">
      <c r="I133" s="124"/>
      <c r="J133" s="5" t="s">
        <v>62</v>
      </c>
      <c r="K133" s="5"/>
      <c r="L133" s="129"/>
      <c r="M133" s="130"/>
      <c r="N133" s="131"/>
      <c r="O133" s="6">
        <v>4.78</v>
      </c>
      <c r="P133" s="6">
        <v>-1.5</v>
      </c>
      <c r="Q133" s="6">
        <f t="shared" si="27"/>
        <v>-30</v>
      </c>
      <c r="R133" s="6">
        <v>-1.49</v>
      </c>
      <c r="S133" s="129"/>
      <c r="T133" s="130"/>
      <c r="U133" s="130"/>
      <c r="V133" s="130"/>
      <c r="W133" s="131"/>
      <c r="X133" s="6">
        <v>-1.2864</v>
      </c>
      <c r="Y133" s="136"/>
      <c r="Z133" s="6" t="s">
        <v>27</v>
      </c>
      <c r="AA133" s="141"/>
      <c r="AB133" s="142"/>
      <c r="AC133" s="142"/>
      <c r="AD133" s="142"/>
      <c r="AE133" s="142"/>
      <c r="AF133" s="142"/>
      <c r="AG133" s="142"/>
      <c r="AH133" s="142"/>
      <c r="AI133" s="142"/>
      <c r="AJ133" s="143"/>
    </row>
    <row r="134" spans="9:36" x14ac:dyDescent="0.25">
      <c r="I134" s="124"/>
      <c r="J134" s="5" t="s">
        <v>63</v>
      </c>
      <c r="K134" s="5"/>
      <c r="L134" s="129"/>
      <c r="M134" s="130"/>
      <c r="N134" s="131"/>
      <c r="O134" s="6">
        <v>4.3499999999999996</v>
      </c>
      <c r="P134" s="6">
        <v>-1</v>
      </c>
      <c r="Q134" s="6">
        <f t="shared" si="27"/>
        <v>-30</v>
      </c>
      <c r="R134" s="6">
        <v>-1.92</v>
      </c>
      <c r="S134" s="129"/>
      <c r="T134" s="130"/>
      <c r="U134" s="130"/>
      <c r="V134" s="130"/>
      <c r="W134" s="131"/>
      <c r="X134" s="6">
        <v>-1.7025999999999999</v>
      </c>
      <c r="Y134" s="136"/>
      <c r="Z134" s="6" t="s">
        <v>27</v>
      </c>
      <c r="AA134" s="141"/>
      <c r="AB134" s="142"/>
      <c r="AC134" s="142"/>
      <c r="AD134" s="142"/>
      <c r="AE134" s="142"/>
      <c r="AF134" s="142"/>
      <c r="AG134" s="142"/>
      <c r="AH134" s="142"/>
      <c r="AI134" s="142"/>
      <c r="AJ134" s="143"/>
    </row>
    <row r="135" spans="9:36" ht="15.75" thickBot="1" x14ac:dyDescent="0.3">
      <c r="I135" s="125"/>
      <c r="J135" s="13" t="s">
        <v>64</v>
      </c>
      <c r="K135" s="13"/>
      <c r="L135" s="129"/>
      <c r="M135" s="130"/>
      <c r="N135" s="131"/>
      <c r="O135" s="14">
        <v>3.92</v>
      </c>
      <c r="P135" s="14">
        <v>-0.5</v>
      </c>
      <c r="Q135" s="14">
        <f t="shared" si="27"/>
        <v>-30</v>
      </c>
      <c r="R135" s="14">
        <v>-2.35</v>
      </c>
      <c r="S135" s="129"/>
      <c r="T135" s="130"/>
      <c r="U135" s="130"/>
      <c r="V135" s="130"/>
      <c r="W135" s="131"/>
      <c r="X135" s="14">
        <v>-2.1412</v>
      </c>
      <c r="Y135" s="136"/>
      <c r="Z135" s="83" t="s">
        <v>27</v>
      </c>
      <c r="AA135" s="141"/>
      <c r="AB135" s="142"/>
      <c r="AC135" s="142"/>
      <c r="AD135" s="142"/>
      <c r="AE135" s="142"/>
      <c r="AF135" s="142"/>
      <c r="AG135" s="142"/>
      <c r="AH135" s="142"/>
      <c r="AI135" s="142"/>
      <c r="AJ135" s="143"/>
    </row>
    <row r="136" spans="9:36" x14ac:dyDescent="0.25">
      <c r="I136" s="123" t="s">
        <v>204</v>
      </c>
      <c r="J136" s="8" t="s">
        <v>65</v>
      </c>
      <c r="K136" s="8"/>
      <c r="L136" s="129"/>
      <c r="M136" s="130"/>
      <c r="N136" s="131"/>
      <c r="O136" s="9">
        <v>8.9600000000000009</v>
      </c>
      <c r="P136" s="35">
        <v>-5.0999999999999996</v>
      </c>
      <c r="Q136" s="9">
        <f t="shared" si="27"/>
        <v>-30</v>
      </c>
      <c r="R136" s="9">
        <v>2.64</v>
      </c>
      <c r="S136" s="129"/>
      <c r="T136" s="130"/>
      <c r="U136" s="130"/>
      <c r="V136" s="130"/>
      <c r="W136" s="131"/>
      <c r="X136" s="9">
        <v>1.8737999999999999</v>
      </c>
      <c r="Y136" s="136"/>
      <c r="Z136" s="8" t="s">
        <v>26</v>
      </c>
      <c r="AA136" s="141"/>
      <c r="AB136" s="142"/>
      <c r="AC136" s="142"/>
      <c r="AD136" s="142"/>
      <c r="AE136" s="142"/>
      <c r="AF136" s="142"/>
      <c r="AG136" s="142"/>
      <c r="AH136" s="142"/>
      <c r="AI136" s="142"/>
      <c r="AJ136" s="143"/>
    </row>
    <row r="137" spans="9:36" x14ac:dyDescent="0.25">
      <c r="I137" s="124"/>
      <c r="J137" s="5" t="s">
        <v>66</v>
      </c>
      <c r="K137" s="5"/>
      <c r="L137" s="129"/>
      <c r="M137" s="130"/>
      <c r="N137" s="131"/>
      <c r="O137" s="6">
        <v>8.61</v>
      </c>
      <c r="P137" s="6">
        <v>-4.5999999999999996</v>
      </c>
      <c r="Q137" s="6">
        <f t="shared" si="27"/>
        <v>-30</v>
      </c>
      <c r="R137" s="6">
        <v>2.27</v>
      </c>
      <c r="S137" s="129"/>
      <c r="T137" s="130"/>
      <c r="U137" s="130"/>
      <c r="V137" s="130"/>
      <c r="W137" s="131"/>
      <c r="X137" s="6">
        <v>1.5239</v>
      </c>
      <c r="Y137" s="136"/>
      <c r="Z137" s="5" t="s">
        <v>26</v>
      </c>
      <c r="AA137" s="141"/>
      <c r="AB137" s="142"/>
      <c r="AC137" s="142"/>
      <c r="AD137" s="142"/>
      <c r="AE137" s="142"/>
      <c r="AF137" s="142"/>
      <c r="AG137" s="142"/>
      <c r="AH137" s="142"/>
      <c r="AI137" s="142"/>
      <c r="AJ137" s="143"/>
    </row>
    <row r="138" spans="9:36" x14ac:dyDescent="0.25">
      <c r="I138" s="124"/>
      <c r="J138" s="5" t="s">
        <v>67</v>
      </c>
      <c r="K138" s="5"/>
      <c r="L138" s="129"/>
      <c r="M138" s="130"/>
      <c r="N138" s="131"/>
      <c r="O138" s="6">
        <v>8.16</v>
      </c>
      <c r="P138" s="6">
        <v>-3.6</v>
      </c>
      <c r="Q138" s="6">
        <f t="shared" si="27"/>
        <v>-30</v>
      </c>
      <c r="R138" s="6">
        <v>1.81</v>
      </c>
      <c r="S138" s="129"/>
      <c r="T138" s="130"/>
      <c r="U138" s="130"/>
      <c r="V138" s="130"/>
      <c r="W138" s="131"/>
      <c r="X138" s="6">
        <v>1.0829</v>
      </c>
      <c r="Y138" s="136"/>
      <c r="Z138" s="5" t="s">
        <v>26</v>
      </c>
      <c r="AA138" s="141"/>
      <c r="AB138" s="142"/>
      <c r="AC138" s="142"/>
      <c r="AD138" s="142"/>
      <c r="AE138" s="142"/>
      <c r="AF138" s="142"/>
      <c r="AG138" s="142"/>
      <c r="AH138" s="142"/>
      <c r="AI138" s="142"/>
      <c r="AJ138" s="143"/>
    </row>
    <row r="139" spans="9:36" x14ac:dyDescent="0.25">
      <c r="I139" s="124"/>
      <c r="J139" s="5" t="s">
        <v>68</v>
      </c>
      <c r="K139" s="5"/>
      <c r="L139" s="129"/>
      <c r="M139" s="130"/>
      <c r="N139" s="131"/>
      <c r="O139" s="6">
        <v>7.72</v>
      </c>
      <c r="P139" s="6">
        <v>-3.3000000000000003</v>
      </c>
      <c r="Q139" s="6">
        <f t="shared" si="27"/>
        <v>-30</v>
      </c>
      <c r="R139" s="6">
        <v>1.35</v>
      </c>
      <c r="S139" s="129"/>
      <c r="T139" s="130"/>
      <c r="U139" s="130"/>
      <c r="V139" s="130"/>
      <c r="W139" s="131"/>
      <c r="X139" s="6">
        <v>0.63500000000000001</v>
      </c>
      <c r="Y139" s="136"/>
      <c r="Z139" s="5" t="s">
        <v>26</v>
      </c>
      <c r="AA139" s="141"/>
      <c r="AB139" s="142"/>
      <c r="AC139" s="142"/>
      <c r="AD139" s="142"/>
      <c r="AE139" s="142"/>
      <c r="AF139" s="142"/>
      <c r="AG139" s="142"/>
      <c r="AH139" s="142"/>
      <c r="AI139" s="142"/>
      <c r="AJ139" s="143"/>
    </row>
    <row r="140" spans="9:36" x14ac:dyDescent="0.25">
      <c r="I140" s="124"/>
      <c r="J140" s="5" t="s">
        <v>69</v>
      </c>
      <c r="K140" s="5"/>
      <c r="L140" s="129"/>
      <c r="M140" s="130"/>
      <c r="N140" s="131"/>
      <c r="O140" s="6">
        <v>7.28</v>
      </c>
      <c r="P140" s="6">
        <v>-3.2</v>
      </c>
      <c r="Q140" s="6">
        <f t="shared" si="27"/>
        <v>-30</v>
      </c>
      <c r="R140" s="6">
        <v>0.89</v>
      </c>
      <c r="S140" s="129"/>
      <c r="T140" s="130"/>
      <c r="U140" s="130"/>
      <c r="V140" s="130"/>
      <c r="W140" s="131"/>
      <c r="X140" s="6">
        <v>0.19059999999999999</v>
      </c>
      <c r="Y140" s="136"/>
      <c r="Z140" s="5" t="s">
        <v>26</v>
      </c>
      <c r="AA140" s="141"/>
      <c r="AB140" s="142"/>
      <c r="AC140" s="142"/>
      <c r="AD140" s="142"/>
      <c r="AE140" s="142"/>
      <c r="AF140" s="142"/>
      <c r="AG140" s="142"/>
      <c r="AH140" s="142"/>
      <c r="AI140" s="142"/>
      <c r="AJ140" s="143"/>
    </row>
    <row r="141" spans="9:36" x14ac:dyDescent="0.25">
      <c r="I141" s="124"/>
      <c r="J141" s="5" t="s">
        <v>70</v>
      </c>
      <c r="K141" s="5"/>
      <c r="L141" s="129"/>
      <c r="M141" s="130"/>
      <c r="N141" s="131"/>
      <c r="O141" s="6">
        <v>6.84</v>
      </c>
      <c r="P141" s="6">
        <v>-3.1</v>
      </c>
      <c r="Q141" s="6">
        <f t="shared" si="27"/>
        <v>-30</v>
      </c>
      <c r="R141" s="6">
        <v>0.44</v>
      </c>
      <c r="S141" s="129"/>
      <c r="T141" s="130"/>
      <c r="U141" s="130"/>
      <c r="V141" s="130"/>
      <c r="W141" s="131"/>
      <c r="X141" s="6" t="s">
        <v>4</v>
      </c>
      <c r="Y141" s="136"/>
      <c r="Z141" s="5" t="s">
        <v>28</v>
      </c>
      <c r="AA141" s="141"/>
      <c r="AB141" s="142"/>
      <c r="AC141" s="142"/>
      <c r="AD141" s="142"/>
      <c r="AE141" s="142"/>
      <c r="AF141" s="142"/>
      <c r="AG141" s="142"/>
      <c r="AH141" s="142"/>
      <c r="AI141" s="142"/>
      <c r="AJ141" s="143"/>
    </row>
    <row r="142" spans="9:36" x14ac:dyDescent="0.25">
      <c r="I142" s="124"/>
      <c r="J142" s="5" t="s">
        <v>71</v>
      </c>
      <c r="K142" s="5"/>
      <c r="L142" s="129"/>
      <c r="M142" s="130"/>
      <c r="N142" s="131"/>
      <c r="O142" s="6">
        <v>6.41</v>
      </c>
      <c r="P142" s="6">
        <v>-2.9</v>
      </c>
      <c r="Q142" s="6">
        <f t="shared" si="27"/>
        <v>-30</v>
      </c>
      <c r="R142" s="6">
        <v>-0.02</v>
      </c>
      <c r="S142" s="129"/>
      <c r="T142" s="130"/>
      <c r="U142" s="130"/>
      <c r="V142" s="130"/>
      <c r="W142" s="131"/>
      <c r="X142" s="6" t="s">
        <v>4</v>
      </c>
      <c r="Y142" s="136"/>
      <c r="Z142" s="5" t="s">
        <v>28</v>
      </c>
      <c r="AA142" s="141"/>
      <c r="AB142" s="142"/>
      <c r="AC142" s="142"/>
      <c r="AD142" s="142"/>
      <c r="AE142" s="142"/>
      <c r="AF142" s="142"/>
      <c r="AG142" s="142"/>
      <c r="AH142" s="142"/>
      <c r="AI142" s="142"/>
      <c r="AJ142" s="143"/>
    </row>
    <row r="143" spans="9:36" x14ac:dyDescent="0.25">
      <c r="I143" s="124"/>
      <c r="J143" s="5" t="s">
        <v>72</v>
      </c>
      <c r="K143" s="5"/>
      <c r="L143" s="129"/>
      <c r="M143" s="130"/>
      <c r="N143" s="131"/>
      <c r="O143" s="6">
        <v>5.97</v>
      </c>
      <c r="P143" s="6">
        <v>-2.7</v>
      </c>
      <c r="Q143" s="6">
        <f t="shared" si="27"/>
        <v>-30</v>
      </c>
      <c r="R143" s="6">
        <v>-0.47</v>
      </c>
      <c r="S143" s="129"/>
      <c r="T143" s="130"/>
      <c r="U143" s="130"/>
      <c r="V143" s="130"/>
      <c r="W143" s="131"/>
      <c r="X143" s="6">
        <v>-0.154</v>
      </c>
      <c r="Y143" s="136"/>
      <c r="Z143" s="5" t="s">
        <v>27</v>
      </c>
      <c r="AA143" s="141"/>
      <c r="AB143" s="142"/>
      <c r="AC143" s="142"/>
      <c r="AD143" s="142"/>
      <c r="AE143" s="142"/>
      <c r="AF143" s="142"/>
      <c r="AG143" s="142"/>
      <c r="AH143" s="142"/>
      <c r="AI143" s="142"/>
      <c r="AJ143" s="143"/>
    </row>
    <row r="144" spans="9:36" x14ac:dyDescent="0.25">
      <c r="I144" s="124"/>
      <c r="J144" s="5" t="s">
        <v>73</v>
      </c>
      <c r="K144" s="5"/>
      <c r="L144" s="129"/>
      <c r="M144" s="130"/>
      <c r="N144" s="131"/>
      <c r="O144" s="6">
        <v>5.53</v>
      </c>
      <c r="P144" s="6">
        <v>-2.6</v>
      </c>
      <c r="Q144" s="6">
        <f t="shared" si="27"/>
        <v>-30</v>
      </c>
      <c r="R144" s="6">
        <v>-0.92</v>
      </c>
      <c r="S144" s="129"/>
      <c r="T144" s="130"/>
      <c r="U144" s="130"/>
      <c r="V144" s="130"/>
      <c r="W144" s="131"/>
      <c r="X144" s="6">
        <v>-0.58189999999999997</v>
      </c>
      <c r="Y144" s="136"/>
      <c r="Z144" s="5" t="s">
        <v>27</v>
      </c>
      <c r="AA144" s="141"/>
      <c r="AB144" s="142"/>
      <c r="AC144" s="142"/>
      <c r="AD144" s="142"/>
      <c r="AE144" s="142"/>
      <c r="AF144" s="142"/>
      <c r="AG144" s="142"/>
      <c r="AH144" s="142"/>
      <c r="AI144" s="142"/>
      <c r="AJ144" s="143"/>
    </row>
    <row r="145" spans="9:36" x14ac:dyDescent="0.25">
      <c r="I145" s="124"/>
      <c r="J145" s="5" t="s">
        <v>74</v>
      </c>
      <c r="K145" s="5"/>
      <c r="L145" s="129"/>
      <c r="M145" s="130"/>
      <c r="N145" s="131"/>
      <c r="O145" s="6">
        <v>5.09</v>
      </c>
      <c r="P145" s="6">
        <v>-2.4</v>
      </c>
      <c r="Q145" s="6">
        <f t="shared" si="27"/>
        <v>-30</v>
      </c>
      <c r="R145" s="6">
        <v>-1.37</v>
      </c>
      <c r="S145" s="129"/>
      <c r="T145" s="130"/>
      <c r="U145" s="130"/>
      <c r="V145" s="130"/>
      <c r="W145" s="131"/>
      <c r="X145" s="6">
        <v>-1.0218</v>
      </c>
      <c r="Y145" s="136"/>
      <c r="Z145" s="5" t="s">
        <v>27</v>
      </c>
      <c r="AA145" s="141"/>
      <c r="AB145" s="142"/>
      <c r="AC145" s="142"/>
      <c r="AD145" s="142"/>
      <c r="AE145" s="142"/>
      <c r="AF145" s="142"/>
      <c r="AG145" s="142"/>
      <c r="AH145" s="142"/>
      <c r="AI145" s="142"/>
      <c r="AJ145" s="143"/>
    </row>
    <row r="146" spans="9:36" x14ac:dyDescent="0.25">
      <c r="I146" s="124"/>
      <c r="J146" s="5" t="s">
        <v>75</v>
      </c>
      <c r="K146" s="5"/>
      <c r="L146" s="129"/>
      <c r="M146" s="130"/>
      <c r="N146" s="131"/>
      <c r="O146" s="6">
        <v>4.6500000000000004</v>
      </c>
      <c r="P146" s="6">
        <v>-2.1</v>
      </c>
      <c r="Q146" s="6">
        <f t="shared" si="27"/>
        <v>-30</v>
      </c>
      <c r="R146" s="6">
        <v>-1.83</v>
      </c>
      <c r="S146" s="129"/>
      <c r="T146" s="130"/>
      <c r="U146" s="130"/>
      <c r="V146" s="130"/>
      <c r="W146" s="131"/>
      <c r="X146" s="6">
        <v>-1.4598</v>
      </c>
      <c r="Y146" s="136"/>
      <c r="Z146" s="5" t="s">
        <v>27</v>
      </c>
      <c r="AA146" s="141"/>
      <c r="AB146" s="142"/>
      <c r="AC146" s="142"/>
      <c r="AD146" s="142"/>
      <c r="AE146" s="142"/>
      <c r="AF146" s="142"/>
      <c r="AG146" s="142"/>
      <c r="AH146" s="142"/>
      <c r="AI146" s="142"/>
      <c r="AJ146" s="143"/>
    </row>
    <row r="147" spans="9:36" ht="15.75" thickBot="1" x14ac:dyDescent="0.3">
      <c r="I147" s="125"/>
      <c r="J147" s="13" t="s">
        <v>76</v>
      </c>
      <c r="K147" s="13"/>
      <c r="L147" s="129"/>
      <c r="M147" s="130"/>
      <c r="N147" s="131"/>
      <c r="O147" s="14">
        <v>4.21</v>
      </c>
      <c r="P147" s="6">
        <v>-0.6</v>
      </c>
      <c r="Q147" s="14">
        <f t="shared" si="27"/>
        <v>-30</v>
      </c>
      <c r="R147" s="14">
        <v>-2.29</v>
      </c>
      <c r="S147" s="129"/>
      <c r="T147" s="130"/>
      <c r="U147" s="130"/>
      <c r="V147" s="130"/>
      <c r="W147" s="131"/>
      <c r="X147" s="14">
        <v>-1.9076</v>
      </c>
      <c r="Y147" s="136"/>
      <c r="Z147" s="13" t="s">
        <v>27</v>
      </c>
      <c r="AA147" s="141"/>
      <c r="AB147" s="142"/>
      <c r="AC147" s="142"/>
      <c r="AD147" s="142"/>
      <c r="AE147" s="142"/>
      <c r="AF147" s="142"/>
      <c r="AG147" s="142"/>
      <c r="AH147" s="142"/>
      <c r="AI147" s="142"/>
      <c r="AJ147" s="143"/>
    </row>
    <row r="148" spans="9:36" x14ac:dyDescent="0.25">
      <c r="I148" s="123" t="s">
        <v>205</v>
      </c>
      <c r="J148" s="8" t="s">
        <v>77</v>
      </c>
      <c r="K148" s="8"/>
      <c r="L148" s="129"/>
      <c r="M148" s="130"/>
      <c r="N148" s="131"/>
      <c r="O148" s="9">
        <v>9.0500000000000007</v>
      </c>
      <c r="P148" s="35">
        <v>-5.3999999999999995</v>
      </c>
      <c r="Q148" s="9">
        <f t="shared" si="27"/>
        <v>-30</v>
      </c>
      <c r="R148" s="9">
        <v>1.76</v>
      </c>
      <c r="S148" s="129"/>
      <c r="T148" s="130"/>
      <c r="U148" s="130"/>
      <c r="V148" s="130"/>
      <c r="W148" s="131"/>
      <c r="X148" s="9">
        <v>1.6652</v>
      </c>
      <c r="Y148" s="136"/>
      <c r="Z148" s="8" t="s">
        <v>26</v>
      </c>
      <c r="AA148" s="141"/>
      <c r="AB148" s="142"/>
      <c r="AC148" s="142"/>
      <c r="AD148" s="142"/>
      <c r="AE148" s="142"/>
      <c r="AF148" s="142"/>
      <c r="AG148" s="142"/>
      <c r="AH148" s="142"/>
      <c r="AI148" s="142"/>
      <c r="AJ148" s="143"/>
    </row>
    <row r="149" spans="9:36" x14ac:dyDescent="0.25">
      <c r="I149" s="124"/>
      <c r="J149" s="5" t="s">
        <v>78</v>
      </c>
      <c r="K149" s="5"/>
      <c r="L149" s="129"/>
      <c r="M149" s="130"/>
      <c r="N149" s="131"/>
      <c r="O149" s="6">
        <v>8.67</v>
      </c>
      <c r="P149" s="6">
        <v>-4.8999999999999995</v>
      </c>
      <c r="Q149" s="6">
        <f t="shared" si="27"/>
        <v>-30</v>
      </c>
      <c r="R149" s="6">
        <v>1.4</v>
      </c>
      <c r="S149" s="129"/>
      <c r="T149" s="130"/>
      <c r="U149" s="130"/>
      <c r="V149" s="130"/>
      <c r="W149" s="131"/>
      <c r="X149" s="6">
        <v>1.2713000000000001</v>
      </c>
      <c r="Y149" s="136"/>
      <c r="Z149" s="5" t="s">
        <v>26</v>
      </c>
      <c r="AA149" s="141"/>
      <c r="AB149" s="142"/>
      <c r="AC149" s="142"/>
      <c r="AD149" s="142"/>
      <c r="AE149" s="142"/>
      <c r="AF149" s="142"/>
      <c r="AG149" s="142"/>
      <c r="AH149" s="142"/>
      <c r="AI149" s="142"/>
      <c r="AJ149" s="143"/>
    </row>
    <row r="150" spans="9:36" x14ac:dyDescent="0.25">
      <c r="I150" s="124"/>
      <c r="J150" s="5" t="s">
        <v>79</v>
      </c>
      <c r="K150" s="5"/>
      <c r="L150" s="129"/>
      <c r="M150" s="130"/>
      <c r="N150" s="131"/>
      <c r="O150" s="6">
        <v>8.1999999999999993</v>
      </c>
      <c r="P150" s="6">
        <v>-3.9</v>
      </c>
      <c r="Q150" s="6">
        <f t="shared" si="27"/>
        <v>-30</v>
      </c>
      <c r="R150" s="6">
        <v>0.95</v>
      </c>
      <c r="S150" s="129"/>
      <c r="T150" s="130"/>
      <c r="U150" s="130"/>
      <c r="V150" s="130"/>
      <c r="W150" s="131"/>
      <c r="X150" s="6">
        <v>0.81120000000000003</v>
      </c>
      <c r="Y150" s="136"/>
      <c r="Z150" s="5" t="s">
        <v>26</v>
      </c>
      <c r="AA150" s="141"/>
      <c r="AB150" s="142"/>
      <c r="AC150" s="142"/>
      <c r="AD150" s="142"/>
      <c r="AE150" s="142"/>
      <c r="AF150" s="142"/>
      <c r="AG150" s="142"/>
      <c r="AH150" s="142"/>
      <c r="AI150" s="142"/>
      <c r="AJ150" s="143"/>
    </row>
    <row r="151" spans="9:36" x14ac:dyDescent="0.25">
      <c r="I151" s="124"/>
      <c r="J151" s="5" t="s">
        <v>80</v>
      </c>
      <c r="K151" s="5"/>
      <c r="L151" s="129"/>
      <c r="M151" s="130"/>
      <c r="N151" s="131"/>
      <c r="O151" s="6">
        <v>7.73</v>
      </c>
      <c r="P151" s="6">
        <v>-3.6</v>
      </c>
      <c r="Q151" s="6">
        <f t="shared" si="27"/>
        <v>-30</v>
      </c>
      <c r="R151" s="6">
        <v>0.5</v>
      </c>
      <c r="S151" s="129"/>
      <c r="T151" s="130"/>
      <c r="U151" s="130"/>
      <c r="V151" s="130"/>
      <c r="W151" s="131"/>
      <c r="X151" s="6">
        <v>0.34710000000000002</v>
      </c>
      <c r="Y151" s="136"/>
      <c r="Z151" s="5" t="s">
        <v>26</v>
      </c>
      <c r="AA151" s="141"/>
      <c r="AB151" s="142"/>
      <c r="AC151" s="142"/>
      <c r="AD151" s="142"/>
      <c r="AE151" s="142"/>
      <c r="AF151" s="142"/>
      <c r="AG151" s="142"/>
      <c r="AH151" s="142"/>
      <c r="AI151" s="142"/>
      <c r="AJ151" s="143"/>
    </row>
    <row r="152" spans="9:36" x14ac:dyDescent="0.25">
      <c r="I152" s="124"/>
      <c r="J152" s="5" t="s">
        <v>81</v>
      </c>
      <c r="K152" s="5"/>
      <c r="L152" s="129"/>
      <c r="M152" s="130"/>
      <c r="N152" s="131"/>
      <c r="O152" s="6">
        <v>7.26</v>
      </c>
      <c r="P152" s="6">
        <v>-3.5</v>
      </c>
      <c r="Q152" s="6">
        <f t="shared" si="27"/>
        <v>-30</v>
      </c>
      <c r="R152" s="6">
        <v>0.04</v>
      </c>
      <c r="S152" s="129"/>
      <c r="T152" s="130"/>
      <c r="U152" s="130"/>
      <c r="V152" s="130"/>
      <c r="W152" s="131"/>
      <c r="X152" s="6" t="s">
        <v>4</v>
      </c>
      <c r="Y152" s="136"/>
      <c r="Z152" s="5" t="s">
        <v>28</v>
      </c>
      <c r="AA152" s="141"/>
      <c r="AB152" s="142"/>
      <c r="AC152" s="142"/>
      <c r="AD152" s="142"/>
      <c r="AE152" s="142"/>
      <c r="AF152" s="142"/>
      <c r="AG152" s="142"/>
      <c r="AH152" s="142"/>
      <c r="AI152" s="142"/>
      <c r="AJ152" s="143"/>
    </row>
    <row r="153" spans="9:36" x14ac:dyDescent="0.25">
      <c r="I153" s="124"/>
      <c r="J153" s="5" t="s">
        <v>82</v>
      </c>
      <c r="K153" s="5"/>
      <c r="L153" s="129"/>
      <c r="M153" s="130"/>
      <c r="N153" s="131"/>
      <c r="O153" s="6">
        <v>6.78</v>
      </c>
      <c r="P153" s="6">
        <v>-3.4</v>
      </c>
      <c r="Q153" s="6">
        <f t="shared" si="27"/>
        <v>-30</v>
      </c>
      <c r="R153" s="6">
        <v>-0.4</v>
      </c>
      <c r="S153" s="129"/>
      <c r="T153" s="130"/>
      <c r="U153" s="130"/>
      <c r="V153" s="130"/>
      <c r="W153" s="131"/>
      <c r="X153" s="6" t="s">
        <v>4</v>
      </c>
      <c r="Y153" s="136"/>
      <c r="Z153" s="5" t="s">
        <v>28</v>
      </c>
      <c r="AA153" s="141"/>
      <c r="AB153" s="142"/>
      <c r="AC153" s="142"/>
      <c r="AD153" s="142"/>
      <c r="AE153" s="142"/>
      <c r="AF153" s="142"/>
      <c r="AG153" s="142"/>
      <c r="AH153" s="142"/>
      <c r="AI153" s="142"/>
      <c r="AJ153" s="143"/>
    </row>
    <row r="154" spans="9:36" x14ac:dyDescent="0.25">
      <c r="I154" s="124"/>
      <c r="J154" s="5" t="s">
        <v>83</v>
      </c>
      <c r="K154" s="5"/>
      <c r="L154" s="129"/>
      <c r="M154" s="130"/>
      <c r="N154" s="131"/>
      <c r="O154" s="6">
        <v>6.31</v>
      </c>
      <c r="P154" s="6">
        <v>-3.1999999999999997</v>
      </c>
      <c r="Q154" s="6">
        <f t="shared" si="27"/>
        <v>-30</v>
      </c>
      <c r="R154" s="6">
        <v>-0.85</v>
      </c>
      <c r="S154" s="129"/>
      <c r="T154" s="130"/>
      <c r="U154" s="130"/>
      <c r="V154" s="130"/>
      <c r="W154" s="131"/>
      <c r="X154" s="6" t="s">
        <v>4</v>
      </c>
      <c r="Y154" s="136"/>
      <c r="Z154" s="5" t="s">
        <v>28</v>
      </c>
      <c r="AA154" s="141"/>
      <c r="AB154" s="142"/>
      <c r="AC154" s="142"/>
      <c r="AD154" s="142"/>
      <c r="AE154" s="142"/>
      <c r="AF154" s="142"/>
      <c r="AG154" s="142"/>
      <c r="AH154" s="142"/>
      <c r="AI154" s="142"/>
      <c r="AJ154" s="143"/>
    </row>
    <row r="155" spans="9:36" x14ac:dyDescent="0.25">
      <c r="I155" s="124"/>
      <c r="J155" s="5" t="s">
        <v>84</v>
      </c>
      <c r="K155" s="5"/>
      <c r="L155" s="129"/>
      <c r="M155" s="130"/>
      <c r="N155" s="131"/>
      <c r="O155" s="6">
        <v>5.85</v>
      </c>
      <c r="P155" s="6">
        <v>-3</v>
      </c>
      <c r="Q155" s="6">
        <f t="shared" si="27"/>
        <v>-30</v>
      </c>
      <c r="R155" s="6">
        <v>-1.3</v>
      </c>
      <c r="S155" s="129"/>
      <c r="T155" s="130"/>
      <c r="U155" s="130"/>
      <c r="V155" s="130"/>
      <c r="W155" s="131"/>
      <c r="X155" s="6">
        <v>-0.39779999999999999</v>
      </c>
      <c r="Y155" s="136"/>
      <c r="Z155" s="5" t="s">
        <v>27</v>
      </c>
      <c r="AA155" s="141"/>
      <c r="AB155" s="142"/>
      <c r="AC155" s="142"/>
      <c r="AD155" s="142"/>
      <c r="AE155" s="142"/>
      <c r="AF155" s="142"/>
      <c r="AG155" s="142"/>
      <c r="AH155" s="142"/>
      <c r="AI155" s="142"/>
      <c r="AJ155" s="143"/>
    </row>
    <row r="156" spans="9:36" x14ac:dyDescent="0.25">
      <c r="I156" s="124"/>
      <c r="J156" s="5" t="s">
        <v>85</v>
      </c>
      <c r="K156" s="5"/>
      <c r="L156" s="129"/>
      <c r="M156" s="130"/>
      <c r="N156" s="131"/>
      <c r="O156" s="6">
        <v>5.37</v>
      </c>
      <c r="P156" s="6">
        <v>-2.9</v>
      </c>
      <c r="Q156" s="6">
        <f t="shared" si="27"/>
        <v>-30</v>
      </c>
      <c r="R156" s="6">
        <v>-1.75</v>
      </c>
      <c r="S156" s="129"/>
      <c r="T156" s="130"/>
      <c r="U156" s="130"/>
      <c r="V156" s="130"/>
      <c r="W156" s="131"/>
      <c r="X156" s="6">
        <v>-0.86750000000000005</v>
      </c>
      <c r="Y156" s="136"/>
      <c r="Z156" s="5" t="s">
        <v>27</v>
      </c>
      <c r="AA156" s="141"/>
      <c r="AB156" s="142"/>
      <c r="AC156" s="142"/>
      <c r="AD156" s="142"/>
      <c r="AE156" s="142"/>
      <c r="AF156" s="142"/>
      <c r="AG156" s="142"/>
      <c r="AH156" s="142"/>
      <c r="AI156" s="142"/>
      <c r="AJ156" s="143"/>
    </row>
    <row r="157" spans="9:36" x14ac:dyDescent="0.25">
      <c r="I157" s="124"/>
      <c r="J157" s="5" t="s">
        <v>88</v>
      </c>
      <c r="K157" s="5"/>
      <c r="L157" s="129"/>
      <c r="M157" s="130"/>
      <c r="N157" s="131"/>
      <c r="O157" s="6">
        <v>4.9000000000000004</v>
      </c>
      <c r="P157" s="6">
        <v>-2.6999999999999997</v>
      </c>
      <c r="Q157" s="6">
        <f t="shared" si="27"/>
        <v>-30</v>
      </c>
      <c r="R157" s="6">
        <v>-2.19</v>
      </c>
      <c r="S157" s="129"/>
      <c r="T157" s="130"/>
      <c r="U157" s="130"/>
      <c r="V157" s="130"/>
      <c r="W157" s="131"/>
      <c r="X157" s="6">
        <v>-1.3354999999999999</v>
      </c>
      <c r="Y157" s="136"/>
      <c r="Z157" s="5" t="s">
        <v>27</v>
      </c>
      <c r="AA157" s="141"/>
      <c r="AB157" s="142"/>
      <c r="AC157" s="142"/>
      <c r="AD157" s="142"/>
      <c r="AE157" s="142"/>
      <c r="AF157" s="142"/>
      <c r="AG157" s="142"/>
      <c r="AH157" s="142"/>
      <c r="AI157" s="142"/>
      <c r="AJ157" s="143"/>
    </row>
    <row r="158" spans="9:36" x14ac:dyDescent="0.25">
      <c r="I158" s="124"/>
      <c r="J158" s="5" t="s">
        <v>86</v>
      </c>
      <c r="K158" s="5"/>
      <c r="L158" s="129"/>
      <c r="M158" s="130"/>
      <c r="N158" s="131"/>
      <c r="O158" s="6">
        <v>4.43</v>
      </c>
      <c r="P158" s="6">
        <v>-2.4</v>
      </c>
      <c r="Q158" s="6">
        <f t="shared" si="27"/>
        <v>-30</v>
      </c>
      <c r="R158" s="6">
        <v>-2.63</v>
      </c>
      <c r="S158" s="129"/>
      <c r="T158" s="130"/>
      <c r="U158" s="130"/>
      <c r="V158" s="130"/>
      <c r="W158" s="131"/>
      <c r="X158" s="6">
        <v>-1.8151999999999999</v>
      </c>
      <c r="Y158" s="136"/>
      <c r="Z158" s="5" t="s">
        <v>27</v>
      </c>
      <c r="AA158" s="141"/>
      <c r="AB158" s="142"/>
      <c r="AC158" s="142"/>
      <c r="AD158" s="142"/>
      <c r="AE158" s="142"/>
      <c r="AF158" s="142"/>
      <c r="AG158" s="142"/>
      <c r="AH158" s="142"/>
      <c r="AI158" s="142"/>
      <c r="AJ158" s="143"/>
    </row>
    <row r="159" spans="9:36" ht="15.75" thickBot="1" x14ac:dyDescent="0.3">
      <c r="I159" s="125"/>
      <c r="J159" s="13" t="s">
        <v>87</v>
      </c>
      <c r="K159" s="13"/>
      <c r="L159" s="129"/>
      <c r="M159" s="130"/>
      <c r="N159" s="131"/>
      <c r="O159" s="14">
        <v>3.96</v>
      </c>
      <c r="P159" s="14">
        <v>-1.5</v>
      </c>
      <c r="Q159" s="14">
        <f t="shared" si="27"/>
        <v>-30</v>
      </c>
      <c r="R159" s="14">
        <v>-3.07</v>
      </c>
      <c r="S159" s="129"/>
      <c r="T159" s="130"/>
      <c r="U159" s="130"/>
      <c r="V159" s="130"/>
      <c r="W159" s="131"/>
      <c r="X159" s="14">
        <v>-2.2715000000000001</v>
      </c>
      <c r="Y159" s="136"/>
      <c r="Z159" s="13" t="s">
        <v>27</v>
      </c>
      <c r="AA159" s="141"/>
      <c r="AB159" s="142"/>
      <c r="AC159" s="142"/>
      <c r="AD159" s="142"/>
      <c r="AE159" s="142"/>
      <c r="AF159" s="142"/>
      <c r="AG159" s="142"/>
      <c r="AH159" s="142"/>
      <c r="AI159" s="142"/>
      <c r="AJ159" s="143"/>
    </row>
    <row r="160" spans="9:36" x14ac:dyDescent="0.25">
      <c r="I160" s="123" t="s">
        <v>206</v>
      </c>
      <c r="J160" s="8" t="s">
        <v>89</v>
      </c>
      <c r="K160" s="8"/>
      <c r="L160" s="129"/>
      <c r="M160" s="130"/>
      <c r="N160" s="131"/>
      <c r="O160" s="9">
        <v>9.09</v>
      </c>
      <c r="P160" s="70">
        <v>-3</v>
      </c>
      <c r="Q160" s="9">
        <f t="shared" si="27"/>
        <v>-30</v>
      </c>
      <c r="R160" s="9">
        <v>1.62</v>
      </c>
      <c r="S160" s="129"/>
      <c r="T160" s="130"/>
      <c r="U160" s="130"/>
      <c r="V160" s="130"/>
      <c r="W160" s="131"/>
      <c r="X160" s="9">
        <v>1.8632</v>
      </c>
      <c r="Y160" s="136"/>
      <c r="Z160" s="8" t="s">
        <v>26</v>
      </c>
      <c r="AA160" s="141"/>
      <c r="AB160" s="142"/>
      <c r="AC160" s="142"/>
      <c r="AD160" s="142"/>
      <c r="AE160" s="142"/>
      <c r="AF160" s="142"/>
      <c r="AG160" s="142"/>
      <c r="AH160" s="142"/>
      <c r="AI160" s="142"/>
      <c r="AJ160" s="143"/>
    </row>
    <row r="161" spans="9:36" x14ac:dyDescent="0.25">
      <c r="I161" s="124"/>
      <c r="J161" s="5" t="s">
        <v>90</v>
      </c>
      <c r="K161" s="5"/>
      <c r="L161" s="129"/>
      <c r="M161" s="130"/>
      <c r="N161" s="131"/>
      <c r="O161" s="6">
        <v>8.73</v>
      </c>
      <c r="P161" s="6">
        <v>-2.5</v>
      </c>
      <c r="Q161" s="6">
        <f t="shared" si="27"/>
        <v>-30</v>
      </c>
      <c r="R161" s="6">
        <v>1.27</v>
      </c>
      <c r="S161" s="129"/>
      <c r="T161" s="130"/>
      <c r="U161" s="130"/>
      <c r="V161" s="130"/>
      <c r="W161" s="131"/>
      <c r="X161" s="6">
        <v>1.5004</v>
      </c>
      <c r="Y161" s="136"/>
      <c r="Z161" s="5" t="s">
        <v>26</v>
      </c>
      <c r="AA161" s="141"/>
      <c r="AB161" s="142"/>
      <c r="AC161" s="142"/>
      <c r="AD161" s="142"/>
      <c r="AE161" s="142"/>
      <c r="AF161" s="142"/>
      <c r="AG161" s="142"/>
      <c r="AH161" s="142"/>
      <c r="AI161" s="142"/>
      <c r="AJ161" s="143"/>
    </row>
    <row r="162" spans="9:36" x14ac:dyDescent="0.25">
      <c r="I162" s="124"/>
      <c r="J162" s="5" t="s">
        <v>91</v>
      </c>
      <c r="K162" s="5"/>
      <c r="L162" s="129"/>
      <c r="M162" s="130"/>
      <c r="N162" s="131"/>
      <c r="O162" s="6">
        <v>8.2899999999999991</v>
      </c>
      <c r="P162" s="6">
        <v>-1.5</v>
      </c>
      <c r="Q162" s="6">
        <f t="shared" si="27"/>
        <v>-30</v>
      </c>
      <c r="R162" s="6">
        <v>0.84</v>
      </c>
      <c r="S162" s="129"/>
      <c r="T162" s="130"/>
      <c r="U162" s="130"/>
      <c r="V162" s="130"/>
      <c r="W162" s="131"/>
      <c r="X162" s="6">
        <v>1.06</v>
      </c>
      <c r="Y162" s="136"/>
      <c r="Z162" s="5" t="s">
        <v>26</v>
      </c>
      <c r="AA162" s="141"/>
      <c r="AB162" s="142"/>
      <c r="AC162" s="142"/>
      <c r="AD162" s="142"/>
      <c r="AE162" s="142"/>
      <c r="AF162" s="142"/>
      <c r="AG162" s="142"/>
      <c r="AH162" s="142"/>
      <c r="AI162" s="142"/>
      <c r="AJ162" s="143"/>
    </row>
    <row r="163" spans="9:36" x14ac:dyDescent="0.25">
      <c r="I163" s="124"/>
      <c r="J163" s="5" t="s">
        <v>92</v>
      </c>
      <c r="K163" s="5"/>
      <c r="L163" s="129"/>
      <c r="M163" s="130"/>
      <c r="N163" s="131"/>
      <c r="O163" s="6">
        <v>7.85</v>
      </c>
      <c r="P163" s="6">
        <v>-1.2000000000000002</v>
      </c>
      <c r="Q163" s="6">
        <f t="shared" si="27"/>
        <v>-30</v>
      </c>
      <c r="R163" s="6">
        <v>0.42</v>
      </c>
      <c r="S163" s="129"/>
      <c r="T163" s="130"/>
      <c r="U163" s="130"/>
      <c r="V163" s="130"/>
      <c r="W163" s="131"/>
      <c r="X163" s="6">
        <v>0.62790000000000001</v>
      </c>
      <c r="Y163" s="136"/>
      <c r="Z163" s="5" t="s">
        <v>26</v>
      </c>
      <c r="AA163" s="141"/>
      <c r="AB163" s="142"/>
      <c r="AC163" s="142"/>
      <c r="AD163" s="142"/>
      <c r="AE163" s="142"/>
      <c r="AF163" s="142"/>
      <c r="AG163" s="142"/>
      <c r="AH163" s="142"/>
      <c r="AI163" s="142"/>
      <c r="AJ163" s="143"/>
    </row>
    <row r="164" spans="9:36" x14ac:dyDescent="0.25">
      <c r="I164" s="124"/>
      <c r="J164" s="5" t="s">
        <v>93</v>
      </c>
      <c r="K164" s="5"/>
      <c r="L164" s="129"/>
      <c r="M164" s="130"/>
      <c r="N164" s="131"/>
      <c r="O164" s="6">
        <v>7.4</v>
      </c>
      <c r="P164" s="6">
        <v>-1.1000000000000001</v>
      </c>
      <c r="Q164" s="6">
        <f t="shared" si="27"/>
        <v>-30</v>
      </c>
      <c r="R164" s="6">
        <v>-0.01</v>
      </c>
      <c r="S164" s="129"/>
      <c r="T164" s="130"/>
      <c r="U164" s="130"/>
      <c r="V164" s="130"/>
      <c r="W164" s="131"/>
      <c r="X164" s="6">
        <v>0.1835</v>
      </c>
      <c r="Y164" s="136"/>
      <c r="Z164" s="5" t="s">
        <v>26</v>
      </c>
      <c r="AA164" s="141"/>
      <c r="AB164" s="142"/>
      <c r="AC164" s="142"/>
      <c r="AD164" s="142"/>
      <c r="AE164" s="142"/>
      <c r="AF164" s="142"/>
      <c r="AG164" s="142"/>
      <c r="AH164" s="142"/>
      <c r="AI164" s="142"/>
      <c r="AJ164" s="143"/>
    </row>
    <row r="165" spans="9:36" x14ac:dyDescent="0.25">
      <c r="I165" s="124"/>
      <c r="J165" s="5" t="s">
        <v>94</v>
      </c>
      <c r="K165" s="5"/>
      <c r="L165" s="129"/>
      <c r="M165" s="130"/>
      <c r="N165" s="131"/>
      <c r="O165" s="6">
        <v>6.96</v>
      </c>
      <c r="P165" s="6">
        <v>-1</v>
      </c>
      <c r="Q165" s="6">
        <f t="shared" si="27"/>
        <v>-30</v>
      </c>
      <c r="R165" s="6">
        <v>-0.43</v>
      </c>
      <c r="S165" s="129"/>
      <c r="T165" s="130"/>
      <c r="U165" s="130"/>
      <c r="V165" s="130"/>
      <c r="W165" s="131"/>
      <c r="X165" s="6" t="s">
        <v>4</v>
      </c>
      <c r="Y165" s="136"/>
      <c r="Z165" s="5" t="s">
        <v>28</v>
      </c>
      <c r="AA165" s="141"/>
      <c r="AB165" s="142"/>
      <c r="AC165" s="142"/>
      <c r="AD165" s="142"/>
      <c r="AE165" s="142"/>
      <c r="AF165" s="142"/>
      <c r="AG165" s="142"/>
      <c r="AH165" s="142"/>
      <c r="AI165" s="142"/>
      <c r="AJ165" s="143"/>
    </row>
    <row r="166" spans="9:36" x14ac:dyDescent="0.25">
      <c r="I166" s="124"/>
      <c r="J166" s="5" t="s">
        <v>95</v>
      </c>
      <c r="K166" s="5"/>
      <c r="L166" s="129"/>
      <c r="M166" s="130"/>
      <c r="N166" s="131"/>
      <c r="O166" s="6">
        <v>6.52</v>
      </c>
      <c r="P166" s="6">
        <v>-0.79999999999999982</v>
      </c>
      <c r="Q166" s="6">
        <f t="shared" si="27"/>
        <v>-30</v>
      </c>
      <c r="R166" s="6">
        <v>-0.86</v>
      </c>
      <c r="S166" s="129"/>
      <c r="T166" s="130"/>
      <c r="U166" s="130"/>
      <c r="V166" s="130"/>
      <c r="W166" s="131"/>
      <c r="X166" s="6" t="s">
        <v>4</v>
      </c>
      <c r="Y166" s="136"/>
      <c r="Z166" s="5" t="s">
        <v>28</v>
      </c>
      <c r="AA166" s="141"/>
      <c r="AB166" s="142"/>
      <c r="AC166" s="142"/>
      <c r="AD166" s="142"/>
      <c r="AE166" s="142"/>
      <c r="AF166" s="142"/>
      <c r="AG166" s="142"/>
      <c r="AH166" s="142"/>
      <c r="AI166" s="142"/>
      <c r="AJ166" s="143"/>
    </row>
    <row r="167" spans="9:36" x14ac:dyDescent="0.25">
      <c r="I167" s="124"/>
      <c r="J167" s="5" t="s">
        <v>96</v>
      </c>
      <c r="K167" s="5"/>
      <c r="L167" s="129"/>
      <c r="M167" s="130"/>
      <c r="N167" s="131"/>
      <c r="O167" s="6">
        <v>6.07</v>
      </c>
      <c r="P167" s="6">
        <v>-0.60000000000000009</v>
      </c>
      <c r="Q167" s="6">
        <f t="shared" si="27"/>
        <v>-30</v>
      </c>
      <c r="R167" s="6">
        <v>-1.28</v>
      </c>
      <c r="S167" s="129"/>
      <c r="T167" s="130"/>
      <c r="U167" s="130"/>
      <c r="V167" s="130"/>
      <c r="W167" s="131"/>
      <c r="X167" s="6">
        <v>-0.30840000000000001</v>
      </c>
      <c r="Y167" s="136"/>
      <c r="Z167" s="5" t="s">
        <v>27</v>
      </c>
      <c r="AA167" s="141"/>
      <c r="AB167" s="142"/>
      <c r="AC167" s="142"/>
      <c r="AD167" s="142"/>
      <c r="AE167" s="142"/>
      <c r="AF167" s="142"/>
      <c r="AG167" s="142"/>
      <c r="AH167" s="142"/>
      <c r="AI167" s="142"/>
      <c r="AJ167" s="143"/>
    </row>
    <row r="168" spans="9:36" x14ac:dyDescent="0.25">
      <c r="I168" s="124"/>
      <c r="J168" s="5" t="s">
        <v>97</v>
      </c>
      <c r="K168" s="5"/>
      <c r="L168" s="129"/>
      <c r="M168" s="130"/>
      <c r="N168" s="131"/>
      <c r="O168" s="6">
        <v>5.63</v>
      </c>
      <c r="P168" s="6">
        <v>-0.5</v>
      </c>
      <c r="Q168" s="6">
        <f t="shared" si="27"/>
        <v>-30</v>
      </c>
      <c r="R168" s="6">
        <v>-1.71</v>
      </c>
      <c r="S168" s="129"/>
      <c r="T168" s="130"/>
      <c r="U168" s="130"/>
      <c r="V168" s="130"/>
      <c r="W168" s="131"/>
      <c r="X168" s="6">
        <v>-0.76519999999999999</v>
      </c>
      <c r="Y168" s="136"/>
      <c r="Z168" s="5" t="s">
        <v>27</v>
      </c>
      <c r="AA168" s="141"/>
      <c r="AB168" s="142"/>
      <c r="AC168" s="142"/>
      <c r="AD168" s="142"/>
      <c r="AE168" s="142"/>
      <c r="AF168" s="142"/>
      <c r="AG168" s="142"/>
      <c r="AH168" s="142"/>
      <c r="AI168" s="142"/>
      <c r="AJ168" s="143"/>
    </row>
    <row r="169" spans="9:36" x14ac:dyDescent="0.25">
      <c r="I169" s="124"/>
      <c r="J169" s="5" t="s">
        <v>98</v>
      </c>
      <c r="K169" s="5"/>
      <c r="L169" s="129"/>
      <c r="M169" s="130"/>
      <c r="N169" s="131"/>
      <c r="O169" s="6">
        <v>5.19</v>
      </c>
      <c r="P169" s="6">
        <v>-0.29999999999999982</v>
      </c>
      <c r="Q169" s="6">
        <f t="shared" si="27"/>
        <v>-30</v>
      </c>
      <c r="R169" s="6">
        <v>-2.13</v>
      </c>
      <c r="S169" s="129"/>
      <c r="T169" s="130"/>
      <c r="U169" s="130"/>
      <c r="V169" s="130"/>
      <c r="W169" s="131"/>
      <c r="X169" s="6">
        <v>-1.2073</v>
      </c>
      <c r="Y169" s="136"/>
      <c r="Z169" s="5" t="s">
        <v>27</v>
      </c>
      <c r="AA169" s="141"/>
      <c r="AB169" s="142"/>
      <c r="AC169" s="142"/>
      <c r="AD169" s="142"/>
      <c r="AE169" s="142"/>
      <c r="AF169" s="142"/>
      <c r="AG169" s="142"/>
      <c r="AH169" s="142"/>
      <c r="AI169" s="142"/>
      <c r="AJ169" s="143"/>
    </row>
    <row r="170" spans="9:36" x14ac:dyDescent="0.25">
      <c r="I170" s="124"/>
      <c r="J170" s="5" t="s">
        <v>99</v>
      </c>
      <c r="K170" s="5"/>
      <c r="L170" s="129"/>
      <c r="M170" s="130"/>
      <c r="N170" s="131"/>
      <c r="O170" s="6">
        <v>4.74</v>
      </c>
      <c r="P170" s="6">
        <v>0</v>
      </c>
      <c r="Q170" s="6">
        <f t="shared" si="27"/>
        <v>-30</v>
      </c>
      <c r="R170" s="6">
        <v>-2.5499999999999998</v>
      </c>
      <c r="S170" s="129"/>
      <c r="T170" s="130"/>
      <c r="U170" s="130"/>
      <c r="V170" s="130"/>
      <c r="W170" s="131"/>
      <c r="X170" s="6">
        <v>-1.6537999999999999</v>
      </c>
      <c r="Y170" s="136"/>
      <c r="Z170" s="5" t="s">
        <v>27</v>
      </c>
      <c r="AA170" s="141"/>
      <c r="AB170" s="142"/>
      <c r="AC170" s="142"/>
      <c r="AD170" s="142"/>
      <c r="AE170" s="142"/>
      <c r="AF170" s="142"/>
      <c r="AG170" s="142"/>
      <c r="AH170" s="142"/>
      <c r="AI170" s="142"/>
      <c r="AJ170" s="143"/>
    </row>
    <row r="171" spans="9:36" x14ac:dyDescent="0.25">
      <c r="I171" s="124"/>
      <c r="J171" s="5" t="s">
        <v>100</v>
      </c>
      <c r="K171" s="5"/>
      <c r="L171" s="129"/>
      <c r="M171" s="130"/>
      <c r="N171" s="131"/>
      <c r="O171" s="6">
        <v>4.29</v>
      </c>
      <c r="P171" s="6">
        <v>0.5</v>
      </c>
      <c r="Q171" s="6">
        <f t="shared" si="27"/>
        <v>-30</v>
      </c>
      <c r="R171" s="6">
        <v>-2.97</v>
      </c>
      <c r="S171" s="129"/>
      <c r="T171" s="130"/>
      <c r="U171" s="130"/>
      <c r="V171" s="130"/>
      <c r="W171" s="131"/>
      <c r="X171" s="6">
        <v>-2.0945</v>
      </c>
      <c r="Y171" s="136"/>
      <c r="Z171" s="5" t="s">
        <v>27</v>
      </c>
      <c r="AA171" s="141"/>
      <c r="AB171" s="142"/>
      <c r="AC171" s="142"/>
      <c r="AD171" s="142"/>
      <c r="AE171" s="142"/>
      <c r="AF171" s="142"/>
      <c r="AG171" s="142"/>
      <c r="AH171" s="142"/>
      <c r="AI171" s="142"/>
      <c r="AJ171" s="143"/>
    </row>
    <row r="172" spans="9:36" ht="15.75" thickBot="1" x14ac:dyDescent="0.3">
      <c r="I172" s="125"/>
      <c r="J172" s="13" t="s">
        <v>101</v>
      </c>
      <c r="K172" s="13"/>
      <c r="L172" s="129"/>
      <c r="M172" s="130"/>
      <c r="N172" s="131"/>
      <c r="O172" s="14">
        <v>3.85</v>
      </c>
      <c r="P172" s="14">
        <v>1</v>
      </c>
      <c r="Q172" s="14">
        <f t="shared" si="27"/>
        <v>-30</v>
      </c>
      <c r="R172" s="14">
        <v>-3.38</v>
      </c>
      <c r="S172" s="129"/>
      <c r="T172" s="130"/>
      <c r="U172" s="130"/>
      <c r="V172" s="130"/>
      <c r="W172" s="131"/>
      <c r="X172" s="14">
        <v>-2.5402999999999998</v>
      </c>
      <c r="Y172" s="136"/>
      <c r="Z172" s="13" t="s">
        <v>27</v>
      </c>
      <c r="AA172" s="141"/>
      <c r="AB172" s="142"/>
      <c r="AC172" s="142"/>
      <c r="AD172" s="142"/>
      <c r="AE172" s="142"/>
      <c r="AF172" s="142"/>
      <c r="AG172" s="142"/>
      <c r="AH172" s="142"/>
      <c r="AI172" s="142"/>
      <c r="AJ172" s="143"/>
    </row>
    <row r="173" spans="9:36" x14ac:dyDescent="0.25">
      <c r="I173" s="123" t="s">
        <v>207</v>
      </c>
      <c r="J173" s="8" t="s">
        <v>102</v>
      </c>
      <c r="K173" s="8"/>
      <c r="L173" s="129"/>
      <c r="M173" s="130"/>
      <c r="N173" s="131"/>
      <c r="O173" s="9">
        <v>9.58</v>
      </c>
      <c r="P173" s="113">
        <v>-2.6099999999999994</v>
      </c>
      <c r="Q173" s="9">
        <f t="shared" si="27"/>
        <v>-30</v>
      </c>
      <c r="R173" s="9">
        <v>2.87</v>
      </c>
      <c r="S173" s="129"/>
      <c r="T173" s="130"/>
      <c r="U173" s="130"/>
      <c r="V173" s="130"/>
      <c r="W173" s="131"/>
      <c r="X173" s="9">
        <v>2.1657999999999999</v>
      </c>
      <c r="Y173" s="136"/>
      <c r="Z173" s="8" t="s">
        <v>26</v>
      </c>
      <c r="AA173" s="141"/>
      <c r="AB173" s="142"/>
      <c r="AC173" s="142"/>
      <c r="AD173" s="142"/>
      <c r="AE173" s="142"/>
      <c r="AF173" s="142"/>
      <c r="AG173" s="142"/>
      <c r="AH173" s="142"/>
      <c r="AI173" s="142"/>
      <c r="AJ173" s="143"/>
    </row>
    <row r="174" spans="9:36" x14ac:dyDescent="0.25">
      <c r="I174" s="124"/>
      <c r="J174" s="5" t="s">
        <v>104</v>
      </c>
      <c r="K174" s="5"/>
      <c r="L174" s="129"/>
      <c r="M174" s="130"/>
      <c r="N174" s="131"/>
      <c r="O174" s="6">
        <v>9.23</v>
      </c>
      <c r="P174" s="6">
        <v>-3.75</v>
      </c>
      <c r="Q174" s="6">
        <f t="shared" si="27"/>
        <v>-30</v>
      </c>
      <c r="R174" s="6">
        <v>2.52</v>
      </c>
      <c r="S174" s="129"/>
      <c r="T174" s="130"/>
      <c r="U174" s="130"/>
      <c r="V174" s="130"/>
      <c r="W174" s="131"/>
      <c r="X174" s="6">
        <v>1.8322000000000001</v>
      </c>
      <c r="Y174" s="136"/>
      <c r="Z174" s="5" t="s">
        <v>26</v>
      </c>
      <c r="AA174" s="141"/>
      <c r="AB174" s="142"/>
      <c r="AC174" s="142"/>
      <c r="AD174" s="142"/>
      <c r="AE174" s="142"/>
      <c r="AF174" s="142"/>
      <c r="AG174" s="142"/>
      <c r="AH174" s="142"/>
      <c r="AI174" s="142"/>
      <c r="AJ174" s="143"/>
    </row>
    <row r="175" spans="9:36" x14ac:dyDescent="0.25">
      <c r="I175" s="124"/>
      <c r="J175" s="5" t="s">
        <v>105</v>
      </c>
      <c r="K175" s="5"/>
      <c r="L175" s="129"/>
      <c r="M175" s="130"/>
      <c r="N175" s="131"/>
      <c r="O175" s="6">
        <v>8.81</v>
      </c>
      <c r="P175" s="6">
        <v>-3.66</v>
      </c>
      <c r="Q175" s="6">
        <f t="shared" si="27"/>
        <v>-30</v>
      </c>
      <c r="R175" s="6">
        <v>2.08</v>
      </c>
      <c r="S175" s="129"/>
      <c r="T175" s="130"/>
      <c r="U175" s="130"/>
      <c r="V175" s="130"/>
      <c r="W175" s="131"/>
      <c r="X175" s="6">
        <v>1.3979999999999999</v>
      </c>
      <c r="Y175" s="136"/>
      <c r="Z175" s="5" t="s">
        <v>26</v>
      </c>
      <c r="AA175" s="141"/>
      <c r="AB175" s="142"/>
      <c r="AC175" s="142"/>
      <c r="AD175" s="142"/>
      <c r="AE175" s="142"/>
      <c r="AF175" s="142"/>
      <c r="AG175" s="142"/>
      <c r="AH175" s="142"/>
      <c r="AI175" s="142"/>
      <c r="AJ175" s="143"/>
    </row>
    <row r="176" spans="9:36" x14ac:dyDescent="0.25">
      <c r="I176" s="124"/>
      <c r="J176" s="5" t="s">
        <v>106</v>
      </c>
      <c r="K176" s="5"/>
      <c r="L176" s="129"/>
      <c r="M176" s="130"/>
      <c r="N176" s="131"/>
      <c r="O176" s="6">
        <v>8.3800000000000008</v>
      </c>
      <c r="P176" s="6">
        <v>-3.4699999999999989</v>
      </c>
      <c r="Q176" s="6">
        <f t="shared" si="27"/>
        <v>-30</v>
      </c>
      <c r="R176" s="6">
        <v>1.64</v>
      </c>
      <c r="S176" s="129"/>
      <c r="T176" s="130"/>
      <c r="U176" s="130"/>
      <c r="V176" s="130"/>
      <c r="W176" s="131"/>
      <c r="X176" s="6">
        <v>0.96899999999999997</v>
      </c>
      <c r="Y176" s="136"/>
      <c r="Z176" s="5" t="s">
        <v>26</v>
      </c>
      <c r="AA176" s="141"/>
      <c r="AB176" s="142"/>
      <c r="AC176" s="142"/>
      <c r="AD176" s="142"/>
      <c r="AE176" s="142"/>
      <c r="AF176" s="142"/>
      <c r="AG176" s="142"/>
      <c r="AH176" s="142"/>
      <c r="AI176" s="142"/>
      <c r="AJ176" s="143"/>
    </row>
    <row r="177" spans="9:36" x14ac:dyDescent="0.25">
      <c r="I177" s="124"/>
      <c r="J177" s="5" t="s">
        <v>107</v>
      </c>
      <c r="K177" s="5"/>
      <c r="L177" s="129"/>
      <c r="M177" s="130"/>
      <c r="N177" s="131"/>
      <c r="O177" s="6">
        <v>7.95</v>
      </c>
      <c r="P177" s="6">
        <v>-3.6000000000000014</v>
      </c>
      <c r="Q177" s="6">
        <f t="shared" si="27"/>
        <v>-30</v>
      </c>
      <c r="R177" s="6">
        <v>1.2</v>
      </c>
      <c r="S177" s="129"/>
      <c r="T177" s="130"/>
      <c r="U177" s="130"/>
      <c r="V177" s="130"/>
      <c r="W177" s="131"/>
      <c r="X177" s="6">
        <v>0.53480000000000005</v>
      </c>
      <c r="Y177" s="136"/>
      <c r="Z177" s="5" t="s">
        <v>26</v>
      </c>
      <c r="AA177" s="141"/>
      <c r="AB177" s="142"/>
      <c r="AC177" s="142"/>
      <c r="AD177" s="142"/>
      <c r="AE177" s="142"/>
      <c r="AF177" s="142"/>
      <c r="AG177" s="142"/>
      <c r="AH177" s="142"/>
      <c r="AI177" s="142"/>
      <c r="AJ177" s="143"/>
    </row>
    <row r="178" spans="9:36" x14ac:dyDescent="0.25">
      <c r="I178" s="124"/>
      <c r="J178" s="5" t="s">
        <v>103</v>
      </c>
      <c r="K178" s="5"/>
      <c r="L178" s="129"/>
      <c r="M178" s="130"/>
      <c r="N178" s="131"/>
      <c r="O178" s="6">
        <v>7.52</v>
      </c>
      <c r="P178" s="6">
        <v>-3.629999999999999</v>
      </c>
      <c r="Q178" s="6">
        <f t="shared" si="27"/>
        <v>-30</v>
      </c>
      <c r="R178" s="6">
        <v>0.76</v>
      </c>
      <c r="S178" s="129"/>
      <c r="T178" s="130"/>
      <c r="U178" s="130"/>
      <c r="V178" s="130"/>
      <c r="W178" s="131"/>
      <c r="X178" s="6">
        <v>0.12709999999999999</v>
      </c>
      <c r="Y178" s="136"/>
      <c r="Z178" s="5" t="s">
        <v>26</v>
      </c>
      <c r="AA178" s="141"/>
      <c r="AB178" s="142"/>
      <c r="AC178" s="142"/>
      <c r="AD178" s="142"/>
      <c r="AE178" s="142"/>
      <c r="AF178" s="142"/>
      <c r="AG178" s="142"/>
      <c r="AH178" s="142"/>
      <c r="AI178" s="142"/>
      <c r="AJ178" s="143"/>
    </row>
    <row r="179" spans="9:36" x14ac:dyDescent="0.25">
      <c r="I179" s="124"/>
      <c r="J179" s="5" t="s">
        <v>108</v>
      </c>
      <c r="K179" s="5"/>
      <c r="L179" s="129"/>
      <c r="M179" s="130"/>
      <c r="N179" s="131"/>
      <c r="O179" s="6">
        <v>7.1</v>
      </c>
      <c r="P179" s="6">
        <v>-3.6099999999999994</v>
      </c>
      <c r="Q179" s="6">
        <f t="shared" si="27"/>
        <v>-30</v>
      </c>
      <c r="R179" s="6">
        <v>0.33</v>
      </c>
      <c r="S179" s="129"/>
      <c r="T179" s="130"/>
      <c r="U179" s="130"/>
      <c r="V179" s="130"/>
      <c r="W179" s="131"/>
      <c r="X179" s="6" t="s">
        <v>4</v>
      </c>
      <c r="Y179" s="136"/>
      <c r="Z179" s="5" t="s">
        <v>28</v>
      </c>
      <c r="AA179" s="141"/>
      <c r="AB179" s="142"/>
      <c r="AC179" s="142"/>
      <c r="AD179" s="142"/>
      <c r="AE179" s="142"/>
      <c r="AF179" s="142"/>
      <c r="AG179" s="142"/>
      <c r="AH179" s="142"/>
      <c r="AI179" s="142"/>
      <c r="AJ179" s="143"/>
    </row>
    <row r="180" spans="9:36" x14ac:dyDescent="0.25">
      <c r="I180" s="124"/>
      <c r="J180" s="5" t="s">
        <v>109</v>
      </c>
      <c r="K180" s="5"/>
      <c r="L180" s="129"/>
      <c r="M180" s="130"/>
      <c r="N180" s="131"/>
      <c r="O180" s="6">
        <v>6.67</v>
      </c>
      <c r="P180" s="6">
        <v>-3.629999999999999</v>
      </c>
      <c r="Q180" s="6">
        <f t="shared" si="27"/>
        <v>-30</v>
      </c>
      <c r="R180" s="6">
        <v>-0.11</v>
      </c>
      <c r="S180" s="129"/>
      <c r="T180" s="130"/>
      <c r="U180" s="130"/>
      <c r="V180" s="130"/>
      <c r="W180" s="131"/>
      <c r="X180" s="6" t="s">
        <v>4</v>
      </c>
      <c r="Y180" s="136"/>
      <c r="Z180" s="5" t="s">
        <v>28</v>
      </c>
      <c r="AA180" s="141"/>
      <c r="AB180" s="142"/>
      <c r="AC180" s="142"/>
      <c r="AD180" s="142"/>
      <c r="AE180" s="142"/>
      <c r="AF180" s="142"/>
      <c r="AG180" s="142"/>
      <c r="AH180" s="142"/>
      <c r="AI180" s="142"/>
      <c r="AJ180" s="143"/>
    </row>
    <row r="181" spans="9:36" x14ac:dyDescent="0.25">
      <c r="I181" s="124"/>
      <c r="J181" s="5" t="s">
        <v>110</v>
      </c>
      <c r="K181" s="5"/>
      <c r="L181" s="129"/>
      <c r="M181" s="130"/>
      <c r="N181" s="131"/>
      <c r="O181" s="6">
        <v>6.25</v>
      </c>
      <c r="P181" s="6">
        <v>-3.5500000000000007</v>
      </c>
      <c r="Q181" s="6">
        <f t="shared" si="27"/>
        <v>-30</v>
      </c>
      <c r="R181" s="6">
        <v>-0.55000000000000004</v>
      </c>
      <c r="S181" s="129"/>
      <c r="T181" s="130"/>
      <c r="U181" s="130"/>
      <c r="V181" s="130"/>
      <c r="W181" s="131"/>
      <c r="X181" s="6" t="s">
        <v>4</v>
      </c>
      <c r="Y181" s="136"/>
      <c r="Z181" s="5" t="s">
        <v>28</v>
      </c>
      <c r="AA181" s="141"/>
      <c r="AB181" s="142"/>
      <c r="AC181" s="142"/>
      <c r="AD181" s="142"/>
      <c r="AE181" s="142"/>
      <c r="AF181" s="142"/>
      <c r="AG181" s="142"/>
      <c r="AH181" s="142"/>
      <c r="AI181" s="142"/>
      <c r="AJ181" s="143"/>
    </row>
    <row r="182" spans="9:36" x14ac:dyDescent="0.25">
      <c r="I182" s="124"/>
      <c r="J182" s="5" t="s">
        <v>111</v>
      </c>
      <c r="K182" s="5"/>
      <c r="L182" s="129"/>
      <c r="M182" s="130"/>
      <c r="N182" s="131"/>
      <c r="O182" s="6">
        <v>5.82</v>
      </c>
      <c r="P182" s="6">
        <v>-3.5399999999999991</v>
      </c>
      <c r="Q182" s="6">
        <f t="shared" si="27"/>
        <v>-30</v>
      </c>
      <c r="R182" s="6">
        <v>-0.98</v>
      </c>
      <c r="S182" s="129"/>
      <c r="T182" s="130"/>
      <c r="U182" s="130"/>
      <c r="V182" s="130"/>
      <c r="W182" s="131"/>
      <c r="X182" s="6">
        <v>-0.39269999999999999</v>
      </c>
      <c r="Y182" s="136"/>
      <c r="Z182" s="5" t="s">
        <v>27</v>
      </c>
      <c r="AA182" s="141"/>
      <c r="AB182" s="142"/>
      <c r="AC182" s="142"/>
      <c r="AD182" s="142"/>
      <c r="AE182" s="142"/>
      <c r="AF182" s="142"/>
      <c r="AG182" s="142"/>
      <c r="AH182" s="142"/>
      <c r="AI182" s="142"/>
      <c r="AJ182" s="143"/>
    </row>
    <row r="183" spans="9:36" x14ac:dyDescent="0.25">
      <c r="I183" s="124"/>
      <c r="J183" s="5" t="s">
        <v>112</v>
      </c>
      <c r="K183" s="5"/>
      <c r="L183" s="129"/>
      <c r="M183" s="130"/>
      <c r="N183" s="131"/>
      <c r="O183" s="6">
        <v>5.39</v>
      </c>
      <c r="P183" s="6">
        <v>-3.5399999999999991</v>
      </c>
      <c r="Q183" s="6">
        <f t="shared" si="27"/>
        <v>-30</v>
      </c>
      <c r="R183" s="6">
        <v>-1.41</v>
      </c>
      <c r="S183" s="129"/>
      <c r="T183" s="130"/>
      <c r="U183" s="130"/>
      <c r="V183" s="130"/>
      <c r="W183" s="131"/>
      <c r="X183" s="6">
        <v>-0.82899999999999996</v>
      </c>
      <c r="Y183" s="136"/>
      <c r="Z183" s="5" t="s">
        <v>27</v>
      </c>
      <c r="AA183" s="141"/>
      <c r="AB183" s="142"/>
      <c r="AC183" s="142"/>
      <c r="AD183" s="142"/>
      <c r="AE183" s="142"/>
      <c r="AF183" s="142"/>
      <c r="AG183" s="142"/>
      <c r="AH183" s="142"/>
      <c r="AI183" s="142"/>
      <c r="AJ183" s="143"/>
    </row>
    <row r="184" spans="9:36" x14ac:dyDescent="0.25">
      <c r="I184" s="124"/>
      <c r="J184" s="5" t="s">
        <v>113</v>
      </c>
      <c r="K184" s="5"/>
      <c r="L184" s="129"/>
      <c r="M184" s="130"/>
      <c r="N184" s="131"/>
      <c r="O184" s="6">
        <v>4.97</v>
      </c>
      <c r="P184" s="6">
        <v>-3.5199999999999996</v>
      </c>
      <c r="Q184" s="6">
        <f t="shared" si="27"/>
        <v>-30</v>
      </c>
      <c r="R184" s="6">
        <v>-1.83</v>
      </c>
      <c r="S184" s="129"/>
      <c r="T184" s="130"/>
      <c r="U184" s="130"/>
      <c r="V184" s="130"/>
      <c r="W184" s="131"/>
      <c r="X184" s="6">
        <v>-1.2503</v>
      </c>
      <c r="Y184" s="136"/>
      <c r="Z184" s="5" t="s">
        <v>27</v>
      </c>
      <c r="AA184" s="141"/>
      <c r="AB184" s="142"/>
      <c r="AC184" s="142"/>
      <c r="AD184" s="142"/>
      <c r="AE184" s="142"/>
      <c r="AF184" s="142"/>
      <c r="AG184" s="142"/>
      <c r="AH184" s="142"/>
      <c r="AI184" s="142"/>
      <c r="AJ184" s="143"/>
    </row>
    <row r="185" spans="9:36" x14ac:dyDescent="0.25">
      <c r="I185" s="124"/>
      <c r="J185" s="5" t="s">
        <v>114</v>
      </c>
      <c r="K185" s="5"/>
      <c r="L185" s="129"/>
      <c r="M185" s="130"/>
      <c r="N185" s="131"/>
      <c r="O185" s="6">
        <v>4.54</v>
      </c>
      <c r="P185" s="6">
        <v>-3</v>
      </c>
      <c r="Q185" s="6">
        <f t="shared" si="27"/>
        <v>-30</v>
      </c>
      <c r="R185" s="6">
        <v>-2.2599999999999998</v>
      </c>
      <c r="S185" s="129"/>
      <c r="T185" s="130"/>
      <c r="U185" s="130"/>
      <c r="V185" s="130"/>
      <c r="W185" s="131"/>
      <c r="X185" s="6">
        <v>-1.6798999999999999</v>
      </c>
      <c r="Y185" s="136"/>
      <c r="Z185" s="5" t="s">
        <v>27</v>
      </c>
      <c r="AA185" s="141"/>
      <c r="AB185" s="142"/>
      <c r="AC185" s="142"/>
      <c r="AD185" s="142"/>
      <c r="AE185" s="142"/>
      <c r="AF185" s="142"/>
      <c r="AG185" s="142"/>
      <c r="AH185" s="142"/>
      <c r="AI185" s="142"/>
      <c r="AJ185" s="143"/>
    </row>
    <row r="186" spans="9:36" x14ac:dyDescent="0.25">
      <c r="I186" s="124"/>
      <c r="J186" s="5" t="s">
        <v>115</v>
      </c>
      <c r="K186" s="5"/>
      <c r="L186" s="129"/>
      <c r="M186" s="130"/>
      <c r="N186" s="131"/>
      <c r="O186" s="6">
        <v>4.1100000000000003</v>
      </c>
      <c r="P186" s="70">
        <v>-2.5</v>
      </c>
      <c r="Q186" s="6">
        <f t="shared" ref="Q186:Q249" si="28">$A$14</f>
        <v>-30</v>
      </c>
      <c r="R186" s="6">
        <v>-2.68</v>
      </c>
      <c r="S186" s="129"/>
      <c r="T186" s="130"/>
      <c r="U186" s="130"/>
      <c r="V186" s="130"/>
      <c r="W186" s="131"/>
      <c r="X186" s="6">
        <v>-2.1027999999999998</v>
      </c>
      <c r="Y186" s="136"/>
      <c r="Z186" s="5" t="s">
        <v>27</v>
      </c>
      <c r="AA186" s="141"/>
      <c r="AB186" s="142"/>
      <c r="AC186" s="142"/>
      <c r="AD186" s="142"/>
      <c r="AE186" s="142"/>
      <c r="AF186" s="142"/>
      <c r="AG186" s="142"/>
      <c r="AH186" s="142"/>
      <c r="AI186" s="142"/>
      <c r="AJ186" s="143"/>
    </row>
    <row r="187" spans="9:36" ht="15.75" thickBot="1" x14ac:dyDescent="0.3">
      <c r="I187" s="125"/>
      <c r="J187" s="13" t="s">
        <v>116</v>
      </c>
      <c r="K187" s="13"/>
      <c r="L187" s="129"/>
      <c r="M187" s="130"/>
      <c r="N187" s="131"/>
      <c r="O187" s="14">
        <v>3.69</v>
      </c>
      <c r="P187" s="14">
        <v>-2</v>
      </c>
      <c r="Q187" s="14">
        <f t="shared" si="28"/>
        <v>-30</v>
      </c>
      <c r="R187" s="14">
        <v>-3.1</v>
      </c>
      <c r="S187" s="129"/>
      <c r="T187" s="130"/>
      <c r="U187" s="130"/>
      <c r="V187" s="130"/>
      <c r="W187" s="131"/>
      <c r="X187" s="14">
        <v>-2.5358000000000001</v>
      </c>
      <c r="Y187" s="136"/>
      <c r="Z187" s="13" t="s">
        <v>27</v>
      </c>
      <c r="AA187" s="141"/>
      <c r="AB187" s="142"/>
      <c r="AC187" s="142"/>
      <c r="AD187" s="142"/>
      <c r="AE187" s="142"/>
      <c r="AF187" s="142"/>
      <c r="AG187" s="142"/>
      <c r="AH187" s="142"/>
      <c r="AI187" s="142"/>
      <c r="AJ187" s="143"/>
    </row>
    <row r="188" spans="9:36" x14ac:dyDescent="0.25">
      <c r="I188" s="123" t="s">
        <v>208</v>
      </c>
      <c r="J188" s="8" t="s">
        <v>117</v>
      </c>
      <c r="K188" s="8"/>
      <c r="L188" s="129"/>
      <c r="M188" s="130"/>
      <c r="N188" s="131"/>
      <c r="O188" s="9">
        <v>9.2200000000000006</v>
      </c>
      <c r="P188" s="35">
        <v>-2.6099999999999994</v>
      </c>
      <c r="Q188" s="9">
        <f t="shared" si="28"/>
        <v>-30</v>
      </c>
      <c r="R188" s="9">
        <v>2.4900000000000002</v>
      </c>
      <c r="S188" s="129"/>
      <c r="T188" s="130"/>
      <c r="U188" s="130"/>
      <c r="V188" s="130"/>
      <c r="W188" s="131"/>
      <c r="X188" s="9">
        <v>2.2545999999999999</v>
      </c>
      <c r="Y188" s="136"/>
      <c r="Z188" s="8" t="s">
        <v>26</v>
      </c>
      <c r="AA188" s="141"/>
      <c r="AB188" s="142"/>
      <c r="AC188" s="142"/>
      <c r="AD188" s="142"/>
      <c r="AE188" s="142"/>
      <c r="AF188" s="142"/>
      <c r="AG188" s="142"/>
      <c r="AH188" s="142"/>
      <c r="AI188" s="142"/>
      <c r="AJ188" s="143"/>
    </row>
    <row r="189" spans="9:36" x14ac:dyDescent="0.25">
      <c r="I189" s="124"/>
      <c r="J189" s="5" t="s">
        <v>118</v>
      </c>
      <c r="K189" s="5"/>
      <c r="L189" s="129"/>
      <c r="M189" s="130"/>
      <c r="N189" s="131"/>
      <c r="O189" s="6">
        <v>8.82</v>
      </c>
      <c r="P189" s="6">
        <v>-3.75</v>
      </c>
      <c r="Q189" s="6">
        <f t="shared" si="28"/>
        <v>-30</v>
      </c>
      <c r="R189" s="6">
        <v>2.09</v>
      </c>
      <c r="S189" s="129"/>
      <c r="T189" s="130"/>
      <c r="U189" s="130"/>
      <c r="V189" s="130"/>
      <c r="W189" s="131"/>
      <c r="X189" s="6">
        <v>1.8492999999999999</v>
      </c>
      <c r="Y189" s="136"/>
      <c r="Z189" s="5" t="s">
        <v>26</v>
      </c>
      <c r="AA189" s="141"/>
      <c r="AB189" s="142"/>
      <c r="AC189" s="142"/>
      <c r="AD189" s="142"/>
      <c r="AE189" s="142"/>
      <c r="AF189" s="142"/>
      <c r="AG189" s="142"/>
      <c r="AH189" s="142"/>
      <c r="AI189" s="142"/>
      <c r="AJ189" s="143"/>
    </row>
    <row r="190" spans="9:36" x14ac:dyDescent="0.25">
      <c r="I190" s="124"/>
      <c r="J190" s="5" t="s">
        <v>119</v>
      </c>
      <c r="K190" s="5"/>
      <c r="L190" s="129"/>
      <c r="M190" s="130"/>
      <c r="N190" s="131"/>
      <c r="O190" s="6">
        <v>8.33</v>
      </c>
      <c r="P190" s="6">
        <v>-3.66</v>
      </c>
      <c r="Q190" s="6">
        <f t="shared" si="28"/>
        <v>-30</v>
      </c>
      <c r="R190" s="6">
        <v>1.59</v>
      </c>
      <c r="S190" s="129"/>
      <c r="T190" s="130"/>
      <c r="U190" s="130"/>
      <c r="V190" s="130"/>
      <c r="W190" s="131"/>
      <c r="X190" s="6">
        <v>1.3528</v>
      </c>
      <c r="Y190" s="136"/>
      <c r="Z190" s="5" t="s">
        <v>26</v>
      </c>
      <c r="AA190" s="141"/>
      <c r="AB190" s="142"/>
      <c r="AC190" s="142"/>
      <c r="AD190" s="142"/>
      <c r="AE190" s="142"/>
      <c r="AF190" s="142"/>
      <c r="AG190" s="142"/>
      <c r="AH190" s="142"/>
      <c r="AI190" s="142"/>
      <c r="AJ190" s="143"/>
    </row>
    <row r="191" spans="9:36" x14ac:dyDescent="0.25">
      <c r="I191" s="124"/>
      <c r="J191" s="5" t="s">
        <v>120</v>
      </c>
      <c r="K191" s="5"/>
      <c r="L191" s="129"/>
      <c r="M191" s="130"/>
      <c r="N191" s="131"/>
      <c r="O191" s="6">
        <v>7.83</v>
      </c>
      <c r="P191" s="6">
        <v>-3.4699999999999989</v>
      </c>
      <c r="Q191" s="6">
        <f t="shared" si="28"/>
        <v>-30</v>
      </c>
      <c r="R191" s="6">
        <v>1.1000000000000001</v>
      </c>
      <c r="S191" s="129"/>
      <c r="T191" s="130"/>
      <c r="U191" s="130"/>
      <c r="V191" s="130"/>
      <c r="W191" s="131"/>
      <c r="X191" s="6">
        <v>0.8619</v>
      </c>
      <c r="Y191" s="136"/>
      <c r="Z191" s="5" t="s">
        <v>26</v>
      </c>
      <c r="AA191" s="141"/>
      <c r="AB191" s="142"/>
      <c r="AC191" s="142"/>
      <c r="AD191" s="142"/>
      <c r="AE191" s="142"/>
      <c r="AF191" s="142"/>
      <c r="AG191" s="142"/>
      <c r="AH191" s="142"/>
      <c r="AI191" s="142"/>
      <c r="AJ191" s="143"/>
    </row>
    <row r="192" spans="9:36" x14ac:dyDescent="0.25">
      <c r="I192" s="124"/>
      <c r="J192" s="5" t="s">
        <v>121</v>
      </c>
      <c r="K192" s="5"/>
      <c r="L192" s="129"/>
      <c r="M192" s="130"/>
      <c r="N192" s="131"/>
      <c r="O192" s="6">
        <v>7.34</v>
      </c>
      <c r="P192" s="6">
        <v>-3.6000000000000014</v>
      </c>
      <c r="Q192" s="6">
        <f t="shared" si="28"/>
        <v>-30</v>
      </c>
      <c r="R192" s="6">
        <v>0.6</v>
      </c>
      <c r="S192" s="129"/>
      <c r="T192" s="130"/>
      <c r="U192" s="130"/>
      <c r="V192" s="130"/>
      <c r="W192" s="131"/>
      <c r="X192" s="6">
        <v>0.317</v>
      </c>
      <c r="Y192" s="136"/>
      <c r="Z192" s="5" t="s">
        <v>26</v>
      </c>
      <c r="AA192" s="141"/>
      <c r="AB192" s="142"/>
      <c r="AC192" s="142"/>
      <c r="AD192" s="142"/>
      <c r="AE192" s="142"/>
      <c r="AF192" s="142"/>
      <c r="AG192" s="142"/>
      <c r="AH192" s="142"/>
      <c r="AI192" s="142"/>
      <c r="AJ192" s="143"/>
    </row>
    <row r="193" spans="9:36" x14ac:dyDescent="0.25">
      <c r="I193" s="124"/>
      <c r="J193" s="5" t="s">
        <v>122</v>
      </c>
      <c r="K193" s="5"/>
      <c r="L193" s="129"/>
      <c r="M193" s="130"/>
      <c r="N193" s="131"/>
      <c r="O193" s="6">
        <v>6.84</v>
      </c>
      <c r="P193" s="6">
        <v>-3.629999999999999</v>
      </c>
      <c r="Q193" s="6">
        <f t="shared" si="28"/>
        <v>-30</v>
      </c>
      <c r="R193" s="6">
        <v>0.1</v>
      </c>
      <c r="S193" s="129"/>
      <c r="T193" s="130"/>
      <c r="U193" s="130"/>
      <c r="V193" s="130"/>
      <c r="W193" s="131"/>
      <c r="X193" s="6" t="s">
        <v>4</v>
      </c>
      <c r="Y193" s="136"/>
      <c r="Z193" s="5" t="s">
        <v>28</v>
      </c>
      <c r="AA193" s="141"/>
      <c r="AB193" s="142"/>
      <c r="AC193" s="142"/>
      <c r="AD193" s="142"/>
      <c r="AE193" s="142"/>
      <c r="AF193" s="142"/>
      <c r="AG193" s="142"/>
      <c r="AH193" s="142"/>
      <c r="AI193" s="142"/>
      <c r="AJ193" s="143"/>
    </row>
    <row r="194" spans="9:36" x14ac:dyDescent="0.25">
      <c r="I194" s="124"/>
      <c r="J194" s="5" t="s">
        <v>123</v>
      </c>
      <c r="K194" s="5"/>
      <c r="L194" s="129"/>
      <c r="M194" s="130"/>
      <c r="N194" s="131"/>
      <c r="O194" s="6">
        <v>6.35</v>
      </c>
      <c r="P194" s="6">
        <v>-3.6099999999999994</v>
      </c>
      <c r="Q194" s="6">
        <f t="shared" si="28"/>
        <v>-30</v>
      </c>
      <c r="R194" s="6">
        <v>-0.39</v>
      </c>
      <c r="S194" s="129"/>
      <c r="T194" s="130"/>
      <c r="U194" s="130"/>
      <c r="V194" s="130"/>
      <c r="W194" s="131"/>
      <c r="X194" s="6" t="s">
        <v>4</v>
      </c>
      <c r="Y194" s="136"/>
      <c r="Z194" s="5" t="s">
        <v>28</v>
      </c>
      <c r="AA194" s="141"/>
      <c r="AB194" s="142"/>
      <c r="AC194" s="142"/>
      <c r="AD194" s="142"/>
      <c r="AE194" s="142"/>
      <c r="AF194" s="142"/>
      <c r="AG194" s="142"/>
      <c r="AH194" s="142"/>
      <c r="AI194" s="142"/>
      <c r="AJ194" s="143"/>
    </row>
    <row r="195" spans="9:36" x14ac:dyDescent="0.25">
      <c r="I195" s="124"/>
      <c r="J195" s="5" t="s">
        <v>124</v>
      </c>
      <c r="K195" s="5"/>
      <c r="L195" s="129"/>
      <c r="M195" s="130"/>
      <c r="N195" s="131"/>
      <c r="O195" s="6">
        <v>5.85</v>
      </c>
      <c r="P195" s="6">
        <v>-3.629999999999999</v>
      </c>
      <c r="Q195" s="6">
        <f t="shared" si="28"/>
        <v>-30</v>
      </c>
      <c r="R195" s="6">
        <v>-0.89</v>
      </c>
      <c r="S195" s="129"/>
      <c r="T195" s="130"/>
      <c r="U195" s="130"/>
      <c r="V195" s="130"/>
      <c r="W195" s="131"/>
      <c r="X195" s="6">
        <v>-0.13700000000000001</v>
      </c>
      <c r="Y195" s="136"/>
      <c r="Z195" s="5" t="s">
        <v>27</v>
      </c>
      <c r="AA195" s="141"/>
      <c r="AB195" s="142"/>
      <c r="AC195" s="142"/>
      <c r="AD195" s="142"/>
      <c r="AE195" s="142"/>
      <c r="AF195" s="142"/>
      <c r="AG195" s="142"/>
      <c r="AH195" s="142"/>
      <c r="AI195" s="142"/>
      <c r="AJ195" s="143"/>
    </row>
    <row r="196" spans="9:36" x14ac:dyDescent="0.25">
      <c r="I196" s="124"/>
      <c r="J196" s="5" t="s">
        <v>125</v>
      </c>
      <c r="K196" s="5"/>
      <c r="L196" s="129"/>
      <c r="M196" s="130"/>
      <c r="N196" s="131"/>
      <c r="O196" s="6">
        <v>5.36</v>
      </c>
      <c r="P196" s="6">
        <v>-3.5500000000000007</v>
      </c>
      <c r="Q196" s="6">
        <f t="shared" si="28"/>
        <v>-30</v>
      </c>
      <c r="R196" s="6">
        <v>-1.39</v>
      </c>
      <c r="S196" s="129"/>
      <c r="T196" s="130"/>
      <c r="U196" s="130"/>
      <c r="V196" s="130"/>
      <c r="W196" s="131"/>
      <c r="X196" s="6">
        <v>-0.65069999999999995</v>
      </c>
      <c r="Y196" s="136"/>
      <c r="Z196" s="5" t="s">
        <v>27</v>
      </c>
      <c r="AA196" s="141"/>
      <c r="AB196" s="142"/>
      <c r="AC196" s="142"/>
      <c r="AD196" s="142"/>
      <c r="AE196" s="142"/>
      <c r="AF196" s="142"/>
      <c r="AG196" s="142"/>
      <c r="AH196" s="142"/>
      <c r="AI196" s="142"/>
      <c r="AJ196" s="143"/>
    </row>
    <row r="197" spans="9:36" x14ac:dyDescent="0.25">
      <c r="I197" s="124"/>
      <c r="J197" s="5" t="s">
        <v>126</v>
      </c>
      <c r="K197" s="5"/>
      <c r="L197" s="129"/>
      <c r="M197" s="130"/>
      <c r="N197" s="131"/>
      <c r="O197" s="6">
        <v>4.8600000000000003</v>
      </c>
      <c r="P197" s="6">
        <v>-3.5399999999999991</v>
      </c>
      <c r="Q197" s="6">
        <f t="shared" si="28"/>
        <v>-30</v>
      </c>
      <c r="R197" s="6">
        <v>-1.89</v>
      </c>
      <c r="S197" s="129"/>
      <c r="T197" s="130"/>
      <c r="U197" s="130"/>
      <c r="V197" s="130"/>
      <c r="W197" s="131"/>
      <c r="X197" s="6">
        <v>-1.1324000000000001</v>
      </c>
      <c r="Y197" s="136"/>
      <c r="Z197" s="5" t="s">
        <v>27</v>
      </c>
      <c r="AA197" s="141"/>
      <c r="AB197" s="142"/>
      <c r="AC197" s="142"/>
      <c r="AD197" s="142"/>
      <c r="AE197" s="142"/>
      <c r="AF197" s="142"/>
      <c r="AG197" s="142"/>
      <c r="AH197" s="142"/>
      <c r="AI197" s="142"/>
      <c r="AJ197" s="143"/>
    </row>
    <row r="198" spans="9:36" x14ac:dyDescent="0.25">
      <c r="I198" s="124"/>
      <c r="J198" s="5" t="s">
        <v>127</v>
      </c>
      <c r="K198" s="5"/>
      <c r="L198" s="129"/>
      <c r="M198" s="130"/>
      <c r="N198" s="131"/>
      <c r="O198" s="6">
        <v>4.37</v>
      </c>
      <c r="P198" s="6">
        <v>-3.5399999999999991</v>
      </c>
      <c r="Q198" s="6">
        <f t="shared" si="28"/>
        <v>-30</v>
      </c>
      <c r="R198" s="6">
        <v>-2.38</v>
      </c>
      <c r="S198" s="129"/>
      <c r="T198" s="130"/>
      <c r="U198" s="130"/>
      <c r="V198" s="130"/>
      <c r="W198" s="131"/>
      <c r="X198" s="6">
        <v>-1.6274999999999999</v>
      </c>
      <c r="Y198" s="136"/>
      <c r="Z198" s="5" t="s">
        <v>27</v>
      </c>
      <c r="AA198" s="141"/>
      <c r="AB198" s="142"/>
      <c r="AC198" s="142"/>
      <c r="AD198" s="142"/>
      <c r="AE198" s="142"/>
      <c r="AF198" s="142"/>
      <c r="AG198" s="142"/>
      <c r="AH198" s="142"/>
      <c r="AI198" s="142"/>
      <c r="AJ198" s="143"/>
    </row>
    <row r="199" spans="9:36" ht="15.75" thickBot="1" x14ac:dyDescent="0.3">
      <c r="I199" s="125"/>
      <c r="J199" s="13" t="s">
        <v>128</v>
      </c>
      <c r="K199" s="13"/>
      <c r="L199" s="129"/>
      <c r="M199" s="130"/>
      <c r="N199" s="131"/>
      <c r="O199" s="14">
        <v>3.88</v>
      </c>
      <c r="P199" s="6">
        <v>-3.5199999999999996</v>
      </c>
      <c r="Q199" s="14">
        <f t="shared" si="28"/>
        <v>-30</v>
      </c>
      <c r="R199" s="14">
        <v>-2.88</v>
      </c>
      <c r="S199" s="129"/>
      <c r="T199" s="130"/>
      <c r="U199" s="130"/>
      <c r="V199" s="130"/>
      <c r="W199" s="131"/>
      <c r="X199" s="14">
        <v>-2.1227</v>
      </c>
      <c r="Y199" s="136"/>
      <c r="Z199" s="13" t="s">
        <v>27</v>
      </c>
      <c r="AA199" s="141"/>
      <c r="AB199" s="142"/>
      <c r="AC199" s="142"/>
      <c r="AD199" s="142"/>
      <c r="AE199" s="142"/>
      <c r="AF199" s="142"/>
      <c r="AG199" s="142"/>
      <c r="AH199" s="142"/>
      <c r="AI199" s="142"/>
      <c r="AJ199" s="143"/>
    </row>
    <row r="200" spans="9:36" x14ac:dyDescent="0.25">
      <c r="I200" s="123" t="s">
        <v>209</v>
      </c>
      <c r="J200" s="8" t="s">
        <v>129</v>
      </c>
      <c r="K200" s="8"/>
      <c r="L200" s="129"/>
      <c r="M200" s="130"/>
      <c r="N200" s="131"/>
      <c r="O200" s="9">
        <v>9.0399999999999991</v>
      </c>
      <c r="P200" s="35">
        <v>-2.6099999999999994</v>
      </c>
      <c r="Q200" s="9">
        <f t="shared" si="28"/>
        <v>-30</v>
      </c>
      <c r="R200" s="9">
        <v>2.04</v>
      </c>
      <c r="S200" s="129"/>
      <c r="T200" s="130"/>
      <c r="U200" s="130"/>
      <c r="V200" s="130"/>
      <c r="W200" s="131"/>
      <c r="X200" s="9">
        <v>1.6507000000000001</v>
      </c>
      <c r="Y200" s="136"/>
      <c r="Z200" s="8" t="s">
        <v>26</v>
      </c>
      <c r="AA200" s="141"/>
      <c r="AB200" s="142"/>
      <c r="AC200" s="142"/>
      <c r="AD200" s="142"/>
      <c r="AE200" s="142"/>
      <c r="AF200" s="142"/>
      <c r="AG200" s="142"/>
      <c r="AH200" s="142"/>
      <c r="AI200" s="142"/>
      <c r="AJ200" s="143"/>
    </row>
    <row r="201" spans="9:36" x14ac:dyDescent="0.25">
      <c r="I201" s="124"/>
      <c r="J201" s="5" t="s">
        <v>130</v>
      </c>
      <c r="K201" s="5"/>
      <c r="L201" s="129"/>
      <c r="M201" s="130"/>
      <c r="N201" s="131"/>
      <c r="O201" s="6">
        <v>8.68</v>
      </c>
      <c r="P201" s="6">
        <v>-3.75</v>
      </c>
      <c r="Q201" s="6">
        <f t="shared" si="28"/>
        <v>-30</v>
      </c>
      <c r="R201" s="6">
        <v>1.7</v>
      </c>
      <c r="S201" s="129"/>
      <c r="T201" s="130"/>
      <c r="U201" s="130"/>
      <c r="V201" s="130"/>
      <c r="W201" s="131"/>
      <c r="X201" s="6">
        <v>1.2818000000000001</v>
      </c>
      <c r="Y201" s="136"/>
      <c r="Z201" s="5" t="s">
        <v>26</v>
      </c>
      <c r="AA201" s="141"/>
      <c r="AB201" s="142"/>
      <c r="AC201" s="142"/>
      <c r="AD201" s="142"/>
      <c r="AE201" s="142"/>
      <c r="AF201" s="142"/>
      <c r="AG201" s="142"/>
      <c r="AH201" s="142"/>
      <c r="AI201" s="142"/>
      <c r="AJ201" s="143"/>
    </row>
    <row r="202" spans="9:36" x14ac:dyDescent="0.25">
      <c r="I202" s="124"/>
      <c r="J202" s="5" t="s">
        <v>131</v>
      </c>
      <c r="K202" s="5"/>
      <c r="L202" s="129"/>
      <c r="M202" s="130"/>
      <c r="N202" s="131"/>
      <c r="O202" s="6">
        <v>8.2200000000000006</v>
      </c>
      <c r="P202" s="6">
        <v>-3.66</v>
      </c>
      <c r="Q202" s="6">
        <f t="shared" si="28"/>
        <v>-30</v>
      </c>
      <c r="R202" s="6">
        <v>1.28</v>
      </c>
      <c r="S202" s="129"/>
      <c r="T202" s="130"/>
      <c r="U202" s="130"/>
      <c r="V202" s="130"/>
      <c r="W202" s="131"/>
      <c r="X202" s="6">
        <v>0.83809999999999996</v>
      </c>
      <c r="Y202" s="136"/>
      <c r="Z202" s="5" t="s">
        <v>26</v>
      </c>
      <c r="AA202" s="141"/>
      <c r="AB202" s="142"/>
      <c r="AC202" s="142"/>
      <c r="AD202" s="142"/>
      <c r="AE202" s="142"/>
      <c r="AF202" s="142"/>
      <c r="AG202" s="142"/>
      <c r="AH202" s="142"/>
      <c r="AI202" s="142"/>
      <c r="AJ202" s="143"/>
    </row>
    <row r="203" spans="9:36" x14ac:dyDescent="0.25">
      <c r="I203" s="124"/>
      <c r="J203" s="5" t="s">
        <v>132</v>
      </c>
      <c r="K203" s="5"/>
      <c r="L203" s="129"/>
      <c r="M203" s="130"/>
      <c r="N203" s="131"/>
      <c r="O203" s="6">
        <v>7.77</v>
      </c>
      <c r="P203" s="6">
        <v>-3.4699999999999989</v>
      </c>
      <c r="Q203" s="6">
        <f t="shared" si="28"/>
        <v>-30</v>
      </c>
      <c r="R203" s="6">
        <v>0.85</v>
      </c>
      <c r="S203" s="129"/>
      <c r="T203" s="130"/>
      <c r="U203" s="130"/>
      <c r="V203" s="130"/>
      <c r="W203" s="131"/>
      <c r="X203" s="6">
        <v>0.38169999999999998</v>
      </c>
      <c r="Y203" s="136"/>
      <c r="Z203" s="5" t="s">
        <v>26</v>
      </c>
      <c r="AA203" s="141"/>
      <c r="AB203" s="142"/>
      <c r="AC203" s="142"/>
      <c r="AD203" s="142"/>
      <c r="AE203" s="142"/>
      <c r="AF203" s="142"/>
      <c r="AG203" s="142"/>
      <c r="AH203" s="142"/>
      <c r="AI203" s="142"/>
      <c r="AJ203" s="143"/>
    </row>
    <row r="204" spans="9:36" x14ac:dyDescent="0.25">
      <c r="I204" s="124"/>
      <c r="J204" s="5" t="s">
        <v>133</v>
      </c>
      <c r="K204" s="5"/>
      <c r="L204" s="129"/>
      <c r="M204" s="130"/>
      <c r="N204" s="131"/>
      <c r="O204" s="6">
        <v>7.32</v>
      </c>
      <c r="P204" s="6">
        <v>-3.6000000000000014</v>
      </c>
      <c r="Q204" s="6">
        <f t="shared" si="28"/>
        <v>-30</v>
      </c>
      <c r="R204" s="6">
        <v>0.42</v>
      </c>
      <c r="S204" s="129"/>
      <c r="T204" s="130"/>
      <c r="U204" s="130"/>
      <c r="V204" s="130"/>
      <c r="W204" s="131"/>
      <c r="X204" s="6" t="s">
        <v>4</v>
      </c>
      <c r="Y204" s="136"/>
      <c r="Z204" s="5" t="s">
        <v>28</v>
      </c>
      <c r="AA204" s="141"/>
      <c r="AB204" s="142"/>
      <c r="AC204" s="142"/>
      <c r="AD204" s="142"/>
      <c r="AE204" s="142"/>
      <c r="AF204" s="142"/>
      <c r="AG204" s="142"/>
      <c r="AH204" s="142"/>
      <c r="AI204" s="142"/>
      <c r="AJ204" s="143"/>
    </row>
    <row r="205" spans="9:36" x14ac:dyDescent="0.25">
      <c r="I205" s="124"/>
      <c r="J205" s="5" t="s">
        <v>134</v>
      </c>
      <c r="K205" s="5"/>
      <c r="L205" s="129"/>
      <c r="M205" s="130"/>
      <c r="N205" s="131"/>
      <c r="O205" s="6">
        <v>6.86</v>
      </c>
      <c r="P205" s="6">
        <v>-3.629999999999999</v>
      </c>
      <c r="Q205" s="6">
        <f t="shared" si="28"/>
        <v>-30</v>
      </c>
      <c r="R205" s="6">
        <v>0</v>
      </c>
      <c r="S205" s="129"/>
      <c r="T205" s="130"/>
      <c r="U205" s="130"/>
      <c r="V205" s="130"/>
      <c r="W205" s="131"/>
      <c r="X205" s="6" t="s">
        <v>4</v>
      </c>
      <c r="Y205" s="136"/>
      <c r="Z205" s="5" t="s">
        <v>28</v>
      </c>
      <c r="AA205" s="141"/>
      <c r="AB205" s="142"/>
      <c r="AC205" s="142"/>
      <c r="AD205" s="142"/>
      <c r="AE205" s="142"/>
      <c r="AF205" s="142"/>
      <c r="AG205" s="142"/>
      <c r="AH205" s="142"/>
      <c r="AI205" s="142"/>
      <c r="AJ205" s="143"/>
    </row>
    <row r="206" spans="9:36" x14ac:dyDescent="0.25">
      <c r="I206" s="124"/>
      <c r="J206" s="5" t="s">
        <v>135</v>
      </c>
      <c r="K206" s="5"/>
      <c r="L206" s="129"/>
      <c r="M206" s="130"/>
      <c r="N206" s="131"/>
      <c r="O206" s="6">
        <v>6.41</v>
      </c>
      <c r="P206" s="6">
        <v>-3.6099999999999994</v>
      </c>
      <c r="Q206" s="6">
        <f t="shared" si="28"/>
        <v>-30</v>
      </c>
      <c r="R206" s="6">
        <v>-0.43</v>
      </c>
      <c r="S206" s="129"/>
      <c r="T206" s="130"/>
      <c r="U206" s="130"/>
      <c r="V206" s="130"/>
      <c r="W206" s="131"/>
      <c r="X206" s="6" t="s">
        <v>4</v>
      </c>
      <c r="Y206" s="136"/>
      <c r="Z206" s="5" t="s">
        <v>28</v>
      </c>
      <c r="AA206" s="141"/>
      <c r="AB206" s="142"/>
      <c r="AC206" s="142"/>
      <c r="AD206" s="142"/>
      <c r="AE206" s="142"/>
      <c r="AF206" s="142"/>
      <c r="AG206" s="142"/>
      <c r="AH206" s="142"/>
      <c r="AI206" s="142"/>
      <c r="AJ206" s="143"/>
    </row>
    <row r="207" spans="9:36" x14ac:dyDescent="0.25">
      <c r="I207" s="124"/>
      <c r="J207" s="5" t="s">
        <v>136</v>
      </c>
      <c r="K207" s="5"/>
      <c r="L207" s="129"/>
      <c r="M207" s="130"/>
      <c r="N207" s="131"/>
      <c r="O207" s="6">
        <v>5.95</v>
      </c>
      <c r="P207" s="6">
        <v>-3.629999999999999</v>
      </c>
      <c r="Q207" s="6">
        <f t="shared" si="28"/>
        <v>-30</v>
      </c>
      <c r="R207" s="6">
        <v>-0.87</v>
      </c>
      <c r="S207" s="129"/>
      <c r="T207" s="130"/>
      <c r="U207" s="130"/>
      <c r="V207" s="130"/>
      <c r="W207" s="131"/>
      <c r="X207" s="6">
        <v>-0.4022</v>
      </c>
      <c r="Y207" s="136"/>
      <c r="Z207" s="5" t="s">
        <v>27</v>
      </c>
      <c r="AA207" s="141"/>
      <c r="AB207" s="142"/>
      <c r="AC207" s="142"/>
      <c r="AD207" s="142"/>
      <c r="AE207" s="142"/>
      <c r="AF207" s="142"/>
      <c r="AG207" s="142"/>
      <c r="AH207" s="142"/>
      <c r="AI207" s="142"/>
      <c r="AJ207" s="143"/>
    </row>
    <row r="208" spans="9:36" x14ac:dyDescent="0.25">
      <c r="I208" s="124"/>
      <c r="J208" s="5" t="s">
        <v>137</v>
      </c>
      <c r="K208" s="5"/>
      <c r="L208" s="129"/>
      <c r="M208" s="130"/>
      <c r="N208" s="131"/>
      <c r="O208" s="6">
        <v>5.5</v>
      </c>
      <c r="P208" s="6">
        <v>-3.5500000000000007</v>
      </c>
      <c r="Q208" s="6">
        <f t="shared" si="28"/>
        <v>-30</v>
      </c>
      <c r="R208" s="6">
        <v>-1.31</v>
      </c>
      <c r="S208" s="129"/>
      <c r="T208" s="130"/>
      <c r="U208" s="130"/>
      <c r="V208" s="130"/>
      <c r="W208" s="131"/>
      <c r="X208" s="6">
        <v>-0.85860000000000003</v>
      </c>
      <c r="Y208" s="136"/>
      <c r="Z208" s="5" t="s">
        <v>27</v>
      </c>
      <c r="AA208" s="141"/>
      <c r="AB208" s="142"/>
      <c r="AC208" s="142"/>
      <c r="AD208" s="142"/>
      <c r="AE208" s="142"/>
      <c r="AF208" s="142"/>
      <c r="AG208" s="142"/>
      <c r="AH208" s="142"/>
      <c r="AI208" s="142"/>
      <c r="AJ208" s="143"/>
    </row>
    <row r="209" spans="9:36" x14ac:dyDescent="0.25">
      <c r="I209" s="124"/>
      <c r="J209" s="5" t="s">
        <v>138</v>
      </c>
      <c r="K209" s="5"/>
      <c r="L209" s="129"/>
      <c r="M209" s="130"/>
      <c r="N209" s="131"/>
      <c r="O209" s="6">
        <v>5.05</v>
      </c>
      <c r="P209" s="6">
        <v>-3.5399999999999991</v>
      </c>
      <c r="Q209" s="6">
        <f t="shared" si="28"/>
        <v>-30</v>
      </c>
      <c r="R209" s="6">
        <v>-1.76</v>
      </c>
      <c r="S209" s="129"/>
      <c r="T209" s="130"/>
      <c r="U209" s="130"/>
      <c r="V209" s="130"/>
      <c r="W209" s="131"/>
      <c r="X209" s="6">
        <v>-1.3163</v>
      </c>
      <c r="Y209" s="136"/>
      <c r="Z209" s="5" t="s">
        <v>27</v>
      </c>
      <c r="AA209" s="141"/>
      <c r="AB209" s="142"/>
      <c r="AC209" s="142"/>
      <c r="AD209" s="142"/>
      <c r="AE209" s="142"/>
      <c r="AF209" s="142"/>
      <c r="AG209" s="142"/>
      <c r="AH209" s="142"/>
      <c r="AI209" s="142"/>
      <c r="AJ209" s="143"/>
    </row>
    <row r="210" spans="9:36" x14ac:dyDescent="0.25">
      <c r="I210" s="124"/>
      <c r="J210" s="5" t="s">
        <v>139</v>
      </c>
      <c r="K210" s="5"/>
      <c r="L210" s="129"/>
      <c r="M210" s="130"/>
      <c r="N210" s="131"/>
      <c r="O210" s="6">
        <v>4.59</v>
      </c>
      <c r="P210" s="6">
        <v>-3.5399999999999991</v>
      </c>
      <c r="Q210" s="6">
        <f t="shared" si="28"/>
        <v>-30</v>
      </c>
      <c r="R210" s="6">
        <v>-2.21</v>
      </c>
      <c r="S210" s="129"/>
      <c r="T210" s="130"/>
      <c r="U210" s="130"/>
      <c r="V210" s="130"/>
      <c r="W210" s="131"/>
      <c r="X210" s="6">
        <v>-1.7572000000000001</v>
      </c>
      <c r="Y210" s="136"/>
      <c r="Z210" s="5" t="s">
        <v>27</v>
      </c>
      <c r="AA210" s="141"/>
      <c r="AB210" s="142"/>
      <c r="AC210" s="142"/>
      <c r="AD210" s="142"/>
      <c r="AE210" s="142"/>
      <c r="AF210" s="142"/>
      <c r="AG210" s="142"/>
      <c r="AH210" s="142"/>
      <c r="AI210" s="142"/>
      <c r="AJ210" s="143"/>
    </row>
    <row r="211" spans="9:36" ht="15.75" thickBot="1" x14ac:dyDescent="0.3">
      <c r="I211" s="125"/>
      <c r="J211" s="13" t="s">
        <v>140</v>
      </c>
      <c r="K211" s="13"/>
      <c r="L211" s="129"/>
      <c r="M211" s="130"/>
      <c r="N211" s="131"/>
      <c r="O211" s="14">
        <v>4.1399999999999997</v>
      </c>
      <c r="P211" s="6">
        <v>-3.5199999999999996</v>
      </c>
      <c r="Q211" s="14">
        <f t="shared" si="28"/>
        <v>-30</v>
      </c>
      <c r="R211" s="14">
        <v>-2.65</v>
      </c>
      <c r="S211" s="129"/>
      <c r="T211" s="130"/>
      <c r="U211" s="130"/>
      <c r="V211" s="130"/>
      <c r="W211" s="131"/>
      <c r="X211" s="14">
        <v>-2.2174</v>
      </c>
      <c r="Y211" s="136"/>
      <c r="Z211" s="13" t="s">
        <v>27</v>
      </c>
      <c r="AA211" s="141"/>
      <c r="AB211" s="142"/>
      <c r="AC211" s="142"/>
      <c r="AD211" s="142"/>
      <c r="AE211" s="142"/>
      <c r="AF211" s="142"/>
      <c r="AG211" s="142"/>
      <c r="AH211" s="142"/>
      <c r="AI211" s="142"/>
      <c r="AJ211" s="143"/>
    </row>
    <row r="212" spans="9:36" x14ac:dyDescent="0.25">
      <c r="I212" s="123" t="s">
        <v>210</v>
      </c>
      <c r="J212" s="8" t="s">
        <v>141</v>
      </c>
      <c r="K212" s="8"/>
      <c r="L212" s="129"/>
      <c r="M212" s="130"/>
      <c r="N212" s="131"/>
      <c r="O212" s="9">
        <v>7.62</v>
      </c>
      <c r="P212" s="35">
        <v>-2.6099999999999994</v>
      </c>
      <c r="Q212" s="9">
        <f t="shared" si="28"/>
        <v>-30</v>
      </c>
      <c r="R212" s="9">
        <v>0.44</v>
      </c>
      <c r="S212" s="129"/>
      <c r="T212" s="130"/>
      <c r="U212" s="130"/>
      <c r="V212" s="130"/>
      <c r="W212" s="131"/>
      <c r="X212" s="9">
        <v>0.25769999999999998</v>
      </c>
      <c r="Y212" s="136"/>
      <c r="Z212" s="8" t="s">
        <v>26</v>
      </c>
      <c r="AA212" s="141"/>
      <c r="AB212" s="142"/>
      <c r="AC212" s="142"/>
      <c r="AD212" s="142"/>
      <c r="AE212" s="142"/>
      <c r="AF212" s="142"/>
      <c r="AG212" s="142"/>
      <c r="AH212" s="142"/>
      <c r="AI212" s="142"/>
      <c r="AJ212" s="143"/>
    </row>
    <row r="213" spans="9:36" x14ac:dyDescent="0.25">
      <c r="I213" s="124"/>
      <c r="J213" s="5" t="s">
        <v>142</v>
      </c>
      <c r="K213" s="5"/>
      <c r="L213" s="129"/>
      <c r="M213" s="130"/>
      <c r="N213" s="131"/>
      <c r="O213" s="6">
        <v>7.27</v>
      </c>
      <c r="P213" s="6">
        <v>-3.75</v>
      </c>
      <c r="Q213" s="6">
        <f t="shared" si="28"/>
        <v>-30</v>
      </c>
      <c r="R213" s="6">
        <v>0.11</v>
      </c>
      <c r="S213" s="129"/>
      <c r="T213" s="130"/>
      <c r="U213" s="130"/>
      <c r="V213" s="130"/>
      <c r="W213" s="131"/>
      <c r="X213" s="6" t="s">
        <v>4</v>
      </c>
      <c r="Y213" s="136"/>
      <c r="Z213" s="5" t="s">
        <v>28</v>
      </c>
      <c r="AA213" s="141"/>
      <c r="AB213" s="142"/>
      <c r="AC213" s="142"/>
      <c r="AD213" s="142"/>
      <c r="AE213" s="142"/>
      <c r="AF213" s="142"/>
      <c r="AG213" s="142"/>
      <c r="AH213" s="142"/>
      <c r="AI213" s="142"/>
      <c r="AJ213" s="143"/>
    </row>
    <row r="214" spans="9:36" x14ac:dyDescent="0.25">
      <c r="I214" s="124"/>
      <c r="J214" s="5" t="s">
        <v>143</v>
      </c>
      <c r="K214" s="5"/>
      <c r="L214" s="129"/>
      <c r="M214" s="130"/>
      <c r="N214" s="131"/>
      <c r="O214" s="6">
        <v>6.83</v>
      </c>
      <c r="P214" s="6">
        <v>-3.66</v>
      </c>
      <c r="Q214" s="6">
        <f t="shared" si="28"/>
        <v>-30</v>
      </c>
      <c r="R214" s="6">
        <v>-0.3</v>
      </c>
      <c r="S214" s="129"/>
      <c r="T214" s="130"/>
      <c r="U214" s="130"/>
      <c r="V214" s="130"/>
      <c r="W214" s="131"/>
      <c r="X214" s="6" t="s">
        <v>4</v>
      </c>
      <c r="Y214" s="136"/>
      <c r="Z214" s="5" t="s">
        <v>28</v>
      </c>
      <c r="AA214" s="141"/>
      <c r="AB214" s="142"/>
      <c r="AC214" s="142"/>
      <c r="AD214" s="142"/>
      <c r="AE214" s="142"/>
      <c r="AF214" s="142"/>
      <c r="AG214" s="142"/>
      <c r="AH214" s="142"/>
      <c r="AI214" s="142"/>
      <c r="AJ214" s="143"/>
    </row>
    <row r="215" spans="9:36" x14ac:dyDescent="0.25">
      <c r="I215" s="124"/>
      <c r="J215" s="5" t="s">
        <v>144</v>
      </c>
      <c r="K215" s="5"/>
      <c r="L215" s="129"/>
      <c r="M215" s="130"/>
      <c r="N215" s="131"/>
      <c r="O215" s="6">
        <v>6.39</v>
      </c>
      <c r="P215" s="6">
        <v>-3.4699999999999989</v>
      </c>
      <c r="Q215" s="6">
        <f t="shared" si="28"/>
        <v>-30</v>
      </c>
      <c r="R215" s="6">
        <v>-0.71</v>
      </c>
      <c r="S215" s="129"/>
      <c r="T215" s="130"/>
      <c r="U215" s="130"/>
      <c r="V215" s="130"/>
      <c r="W215" s="131"/>
      <c r="X215" s="6" t="s">
        <v>4</v>
      </c>
      <c r="Y215" s="136"/>
      <c r="Z215" s="5" t="s">
        <v>28</v>
      </c>
      <c r="AA215" s="141"/>
      <c r="AB215" s="142"/>
      <c r="AC215" s="142"/>
      <c r="AD215" s="142"/>
      <c r="AE215" s="142"/>
      <c r="AF215" s="142"/>
      <c r="AG215" s="142"/>
      <c r="AH215" s="142"/>
      <c r="AI215" s="142"/>
      <c r="AJ215" s="143"/>
    </row>
    <row r="216" spans="9:36" x14ac:dyDescent="0.25">
      <c r="I216" s="124"/>
      <c r="J216" s="5" t="s">
        <v>145</v>
      </c>
      <c r="K216" s="5"/>
      <c r="L216" s="129"/>
      <c r="M216" s="130"/>
      <c r="N216" s="131"/>
      <c r="O216" s="6">
        <v>5.95</v>
      </c>
      <c r="P216" s="6">
        <v>-3.6000000000000014</v>
      </c>
      <c r="Q216" s="6">
        <f t="shared" si="28"/>
        <v>-30</v>
      </c>
      <c r="R216" s="6">
        <v>-1.1200000000000001</v>
      </c>
      <c r="S216" s="129"/>
      <c r="T216" s="130"/>
      <c r="U216" s="130"/>
      <c r="V216" s="130"/>
      <c r="W216" s="131"/>
      <c r="X216" s="6">
        <v>-9.5600000000000004E-2</v>
      </c>
      <c r="Y216" s="136"/>
      <c r="Z216" s="5" t="s">
        <v>27</v>
      </c>
      <c r="AA216" s="141"/>
      <c r="AB216" s="142"/>
      <c r="AC216" s="142"/>
      <c r="AD216" s="142"/>
      <c r="AE216" s="142"/>
      <c r="AF216" s="142"/>
      <c r="AG216" s="142"/>
      <c r="AH216" s="142"/>
      <c r="AI216" s="142"/>
      <c r="AJ216" s="143"/>
    </row>
    <row r="217" spans="9:36" x14ac:dyDescent="0.25">
      <c r="I217" s="124"/>
      <c r="J217" s="5" t="s">
        <v>146</v>
      </c>
      <c r="K217" s="5"/>
      <c r="L217" s="129"/>
      <c r="M217" s="130"/>
      <c r="N217" s="131"/>
      <c r="O217" s="6">
        <v>5.52</v>
      </c>
      <c r="P217" s="6">
        <v>-3.629999999999999</v>
      </c>
      <c r="Q217" s="6">
        <f t="shared" si="28"/>
        <v>-30</v>
      </c>
      <c r="R217" s="6">
        <v>-1.53</v>
      </c>
      <c r="S217" s="129"/>
      <c r="T217" s="130"/>
      <c r="U217" s="130"/>
      <c r="V217" s="130"/>
      <c r="W217" s="131"/>
      <c r="X217" s="6">
        <v>-0.53210000000000002</v>
      </c>
      <c r="Y217" s="136"/>
      <c r="Z217" s="5" t="s">
        <v>27</v>
      </c>
      <c r="AA217" s="141"/>
      <c r="AB217" s="142"/>
      <c r="AC217" s="142"/>
      <c r="AD217" s="142"/>
      <c r="AE217" s="142"/>
      <c r="AF217" s="142"/>
      <c r="AG217" s="142"/>
      <c r="AH217" s="142"/>
      <c r="AI217" s="142"/>
      <c r="AJ217" s="143"/>
    </row>
    <row r="218" spans="9:36" x14ac:dyDescent="0.25">
      <c r="I218" s="124"/>
      <c r="J218" s="5" t="s">
        <v>147</v>
      </c>
      <c r="K218" s="5"/>
      <c r="L218" s="129"/>
      <c r="M218" s="130"/>
      <c r="N218" s="131"/>
      <c r="O218" s="6">
        <v>5.08</v>
      </c>
      <c r="P218" s="6">
        <v>-3.6099999999999994</v>
      </c>
      <c r="Q218" s="6">
        <f t="shared" si="28"/>
        <v>-30</v>
      </c>
      <c r="R218" s="6">
        <v>-1.94</v>
      </c>
      <c r="S218" s="129"/>
      <c r="T218" s="130"/>
      <c r="U218" s="130"/>
      <c r="V218" s="130"/>
      <c r="W218" s="131"/>
      <c r="X218" s="6">
        <v>-0.97089999999999999</v>
      </c>
      <c r="Y218" s="136"/>
      <c r="Z218" s="5" t="s">
        <v>27</v>
      </c>
      <c r="AA218" s="141"/>
      <c r="AB218" s="142"/>
      <c r="AC218" s="142"/>
      <c r="AD218" s="142"/>
      <c r="AE218" s="142"/>
      <c r="AF218" s="142"/>
      <c r="AG218" s="142"/>
      <c r="AH218" s="142"/>
      <c r="AI218" s="142"/>
      <c r="AJ218" s="143"/>
    </row>
    <row r="219" spans="9:36" x14ac:dyDescent="0.25">
      <c r="I219" s="124"/>
      <c r="J219" s="5" t="s">
        <v>148</v>
      </c>
      <c r="K219" s="5"/>
      <c r="L219" s="129"/>
      <c r="M219" s="130"/>
      <c r="N219" s="131"/>
      <c r="O219" s="6">
        <v>4.6399999999999997</v>
      </c>
      <c r="P219" s="6">
        <v>-3.629999999999999</v>
      </c>
      <c r="Q219" s="6">
        <f t="shared" si="28"/>
        <v>-30</v>
      </c>
      <c r="R219" s="6">
        <v>-2.36</v>
      </c>
      <c r="S219" s="129"/>
      <c r="T219" s="130"/>
      <c r="U219" s="130"/>
      <c r="V219" s="130"/>
      <c r="W219" s="131"/>
      <c r="X219" s="6">
        <v>-1.4032</v>
      </c>
      <c r="Y219" s="136"/>
      <c r="Z219" s="5" t="s">
        <v>27</v>
      </c>
      <c r="AA219" s="141"/>
      <c r="AB219" s="142"/>
      <c r="AC219" s="142"/>
      <c r="AD219" s="142"/>
      <c r="AE219" s="142"/>
      <c r="AF219" s="142"/>
      <c r="AG219" s="142"/>
      <c r="AH219" s="142"/>
      <c r="AI219" s="142"/>
      <c r="AJ219" s="143"/>
    </row>
    <row r="220" spans="9:36" x14ac:dyDescent="0.25">
      <c r="I220" s="124"/>
      <c r="J220" s="5" t="s">
        <v>149</v>
      </c>
      <c r="K220" s="5"/>
      <c r="L220" s="129"/>
      <c r="M220" s="130"/>
      <c r="N220" s="131"/>
      <c r="O220" s="6">
        <v>4.2</v>
      </c>
      <c r="P220" s="6">
        <v>-3.5500000000000007</v>
      </c>
      <c r="Q220" s="6">
        <f t="shared" si="28"/>
        <v>-30</v>
      </c>
      <c r="R220" s="6">
        <v>-2.77</v>
      </c>
      <c r="S220" s="129"/>
      <c r="T220" s="130"/>
      <c r="U220" s="130"/>
      <c r="V220" s="130"/>
      <c r="W220" s="131"/>
      <c r="X220" s="6">
        <v>-1.8396999999999999</v>
      </c>
      <c r="Y220" s="136"/>
      <c r="Z220" s="5" t="s">
        <v>27</v>
      </c>
      <c r="AA220" s="141"/>
      <c r="AB220" s="142"/>
      <c r="AC220" s="142"/>
      <c r="AD220" s="142"/>
      <c r="AE220" s="142"/>
      <c r="AF220" s="142"/>
      <c r="AG220" s="142"/>
      <c r="AH220" s="142"/>
      <c r="AI220" s="142"/>
      <c r="AJ220" s="143"/>
    </row>
    <row r="221" spans="9:36" x14ac:dyDescent="0.25">
      <c r="I221" s="124"/>
      <c r="J221" s="5" t="s">
        <v>150</v>
      </c>
      <c r="K221" s="5"/>
      <c r="L221" s="129"/>
      <c r="M221" s="130"/>
      <c r="N221" s="131"/>
      <c r="O221" s="6">
        <v>3.76</v>
      </c>
      <c r="P221" s="6">
        <v>-3.5399999999999991</v>
      </c>
      <c r="Q221" s="6">
        <f t="shared" si="28"/>
        <v>-30</v>
      </c>
      <c r="R221" s="6">
        <v>-3.19</v>
      </c>
      <c r="S221" s="129"/>
      <c r="T221" s="130"/>
      <c r="U221" s="130"/>
      <c r="V221" s="130"/>
      <c r="W221" s="131"/>
      <c r="X221" s="6">
        <v>-2.2804000000000002</v>
      </c>
      <c r="Y221" s="136"/>
      <c r="Z221" s="5" t="s">
        <v>27</v>
      </c>
      <c r="AA221" s="141"/>
      <c r="AB221" s="142"/>
      <c r="AC221" s="142"/>
      <c r="AD221" s="142"/>
      <c r="AE221" s="142"/>
      <c r="AF221" s="142"/>
      <c r="AG221" s="142"/>
      <c r="AH221" s="142"/>
      <c r="AI221" s="142"/>
      <c r="AJ221" s="143"/>
    </row>
    <row r="222" spans="9:36" x14ac:dyDescent="0.25">
      <c r="I222" s="124"/>
      <c r="J222" s="5" t="s">
        <v>151</v>
      </c>
      <c r="K222" s="5"/>
      <c r="L222" s="129"/>
      <c r="M222" s="130"/>
      <c r="N222" s="131"/>
      <c r="O222" s="6">
        <v>3.32</v>
      </c>
      <c r="P222" s="6">
        <v>-3.5399999999999991</v>
      </c>
      <c r="Q222" s="6">
        <f t="shared" si="28"/>
        <v>-30</v>
      </c>
      <c r="R222" s="6">
        <v>-3.61</v>
      </c>
      <c r="S222" s="129"/>
      <c r="T222" s="130"/>
      <c r="U222" s="130"/>
      <c r="V222" s="130"/>
      <c r="W222" s="131"/>
      <c r="X222" s="6">
        <v>-2.7151999999999998</v>
      </c>
      <c r="Y222" s="136"/>
      <c r="Z222" s="5" t="s">
        <v>27</v>
      </c>
      <c r="AA222" s="141"/>
      <c r="AB222" s="142"/>
      <c r="AC222" s="142"/>
      <c r="AD222" s="142"/>
      <c r="AE222" s="142"/>
      <c r="AF222" s="142"/>
      <c r="AG222" s="142"/>
      <c r="AH222" s="142"/>
      <c r="AI222" s="142"/>
      <c r="AJ222" s="143"/>
    </row>
    <row r="223" spans="9:36" x14ac:dyDescent="0.25">
      <c r="I223" s="124"/>
      <c r="J223" s="5" t="s">
        <v>152</v>
      </c>
      <c r="K223" s="5"/>
      <c r="L223" s="129"/>
      <c r="M223" s="130"/>
      <c r="N223" s="131"/>
      <c r="O223" s="6">
        <v>2.89</v>
      </c>
      <c r="P223" s="6">
        <v>-3.5199999999999996</v>
      </c>
      <c r="Q223" s="6">
        <f t="shared" si="28"/>
        <v>-30</v>
      </c>
      <c r="R223" s="6">
        <v>-4.0199999999999996</v>
      </c>
      <c r="S223" s="129"/>
      <c r="T223" s="130"/>
      <c r="U223" s="130"/>
      <c r="V223" s="130"/>
      <c r="W223" s="131"/>
      <c r="X223" s="6">
        <v>-3.1541000000000001</v>
      </c>
      <c r="Y223" s="136"/>
      <c r="Z223" s="5" t="s">
        <v>27</v>
      </c>
      <c r="AA223" s="141"/>
      <c r="AB223" s="142"/>
      <c r="AC223" s="142"/>
      <c r="AD223" s="142"/>
      <c r="AE223" s="142"/>
      <c r="AF223" s="142"/>
      <c r="AG223" s="142"/>
      <c r="AH223" s="142"/>
      <c r="AI223" s="142"/>
      <c r="AJ223" s="143"/>
    </row>
    <row r="224" spans="9:36" x14ac:dyDescent="0.25">
      <c r="I224" s="124"/>
      <c r="J224" s="5" t="s">
        <v>215</v>
      </c>
      <c r="K224" s="5"/>
      <c r="L224" s="129"/>
      <c r="M224" s="130"/>
      <c r="N224" s="131"/>
      <c r="O224" s="6">
        <v>2.4500000000000002</v>
      </c>
      <c r="P224" s="6">
        <v>-3</v>
      </c>
      <c r="Q224" s="6">
        <f t="shared" si="28"/>
        <v>-30</v>
      </c>
      <c r="R224" s="6">
        <v>-4.43</v>
      </c>
      <c r="S224" s="129"/>
      <c r="T224" s="130"/>
      <c r="U224" s="130"/>
      <c r="V224" s="130"/>
      <c r="W224" s="131"/>
      <c r="X224" s="6">
        <v>-3.5863999999999998</v>
      </c>
      <c r="Y224" s="136"/>
      <c r="Z224" s="5" t="s">
        <v>27</v>
      </c>
      <c r="AA224" s="141"/>
      <c r="AB224" s="142"/>
      <c r="AC224" s="142"/>
      <c r="AD224" s="142"/>
      <c r="AE224" s="142"/>
      <c r="AF224" s="142"/>
      <c r="AG224" s="142"/>
      <c r="AH224" s="142"/>
      <c r="AI224" s="142"/>
      <c r="AJ224" s="143"/>
    </row>
    <row r="225" spans="9:36" ht="15.75" thickBot="1" x14ac:dyDescent="0.3">
      <c r="I225" s="125"/>
      <c r="J225" s="13" t="s">
        <v>153</v>
      </c>
      <c r="K225" s="13"/>
      <c r="L225" s="129"/>
      <c r="M225" s="130"/>
      <c r="N225" s="131"/>
      <c r="O225" s="14">
        <v>2.02</v>
      </c>
      <c r="P225" s="14">
        <v>-2.5</v>
      </c>
      <c r="Q225" s="14">
        <f t="shared" si="28"/>
        <v>-30</v>
      </c>
      <c r="R225" s="14">
        <v>-4.84</v>
      </c>
      <c r="S225" s="129"/>
      <c r="T225" s="130"/>
      <c r="U225" s="130"/>
      <c r="V225" s="130"/>
      <c r="W225" s="131"/>
      <c r="X225" s="14">
        <v>-4.0240999999999998</v>
      </c>
      <c r="Y225" s="136"/>
      <c r="Z225" s="13" t="s">
        <v>27</v>
      </c>
      <c r="AA225" s="141"/>
      <c r="AB225" s="142"/>
      <c r="AC225" s="142"/>
      <c r="AD225" s="142"/>
      <c r="AE225" s="142"/>
      <c r="AF225" s="142"/>
      <c r="AG225" s="142"/>
      <c r="AH225" s="142"/>
      <c r="AI225" s="142"/>
      <c r="AJ225" s="143"/>
    </row>
    <row r="226" spans="9:36" x14ac:dyDescent="0.25">
      <c r="I226" s="123" t="s">
        <v>211</v>
      </c>
      <c r="J226" s="8" t="s">
        <v>154</v>
      </c>
      <c r="K226" s="8"/>
      <c r="L226" s="129"/>
      <c r="M226" s="130"/>
      <c r="N226" s="131"/>
      <c r="O226" s="9">
        <v>9.24</v>
      </c>
      <c r="P226" s="35">
        <v>-2.6099999999999994</v>
      </c>
      <c r="Q226" s="9">
        <f t="shared" si="28"/>
        <v>-30</v>
      </c>
      <c r="R226" s="9">
        <v>2.88</v>
      </c>
      <c r="S226" s="129"/>
      <c r="T226" s="130"/>
      <c r="U226" s="130"/>
      <c r="V226" s="130"/>
      <c r="W226" s="131"/>
      <c r="X226" s="9">
        <v>2.0739999999999998</v>
      </c>
      <c r="Y226" s="136"/>
      <c r="Z226" s="8" t="s">
        <v>26</v>
      </c>
      <c r="AA226" s="141"/>
      <c r="AB226" s="142"/>
      <c r="AC226" s="142"/>
      <c r="AD226" s="142"/>
      <c r="AE226" s="142"/>
      <c r="AF226" s="142"/>
      <c r="AG226" s="142"/>
      <c r="AH226" s="142"/>
      <c r="AI226" s="142"/>
      <c r="AJ226" s="143"/>
    </row>
    <row r="227" spans="9:36" x14ac:dyDescent="0.25">
      <c r="I227" s="124"/>
      <c r="J227" s="5" t="s">
        <v>155</v>
      </c>
      <c r="K227" s="5"/>
      <c r="L227" s="129"/>
      <c r="M227" s="130"/>
      <c r="N227" s="131"/>
      <c r="O227" s="6">
        <v>8.86</v>
      </c>
      <c r="P227" s="6">
        <v>-3.75</v>
      </c>
      <c r="Q227" s="6">
        <f t="shared" si="28"/>
        <v>-30</v>
      </c>
      <c r="R227" s="6">
        <v>2.5</v>
      </c>
      <c r="S227" s="129"/>
      <c r="T227" s="130"/>
      <c r="U227" s="130"/>
      <c r="V227" s="130"/>
      <c r="W227" s="131"/>
      <c r="X227" s="6">
        <v>1.694</v>
      </c>
      <c r="Y227" s="136"/>
      <c r="Z227" s="5" t="s">
        <v>26</v>
      </c>
      <c r="AA227" s="141"/>
      <c r="AB227" s="142"/>
      <c r="AC227" s="142"/>
      <c r="AD227" s="142"/>
      <c r="AE227" s="142"/>
      <c r="AF227" s="142"/>
      <c r="AG227" s="142"/>
      <c r="AH227" s="142"/>
      <c r="AI227" s="142"/>
      <c r="AJ227" s="143"/>
    </row>
    <row r="228" spans="9:36" x14ac:dyDescent="0.25">
      <c r="I228" s="124"/>
      <c r="J228" s="5" t="s">
        <v>156</v>
      </c>
      <c r="K228" s="5"/>
      <c r="L228" s="129"/>
      <c r="M228" s="130"/>
      <c r="N228" s="131"/>
      <c r="O228" s="6">
        <v>8.39</v>
      </c>
      <c r="P228" s="6">
        <v>-3.66</v>
      </c>
      <c r="Q228" s="6">
        <f t="shared" si="28"/>
        <v>-30</v>
      </c>
      <c r="R228" s="6">
        <v>2.02</v>
      </c>
      <c r="S228" s="129"/>
      <c r="T228" s="130"/>
      <c r="U228" s="130"/>
      <c r="V228" s="130"/>
      <c r="W228" s="131"/>
      <c r="X228" s="6">
        <v>1.2161999999999999</v>
      </c>
      <c r="Y228" s="136"/>
      <c r="Z228" s="5" t="s">
        <v>26</v>
      </c>
      <c r="AA228" s="141"/>
      <c r="AB228" s="142"/>
      <c r="AC228" s="142"/>
      <c r="AD228" s="142"/>
      <c r="AE228" s="142"/>
      <c r="AF228" s="142"/>
      <c r="AG228" s="142"/>
      <c r="AH228" s="142"/>
      <c r="AI228" s="142"/>
      <c r="AJ228" s="143"/>
    </row>
    <row r="229" spans="9:36" x14ac:dyDescent="0.25">
      <c r="I229" s="124"/>
      <c r="J229" s="5" t="s">
        <v>157</v>
      </c>
      <c r="K229" s="5"/>
      <c r="L229" s="129"/>
      <c r="M229" s="130"/>
      <c r="N229" s="131"/>
      <c r="O229" s="6">
        <v>7.91</v>
      </c>
      <c r="P229" s="6">
        <v>-3.4699999999999989</v>
      </c>
      <c r="Q229" s="6">
        <f t="shared" si="28"/>
        <v>-30</v>
      </c>
      <c r="R229" s="6">
        <v>1.54</v>
      </c>
      <c r="S229" s="129"/>
      <c r="T229" s="130"/>
      <c r="U229" s="130"/>
      <c r="V229" s="130"/>
      <c r="W229" s="131"/>
      <c r="X229" s="6">
        <v>0.73299999999999998</v>
      </c>
      <c r="Y229" s="136"/>
      <c r="Z229" s="5" t="s">
        <v>26</v>
      </c>
      <c r="AA229" s="141"/>
      <c r="AB229" s="142"/>
      <c r="AC229" s="142"/>
      <c r="AD229" s="142"/>
      <c r="AE229" s="142"/>
      <c r="AF229" s="142"/>
      <c r="AG229" s="142"/>
      <c r="AH229" s="142"/>
      <c r="AI229" s="142"/>
      <c r="AJ229" s="143"/>
    </row>
    <row r="230" spans="9:36" x14ac:dyDescent="0.25">
      <c r="I230" s="124"/>
      <c r="J230" s="5" t="s">
        <v>158</v>
      </c>
      <c r="K230" s="5"/>
      <c r="L230" s="129"/>
      <c r="M230" s="130"/>
      <c r="N230" s="131"/>
      <c r="O230" s="6">
        <v>7.44</v>
      </c>
      <c r="P230" s="6">
        <v>-3.6000000000000014</v>
      </c>
      <c r="Q230" s="6">
        <f t="shared" si="28"/>
        <v>-30</v>
      </c>
      <c r="R230" s="6">
        <v>1.06</v>
      </c>
      <c r="S230" s="129"/>
      <c r="T230" s="130"/>
      <c r="U230" s="130"/>
      <c r="V230" s="130"/>
      <c r="W230" s="131"/>
      <c r="X230" s="6">
        <v>0.2606</v>
      </c>
      <c r="Y230" s="136"/>
      <c r="Z230" s="5" t="s">
        <v>26</v>
      </c>
      <c r="AA230" s="141"/>
      <c r="AB230" s="142"/>
      <c r="AC230" s="142"/>
      <c r="AD230" s="142"/>
      <c r="AE230" s="142"/>
      <c r="AF230" s="142"/>
      <c r="AG230" s="142"/>
      <c r="AH230" s="142"/>
      <c r="AI230" s="142"/>
      <c r="AJ230" s="143"/>
    </row>
    <row r="231" spans="9:36" x14ac:dyDescent="0.25">
      <c r="I231" s="124"/>
      <c r="J231" s="5" t="s">
        <v>159</v>
      </c>
      <c r="K231" s="5"/>
      <c r="L231" s="129"/>
      <c r="M231" s="130"/>
      <c r="N231" s="131"/>
      <c r="O231" s="6">
        <v>6.96</v>
      </c>
      <c r="P231" s="6">
        <v>-3.629999999999999</v>
      </c>
      <c r="Q231" s="6">
        <f t="shared" si="28"/>
        <v>-30</v>
      </c>
      <c r="R231" s="6">
        <v>0.57999999999999996</v>
      </c>
      <c r="S231" s="129"/>
      <c r="T231" s="130"/>
      <c r="U231" s="130"/>
      <c r="V231" s="130"/>
      <c r="W231" s="131"/>
      <c r="X231" s="6" t="s">
        <v>4</v>
      </c>
      <c r="Y231" s="136"/>
      <c r="Z231" s="5" t="s">
        <v>28</v>
      </c>
      <c r="AA231" s="141"/>
      <c r="AB231" s="142"/>
      <c r="AC231" s="142"/>
      <c r="AD231" s="142"/>
      <c r="AE231" s="142"/>
      <c r="AF231" s="142"/>
      <c r="AG231" s="142"/>
      <c r="AH231" s="142"/>
      <c r="AI231" s="142"/>
      <c r="AJ231" s="143"/>
    </row>
    <row r="232" spans="9:36" x14ac:dyDescent="0.25">
      <c r="I232" s="124"/>
      <c r="J232" s="5" t="s">
        <v>160</v>
      </c>
      <c r="K232" s="5"/>
      <c r="L232" s="129"/>
      <c r="M232" s="130"/>
      <c r="N232" s="131"/>
      <c r="O232" s="6">
        <v>6.48</v>
      </c>
      <c r="P232" s="6">
        <v>-3.6099999999999994</v>
      </c>
      <c r="Q232" s="6">
        <f t="shared" si="28"/>
        <v>-30</v>
      </c>
      <c r="R232" s="6">
        <v>0.1</v>
      </c>
      <c r="S232" s="129"/>
      <c r="T232" s="130"/>
      <c r="U232" s="130"/>
      <c r="V232" s="130"/>
      <c r="W232" s="131"/>
      <c r="X232" s="6" t="s">
        <v>4</v>
      </c>
      <c r="Y232" s="136"/>
      <c r="Z232" s="5" t="s">
        <v>28</v>
      </c>
      <c r="AA232" s="141"/>
      <c r="AB232" s="142"/>
      <c r="AC232" s="142"/>
      <c r="AD232" s="142"/>
      <c r="AE232" s="142"/>
      <c r="AF232" s="142"/>
      <c r="AG232" s="142"/>
      <c r="AH232" s="142"/>
      <c r="AI232" s="142"/>
      <c r="AJ232" s="143"/>
    </row>
    <row r="233" spans="9:36" x14ac:dyDescent="0.25">
      <c r="I233" s="124"/>
      <c r="J233" s="5" t="s">
        <v>161</v>
      </c>
      <c r="K233" s="5"/>
      <c r="L233" s="129"/>
      <c r="M233" s="130"/>
      <c r="N233" s="131"/>
      <c r="O233" s="6">
        <v>6.01</v>
      </c>
      <c r="P233" s="6">
        <v>-3.629999999999999</v>
      </c>
      <c r="Q233" s="6">
        <f t="shared" si="28"/>
        <v>-30</v>
      </c>
      <c r="R233" s="6">
        <v>-0.38</v>
      </c>
      <c r="S233" s="129"/>
      <c r="T233" s="130"/>
      <c r="U233" s="130"/>
      <c r="V233" s="130"/>
      <c r="W233" s="131"/>
      <c r="X233" s="6">
        <v>-0.11940000000000001</v>
      </c>
      <c r="Y233" s="136"/>
      <c r="Z233" s="5" t="s">
        <v>27</v>
      </c>
      <c r="AA233" s="141"/>
      <c r="AB233" s="142"/>
      <c r="AC233" s="142"/>
      <c r="AD233" s="142"/>
      <c r="AE233" s="142"/>
      <c r="AF233" s="142"/>
      <c r="AG233" s="142"/>
      <c r="AH233" s="142"/>
      <c r="AI233" s="142"/>
      <c r="AJ233" s="143"/>
    </row>
    <row r="234" spans="9:36" x14ac:dyDescent="0.25">
      <c r="I234" s="124"/>
      <c r="J234" s="5" t="s">
        <v>162</v>
      </c>
      <c r="K234" s="5"/>
      <c r="L234" s="129"/>
      <c r="M234" s="130"/>
      <c r="N234" s="131"/>
      <c r="O234" s="6">
        <v>5.53</v>
      </c>
      <c r="P234" s="6">
        <v>-3.5500000000000007</v>
      </c>
      <c r="Q234" s="6">
        <f t="shared" si="28"/>
        <v>-30</v>
      </c>
      <c r="R234" s="6">
        <v>-0.86</v>
      </c>
      <c r="S234" s="129"/>
      <c r="T234" s="130"/>
      <c r="U234" s="130"/>
      <c r="V234" s="130"/>
      <c r="W234" s="131"/>
      <c r="X234" s="6">
        <v>-0.60940000000000005</v>
      </c>
      <c r="Y234" s="136"/>
      <c r="Z234" s="5" t="s">
        <v>27</v>
      </c>
      <c r="AA234" s="141"/>
      <c r="AB234" s="142"/>
      <c r="AC234" s="142"/>
      <c r="AD234" s="142"/>
      <c r="AE234" s="142"/>
      <c r="AF234" s="142"/>
      <c r="AG234" s="142"/>
      <c r="AH234" s="142"/>
      <c r="AI234" s="142"/>
      <c r="AJ234" s="143"/>
    </row>
    <row r="235" spans="9:36" x14ac:dyDescent="0.25">
      <c r="I235" s="124"/>
      <c r="J235" s="5" t="s">
        <v>163</v>
      </c>
      <c r="K235" s="5"/>
      <c r="L235" s="129"/>
      <c r="M235" s="130"/>
      <c r="N235" s="131"/>
      <c r="O235" s="6">
        <v>5.0599999999999996</v>
      </c>
      <c r="P235" s="6">
        <v>-3.5399999999999991</v>
      </c>
      <c r="Q235" s="6">
        <f t="shared" si="28"/>
        <v>-30</v>
      </c>
      <c r="R235" s="6">
        <v>-1.34</v>
      </c>
      <c r="S235" s="129"/>
      <c r="T235" s="130"/>
      <c r="U235" s="130"/>
      <c r="V235" s="130"/>
      <c r="W235" s="131"/>
      <c r="X235" s="6">
        <v>-1.0790999999999999</v>
      </c>
      <c r="Y235" s="136"/>
      <c r="Z235" s="5" t="s">
        <v>27</v>
      </c>
      <c r="AA235" s="141"/>
      <c r="AB235" s="142"/>
      <c r="AC235" s="142"/>
      <c r="AD235" s="142"/>
      <c r="AE235" s="142"/>
      <c r="AF235" s="142"/>
      <c r="AG235" s="142"/>
      <c r="AH235" s="142"/>
      <c r="AI235" s="142"/>
      <c r="AJ235" s="143"/>
    </row>
    <row r="236" spans="9:36" x14ac:dyDescent="0.25">
      <c r="I236" s="124"/>
      <c r="J236" s="5" t="s">
        <v>164</v>
      </c>
      <c r="K236" s="5"/>
      <c r="L236" s="129"/>
      <c r="M236" s="130"/>
      <c r="N236" s="131"/>
      <c r="O236" s="6">
        <v>4.58</v>
      </c>
      <c r="P236" s="6">
        <v>-3.5399999999999991</v>
      </c>
      <c r="Q236" s="6">
        <f t="shared" si="28"/>
        <v>-30</v>
      </c>
      <c r="R236" s="6">
        <v>-1.83</v>
      </c>
      <c r="S236" s="129"/>
      <c r="T236" s="130"/>
      <c r="U236" s="130"/>
      <c r="V236" s="130"/>
      <c r="W236" s="131"/>
      <c r="X236" s="6">
        <v>-1.5556000000000001</v>
      </c>
      <c r="Y236" s="136"/>
      <c r="Z236" s="5" t="s">
        <v>27</v>
      </c>
      <c r="AA236" s="141"/>
      <c r="AB236" s="142"/>
      <c r="AC236" s="142"/>
      <c r="AD236" s="142"/>
      <c r="AE236" s="142"/>
      <c r="AF236" s="142"/>
      <c r="AG236" s="142"/>
      <c r="AH236" s="142"/>
      <c r="AI236" s="142"/>
      <c r="AJ236" s="143"/>
    </row>
    <row r="237" spans="9:36" ht="15.75" thickBot="1" x14ac:dyDescent="0.3">
      <c r="I237" s="125"/>
      <c r="J237" s="13" t="s">
        <v>165</v>
      </c>
      <c r="K237" s="13"/>
      <c r="L237" s="129"/>
      <c r="M237" s="130"/>
      <c r="N237" s="131"/>
      <c r="O237" s="14">
        <v>4.0999999999999996</v>
      </c>
      <c r="P237" s="6">
        <v>-3.5199999999999996</v>
      </c>
      <c r="Q237" s="14">
        <f t="shared" si="28"/>
        <v>-30</v>
      </c>
      <c r="R237" s="14">
        <v>-2.31</v>
      </c>
      <c r="S237" s="129"/>
      <c r="T237" s="130"/>
      <c r="U237" s="130"/>
      <c r="V237" s="130"/>
      <c r="W237" s="131"/>
      <c r="X237" s="14">
        <v>-2.032</v>
      </c>
      <c r="Y237" s="136"/>
      <c r="Z237" s="13" t="s">
        <v>27</v>
      </c>
      <c r="AA237" s="141"/>
      <c r="AB237" s="142"/>
      <c r="AC237" s="142"/>
      <c r="AD237" s="142"/>
      <c r="AE237" s="142"/>
      <c r="AF237" s="142"/>
      <c r="AG237" s="142"/>
      <c r="AH237" s="142"/>
      <c r="AI237" s="142"/>
      <c r="AJ237" s="143"/>
    </row>
    <row r="238" spans="9:36" x14ac:dyDescent="0.25">
      <c r="I238" s="123" t="s">
        <v>212</v>
      </c>
      <c r="J238" s="8" t="s">
        <v>166</v>
      </c>
      <c r="K238" s="8"/>
      <c r="L238" s="129"/>
      <c r="M238" s="130"/>
      <c r="N238" s="131"/>
      <c r="O238" s="9">
        <v>9.08</v>
      </c>
      <c r="P238" s="35">
        <v>-2.6099999999999994</v>
      </c>
      <c r="Q238" s="9">
        <f t="shared" si="28"/>
        <v>-30</v>
      </c>
      <c r="R238" s="9">
        <v>2.52</v>
      </c>
      <c r="S238" s="129"/>
      <c r="T238" s="130"/>
      <c r="U238" s="130"/>
      <c r="V238" s="130"/>
      <c r="W238" s="131"/>
      <c r="X238" s="9">
        <v>1.9852000000000001</v>
      </c>
      <c r="Y238" s="136"/>
      <c r="Z238" s="8" t="s">
        <v>26</v>
      </c>
      <c r="AA238" s="141"/>
      <c r="AB238" s="142"/>
      <c r="AC238" s="142"/>
      <c r="AD238" s="142"/>
      <c r="AE238" s="142"/>
      <c r="AF238" s="142"/>
      <c r="AG238" s="142"/>
      <c r="AH238" s="142"/>
      <c r="AI238" s="142"/>
      <c r="AJ238" s="143"/>
    </row>
    <row r="239" spans="9:36" x14ac:dyDescent="0.25">
      <c r="I239" s="124"/>
      <c r="J239" s="5" t="s">
        <v>167</v>
      </c>
      <c r="K239" s="5"/>
      <c r="L239" s="129"/>
      <c r="M239" s="130"/>
      <c r="N239" s="131"/>
      <c r="O239" s="6">
        <v>8.6999999999999993</v>
      </c>
      <c r="P239" s="6">
        <v>-3.75</v>
      </c>
      <c r="Q239" s="6">
        <f t="shared" si="28"/>
        <v>-30</v>
      </c>
      <c r="R239" s="6">
        <v>2.13</v>
      </c>
      <c r="S239" s="129"/>
      <c r="T239" s="130"/>
      <c r="U239" s="130"/>
      <c r="V239" s="130"/>
      <c r="W239" s="131"/>
      <c r="X239" s="6">
        <v>1.6043000000000001</v>
      </c>
      <c r="Y239" s="136"/>
      <c r="Z239" s="5" t="s">
        <v>26</v>
      </c>
      <c r="AA239" s="141"/>
      <c r="AB239" s="142"/>
      <c r="AC239" s="142"/>
      <c r="AD239" s="142"/>
      <c r="AE239" s="142"/>
      <c r="AF239" s="142"/>
      <c r="AG239" s="142"/>
      <c r="AH239" s="142"/>
      <c r="AI239" s="142"/>
      <c r="AJ239" s="143"/>
    </row>
    <row r="240" spans="9:36" x14ac:dyDescent="0.25">
      <c r="I240" s="124"/>
      <c r="J240" s="5" t="s">
        <v>168</v>
      </c>
      <c r="K240" s="5"/>
      <c r="L240" s="129"/>
      <c r="M240" s="130"/>
      <c r="N240" s="131"/>
      <c r="O240" s="6">
        <v>8.2200000000000006</v>
      </c>
      <c r="P240" s="6">
        <v>-3.66</v>
      </c>
      <c r="Q240" s="6">
        <f t="shared" si="28"/>
        <v>-30</v>
      </c>
      <c r="R240" s="6">
        <v>1.65</v>
      </c>
      <c r="S240" s="129"/>
      <c r="T240" s="130"/>
      <c r="U240" s="130"/>
      <c r="V240" s="130"/>
      <c r="W240" s="131"/>
      <c r="X240" s="6">
        <v>1.121</v>
      </c>
      <c r="Y240" s="136"/>
      <c r="Z240" s="5" t="s">
        <v>26</v>
      </c>
      <c r="AA240" s="141"/>
      <c r="AB240" s="142"/>
      <c r="AC240" s="142"/>
      <c r="AD240" s="142"/>
      <c r="AE240" s="142"/>
      <c r="AF240" s="142"/>
      <c r="AG240" s="142"/>
      <c r="AH240" s="142"/>
      <c r="AI240" s="142"/>
      <c r="AJ240" s="143"/>
    </row>
    <row r="241" spans="9:36" x14ac:dyDescent="0.25">
      <c r="I241" s="124"/>
      <c r="J241" s="5" t="s">
        <v>169</v>
      </c>
      <c r="K241" s="5"/>
      <c r="L241" s="129"/>
      <c r="M241" s="130"/>
      <c r="N241" s="131"/>
      <c r="O241" s="6">
        <v>7.75</v>
      </c>
      <c r="P241" s="6">
        <v>-3.4699999999999989</v>
      </c>
      <c r="Q241" s="6">
        <f t="shared" si="28"/>
        <v>-30</v>
      </c>
      <c r="R241" s="6">
        <v>1.17</v>
      </c>
      <c r="S241" s="129"/>
      <c r="T241" s="130"/>
      <c r="U241" s="130"/>
      <c r="V241" s="130"/>
      <c r="W241" s="131"/>
      <c r="X241" s="6">
        <v>0.64670000000000005</v>
      </c>
      <c r="Y241" s="136"/>
      <c r="Z241" s="5" t="s">
        <v>26</v>
      </c>
      <c r="AA241" s="141"/>
      <c r="AB241" s="142"/>
      <c r="AC241" s="142"/>
      <c r="AD241" s="142"/>
      <c r="AE241" s="142"/>
      <c r="AF241" s="142"/>
      <c r="AG241" s="142"/>
      <c r="AH241" s="142"/>
      <c r="AI241" s="142"/>
      <c r="AJ241" s="143"/>
    </row>
    <row r="242" spans="9:36" x14ac:dyDescent="0.25">
      <c r="I242" s="124"/>
      <c r="J242" s="5" t="s">
        <v>170</v>
      </c>
      <c r="K242" s="5"/>
      <c r="L242" s="129"/>
      <c r="M242" s="130"/>
      <c r="N242" s="131"/>
      <c r="O242" s="6">
        <v>7.26</v>
      </c>
      <c r="P242" s="6">
        <v>-3.6000000000000014</v>
      </c>
      <c r="Q242" s="6">
        <f t="shared" si="28"/>
        <v>-30</v>
      </c>
      <c r="R242" s="6">
        <v>0.68</v>
      </c>
      <c r="S242" s="129"/>
      <c r="T242" s="130"/>
      <c r="U242" s="130"/>
      <c r="V242" s="130"/>
      <c r="W242" s="131"/>
      <c r="X242" s="6">
        <v>0.16880000000000001</v>
      </c>
      <c r="Y242" s="136"/>
      <c r="Z242" s="5" t="s">
        <v>26</v>
      </c>
      <c r="AA242" s="141"/>
      <c r="AB242" s="142"/>
      <c r="AC242" s="142"/>
      <c r="AD242" s="142"/>
      <c r="AE242" s="142"/>
      <c r="AF242" s="142"/>
      <c r="AG242" s="142"/>
      <c r="AH242" s="142"/>
      <c r="AI242" s="142"/>
      <c r="AJ242" s="143"/>
    </row>
    <row r="243" spans="9:36" x14ac:dyDescent="0.25">
      <c r="I243" s="124"/>
      <c r="J243" s="5" t="s">
        <v>171</v>
      </c>
      <c r="K243" s="5"/>
      <c r="L243" s="129"/>
      <c r="M243" s="130"/>
      <c r="N243" s="131"/>
      <c r="O243" s="6">
        <v>6.79</v>
      </c>
      <c r="P243" s="6">
        <v>-3.629999999999999</v>
      </c>
      <c r="Q243" s="6">
        <f t="shared" si="28"/>
        <v>-30</v>
      </c>
      <c r="R243" s="6">
        <v>0.2</v>
      </c>
      <c r="S243" s="129"/>
      <c r="T243" s="130"/>
      <c r="U243" s="130"/>
      <c r="V243" s="130"/>
      <c r="W243" s="131"/>
      <c r="X243" s="6" t="s">
        <v>4</v>
      </c>
      <c r="Y243" s="136"/>
      <c r="Z243" s="5" t="s">
        <v>28</v>
      </c>
      <c r="AA243" s="141"/>
      <c r="AB243" s="142"/>
      <c r="AC243" s="142"/>
      <c r="AD243" s="142"/>
      <c r="AE243" s="142"/>
      <c r="AF243" s="142"/>
      <c r="AG243" s="142"/>
      <c r="AH243" s="142"/>
      <c r="AI243" s="142"/>
      <c r="AJ243" s="143"/>
    </row>
    <row r="244" spans="9:36" x14ac:dyDescent="0.25">
      <c r="I244" s="124"/>
      <c r="J244" s="5" t="s">
        <v>172</v>
      </c>
      <c r="K244" s="5"/>
      <c r="L244" s="129"/>
      <c r="M244" s="130"/>
      <c r="N244" s="131"/>
      <c r="O244" s="6">
        <v>6.31</v>
      </c>
      <c r="P244" s="6">
        <v>-3.6099999999999994</v>
      </c>
      <c r="Q244" s="6">
        <f t="shared" si="28"/>
        <v>-30</v>
      </c>
      <c r="R244" s="6">
        <v>-0.28000000000000003</v>
      </c>
      <c r="S244" s="129"/>
      <c r="T244" s="130"/>
      <c r="U244" s="130"/>
      <c r="V244" s="130"/>
      <c r="W244" s="131"/>
      <c r="X244" s="6" t="s">
        <v>4</v>
      </c>
      <c r="Y244" s="136"/>
      <c r="Z244" s="5" t="s">
        <v>28</v>
      </c>
      <c r="AA244" s="141"/>
      <c r="AB244" s="142"/>
      <c r="AC244" s="142"/>
      <c r="AD244" s="142"/>
      <c r="AE244" s="142"/>
      <c r="AF244" s="142"/>
      <c r="AG244" s="142"/>
      <c r="AH244" s="142"/>
      <c r="AI244" s="142"/>
      <c r="AJ244" s="143"/>
    </row>
    <row r="245" spans="9:36" x14ac:dyDescent="0.25">
      <c r="I245" s="124"/>
      <c r="J245" s="5" t="s">
        <v>173</v>
      </c>
      <c r="K245" s="5"/>
      <c r="L245" s="129"/>
      <c r="M245" s="130"/>
      <c r="N245" s="131"/>
      <c r="O245" s="6">
        <v>5.83</v>
      </c>
      <c r="P245" s="6">
        <v>-3.629999999999999</v>
      </c>
      <c r="Q245" s="6">
        <f t="shared" si="28"/>
        <v>-30</v>
      </c>
      <c r="R245" s="6">
        <v>-0.77</v>
      </c>
      <c r="S245" s="129"/>
      <c r="T245" s="130"/>
      <c r="U245" s="130"/>
      <c r="V245" s="130"/>
      <c r="W245" s="131"/>
      <c r="X245" s="6" t="s">
        <v>4</v>
      </c>
      <c r="Y245" s="136"/>
      <c r="Z245" s="5" t="s">
        <v>28</v>
      </c>
      <c r="AA245" s="141"/>
      <c r="AB245" s="142"/>
      <c r="AC245" s="142"/>
      <c r="AD245" s="142"/>
      <c r="AE245" s="142"/>
      <c r="AF245" s="142"/>
      <c r="AG245" s="142"/>
      <c r="AH245" s="142"/>
      <c r="AI245" s="142"/>
      <c r="AJ245" s="143"/>
    </row>
    <row r="246" spans="9:36" x14ac:dyDescent="0.25">
      <c r="I246" s="124"/>
      <c r="J246" s="5" t="s">
        <v>174</v>
      </c>
      <c r="K246" s="5"/>
      <c r="L246" s="129"/>
      <c r="M246" s="130"/>
      <c r="N246" s="131"/>
      <c r="O246" s="6">
        <v>5.36</v>
      </c>
      <c r="P246" s="6">
        <v>-3.5500000000000007</v>
      </c>
      <c r="Q246" s="6">
        <f t="shared" si="28"/>
        <v>-30</v>
      </c>
      <c r="R246" s="6">
        <v>-1.25</v>
      </c>
      <c r="S246" s="129"/>
      <c r="T246" s="130"/>
      <c r="U246" s="130"/>
      <c r="V246" s="130"/>
      <c r="W246" s="131"/>
      <c r="X246" s="6">
        <v>-0.35749999999999998</v>
      </c>
      <c r="Y246" s="136"/>
      <c r="Z246" s="5" t="s">
        <v>27</v>
      </c>
      <c r="AA246" s="141"/>
      <c r="AB246" s="142"/>
      <c r="AC246" s="142"/>
      <c r="AD246" s="142"/>
      <c r="AE246" s="142"/>
      <c r="AF246" s="142"/>
      <c r="AG246" s="142"/>
      <c r="AH246" s="142"/>
      <c r="AI246" s="142"/>
      <c r="AJ246" s="143"/>
    </row>
    <row r="247" spans="9:36" x14ac:dyDescent="0.25">
      <c r="I247" s="124"/>
      <c r="J247" s="5" t="s">
        <v>175</v>
      </c>
      <c r="K247" s="5"/>
      <c r="L247" s="129"/>
      <c r="M247" s="130"/>
      <c r="N247" s="131"/>
      <c r="O247" s="6">
        <v>4.88</v>
      </c>
      <c r="P247" s="6">
        <v>-3.5399999999999991</v>
      </c>
      <c r="Q247" s="6">
        <f t="shared" si="28"/>
        <v>-30</v>
      </c>
      <c r="R247" s="6">
        <v>-1.74</v>
      </c>
      <c r="S247" s="129"/>
      <c r="T247" s="130"/>
      <c r="U247" s="130"/>
      <c r="V247" s="130"/>
      <c r="W247" s="131"/>
      <c r="X247" s="6">
        <v>-0.83909999999999996</v>
      </c>
      <c r="Y247" s="136"/>
      <c r="Z247" s="5" t="s">
        <v>27</v>
      </c>
      <c r="AA247" s="141"/>
      <c r="AB247" s="142"/>
      <c r="AC247" s="142"/>
      <c r="AD247" s="142"/>
      <c r="AE247" s="142"/>
      <c r="AF247" s="142"/>
      <c r="AG247" s="142"/>
      <c r="AH247" s="142"/>
      <c r="AI247" s="142"/>
      <c r="AJ247" s="143"/>
    </row>
    <row r="248" spans="9:36" x14ac:dyDescent="0.25">
      <c r="I248" s="124"/>
      <c r="J248" s="5" t="s">
        <v>176</v>
      </c>
      <c r="K248" s="5"/>
      <c r="L248" s="129"/>
      <c r="M248" s="130"/>
      <c r="N248" s="131"/>
      <c r="O248" s="6">
        <v>4.4000000000000004</v>
      </c>
      <c r="P248" s="6">
        <v>-3.5399999999999991</v>
      </c>
      <c r="Q248" s="6">
        <f t="shared" si="28"/>
        <v>-30</v>
      </c>
      <c r="R248" s="6">
        <v>-2.2200000000000002</v>
      </c>
      <c r="S248" s="129"/>
      <c r="T248" s="130"/>
      <c r="U248" s="130"/>
      <c r="V248" s="130"/>
      <c r="W248" s="131"/>
      <c r="X248" s="6">
        <v>-1.3239000000000001</v>
      </c>
      <c r="Y248" s="136"/>
      <c r="Z248" s="5" t="s">
        <v>27</v>
      </c>
      <c r="AA248" s="141"/>
      <c r="AB248" s="142"/>
      <c r="AC248" s="142"/>
      <c r="AD248" s="142"/>
      <c r="AE248" s="142"/>
      <c r="AF248" s="142"/>
      <c r="AG248" s="142"/>
      <c r="AH248" s="142"/>
      <c r="AI248" s="142"/>
      <c r="AJ248" s="143"/>
    </row>
    <row r="249" spans="9:36" ht="15.75" thickBot="1" x14ac:dyDescent="0.3">
      <c r="I249" s="125"/>
      <c r="J249" s="13" t="s">
        <v>177</v>
      </c>
      <c r="K249" s="13"/>
      <c r="L249" s="129"/>
      <c r="M249" s="130"/>
      <c r="N249" s="131"/>
      <c r="O249" s="14">
        <v>3.92</v>
      </c>
      <c r="P249" s="6">
        <v>-3.5199999999999996</v>
      </c>
      <c r="Q249" s="14">
        <f t="shared" si="28"/>
        <v>-30</v>
      </c>
      <c r="R249" s="14">
        <v>-2.71</v>
      </c>
      <c r="S249" s="129"/>
      <c r="T249" s="130"/>
      <c r="U249" s="130"/>
      <c r="V249" s="130"/>
      <c r="W249" s="131"/>
      <c r="X249" s="14">
        <v>-1.8059000000000001</v>
      </c>
      <c r="Y249" s="136"/>
      <c r="Z249" s="13" t="s">
        <v>27</v>
      </c>
      <c r="AA249" s="141"/>
      <c r="AB249" s="142"/>
      <c r="AC249" s="142"/>
      <c r="AD249" s="142"/>
      <c r="AE249" s="142"/>
      <c r="AF249" s="142"/>
      <c r="AG249" s="142"/>
      <c r="AH249" s="142"/>
      <c r="AI249" s="142"/>
      <c r="AJ249" s="143"/>
    </row>
    <row r="250" spans="9:36" x14ac:dyDescent="0.25">
      <c r="I250" s="123" t="s">
        <v>214</v>
      </c>
      <c r="J250" s="8" t="s">
        <v>178</v>
      </c>
      <c r="K250" s="8"/>
      <c r="L250" s="129"/>
      <c r="M250" s="130"/>
      <c r="N250" s="131"/>
      <c r="O250" s="9">
        <v>9.1</v>
      </c>
      <c r="P250" s="35">
        <v>-2.6099999999999994</v>
      </c>
      <c r="Q250" s="9">
        <f t="shared" ref="Q250:Q275" si="29">$A$14</f>
        <v>-30</v>
      </c>
      <c r="R250" s="9">
        <v>2.2000000000000002</v>
      </c>
      <c r="S250" s="129"/>
      <c r="T250" s="130"/>
      <c r="U250" s="130"/>
      <c r="V250" s="130"/>
      <c r="W250" s="131"/>
      <c r="X250" s="9">
        <v>1.5661</v>
      </c>
      <c r="Y250" s="136"/>
      <c r="Z250" s="8" t="s">
        <v>26</v>
      </c>
      <c r="AA250" s="141"/>
      <c r="AB250" s="142"/>
      <c r="AC250" s="142"/>
      <c r="AD250" s="142"/>
      <c r="AE250" s="142"/>
      <c r="AF250" s="142"/>
      <c r="AG250" s="142"/>
      <c r="AH250" s="142"/>
      <c r="AI250" s="142"/>
      <c r="AJ250" s="143"/>
    </row>
    <row r="251" spans="9:36" x14ac:dyDescent="0.25">
      <c r="I251" s="124"/>
      <c r="J251" s="5" t="s">
        <v>179</v>
      </c>
      <c r="K251" s="5"/>
      <c r="L251" s="129"/>
      <c r="M251" s="130"/>
      <c r="N251" s="131"/>
      <c r="O251" s="6">
        <v>8.74</v>
      </c>
      <c r="P251" s="6">
        <v>-3.75</v>
      </c>
      <c r="Q251" s="6">
        <f t="shared" si="29"/>
        <v>-30</v>
      </c>
      <c r="R251" s="6">
        <v>1.86</v>
      </c>
      <c r="S251" s="129"/>
      <c r="T251" s="130"/>
      <c r="U251" s="130"/>
      <c r="V251" s="130"/>
      <c r="W251" s="131"/>
      <c r="X251" s="6">
        <v>1.1940999999999999</v>
      </c>
      <c r="Y251" s="136"/>
      <c r="Z251" s="5" t="s">
        <v>26</v>
      </c>
      <c r="AA251" s="141"/>
      <c r="AB251" s="142"/>
      <c r="AC251" s="142"/>
      <c r="AD251" s="142"/>
      <c r="AE251" s="142"/>
      <c r="AF251" s="142"/>
      <c r="AG251" s="142"/>
      <c r="AH251" s="142"/>
      <c r="AI251" s="142"/>
      <c r="AJ251" s="143"/>
    </row>
    <row r="252" spans="9:36" x14ac:dyDescent="0.25">
      <c r="I252" s="124"/>
      <c r="J252" s="5" t="s">
        <v>180</v>
      </c>
      <c r="K252" s="5"/>
      <c r="L252" s="129"/>
      <c r="M252" s="130"/>
      <c r="N252" s="131"/>
      <c r="O252" s="6">
        <v>8.2899999999999991</v>
      </c>
      <c r="P252" s="6">
        <v>-3.66</v>
      </c>
      <c r="Q252" s="6">
        <f t="shared" si="29"/>
        <v>-30</v>
      </c>
      <c r="R252" s="6">
        <v>1.44</v>
      </c>
      <c r="S252" s="129"/>
      <c r="T252" s="130"/>
      <c r="U252" s="130"/>
      <c r="V252" s="130"/>
      <c r="W252" s="131"/>
      <c r="X252" s="6">
        <v>1.7441</v>
      </c>
      <c r="Y252" s="136"/>
      <c r="Z252" s="5" t="s">
        <v>26</v>
      </c>
      <c r="AA252" s="141"/>
      <c r="AB252" s="142"/>
      <c r="AC252" s="142"/>
      <c r="AD252" s="142"/>
      <c r="AE252" s="142"/>
      <c r="AF252" s="142"/>
      <c r="AG252" s="142"/>
      <c r="AH252" s="142"/>
      <c r="AI252" s="142"/>
      <c r="AJ252" s="143"/>
    </row>
    <row r="253" spans="9:36" x14ac:dyDescent="0.25">
      <c r="I253" s="124"/>
      <c r="J253" s="5" t="s">
        <v>181</v>
      </c>
      <c r="K253" s="5"/>
      <c r="L253" s="129"/>
      <c r="M253" s="130"/>
      <c r="N253" s="131"/>
      <c r="O253" s="6">
        <v>7.84</v>
      </c>
      <c r="P253" s="6">
        <v>-3.4699999999999989</v>
      </c>
      <c r="Q253" s="6">
        <f t="shared" si="29"/>
        <v>-30</v>
      </c>
      <c r="R253" s="6">
        <v>1.02</v>
      </c>
      <c r="S253" s="129"/>
      <c r="T253" s="130"/>
      <c r="U253" s="130"/>
      <c r="V253" s="130"/>
      <c r="W253" s="131"/>
      <c r="X253" s="6">
        <v>0.29399999999999998</v>
      </c>
      <c r="Y253" s="136"/>
      <c r="Z253" s="5" t="s">
        <v>26</v>
      </c>
      <c r="AA253" s="141"/>
      <c r="AB253" s="142"/>
      <c r="AC253" s="142"/>
      <c r="AD253" s="142"/>
      <c r="AE253" s="142"/>
      <c r="AF253" s="142"/>
      <c r="AG253" s="142"/>
      <c r="AH253" s="142"/>
      <c r="AI253" s="142"/>
      <c r="AJ253" s="143"/>
    </row>
    <row r="254" spans="9:36" x14ac:dyDescent="0.25">
      <c r="I254" s="124"/>
      <c r="J254" s="5" t="s">
        <v>182</v>
      </c>
      <c r="K254" s="5"/>
      <c r="L254" s="129"/>
      <c r="M254" s="130"/>
      <c r="N254" s="131"/>
      <c r="O254" s="6">
        <v>7.39</v>
      </c>
      <c r="P254" s="6">
        <v>-3.6000000000000014</v>
      </c>
      <c r="Q254" s="6">
        <f t="shared" si="29"/>
        <v>-30</v>
      </c>
      <c r="R254" s="6">
        <v>0.6</v>
      </c>
      <c r="S254" s="129"/>
      <c r="T254" s="130"/>
      <c r="U254" s="130"/>
      <c r="V254" s="130"/>
      <c r="W254" s="131"/>
      <c r="X254" s="6" t="s">
        <v>4</v>
      </c>
      <c r="Y254" s="136"/>
      <c r="Z254" s="5" t="s">
        <v>28</v>
      </c>
      <c r="AA254" s="141"/>
      <c r="AB254" s="142"/>
      <c r="AC254" s="142"/>
      <c r="AD254" s="142"/>
      <c r="AE254" s="142"/>
      <c r="AF254" s="142"/>
      <c r="AG254" s="142"/>
      <c r="AH254" s="142"/>
      <c r="AI254" s="142"/>
      <c r="AJ254" s="143"/>
    </row>
    <row r="255" spans="9:36" x14ac:dyDescent="0.25">
      <c r="I255" s="124"/>
      <c r="J255" s="5" t="s">
        <v>183</v>
      </c>
      <c r="K255" s="5"/>
      <c r="L255" s="129"/>
      <c r="M255" s="130"/>
      <c r="N255" s="131"/>
      <c r="O255" s="6">
        <v>6.94</v>
      </c>
      <c r="P255" s="6">
        <v>-3.629999999999999</v>
      </c>
      <c r="Q255" s="6">
        <f t="shared" si="29"/>
        <v>-30</v>
      </c>
      <c r="R255" s="6">
        <v>0.18</v>
      </c>
      <c r="S255" s="129"/>
      <c r="T255" s="130"/>
      <c r="U255" s="130"/>
      <c r="V255" s="130"/>
      <c r="W255" s="131"/>
      <c r="X255" s="6" t="s">
        <v>4</v>
      </c>
      <c r="Y255" s="136"/>
      <c r="Z255" s="5" t="s">
        <v>28</v>
      </c>
      <c r="AA255" s="141"/>
      <c r="AB255" s="142"/>
      <c r="AC255" s="142"/>
      <c r="AD255" s="142"/>
      <c r="AE255" s="142"/>
      <c r="AF255" s="142"/>
      <c r="AG255" s="142"/>
      <c r="AH255" s="142"/>
      <c r="AI255" s="142"/>
      <c r="AJ255" s="143"/>
    </row>
    <row r="256" spans="9:36" x14ac:dyDescent="0.25">
      <c r="I256" s="124"/>
      <c r="J256" s="5" t="s">
        <v>184</v>
      </c>
      <c r="K256" s="5"/>
      <c r="L256" s="129"/>
      <c r="M256" s="130"/>
      <c r="N256" s="131"/>
      <c r="O256" s="6">
        <v>6.49</v>
      </c>
      <c r="P256" s="6">
        <v>-3.6099999999999994</v>
      </c>
      <c r="Q256" s="6">
        <f t="shared" si="29"/>
        <v>-30</v>
      </c>
      <c r="R256" s="6">
        <v>-0.23</v>
      </c>
      <c r="S256" s="129"/>
      <c r="T256" s="130"/>
      <c r="U256" s="130"/>
      <c r="V256" s="130"/>
      <c r="W256" s="131"/>
      <c r="X256" s="6" t="s">
        <v>4</v>
      </c>
      <c r="Y256" s="136"/>
      <c r="Z256" s="5" t="s">
        <v>28</v>
      </c>
      <c r="AA256" s="141"/>
      <c r="AB256" s="142"/>
      <c r="AC256" s="142"/>
      <c r="AD256" s="142"/>
      <c r="AE256" s="142"/>
      <c r="AF256" s="142"/>
      <c r="AG256" s="142"/>
      <c r="AH256" s="142"/>
      <c r="AI256" s="142"/>
      <c r="AJ256" s="143"/>
    </row>
    <row r="257" spans="9:36" x14ac:dyDescent="0.25">
      <c r="I257" s="124"/>
      <c r="J257" s="5" t="s">
        <v>185</v>
      </c>
      <c r="K257" s="5"/>
      <c r="L257" s="129"/>
      <c r="M257" s="130"/>
      <c r="N257" s="131"/>
      <c r="O257" s="6">
        <v>6.04</v>
      </c>
      <c r="P257" s="6">
        <v>-3.629999999999999</v>
      </c>
      <c r="Q257" s="6">
        <f t="shared" si="29"/>
        <v>-30</v>
      </c>
      <c r="R257" s="6">
        <v>-0.66</v>
      </c>
      <c r="S257" s="129"/>
      <c r="T257" s="130"/>
      <c r="U257" s="130"/>
      <c r="V257" s="130"/>
      <c r="W257" s="131"/>
      <c r="X257" s="6">
        <v>-0.3</v>
      </c>
      <c r="Y257" s="136"/>
      <c r="Z257" s="5" t="s">
        <v>27</v>
      </c>
      <c r="AA257" s="141"/>
      <c r="AB257" s="142"/>
      <c r="AC257" s="142"/>
      <c r="AD257" s="142"/>
      <c r="AE257" s="142"/>
      <c r="AF257" s="142"/>
      <c r="AG257" s="142"/>
      <c r="AH257" s="142"/>
      <c r="AI257" s="142"/>
      <c r="AJ257" s="143"/>
    </row>
    <row r="258" spans="9:36" x14ac:dyDescent="0.25">
      <c r="I258" s="124"/>
      <c r="J258" s="5" t="s">
        <v>186</v>
      </c>
      <c r="K258" s="5"/>
      <c r="L258" s="129"/>
      <c r="M258" s="130"/>
      <c r="N258" s="131"/>
      <c r="O258" s="6">
        <v>5.59</v>
      </c>
      <c r="P258" s="6">
        <v>-3.5500000000000007</v>
      </c>
      <c r="Q258" s="6">
        <f t="shared" si="29"/>
        <v>-30</v>
      </c>
      <c r="R258" s="6">
        <v>-1.0900000000000001</v>
      </c>
      <c r="S258" s="129"/>
      <c r="T258" s="130"/>
      <c r="U258" s="130"/>
      <c r="V258" s="130"/>
      <c r="W258" s="131"/>
      <c r="X258" s="6">
        <v>-0.7641</v>
      </c>
      <c r="Y258" s="136"/>
      <c r="Z258" s="5" t="s">
        <v>27</v>
      </c>
      <c r="AA258" s="141"/>
      <c r="AB258" s="142"/>
      <c r="AC258" s="142"/>
      <c r="AD258" s="142"/>
      <c r="AE258" s="142"/>
      <c r="AF258" s="142"/>
      <c r="AG258" s="142"/>
      <c r="AH258" s="142"/>
      <c r="AI258" s="142"/>
      <c r="AJ258" s="143"/>
    </row>
    <row r="259" spans="9:36" x14ac:dyDescent="0.25">
      <c r="I259" s="124"/>
      <c r="J259" s="5" t="s">
        <v>187</v>
      </c>
      <c r="K259" s="5"/>
      <c r="L259" s="129"/>
      <c r="M259" s="130"/>
      <c r="N259" s="131"/>
      <c r="O259" s="6">
        <v>5.14</v>
      </c>
      <c r="P259" s="6">
        <v>-3.5399999999999991</v>
      </c>
      <c r="Q259" s="6">
        <f t="shared" si="29"/>
        <v>-30</v>
      </c>
      <c r="R259" s="6">
        <v>-1.52</v>
      </c>
      <c r="S259" s="129"/>
      <c r="T259" s="130"/>
      <c r="U259" s="130"/>
      <c r="V259" s="130"/>
      <c r="W259" s="131"/>
      <c r="X259" s="6">
        <v>-1.1820999999999999</v>
      </c>
      <c r="Y259" s="136"/>
      <c r="Z259" s="5" t="s">
        <v>27</v>
      </c>
      <c r="AA259" s="141"/>
      <c r="AB259" s="142"/>
      <c r="AC259" s="142"/>
      <c r="AD259" s="142"/>
      <c r="AE259" s="142"/>
      <c r="AF259" s="142"/>
      <c r="AG259" s="142"/>
      <c r="AH259" s="142"/>
      <c r="AI259" s="142"/>
      <c r="AJ259" s="143"/>
    </row>
    <row r="260" spans="9:36" x14ac:dyDescent="0.25">
      <c r="I260" s="124"/>
      <c r="J260" s="5" t="s">
        <v>188</v>
      </c>
      <c r="K260" s="5"/>
      <c r="L260" s="129"/>
      <c r="M260" s="130"/>
      <c r="N260" s="131"/>
      <c r="O260" s="6">
        <v>4.6900000000000004</v>
      </c>
      <c r="P260" s="6">
        <v>-3.5399999999999991</v>
      </c>
      <c r="Q260" s="6">
        <f t="shared" si="29"/>
        <v>-30</v>
      </c>
      <c r="R260" s="6">
        <v>-1.95</v>
      </c>
      <c r="S260" s="129"/>
      <c r="T260" s="130"/>
      <c r="U260" s="130"/>
      <c r="V260" s="130"/>
      <c r="W260" s="131"/>
      <c r="X260" s="6">
        <v>-1.6561999999999999</v>
      </c>
      <c r="Y260" s="136"/>
      <c r="Z260" s="5" t="s">
        <v>27</v>
      </c>
      <c r="AA260" s="141"/>
      <c r="AB260" s="142"/>
      <c r="AC260" s="142"/>
      <c r="AD260" s="142"/>
      <c r="AE260" s="142"/>
      <c r="AF260" s="142"/>
      <c r="AG260" s="142"/>
      <c r="AH260" s="142"/>
      <c r="AI260" s="142"/>
      <c r="AJ260" s="143"/>
    </row>
    <row r="261" spans="9:36" ht="15.75" thickBot="1" x14ac:dyDescent="0.3">
      <c r="I261" s="125"/>
      <c r="J261" s="13" t="s">
        <v>189</v>
      </c>
      <c r="K261" s="13"/>
      <c r="L261" s="129"/>
      <c r="M261" s="130"/>
      <c r="N261" s="131"/>
      <c r="O261" s="14">
        <v>4.2300000000000004</v>
      </c>
      <c r="P261" s="6">
        <v>-3.5199999999999996</v>
      </c>
      <c r="Q261" s="14">
        <f t="shared" si="29"/>
        <v>-30</v>
      </c>
      <c r="R261" s="14">
        <v>-2.37</v>
      </c>
      <c r="S261" s="129"/>
      <c r="T261" s="130"/>
      <c r="U261" s="130"/>
      <c r="V261" s="130"/>
      <c r="W261" s="131"/>
      <c r="X261" s="14">
        <v>-2.1061999999999999</v>
      </c>
      <c r="Y261" s="136"/>
      <c r="Z261" s="13" t="s">
        <v>27</v>
      </c>
      <c r="AA261" s="141"/>
      <c r="AB261" s="142"/>
      <c r="AC261" s="142"/>
      <c r="AD261" s="142"/>
      <c r="AE261" s="142"/>
      <c r="AF261" s="142"/>
      <c r="AG261" s="142"/>
      <c r="AH261" s="142"/>
      <c r="AI261" s="142"/>
      <c r="AJ261" s="143"/>
    </row>
    <row r="262" spans="9:36" x14ac:dyDescent="0.25">
      <c r="I262" s="123" t="s">
        <v>213</v>
      </c>
      <c r="J262" s="8" t="s">
        <v>190</v>
      </c>
      <c r="K262" s="8"/>
      <c r="L262" s="129"/>
      <c r="M262" s="130"/>
      <c r="N262" s="131"/>
      <c r="O262" s="9">
        <v>7.65</v>
      </c>
      <c r="P262" s="35">
        <v>-2.6099999999999994</v>
      </c>
      <c r="Q262" s="9">
        <f t="shared" si="29"/>
        <v>-30</v>
      </c>
      <c r="R262" s="9">
        <v>0.56000000000000005</v>
      </c>
      <c r="S262" s="129"/>
      <c r="T262" s="130"/>
      <c r="U262" s="130"/>
      <c r="V262" s="130"/>
      <c r="W262" s="131"/>
      <c r="X262" s="9">
        <v>0.47289999999999999</v>
      </c>
      <c r="Y262" s="136"/>
      <c r="Z262" s="8" t="s">
        <v>26</v>
      </c>
      <c r="AA262" s="141"/>
      <c r="AB262" s="142"/>
      <c r="AC262" s="142"/>
      <c r="AD262" s="142"/>
      <c r="AE262" s="142"/>
      <c r="AF262" s="142"/>
      <c r="AG262" s="142"/>
      <c r="AH262" s="142"/>
      <c r="AI262" s="142"/>
      <c r="AJ262" s="143"/>
    </row>
    <row r="263" spans="9:36" x14ac:dyDescent="0.25">
      <c r="I263" s="124"/>
      <c r="J263" s="5" t="s">
        <v>191</v>
      </c>
      <c r="K263" s="5"/>
      <c r="L263" s="129"/>
      <c r="M263" s="130"/>
      <c r="N263" s="131"/>
      <c r="O263" s="6">
        <v>7.32</v>
      </c>
      <c r="P263" s="6">
        <v>-3.75</v>
      </c>
      <c r="Q263" s="6">
        <f t="shared" si="29"/>
        <v>-30</v>
      </c>
      <c r="R263" s="6">
        <v>0.25</v>
      </c>
      <c r="S263" s="129"/>
      <c r="T263" s="130"/>
      <c r="U263" s="130"/>
      <c r="V263" s="130"/>
      <c r="W263" s="131"/>
      <c r="X263" s="6">
        <v>0.1336</v>
      </c>
      <c r="Y263" s="136"/>
      <c r="Z263" s="5" t="s">
        <v>26</v>
      </c>
      <c r="AA263" s="141"/>
      <c r="AB263" s="142"/>
      <c r="AC263" s="142"/>
      <c r="AD263" s="142"/>
      <c r="AE263" s="142"/>
      <c r="AF263" s="142"/>
      <c r="AG263" s="142"/>
      <c r="AH263" s="142"/>
      <c r="AI263" s="142"/>
      <c r="AJ263" s="143"/>
    </row>
    <row r="264" spans="9:36" x14ac:dyDescent="0.25">
      <c r="I264" s="124"/>
      <c r="J264" s="5" t="s">
        <v>192</v>
      </c>
      <c r="K264" s="5"/>
      <c r="L264" s="129"/>
      <c r="M264" s="130"/>
      <c r="N264" s="131"/>
      <c r="O264" s="6">
        <v>6.89</v>
      </c>
      <c r="P264" s="6">
        <v>-3.66</v>
      </c>
      <c r="Q264" s="6">
        <f t="shared" si="29"/>
        <v>-30</v>
      </c>
      <c r="R264" s="6">
        <v>-0.15</v>
      </c>
      <c r="S264" s="129"/>
      <c r="T264" s="130"/>
      <c r="U264" s="130"/>
      <c r="V264" s="130"/>
      <c r="W264" s="131"/>
      <c r="X264" s="6" t="s">
        <v>4</v>
      </c>
      <c r="Y264" s="136"/>
      <c r="Z264" s="5" t="s">
        <v>28</v>
      </c>
      <c r="AA264" s="141"/>
      <c r="AB264" s="142"/>
      <c r="AC264" s="142"/>
      <c r="AD264" s="142"/>
      <c r="AE264" s="142"/>
      <c r="AF264" s="142"/>
      <c r="AG264" s="142"/>
      <c r="AH264" s="142"/>
      <c r="AI264" s="142"/>
      <c r="AJ264" s="143"/>
    </row>
    <row r="265" spans="9:36" x14ac:dyDescent="0.25">
      <c r="I265" s="124"/>
      <c r="J265" s="5" t="s">
        <v>193</v>
      </c>
      <c r="K265" s="5"/>
      <c r="L265" s="129"/>
      <c r="M265" s="130"/>
      <c r="N265" s="131"/>
      <c r="O265" s="6">
        <v>6.47</v>
      </c>
      <c r="P265" s="6">
        <v>-3.4699999999999989</v>
      </c>
      <c r="Q265" s="6">
        <f t="shared" si="29"/>
        <v>-30</v>
      </c>
      <c r="R265" s="6">
        <v>-0.54</v>
      </c>
      <c r="S265" s="129"/>
      <c r="T265" s="130"/>
      <c r="U265" s="130"/>
      <c r="V265" s="130"/>
      <c r="W265" s="131"/>
      <c r="X265" s="6" t="s">
        <v>4</v>
      </c>
      <c r="Y265" s="136"/>
      <c r="Z265" s="5" t="s">
        <v>28</v>
      </c>
      <c r="AA265" s="141"/>
      <c r="AB265" s="142"/>
      <c r="AC265" s="142"/>
      <c r="AD265" s="142"/>
      <c r="AE265" s="142"/>
      <c r="AF265" s="142"/>
      <c r="AG265" s="142"/>
      <c r="AH265" s="142"/>
      <c r="AI265" s="142"/>
      <c r="AJ265" s="143"/>
    </row>
    <row r="266" spans="9:36" x14ac:dyDescent="0.25">
      <c r="I266" s="124"/>
      <c r="J266" s="5" t="s">
        <v>194</v>
      </c>
      <c r="K266" s="5"/>
      <c r="L266" s="129"/>
      <c r="M266" s="130"/>
      <c r="N266" s="131"/>
      <c r="O266" s="6">
        <v>6.05</v>
      </c>
      <c r="P266" s="6">
        <v>-3.6000000000000014</v>
      </c>
      <c r="Q266" s="6">
        <f t="shared" si="29"/>
        <v>-30</v>
      </c>
      <c r="R266" s="6">
        <v>-0.93</v>
      </c>
      <c r="S266" s="129"/>
      <c r="T266" s="130"/>
      <c r="U266" s="130"/>
      <c r="V266" s="130"/>
      <c r="W266" s="131"/>
      <c r="X266" s="6" t="s">
        <v>4</v>
      </c>
      <c r="Y266" s="136"/>
      <c r="Z266" s="5" t="s">
        <v>28</v>
      </c>
      <c r="AA266" s="141"/>
      <c r="AB266" s="142"/>
      <c r="AC266" s="142"/>
      <c r="AD266" s="142"/>
      <c r="AE266" s="142"/>
      <c r="AF266" s="142"/>
      <c r="AG266" s="142"/>
      <c r="AH266" s="142"/>
      <c r="AI266" s="142"/>
      <c r="AJ266" s="143"/>
    </row>
    <row r="267" spans="9:36" x14ac:dyDescent="0.25">
      <c r="I267" s="124"/>
      <c r="J267" s="5" t="s">
        <v>195</v>
      </c>
      <c r="K267" s="5"/>
      <c r="L267" s="129"/>
      <c r="M267" s="130"/>
      <c r="N267" s="131"/>
      <c r="O267" s="6">
        <v>5.63</v>
      </c>
      <c r="P267" s="6">
        <v>-3.629999999999999</v>
      </c>
      <c r="Q267" s="6">
        <f t="shared" si="29"/>
        <v>-30</v>
      </c>
      <c r="R267" s="6">
        <v>-1.32</v>
      </c>
      <c r="S267" s="129"/>
      <c r="T267" s="130"/>
      <c r="U267" s="130"/>
      <c r="V267" s="130"/>
      <c r="W267" s="131"/>
      <c r="X267" s="6">
        <v>-0.36070000000000002</v>
      </c>
      <c r="Y267" s="136"/>
      <c r="Z267" s="5" t="s">
        <v>27</v>
      </c>
      <c r="AA267" s="141"/>
      <c r="AB267" s="142"/>
      <c r="AC267" s="142"/>
      <c r="AD267" s="142"/>
      <c r="AE267" s="142"/>
      <c r="AF267" s="142"/>
      <c r="AG267" s="142"/>
      <c r="AH267" s="142"/>
      <c r="AI267" s="142"/>
      <c r="AJ267" s="143"/>
    </row>
    <row r="268" spans="9:36" x14ac:dyDescent="0.25">
      <c r="I268" s="124"/>
      <c r="J268" s="5" t="s">
        <v>196</v>
      </c>
      <c r="K268" s="5"/>
      <c r="L268" s="129"/>
      <c r="M268" s="130"/>
      <c r="N268" s="131"/>
      <c r="O268" s="6">
        <v>5.21</v>
      </c>
      <c r="P268" s="6">
        <v>-3.6099999999999994</v>
      </c>
      <c r="Q268" s="6">
        <f t="shared" si="29"/>
        <v>-30</v>
      </c>
      <c r="R268" s="6">
        <v>-1.72</v>
      </c>
      <c r="S268" s="129"/>
      <c r="T268" s="130"/>
      <c r="U268" s="130"/>
      <c r="V268" s="130"/>
      <c r="W268" s="131"/>
      <c r="X268" s="6">
        <v>-0.78290000000000004</v>
      </c>
      <c r="Y268" s="136"/>
      <c r="Z268" s="5" t="s">
        <v>27</v>
      </c>
      <c r="AA268" s="141"/>
      <c r="AB268" s="142"/>
      <c r="AC268" s="142"/>
      <c r="AD268" s="142"/>
      <c r="AE268" s="142"/>
      <c r="AF268" s="142"/>
      <c r="AG268" s="142"/>
      <c r="AH268" s="142"/>
      <c r="AI268" s="142"/>
      <c r="AJ268" s="143"/>
    </row>
    <row r="269" spans="9:36" x14ac:dyDescent="0.25">
      <c r="I269" s="124"/>
      <c r="J269" s="5" t="s">
        <v>197</v>
      </c>
      <c r="K269" s="5"/>
      <c r="L269" s="129"/>
      <c r="M269" s="130"/>
      <c r="N269" s="131"/>
      <c r="O269" s="6">
        <v>4.79</v>
      </c>
      <c r="P269" s="6">
        <v>-3.629999999999999</v>
      </c>
      <c r="Q269" s="6">
        <f t="shared" si="29"/>
        <v>-30</v>
      </c>
      <c r="R269" s="6">
        <v>-2.11</v>
      </c>
      <c r="S269" s="129"/>
      <c r="T269" s="130"/>
      <c r="U269" s="130"/>
      <c r="V269" s="130"/>
      <c r="W269" s="131"/>
      <c r="X269" s="6">
        <v>-1.2103999999999999</v>
      </c>
      <c r="Y269" s="136"/>
      <c r="Z269" s="5" t="s">
        <v>27</v>
      </c>
      <c r="AA269" s="141"/>
      <c r="AB269" s="142"/>
      <c r="AC269" s="142"/>
      <c r="AD269" s="142"/>
      <c r="AE269" s="142"/>
      <c r="AF269" s="142"/>
      <c r="AG269" s="142"/>
      <c r="AH269" s="142"/>
      <c r="AI269" s="142"/>
      <c r="AJ269" s="143"/>
    </row>
    <row r="270" spans="9:36" x14ac:dyDescent="0.25">
      <c r="I270" s="124"/>
      <c r="J270" s="5" t="s">
        <v>198</v>
      </c>
      <c r="K270" s="5"/>
      <c r="L270" s="129"/>
      <c r="M270" s="130"/>
      <c r="N270" s="131"/>
      <c r="O270" s="6">
        <v>4.37</v>
      </c>
      <c r="P270" s="6">
        <v>-3.5500000000000007</v>
      </c>
      <c r="Q270" s="6">
        <f t="shared" si="29"/>
        <v>-30</v>
      </c>
      <c r="R270" s="6">
        <v>-2.5099999999999998</v>
      </c>
      <c r="S270" s="129"/>
      <c r="T270" s="130"/>
      <c r="U270" s="130"/>
      <c r="V270" s="130"/>
      <c r="W270" s="131"/>
      <c r="X270" s="6">
        <v>-1.6272</v>
      </c>
      <c r="Y270" s="136"/>
      <c r="Z270" s="5" t="s">
        <v>27</v>
      </c>
      <c r="AA270" s="141"/>
      <c r="AB270" s="142"/>
      <c r="AC270" s="142"/>
      <c r="AD270" s="142"/>
      <c r="AE270" s="142"/>
      <c r="AF270" s="142"/>
      <c r="AG270" s="142"/>
      <c r="AH270" s="142"/>
      <c r="AI270" s="142"/>
      <c r="AJ270" s="143"/>
    </row>
    <row r="271" spans="9:36" x14ac:dyDescent="0.25">
      <c r="I271" s="124"/>
      <c r="J271" s="5" t="s">
        <v>199</v>
      </c>
      <c r="K271" s="5"/>
      <c r="L271" s="129"/>
      <c r="M271" s="130"/>
      <c r="N271" s="131"/>
      <c r="O271" s="6">
        <v>3.95</v>
      </c>
      <c r="P271" s="6">
        <v>-3.5399999999999991</v>
      </c>
      <c r="Q271" s="6">
        <f t="shared" si="29"/>
        <v>-30</v>
      </c>
      <c r="R271" s="6">
        <v>-2.9</v>
      </c>
      <c r="S271" s="129"/>
      <c r="T271" s="130"/>
      <c r="U271" s="130"/>
      <c r="V271" s="130"/>
      <c r="W271" s="131"/>
      <c r="X271" s="6">
        <v>-2.044</v>
      </c>
      <c r="Y271" s="136"/>
      <c r="Z271" s="5" t="s">
        <v>27</v>
      </c>
      <c r="AA271" s="141"/>
      <c r="AB271" s="142"/>
      <c r="AC271" s="142"/>
      <c r="AD271" s="142"/>
      <c r="AE271" s="142"/>
      <c r="AF271" s="142"/>
      <c r="AG271" s="142"/>
      <c r="AH271" s="142"/>
      <c r="AI271" s="142"/>
      <c r="AJ271" s="143"/>
    </row>
    <row r="272" spans="9:36" x14ac:dyDescent="0.25">
      <c r="I272" s="124"/>
      <c r="J272" s="5" t="s">
        <v>200</v>
      </c>
      <c r="K272" s="5"/>
      <c r="L272" s="129"/>
      <c r="M272" s="130"/>
      <c r="N272" s="131"/>
      <c r="O272" s="6">
        <v>3.53</v>
      </c>
      <c r="P272" s="6">
        <v>-3.5399999999999991</v>
      </c>
      <c r="Q272" s="6">
        <f t="shared" si="29"/>
        <v>-30</v>
      </c>
      <c r="R272" s="6">
        <v>-3.29</v>
      </c>
      <c r="S272" s="129"/>
      <c r="T272" s="130"/>
      <c r="U272" s="130"/>
      <c r="V272" s="130"/>
      <c r="W272" s="131"/>
      <c r="X272" s="6">
        <v>-2.4544000000000001</v>
      </c>
      <c r="Y272" s="136"/>
      <c r="Z272" s="5" t="s">
        <v>27</v>
      </c>
      <c r="AA272" s="141"/>
      <c r="AB272" s="142"/>
      <c r="AC272" s="142"/>
      <c r="AD272" s="142"/>
      <c r="AE272" s="142"/>
      <c r="AF272" s="142"/>
      <c r="AG272" s="142"/>
      <c r="AH272" s="142"/>
      <c r="AI272" s="142"/>
      <c r="AJ272" s="143"/>
    </row>
    <row r="273" spans="9:36" x14ac:dyDescent="0.25">
      <c r="I273" s="124"/>
      <c r="J273" s="5" t="s">
        <v>201</v>
      </c>
      <c r="K273" s="5"/>
      <c r="L273" s="129"/>
      <c r="M273" s="130"/>
      <c r="N273" s="131"/>
      <c r="O273" s="6">
        <v>3.11</v>
      </c>
      <c r="P273" s="6">
        <v>-3.5199999999999996</v>
      </c>
      <c r="Q273" s="6">
        <f t="shared" si="29"/>
        <v>-30</v>
      </c>
      <c r="R273" s="6">
        <v>-3.68</v>
      </c>
      <c r="S273" s="129"/>
      <c r="T273" s="130"/>
      <c r="U273" s="130"/>
      <c r="V273" s="130"/>
      <c r="W273" s="131"/>
      <c r="X273" s="6">
        <v>-2.8845999999999998</v>
      </c>
      <c r="Y273" s="136"/>
      <c r="Z273" s="5" t="s">
        <v>27</v>
      </c>
      <c r="AA273" s="141"/>
      <c r="AB273" s="142"/>
      <c r="AC273" s="142"/>
      <c r="AD273" s="142"/>
      <c r="AE273" s="142"/>
      <c r="AF273" s="142"/>
      <c r="AG273" s="142"/>
      <c r="AH273" s="142"/>
      <c r="AI273" s="142"/>
      <c r="AJ273" s="143"/>
    </row>
    <row r="274" spans="9:36" x14ac:dyDescent="0.25">
      <c r="I274" s="124"/>
      <c r="J274" s="5" t="s">
        <v>216</v>
      </c>
      <c r="K274" s="5"/>
      <c r="L274" s="129"/>
      <c r="M274" s="130"/>
      <c r="N274" s="131"/>
      <c r="O274" s="6">
        <v>2.69</v>
      </c>
      <c r="P274" s="6">
        <v>-3.2</v>
      </c>
      <c r="Q274" s="6">
        <f t="shared" si="29"/>
        <v>-30</v>
      </c>
      <c r="R274" s="6">
        <v>-4.07</v>
      </c>
      <c r="S274" s="129"/>
      <c r="T274" s="130"/>
      <c r="U274" s="130"/>
      <c r="V274" s="130"/>
      <c r="W274" s="131"/>
      <c r="X274" s="6">
        <v>-3.2989999999999999</v>
      </c>
      <c r="Y274" s="136"/>
      <c r="Z274" s="5" t="s">
        <v>27</v>
      </c>
      <c r="AA274" s="141"/>
      <c r="AB274" s="142"/>
      <c r="AC274" s="142"/>
      <c r="AD274" s="142"/>
      <c r="AE274" s="142"/>
      <c r="AF274" s="142"/>
      <c r="AG274" s="142"/>
      <c r="AH274" s="142"/>
      <c r="AI274" s="142"/>
      <c r="AJ274" s="143"/>
    </row>
    <row r="275" spans="9:36" ht="15.75" thickBot="1" x14ac:dyDescent="0.3">
      <c r="I275" s="125"/>
      <c r="J275" s="13" t="s">
        <v>202</v>
      </c>
      <c r="K275" s="13"/>
      <c r="L275" s="132"/>
      <c r="M275" s="133"/>
      <c r="N275" s="134"/>
      <c r="O275" s="14">
        <v>2.27</v>
      </c>
      <c r="P275" s="14">
        <v>-3</v>
      </c>
      <c r="Q275" s="14">
        <f t="shared" si="29"/>
        <v>-30</v>
      </c>
      <c r="R275" s="14">
        <v>-4.47</v>
      </c>
      <c r="S275" s="132"/>
      <c r="T275" s="133"/>
      <c r="U275" s="133"/>
      <c r="V275" s="133"/>
      <c r="W275" s="134"/>
      <c r="X275" s="14">
        <v>-3.7212000000000001</v>
      </c>
      <c r="Y275" s="137"/>
      <c r="Z275" s="13" t="s">
        <v>27</v>
      </c>
      <c r="AA275" s="144"/>
      <c r="AB275" s="145"/>
      <c r="AC275" s="145"/>
      <c r="AD275" s="145"/>
      <c r="AE275" s="145"/>
      <c r="AF275" s="145"/>
      <c r="AG275" s="145"/>
      <c r="AH275" s="145"/>
      <c r="AI275" s="145"/>
      <c r="AJ275" s="146"/>
    </row>
  </sheetData>
  <mergeCells count="29">
    <mergeCell ref="I17:I31"/>
    <mergeCell ref="I2:I16"/>
    <mergeCell ref="AG1:AH1"/>
    <mergeCell ref="AI1:AJ1"/>
    <mergeCell ref="AA1:AB1"/>
    <mergeCell ref="AC1:AD1"/>
    <mergeCell ref="AE1:AF1"/>
    <mergeCell ref="I62:I76"/>
    <mergeCell ref="I77:I91"/>
    <mergeCell ref="I92:I106"/>
    <mergeCell ref="I107:I121"/>
    <mergeCell ref="I32:I46"/>
    <mergeCell ref="I47:I61"/>
    <mergeCell ref="I262:I275"/>
    <mergeCell ref="L122:N275"/>
    <mergeCell ref="S122:W275"/>
    <mergeCell ref="Y122:Y275"/>
    <mergeCell ref="AA122:AJ275"/>
    <mergeCell ref="I136:I147"/>
    <mergeCell ref="I148:I159"/>
    <mergeCell ref="I160:I172"/>
    <mergeCell ref="I173:I187"/>
    <mergeCell ref="I188:I199"/>
    <mergeCell ref="I200:I211"/>
    <mergeCell ref="I212:I225"/>
    <mergeCell ref="I226:I237"/>
    <mergeCell ref="I238:I249"/>
    <mergeCell ref="I250:I261"/>
    <mergeCell ref="I122:I135"/>
  </mergeCells>
  <phoneticPr fontId="2" type="noConversion"/>
  <dataValidations disablePrompts="1" count="2">
    <dataValidation type="list" allowBlank="1" showInputMessage="1" showErrorMessage="1" sqref="Z2:Z275" xr:uid="{0B16A243-8DA1-41CB-9B11-63973A79007A}">
      <formula1>$G$61:$G$63</formula1>
    </dataValidation>
    <dataValidation type="list" allowBlank="1" showInputMessage="1" showErrorMessage="1" sqref="Y2:Y121" xr:uid="{357C4D94-896C-496A-A497-65D4DD95D79E}">
      <formula1>$G$58:$G$59</formula1>
    </dataValidation>
  </dataValidations>
  <pageMargins left="0.7" right="0.7" top="0.75" bottom="0.75" header="0.3" footer="0.3"/>
  <pageSetup paperSize="9" orientation="portrait" horizontalDpi="300" verticalDpi="300" r:id="rId1"/>
  <ignoredErrors>
    <ignoredError sqref="M17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9B593-CEB0-46DA-BD4D-AE2F84C6F603}">
  <sheetPr codeName="Feuil5"/>
  <dimension ref="A1:BO51"/>
  <sheetViews>
    <sheetView zoomScale="90" zoomScaleNormal="90" workbookViewId="0">
      <selection activeCell="I11" sqref="I11"/>
    </sheetView>
  </sheetViews>
  <sheetFormatPr defaultColWidth="11.5703125" defaultRowHeight="15" x14ac:dyDescent="0.25"/>
  <cols>
    <col min="1" max="1" width="3.5703125" style="25" customWidth="1"/>
    <col min="2" max="2" width="11.7109375" style="25" bestFit="1" customWidth="1"/>
    <col min="3" max="3" width="10.5703125" style="25" customWidth="1"/>
    <col min="4" max="4" width="25.7109375" style="25" customWidth="1"/>
    <col min="5" max="5" width="8.85546875" style="25" customWidth="1"/>
    <col min="6" max="6" width="26.7109375" style="25" customWidth="1"/>
    <col min="7" max="8" width="8.85546875" style="25" customWidth="1"/>
    <col min="9" max="9" width="10.5703125" style="25" bestFit="1" customWidth="1"/>
    <col min="10" max="17" width="8.85546875" style="25" customWidth="1"/>
    <col min="18" max="18" width="9.7109375" style="25" bestFit="1" customWidth="1"/>
    <col min="19" max="19" width="9.7109375" style="25" customWidth="1"/>
    <col min="20" max="21" width="10.5703125" style="25" bestFit="1" customWidth="1"/>
    <col min="22" max="24" width="8.85546875" style="25" customWidth="1"/>
    <col min="25" max="25" width="10.5703125" style="25" bestFit="1" customWidth="1"/>
    <col min="26" max="37" width="8.85546875" style="25" customWidth="1"/>
    <col min="38" max="16384" width="11.5703125" style="25"/>
  </cols>
  <sheetData>
    <row r="1" spans="1:67" x14ac:dyDescent="0.25">
      <c r="AM1" s="50"/>
    </row>
    <row r="2" spans="1:67" s="21" customFormat="1" ht="110.45" customHeight="1" thickBot="1" x14ac:dyDescent="0.3">
      <c r="U2" s="151"/>
      <c r="V2" s="151"/>
      <c r="W2" s="151"/>
      <c r="X2" s="151"/>
      <c r="Y2" s="151"/>
      <c r="Z2" s="151"/>
      <c r="AA2" s="151"/>
      <c r="AB2" s="151"/>
      <c r="AC2" s="151"/>
      <c r="AD2" s="151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/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</row>
    <row r="3" spans="1:67" x14ac:dyDescent="0.25">
      <c r="A3" s="48" t="e">
        <f>E3&amp; " - " &amp; TEXT(B3,"jj/mm/aaa")</f>
        <v>#VALUE!</v>
      </c>
      <c r="B3" s="26">
        <f>'DALLE - SYNTHESE'!AE5</f>
        <v>44404</v>
      </c>
      <c r="C3" s="27">
        <f>'DALLE - SYNTHESE'!AE6</f>
        <v>0.20833333333333301</v>
      </c>
      <c r="D3" s="8" t="e">
        <f>E3 &amp; " - " &amp; TEXT(B3,"jj/mm/aaa") &amp; " " &amp; TEXT(C3,"hh:mm")</f>
        <v>#VALUE!</v>
      </c>
      <c r="E3" s="8" t="s">
        <v>46</v>
      </c>
      <c r="F3" s="9">
        <f>INDEX('DALLE Informations géométriques'!L$2:L$1000,MATCH('DALLE - Hu'!$E3,'DALLE Informations géométriques'!$J$2:$J$1000,0))</f>
        <v>16.45</v>
      </c>
      <c r="G3" s="9">
        <f>INDEX('DALLE Informations géométriques'!M$2:M$1000,MATCH('DALLE - Hu'!$E3,'DALLE Informations géométriques'!$J$2:$J$1000,0))</f>
        <v>-2.6817041171450144</v>
      </c>
      <c r="H3" s="9">
        <f>INDEX('DALLE Informations géométriques'!N$2:N$1000,MATCH('DALLE - Hu'!$E3,'DALLE Informations géométriques'!$J$2:$J$1000,0))</f>
        <v>14.931985049423993</v>
      </c>
      <c r="I3" s="9">
        <f>INDEX('DALLE Informations géométriques'!O$2:O$1000,MATCH('DALLE - Hu'!$E3,'DALLE Informations géométriques'!$J$2:$J$1000,0))</f>
        <v>7.43</v>
      </c>
      <c r="J3" s="9">
        <f>INDEX('DALLE Informations géométriques'!P$2:P$1000,MATCH('DALLE - Hu'!$E3,'DALLE Informations géométriques'!$J$2:$J$1000,0))</f>
        <v>-13.629999999999999</v>
      </c>
      <c r="K3" s="9">
        <f>INDEX('DALLE Informations géométriques'!Q$2:Q$1000,MATCH('DALLE - Hu'!$E3,'DALLE Informations géométriques'!$J$2:$J$1000,0))</f>
        <v>-30</v>
      </c>
      <c r="L3" s="9">
        <f>INDEX('DALLE Informations géométriques'!R$2:R$1000,MATCH('DALLE - Hu'!$E3,'DALLE Informations géométriques'!$J$2:$J$1000,0))</f>
        <v>0.39929999999999999</v>
      </c>
      <c r="M3" s="9">
        <f>INDEX('DALLE Informations géométriques'!S$2:S$1000,MATCH('DALLE - Hu'!$E3,'DALLE Informations géométriques'!$J$2:$J$1000,0))</f>
        <v>0.62860000000000005</v>
      </c>
      <c r="N3" s="9">
        <f>INDEX('DALLE Informations géométriques'!T$2:T$1000,MATCH('DALLE - Hu'!$E3,'DALLE Informations géométriques'!$J$2:$J$1000,0))</f>
        <v>0.72209999999999996</v>
      </c>
      <c r="O3" s="9">
        <f>INDEX('DALLE Informations géométriques'!U$2:U$1000,MATCH('DALLE - Hu'!$E3,'DALLE Informations géométriques'!$J$2:$J$1000,0))</f>
        <v>0.29870000000000002</v>
      </c>
      <c r="P3" s="9">
        <f>INDEX('DALLE Informations géométriques'!V$2:V$1000,MATCH('DALLE - Hu'!$E3,'DALLE Informations géométriques'!$J$2:$J$1000,0))</f>
        <v>1.2219</v>
      </c>
      <c r="Q3" s="9">
        <f>INDEX('DALLE Informations géométriques'!W$2:W$1000,MATCH('DALLE - Hu'!$E3,'DALLE Informations géométriques'!$J$2:$J$1000,0))</f>
        <v>0.90629999999999999</v>
      </c>
      <c r="R3" s="9">
        <f>INDEX('DALLE Informations géométriques'!X$2:X$1000,MATCH('DALLE - Hu'!$E3,'DALLE Informations géométriques'!$J$2:$J$1000,0))</f>
        <v>0.25140000000000001</v>
      </c>
      <c r="S3" s="9" t="str">
        <f>INDEX('DALLE Informations géométriques'!Y$2:Y$1000,MATCH('DALLE - Hu'!$E3,'DALLE Informations géométriques'!$J$2:$J$1000,0))</f>
        <v>Quinconce</v>
      </c>
      <c r="T3" s="9" t="str">
        <f>INDEX('DALLE Informations géométriques'!Z$2:Z$1000,MATCH('DALLE - Hu'!$E3,'DALLE Informations géométriques'!$J$2:$J$1000,0))</f>
        <v>Haut</v>
      </c>
      <c r="U3" s="9" t="str">
        <f>IF(INDEX('DALLE Informations géométriques'!AA$2:AA$1000,MATCH('DALLE - Hu'!$E3,'DALLE Informations géométriques'!$J$2:$J$1000,0))=0,"",INDEX('DALLE Informations géométriques'!AA$2:AA$1000,MATCH('DALLE - Hu'!$E3,'DALLE Informations géométriques'!$J$2:$J$1000,0)))</f>
        <v/>
      </c>
      <c r="V3" s="9" t="str">
        <f>IF(INDEX('DALLE Informations géométriques'!AB$2:AB$1000,MATCH('DALLE - Hu'!$E3,'DALLE Informations géométriques'!$J$2:$J$1000,0))=0,"",INDEX('DALLE Informations géométriques'!AB$2:AB$1000,MATCH('DALLE - Hu'!$E3,'DALLE Informations géométriques'!$J$2:$J$1000,0)))</f>
        <v/>
      </c>
      <c r="W3" s="9" t="str">
        <f>IF(INDEX('DALLE Informations géométriques'!AC$2:AC$1000,MATCH('DALLE - Hu'!$E3,'DALLE Informations géométriques'!$J$2:$J$1000,0))=0,"",INDEX('DALLE Informations géométriques'!AC$2:AC$1000,MATCH('DALLE - Hu'!$E3,'DALLE Informations géométriques'!$J$2:$J$1000,0)))</f>
        <v/>
      </c>
      <c r="X3" s="9" t="str">
        <f>IF(INDEX('DALLE Informations géométriques'!AD$2:AD$1000,MATCH('DALLE - Hu'!$E3,'DALLE Informations géométriques'!$J$2:$J$1000,0))=0,"",INDEX('DALLE Informations géométriques'!AD$2:AD$1000,MATCH('DALLE - Hu'!$E3,'DALLE Informations géométriques'!$J$2:$J$1000,0)))</f>
        <v/>
      </c>
      <c r="Y3" s="9" t="str">
        <f>IF(INDEX('DALLE Informations géométriques'!AE$2:AE$1000,MATCH('DALLE - Hu'!$E3,'DALLE Informations géométriques'!$J$2:$J$1000,0))=0,"",INDEX('DALLE Informations géométriques'!AE$2:AE$1000,MATCH('DALLE - Hu'!$E3,'DALLE Informations géométriques'!$J$2:$J$1000,0)))</f>
        <v/>
      </c>
      <c r="Z3" s="9" t="str">
        <f>IF(INDEX('DALLE Informations géométriques'!AF$2:AF$1000,MATCH('DALLE - Hu'!$E3,'DALLE Informations géométriques'!$J$2:$J$1000,0))=0,"",INDEX('DALLE Informations géométriques'!AF$2:AF$1000,MATCH('DALLE - Hu'!$E3,'DALLE Informations géométriques'!$J$2:$J$1000,0)))</f>
        <v/>
      </c>
      <c r="AA3" s="9" t="str">
        <f>IF(INDEX('DALLE Informations géométriques'!AG$2:AG$1000,MATCH('DALLE - Hu'!$E3,'DALLE Informations géométriques'!$J$2:$J$1000,0))=0,"",INDEX('DALLE Informations géométriques'!AG$2:AG$1000,MATCH('DALLE - Hu'!$E3,'DALLE Informations géométriques'!$J$2:$J$1000,0)))</f>
        <v/>
      </c>
      <c r="AB3" s="9" t="str">
        <f>IF(INDEX('DALLE Informations géométriques'!AH$2:AH$1000,MATCH('DALLE - Hu'!$E3,'DALLE Informations géométriques'!$J$2:$J$1000,0))=0,"",INDEX('DALLE Informations géométriques'!AH$2:AH$1000,MATCH('DALLE - Hu'!$E3,'DALLE Informations géométriques'!$J$2:$J$1000,0)))</f>
        <v/>
      </c>
      <c r="AC3" s="9" t="str">
        <f>IF(INDEX('DALLE Informations géométriques'!AI$2:AI$1000,MATCH('DALLE - Hu'!$E3,'DALLE Informations géométriques'!$J$2:$J$1000,0))=0,"",INDEX('DALLE Informations géométriques'!AI$2:AI$1000,MATCH('DALLE - Hu'!$E3,'DALLE Informations géométriques'!$J$2:$J$1000,0)))</f>
        <v/>
      </c>
      <c r="AD3" s="9" t="str">
        <f>IF(INDEX('DALLE Informations géométriques'!AJ$2:AJ$1000,MATCH('DALLE - Hu'!$E3,'DALLE Informations géométriques'!$J$2:$J$1000,0))=0,"",INDEX('DALLE Informations géométriques'!AJ$2:AJ$1000,MATCH('DALLE - Hu'!$E3,'DALLE Informations géométriques'!$J$2:$J$1000,0)))</f>
        <v/>
      </c>
    </row>
    <row r="5" spans="1:67" x14ac:dyDescent="0.25">
      <c r="H5" s="28" t="s">
        <v>12</v>
      </c>
      <c r="I5" s="22">
        <f>K3</f>
        <v>-30</v>
      </c>
      <c r="J5" s="25" t="s">
        <v>5</v>
      </c>
      <c r="K5" s="150" t="str">
        <f>IF(J3&gt;0,"ATTENTION T° POSITIVE (le calcul ne veut rien dire) !!!","")</f>
        <v/>
      </c>
      <c r="L5" s="150"/>
      <c r="M5" s="150"/>
      <c r="N5" s="150"/>
      <c r="O5" s="150"/>
      <c r="P5" s="150"/>
      <c r="Q5" s="80" t="s">
        <v>23</v>
      </c>
      <c r="R5" s="61">
        <f>M3</f>
        <v>0.62860000000000005</v>
      </c>
    </row>
    <row r="6" spans="1:67" ht="14.45" customHeight="1" x14ac:dyDescent="0.25">
      <c r="H6" s="28" t="s">
        <v>13</v>
      </c>
      <c r="I6" s="22">
        <f>P3</f>
        <v>1.2219</v>
      </c>
      <c r="J6" s="25" t="s">
        <v>6</v>
      </c>
      <c r="Q6" s="80" t="s">
        <v>22</v>
      </c>
      <c r="R6" s="61">
        <f>N3</f>
        <v>0.72209999999999996</v>
      </c>
    </row>
    <row r="7" spans="1:67" x14ac:dyDescent="0.25">
      <c r="H7" s="28" t="s">
        <v>14</v>
      </c>
      <c r="I7" s="55">
        <f>'DALLE Informations géométriques'!A20</f>
        <v>5.7149999999999999E-2</v>
      </c>
      <c r="J7" s="25" t="s">
        <v>6</v>
      </c>
      <c r="K7" s="81"/>
      <c r="L7" s="81"/>
      <c r="M7" s="81"/>
      <c r="N7" s="81"/>
      <c r="O7" s="81"/>
      <c r="P7" s="81"/>
      <c r="Q7" s="80" t="s">
        <v>24</v>
      </c>
      <c r="R7" s="61">
        <f>J3</f>
        <v>-13.629999999999999</v>
      </c>
    </row>
    <row r="8" spans="1:67" x14ac:dyDescent="0.25">
      <c r="H8" s="49" t="s">
        <v>15</v>
      </c>
      <c r="I8" s="22">
        <f>R8</f>
        <v>0.76985715935402976</v>
      </c>
      <c r="J8" s="25" t="s">
        <v>6</v>
      </c>
      <c r="Q8" s="80" t="s">
        <v>25</v>
      </c>
      <c r="R8" s="61">
        <v>0.76985715935402976</v>
      </c>
    </row>
    <row r="9" spans="1:67" x14ac:dyDescent="0.25">
      <c r="H9" s="28" t="s">
        <v>16</v>
      </c>
      <c r="I9" s="22">
        <f>Q3</f>
        <v>0.90629999999999999</v>
      </c>
      <c r="J9" s="25" t="s">
        <v>6</v>
      </c>
      <c r="Q9" s="60" t="s">
        <v>31</v>
      </c>
      <c r="R9" s="61">
        <f>tc/(LN(pl/(2*PI()*r0))+2*PI()*R8/pl)*((PI()*(2*R8+GL)/pl)-0.5*LN(4*(COSH(2*PI()/pl*(GL/2-R$6))-COS(2*PI()/pl*$R5))*(COSH(2*PI()/pl*(GL/2+R$6))+omega*COS(2*PI()/pl*$R5))))-J3</f>
        <v>-1.185930226910159E-6</v>
      </c>
      <c r="T9" s="79" t="s">
        <v>20</v>
      </c>
      <c r="U9" s="78">
        <f>IF($G$12="non",0,-ABS($N$3))</f>
        <v>0</v>
      </c>
      <c r="V9" s="78">
        <f t="shared" ref="V9:BI9" si="0">IF($G$12="non",0,U9+ABS($N$3/20))</f>
        <v>0</v>
      </c>
      <c r="W9" s="78">
        <f t="shared" si="0"/>
        <v>0</v>
      </c>
      <c r="X9" s="78">
        <f t="shared" si="0"/>
        <v>0</v>
      </c>
      <c r="Y9" s="78">
        <f t="shared" si="0"/>
        <v>0</v>
      </c>
      <c r="Z9" s="78">
        <f t="shared" si="0"/>
        <v>0</v>
      </c>
      <c r="AA9" s="78">
        <f t="shared" si="0"/>
        <v>0</v>
      </c>
      <c r="AB9" s="78">
        <f t="shared" si="0"/>
        <v>0</v>
      </c>
      <c r="AC9" s="78">
        <f t="shared" si="0"/>
        <v>0</v>
      </c>
      <c r="AD9" s="78">
        <f t="shared" si="0"/>
        <v>0</v>
      </c>
      <c r="AE9" s="78">
        <f t="shared" si="0"/>
        <v>0</v>
      </c>
      <c r="AF9" s="78">
        <f t="shared" si="0"/>
        <v>0</v>
      </c>
      <c r="AG9" s="78">
        <f t="shared" si="0"/>
        <v>0</v>
      </c>
      <c r="AH9" s="78">
        <f t="shared" si="0"/>
        <v>0</v>
      </c>
      <c r="AI9" s="78">
        <f t="shared" si="0"/>
        <v>0</v>
      </c>
      <c r="AJ9" s="78">
        <f t="shared" si="0"/>
        <v>0</v>
      </c>
      <c r="AK9" s="78">
        <f t="shared" si="0"/>
        <v>0</v>
      </c>
      <c r="AL9" s="78">
        <f t="shared" si="0"/>
        <v>0</v>
      </c>
      <c r="AM9" s="78">
        <f t="shared" si="0"/>
        <v>0</v>
      </c>
      <c r="AN9" s="78">
        <f t="shared" si="0"/>
        <v>0</v>
      </c>
      <c r="AO9" s="78">
        <f t="shared" si="0"/>
        <v>0</v>
      </c>
      <c r="AP9" s="78">
        <f t="shared" si="0"/>
        <v>0</v>
      </c>
      <c r="AQ9" s="78">
        <f t="shared" si="0"/>
        <v>0</v>
      </c>
      <c r="AR9" s="78">
        <f t="shared" si="0"/>
        <v>0</v>
      </c>
      <c r="AS9" s="78">
        <f t="shared" si="0"/>
        <v>0</v>
      </c>
      <c r="AT9" s="78">
        <f t="shared" si="0"/>
        <v>0</v>
      </c>
      <c r="AU9" s="78">
        <f t="shared" si="0"/>
        <v>0</v>
      </c>
      <c r="AV9" s="78">
        <f t="shared" si="0"/>
        <v>0</v>
      </c>
      <c r="AW9" s="78">
        <f t="shared" si="0"/>
        <v>0</v>
      </c>
      <c r="AX9" s="78">
        <f t="shared" si="0"/>
        <v>0</v>
      </c>
      <c r="AY9" s="78">
        <f t="shared" si="0"/>
        <v>0</v>
      </c>
      <c r="AZ9" s="78">
        <f t="shared" si="0"/>
        <v>0</v>
      </c>
      <c r="BA9" s="78">
        <f t="shared" si="0"/>
        <v>0</v>
      </c>
      <c r="BB9" s="78">
        <f t="shared" si="0"/>
        <v>0</v>
      </c>
      <c r="BC9" s="78">
        <f t="shared" si="0"/>
        <v>0</v>
      </c>
      <c r="BD9" s="78">
        <f t="shared" si="0"/>
        <v>0</v>
      </c>
      <c r="BE9" s="78">
        <f t="shared" si="0"/>
        <v>0</v>
      </c>
      <c r="BF9" s="78">
        <f t="shared" si="0"/>
        <v>0</v>
      </c>
      <c r="BG9" s="78">
        <f t="shared" si="0"/>
        <v>0</v>
      </c>
      <c r="BH9" s="78">
        <f t="shared" si="0"/>
        <v>0</v>
      </c>
      <c r="BI9" s="78">
        <f t="shared" si="0"/>
        <v>0</v>
      </c>
    </row>
    <row r="10" spans="1:67" x14ac:dyDescent="0.25">
      <c r="H10" s="28" t="s">
        <v>17</v>
      </c>
      <c r="I10" s="30">
        <f>M3</f>
        <v>0.62860000000000005</v>
      </c>
      <c r="J10" s="25" t="s">
        <v>6</v>
      </c>
      <c r="T10" s="78">
        <f>IF($G$12="non",0,-ABS($M$3))</f>
        <v>0</v>
      </c>
      <c r="U10" s="78">
        <f t="shared" ref="U10" si="1">tc/(LN(pl/(2*PI()*r0))+2*PI()*ksi/pl)*((PI()*(2*ksi+GL)/pl)-0.5*LN(4*(COSH(2*PI()/pl*(GL/2-U$9))-COS(2*PI()/pl*$T10))*(COSH(2*PI()/pl*(GL/2+U$9))+omega*COS(2*PI()/pl*$T10))))</f>
        <v>-22.967266492316099</v>
      </c>
      <c r="V10" s="78">
        <f t="shared" ref="V10:BI15" si="2">tc/(LN(pl/(2*PI()*r0))+2*PI()*ksi/pl)*((PI()*(2*ksi+GL)/pl)-0.5*LN(4*(COSH(2*PI()/pl*(GL/2-V$9))-COS(2*PI()/pl*$T10))*(COSH(2*PI()/pl*(GL/2+V$9))+omega*COS(2*PI()/pl*$T10))))</f>
        <v>-22.967266492316099</v>
      </c>
      <c r="W10" s="78">
        <f t="shared" si="2"/>
        <v>-22.967266492316099</v>
      </c>
      <c r="X10" s="78">
        <f t="shared" si="2"/>
        <v>-22.967266492316099</v>
      </c>
      <c r="Y10" s="78">
        <f t="shared" si="2"/>
        <v>-22.967266492316099</v>
      </c>
      <c r="Z10" s="78">
        <f t="shared" si="2"/>
        <v>-22.967266492316099</v>
      </c>
      <c r="AA10" s="78">
        <f t="shared" si="2"/>
        <v>-22.967266492316099</v>
      </c>
      <c r="AB10" s="78">
        <f t="shared" si="2"/>
        <v>-22.967266492316099</v>
      </c>
      <c r="AC10" s="78">
        <f t="shared" si="2"/>
        <v>-22.967266492316099</v>
      </c>
      <c r="AD10" s="78">
        <f t="shared" si="2"/>
        <v>-22.967266492316099</v>
      </c>
      <c r="AE10" s="78">
        <f t="shared" si="2"/>
        <v>-22.967266492316099</v>
      </c>
      <c r="AF10" s="78">
        <f t="shared" si="2"/>
        <v>-22.967266492316099</v>
      </c>
      <c r="AG10" s="78">
        <f t="shared" si="2"/>
        <v>-22.967266492316099</v>
      </c>
      <c r="AH10" s="78">
        <f t="shared" si="2"/>
        <v>-22.967266492316099</v>
      </c>
      <c r="AI10" s="78">
        <f t="shared" si="2"/>
        <v>-22.967266492316099</v>
      </c>
      <c r="AJ10" s="78">
        <f t="shared" si="2"/>
        <v>-22.967266492316099</v>
      </c>
      <c r="AK10" s="78">
        <f t="shared" si="2"/>
        <v>-22.967266492316099</v>
      </c>
      <c r="AL10" s="78">
        <f t="shared" si="2"/>
        <v>-22.967266492316099</v>
      </c>
      <c r="AM10" s="78">
        <f t="shared" si="2"/>
        <v>-22.967266492316099</v>
      </c>
      <c r="AN10" s="78">
        <f t="shared" si="2"/>
        <v>-22.967266492316099</v>
      </c>
      <c r="AO10" s="78">
        <f t="shared" si="2"/>
        <v>-22.967266492316099</v>
      </c>
      <c r="AP10" s="78">
        <f t="shared" si="2"/>
        <v>-22.967266492316099</v>
      </c>
      <c r="AQ10" s="78">
        <f t="shared" si="2"/>
        <v>-22.967266492316099</v>
      </c>
      <c r="AR10" s="78">
        <f t="shared" si="2"/>
        <v>-22.967266492316099</v>
      </c>
      <c r="AS10" s="78">
        <f t="shared" si="2"/>
        <v>-22.967266492316099</v>
      </c>
      <c r="AT10" s="78">
        <f t="shared" si="2"/>
        <v>-22.967266492316099</v>
      </c>
      <c r="AU10" s="78">
        <f t="shared" si="2"/>
        <v>-22.967266492316099</v>
      </c>
      <c r="AV10" s="78">
        <f t="shared" si="2"/>
        <v>-22.967266492316099</v>
      </c>
      <c r="AW10" s="78">
        <f t="shared" si="2"/>
        <v>-22.967266492316099</v>
      </c>
      <c r="AX10" s="78">
        <f t="shared" si="2"/>
        <v>-22.967266492316099</v>
      </c>
      <c r="AY10" s="78">
        <f t="shared" si="2"/>
        <v>-22.967266492316099</v>
      </c>
      <c r="AZ10" s="78">
        <f t="shared" si="2"/>
        <v>-22.967266492316099</v>
      </c>
      <c r="BA10" s="78">
        <f t="shared" si="2"/>
        <v>-22.967266492316099</v>
      </c>
      <c r="BB10" s="78">
        <f t="shared" si="2"/>
        <v>-22.967266492316099</v>
      </c>
      <c r="BC10" s="78">
        <f t="shared" si="2"/>
        <v>-22.967266492316099</v>
      </c>
      <c r="BD10" s="78">
        <f t="shared" si="2"/>
        <v>-22.967266492316099</v>
      </c>
      <c r="BE10" s="78">
        <f t="shared" si="2"/>
        <v>-22.967266492316099</v>
      </c>
      <c r="BF10" s="78">
        <f t="shared" si="2"/>
        <v>-22.967266492316099</v>
      </c>
      <c r="BG10" s="78">
        <f t="shared" si="2"/>
        <v>-22.967266492316099</v>
      </c>
      <c r="BH10" s="78">
        <f t="shared" si="2"/>
        <v>-22.967266492316099</v>
      </c>
      <c r="BI10" s="78">
        <f t="shared" si="2"/>
        <v>-22.967266492316099</v>
      </c>
    </row>
    <row r="11" spans="1:67" x14ac:dyDescent="0.25">
      <c r="H11" s="28" t="s">
        <v>18</v>
      </c>
      <c r="I11" s="30">
        <f>O3</f>
        <v>0.29870000000000002</v>
      </c>
      <c r="J11" s="25" t="s">
        <v>6</v>
      </c>
      <c r="L11" s="59"/>
      <c r="M11" s="59"/>
      <c r="N11" s="59"/>
      <c r="O11" s="59"/>
      <c r="P11" s="59"/>
      <c r="Q11" s="59"/>
      <c r="R11" s="59"/>
      <c r="S11" s="59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78">
        <f t="shared" si="2"/>
        <v>-22.967266492316099</v>
      </c>
      <c r="AP11" s="78">
        <f t="shared" si="2"/>
        <v>-22.967266492316099</v>
      </c>
      <c r="AQ11" s="78">
        <f t="shared" si="2"/>
        <v>-22.967266492316099</v>
      </c>
      <c r="AR11" s="78">
        <f t="shared" si="2"/>
        <v>-22.967266492316099</v>
      </c>
      <c r="AS11" s="78">
        <f t="shared" si="2"/>
        <v>-22.967266492316099</v>
      </c>
      <c r="AT11" s="78">
        <f t="shared" si="2"/>
        <v>-22.967266492316099</v>
      </c>
      <c r="AU11" s="78">
        <f t="shared" si="2"/>
        <v>-22.967266492316099</v>
      </c>
      <c r="AV11" s="78">
        <f t="shared" si="2"/>
        <v>-22.967266492316099</v>
      </c>
      <c r="AW11" s="78">
        <f t="shared" si="2"/>
        <v>-22.967266492316099</v>
      </c>
      <c r="AX11" s="78">
        <f t="shared" si="2"/>
        <v>-22.967266492316099</v>
      </c>
      <c r="AY11" s="78">
        <f t="shared" si="2"/>
        <v>-22.967266492316099</v>
      </c>
      <c r="AZ11" s="78">
        <f t="shared" si="2"/>
        <v>-22.967266492316099</v>
      </c>
      <c r="BA11" s="78">
        <f t="shared" si="2"/>
        <v>-22.967266492316099</v>
      </c>
      <c r="BB11" s="78">
        <f t="shared" si="2"/>
        <v>-22.967266492316099</v>
      </c>
      <c r="BC11" s="78">
        <f t="shared" si="2"/>
        <v>-22.967266492316099</v>
      </c>
      <c r="BD11" s="78">
        <f t="shared" si="2"/>
        <v>-22.967266492316099</v>
      </c>
      <c r="BE11" s="78">
        <f t="shared" si="2"/>
        <v>-22.967266492316099</v>
      </c>
      <c r="BF11" s="78">
        <f t="shared" si="2"/>
        <v>-22.967266492316099</v>
      </c>
      <c r="BG11" s="78">
        <f t="shared" si="2"/>
        <v>-22.967266492316099</v>
      </c>
      <c r="BH11" s="78">
        <f t="shared" si="2"/>
        <v>-22.967266492316099</v>
      </c>
      <c r="BI11" s="78">
        <f t="shared" si="2"/>
        <v>-22.967266492316099</v>
      </c>
    </row>
    <row r="12" spans="1:67" x14ac:dyDescent="0.25">
      <c r="F12" s="28" t="s">
        <v>48</v>
      </c>
      <c r="G12" s="29" t="s">
        <v>50</v>
      </c>
      <c r="H12" s="49" t="s">
        <v>19</v>
      </c>
      <c r="I12" s="54">
        <f>IF(S3="Quinconce",1,-1)</f>
        <v>1</v>
      </c>
      <c r="J12" s="25" t="s">
        <v>4</v>
      </c>
      <c r="L12" s="59"/>
      <c r="M12" s="59"/>
      <c r="N12" s="59"/>
      <c r="O12" s="59"/>
      <c r="P12" s="59"/>
      <c r="Q12" s="59"/>
      <c r="R12" s="59"/>
      <c r="S12" s="59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78">
        <f t="shared" si="2"/>
        <v>-22.967266492316099</v>
      </c>
      <c r="AP12" s="78">
        <f t="shared" si="2"/>
        <v>-22.967266492316099</v>
      </c>
      <c r="AQ12" s="78">
        <f t="shared" si="2"/>
        <v>-22.967266492316099</v>
      </c>
      <c r="AR12" s="78">
        <f t="shared" si="2"/>
        <v>-22.967266492316099</v>
      </c>
      <c r="AS12" s="78">
        <f t="shared" si="2"/>
        <v>-22.967266492316099</v>
      </c>
      <c r="AT12" s="78">
        <f t="shared" si="2"/>
        <v>-22.967266492316099</v>
      </c>
      <c r="AU12" s="78">
        <f t="shared" si="2"/>
        <v>-22.967266492316099</v>
      </c>
      <c r="AV12" s="78">
        <f t="shared" si="2"/>
        <v>-22.967266492316099</v>
      </c>
      <c r="AW12" s="78">
        <f t="shared" si="2"/>
        <v>-22.967266492316099</v>
      </c>
      <c r="AX12" s="78">
        <f t="shared" si="2"/>
        <v>-22.967266492316099</v>
      </c>
      <c r="AY12" s="78">
        <f t="shared" si="2"/>
        <v>-22.967266492316099</v>
      </c>
      <c r="AZ12" s="78">
        <f t="shared" si="2"/>
        <v>-22.967266492316099</v>
      </c>
      <c r="BA12" s="78">
        <f t="shared" si="2"/>
        <v>-22.967266492316099</v>
      </c>
      <c r="BB12" s="78">
        <f t="shared" si="2"/>
        <v>-22.967266492316099</v>
      </c>
      <c r="BC12" s="78">
        <f t="shared" si="2"/>
        <v>-22.967266492316099</v>
      </c>
      <c r="BD12" s="78">
        <f t="shared" si="2"/>
        <v>-22.967266492316099</v>
      </c>
      <c r="BE12" s="78">
        <f t="shared" si="2"/>
        <v>-22.967266492316099</v>
      </c>
      <c r="BF12" s="78">
        <f t="shared" si="2"/>
        <v>-22.967266492316099</v>
      </c>
      <c r="BG12" s="78">
        <f t="shared" si="2"/>
        <v>-22.967266492316099</v>
      </c>
      <c r="BH12" s="78">
        <f t="shared" si="2"/>
        <v>-22.967266492316099</v>
      </c>
      <c r="BI12" s="78">
        <f t="shared" si="2"/>
        <v>-22.967266492316099</v>
      </c>
    </row>
    <row r="13" spans="1:67" x14ac:dyDescent="0.25">
      <c r="H13" s="28"/>
      <c r="I13" s="20"/>
      <c r="L13" s="59"/>
      <c r="M13" s="59"/>
      <c r="N13" s="59"/>
      <c r="O13" s="59"/>
      <c r="P13" s="59"/>
      <c r="Q13" s="59"/>
      <c r="R13" s="59"/>
      <c r="S13" s="59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78">
        <f t="shared" si="2"/>
        <v>-22.967266492316099</v>
      </c>
      <c r="AP13" s="78">
        <f t="shared" si="2"/>
        <v>-22.967266492316099</v>
      </c>
      <c r="AQ13" s="78">
        <f t="shared" si="2"/>
        <v>-22.967266492316099</v>
      </c>
      <c r="AR13" s="78">
        <f t="shared" si="2"/>
        <v>-22.967266492316099</v>
      </c>
      <c r="AS13" s="78">
        <f t="shared" si="2"/>
        <v>-22.967266492316099</v>
      </c>
      <c r="AT13" s="78">
        <f t="shared" si="2"/>
        <v>-22.967266492316099</v>
      </c>
      <c r="AU13" s="78">
        <f t="shared" si="2"/>
        <v>-22.967266492316099</v>
      </c>
      <c r="AV13" s="78">
        <f t="shared" si="2"/>
        <v>-22.967266492316099</v>
      </c>
      <c r="AW13" s="78">
        <f t="shared" si="2"/>
        <v>-22.967266492316099</v>
      </c>
      <c r="AX13" s="78">
        <f t="shared" si="2"/>
        <v>-22.967266492316099</v>
      </c>
      <c r="AY13" s="78">
        <f t="shared" si="2"/>
        <v>-22.967266492316099</v>
      </c>
      <c r="AZ13" s="78">
        <f t="shared" si="2"/>
        <v>-22.967266492316099</v>
      </c>
      <c r="BA13" s="78">
        <f t="shared" si="2"/>
        <v>-22.967266492316099</v>
      </c>
      <c r="BB13" s="78">
        <f t="shared" si="2"/>
        <v>-22.967266492316099</v>
      </c>
      <c r="BC13" s="78">
        <f t="shared" si="2"/>
        <v>-22.967266492316099</v>
      </c>
      <c r="BD13" s="78">
        <f t="shared" si="2"/>
        <v>-22.967266492316099</v>
      </c>
      <c r="BE13" s="78">
        <f t="shared" si="2"/>
        <v>-22.967266492316099</v>
      </c>
      <c r="BF13" s="78">
        <f t="shared" si="2"/>
        <v>-22.967266492316099</v>
      </c>
      <c r="BG13" s="78">
        <f t="shared" si="2"/>
        <v>-22.967266492316099</v>
      </c>
      <c r="BH13" s="78">
        <f t="shared" si="2"/>
        <v>-22.967266492316099</v>
      </c>
      <c r="BI13" s="78">
        <f t="shared" si="2"/>
        <v>-22.967266492316099</v>
      </c>
    </row>
    <row r="14" spans="1:67" x14ac:dyDescent="0.25">
      <c r="H14" s="58" t="s">
        <v>21</v>
      </c>
      <c r="I14" s="20">
        <f>IF(tc/(LN(pl/(2*PI()*r0))+2*PI()*ksi/pl)*((PI()*(2*ksi+GL)/pl)-0.5*LN(4*(COSH(2*PI()/pl*(GL/2-I$11))-COS(2*PI()/pl*$I10))*(COSH(2*PI()/pl*(GL/2+I$11))+omega*COS(2*PI()/pl*$I10))))&gt;0,"&gt; 0",tc/(LN(pl/(2*PI()*r0))+2*PI()*ksi/pl)*((PI()*(2*ksi+GL)/pl)-0.5*LN(4*(COSH(2*PI()/pl*(GL/2-I$11))-COS(2*PI()/pl*$I10))*(COSH(2*PI()/pl*(GL/2+I$11))+omega*COS(2*PI()/pl*$I10)))))</f>
        <v>-20.881029510972823</v>
      </c>
      <c r="J14" s="59" t="s">
        <v>5</v>
      </c>
      <c r="L14" s="59"/>
      <c r="M14" s="59"/>
      <c r="N14" s="59"/>
      <c r="O14" s="59"/>
      <c r="P14" s="59"/>
      <c r="Q14" s="59"/>
      <c r="R14" s="59"/>
      <c r="S14" s="59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78">
        <f t="shared" si="2"/>
        <v>-22.967266492316099</v>
      </c>
      <c r="AP14" s="78">
        <f t="shared" si="2"/>
        <v>-22.967266492316099</v>
      </c>
      <c r="AQ14" s="78">
        <f t="shared" si="2"/>
        <v>-22.967266492316099</v>
      </c>
      <c r="AR14" s="78">
        <f t="shared" si="2"/>
        <v>-22.967266492316099</v>
      </c>
      <c r="AS14" s="78">
        <f t="shared" si="2"/>
        <v>-22.967266492316099</v>
      </c>
      <c r="AT14" s="78">
        <f t="shared" si="2"/>
        <v>-22.967266492316099</v>
      </c>
      <c r="AU14" s="78">
        <f t="shared" si="2"/>
        <v>-22.967266492316099</v>
      </c>
      <c r="AV14" s="78">
        <f t="shared" si="2"/>
        <v>-22.967266492316099</v>
      </c>
      <c r="AW14" s="78">
        <f t="shared" si="2"/>
        <v>-22.967266492316099</v>
      </c>
      <c r="AX14" s="78">
        <f t="shared" si="2"/>
        <v>-22.967266492316099</v>
      </c>
      <c r="AY14" s="78">
        <f t="shared" si="2"/>
        <v>-22.967266492316099</v>
      </c>
      <c r="AZ14" s="78">
        <f t="shared" si="2"/>
        <v>-22.967266492316099</v>
      </c>
      <c r="BA14" s="78">
        <f t="shared" si="2"/>
        <v>-22.967266492316099</v>
      </c>
      <c r="BB14" s="78">
        <f t="shared" si="2"/>
        <v>-22.967266492316099</v>
      </c>
      <c r="BC14" s="78">
        <f t="shared" si="2"/>
        <v>-22.967266492316099</v>
      </c>
      <c r="BD14" s="78">
        <f t="shared" si="2"/>
        <v>-22.967266492316099</v>
      </c>
      <c r="BE14" s="78">
        <f t="shared" si="2"/>
        <v>-22.967266492316099</v>
      </c>
      <c r="BF14" s="78">
        <f t="shared" si="2"/>
        <v>-22.967266492316099</v>
      </c>
      <c r="BG14" s="78">
        <f t="shared" si="2"/>
        <v>-22.967266492316099</v>
      </c>
      <c r="BH14" s="78">
        <f t="shared" si="2"/>
        <v>-22.967266492316099</v>
      </c>
      <c r="BI14" s="78">
        <f t="shared" si="2"/>
        <v>-22.967266492316099</v>
      </c>
    </row>
    <row r="15" spans="1:67" x14ac:dyDescent="0.25">
      <c r="H15" s="28"/>
      <c r="I15" s="22"/>
      <c r="L15" s="59"/>
      <c r="M15" s="59"/>
      <c r="N15" s="59"/>
      <c r="O15" s="59"/>
      <c r="P15" s="59"/>
      <c r="Q15" s="59"/>
      <c r="R15" s="59"/>
      <c r="S15" s="59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78">
        <f t="shared" si="2"/>
        <v>-22.967266492316099</v>
      </c>
      <c r="AP15" s="78">
        <f t="shared" si="2"/>
        <v>-22.967266492316099</v>
      </c>
      <c r="AQ15" s="78">
        <f t="shared" si="2"/>
        <v>-22.967266492316099</v>
      </c>
      <c r="AR15" s="78">
        <f t="shared" si="2"/>
        <v>-22.967266492316099</v>
      </c>
      <c r="AS15" s="78">
        <f t="shared" si="2"/>
        <v>-22.967266492316099</v>
      </c>
      <c r="AT15" s="78">
        <f t="shared" si="2"/>
        <v>-22.967266492316099</v>
      </c>
      <c r="AU15" s="78">
        <f t="shared" si="2"/>
        <v>-22.967266492316099</v>
      </c>
      <c r="AV15" s="78">
        <f t="shared" si="2"/>
        <v>-22.967266492316099</v>
      </c>
      <c r="AW15" s="78">
        <f t="shared" si="2"/>
        <v>-22.967266492316099</v>
      </c>
      <c r="AX15" s="78">
        <f t="shared" si="2"/>
        <v>-22.967266492316099</v>
      </c>
      <c r="AY15" s="78">
        <f t="shared" si="2"/>
        <v>-22.967266492316099</v>
      </c>
      <c r="AZ15" s="78">
        <f t="shared" si="2"/>
        <v>-22.967266492316099</v>
      </c>
      <c r="BA15" s="78">
        <f t="shared" si="2"/>
        <v>-22.967266492316099</v>
      </c>
      <c r="BB15" s="78">
        <f t="shared" si="2"/>
        <v>-22.967266492316099</v>
      </c>
      <c r="BC15" s="78">
        <f t="shared" si="2"/>
        <v>-22.967266492316099</v>
      </c>
      <c r="BD15" s="78">
        <f t="shared" si="2"/>
        <v>-22.967266492316099</v>
      </c>
      <c r="BE15" s="78">
        <f t="shared" si="2"/>
        <v>-22.967266492316099</v>
      </c>
      <c r="BF15" s="78">
        <f t="shared" si="2"/>
        <v>-22.967266492316099</v>
      </c>
      <c r="BG15" s="78">
        <f t="shared" si="2"/>
        <v>-22.967266492316099</v>
      </c>
      <c r="BH15" s="78">
        <f t="shared" si="2"/>
        <v>-22.967266492316099</v>
      </c>
      <c r="BI15" s="78">
        <f t="shared" si="2"/>
        <v>-22.967266492316099</v>
      </c>
    </row>
    <row r="16" spans="1:67" x14ac:dyDescent="0.25">
      <c r="H16" s="58" t="s">
        <v>220</v>
      </c>
      <c r="I16" s="20">
        <f>(GL/2+ksi)*2</f>
        <v>2.4460143187080594</v>
      </c>
      <c r="J16" s="59" t="s">
        <v>6</v>
      </c>
      <c r="L16" s="59"/>
      <c r="M16" s="59"/>
      <c r="N16" s="59"/>
      <c r="O16" s="59"/>
      <c r="P16" s="59"/>
      <c r="Q16" s="59"/>
      <c r="R16" s="59"/>
      <c r="S16" s="59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78">
        <f t="shared" ref="AO16:AZ31" si="3">tc/(LN(pl/(2*PI()*r0))+2*PI()*ksi/pl)*((PI()*(2*ksi+GL)/pl)-0.5*LN(4*(COSH(2*PI()/pl*(GL/2-AO$9))-COS(2*PI()/pl*$T16))*(COSH(2*PI()/pl*(GL/2+AO$9))+omega*COS(2*PI()/pl*$T16))))</f>
        <v>-22.967266492316099</v>
      </c>
      <c r="AP16" s="78">
        <f t="shared" si="3"/>
        <v>-22.967266492316099</v>
      </c>
      <c r="AQ16" s="78">
        <f t="shared" si="3"/>
        <v>-22.967266492316099</v>
      </c>
      <c r="AR16" s="78">
        <f t="shared" si="3"/>
        <v>-22.967266492316099</v>
      </c>
      <c r="AS16" s="78">
        <f t="shared" si="3"/>
        <v>-22.967266492316099</v>
      </c>
      <c r="AT16" s="78">
        <f t="shared" si="3"/>
        <v>-22.967266492316099</v>
      </c>
      <c r="AU16" s="78">
        <f t="shared" si="3"/>
        <v>-22.967266492316099</v>
      </c>
      <c r="AV16" s="78">
        <f t="shared" si="3"/>
        <v>-22.967266492316099</v>
      </c>
      <c r="AW16" s="78">
        <f t="shared" si="3"/>
        <v>-22.967266492316099</v>
      </c>
      <c r="AX16" s="78">
        <f t="shared" si="3"/>
        <v>-22.967266492316099</v>
      </c>
      <c r="AY16" s="78">
        <f t="shared" si="3"/>
        <v>-22.967266492316099</v>
      </c>
      <c r="AZ16" s="78">
        <f t="shared" si="3"/>
        <v>-22.967266492316099</v>
      </c>
      <c r="BA16" s="78">
        <f t="shared" ref="BA16:BI30" si="4">tc/(LN(pl/(2*PI()*r0))+2*PI()*ksi/pl)*((PI()*(2*ksi+GL)/pl)-0.5*LN(4*(COSH(2*PI()/pl*(GL/2-BA$9))-COS(2*PI()/pl*$T16))*(COSH(2*PI()/pl*(GL/2+BA$9))+omega*COS(2*PI()/pl*$T16))))</f>
        <v>-22.967266492316099</v>
      </c>
      <c r="BB16" s="78">
        <f t="shared" si="4"/>
        <v>-22.967266492316099</v>
      </c>
      <c r="BC16" s="78">
        <f t="shared" si="4"/>
        <v>-22.967266492316099</v>
      </c>
      <c r="BD16" s="78">
        <f t="shared" si="4"/>
        <v>-22.967266492316099</v>
      </c>
      <c r="BE16" s="78">
        <f t="shared" si="4"/>
        <v>-22.967266492316099</v>
      </c>
      <c r="BF16" s="78">
        <f t="shared" si="4"/>
        <v>-22.967266492316099</v>
      </c>
      <c r="BG16" s="78">
        <f t="shared" si="4"/>
        <v>-22.967266492316099</v>
      </c>
      <c r="BH16" s="78">
        <f t="shared" si="4"/>
        <v>-22.967266492316099</v>
      </c>
      <c r="BI16" s="78">
        <f t="shared" si="4"/>
        <v>-22.967266492316099</v>
      </c>
    </row>
    <row r="17" spans="2:61" x14ac:dyDescent="0.25">
      <c r="L17" s="59"/>
      <c r="M17" s="59"/>
      <c r="N17" s="59"/>
      <c r="O17" s="59"/>
      <c r="P17" s="59"/>
      <c r="Q17" s="59"/>
      <c r="R17" s="59"/>
      <c r="S17" s="59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78">
        <f t="shared" si="3"/>
        <v>-22.967266492316099</v>
      </c>
      <c r="AP17" s="78">
        <f t="shared" si="3"/>
        <v>-22.967266492316099</v>
      </c>
      <c r="AQ17" s="78">
        <f t="shared" si="3"/>
        <v>-22.967266492316099</v>
      </c>
      <c r="AR17" s="78">
        <f t="shared" si="3"/>
        <v>-22.967266492316099</v>
      </c>
      <c r="AS17" s="78">
        <f t="shared" si="3"/>
        <v>-22.967266492316099</v>
      </c>
      <c r="AT17" s="78">
        <f t="shared" si="3"/>
        <v>-22.967266492316099</v>
      </c>
      <c r="AU17" s="78">
        <f t="shared" si="3"/>
        <v>-22.967266492316099</v>
      </c>
      <c r="AV17" s="78">
        <f t="shared" si="3"/>
        <v>-22.967266492316099</v>
      </c>
      <c r="AW17" s="78">
        <f t="shared" si="3"/>
        <v>-22.967266492316099</v>
      </c>
      <c r="AX17" s="78">
        <f t="shared" si="3"/>
        <v>-22.967266492316099</v>
      </c>
      <c r="AY17" s="78">
        <f t="shared" si="3"/>
        <v>-22.967266492316099</v>
      </c>
      <c r="AZ17" s="78">
        <f t="shared" si="3"/>
        <v>-22.967266492316099</v>
      </c>
      <c r="BA17" s="78">
        <f t="shared" si="4"/>
        <v>-22.967266492316099</v>
      </c>
      <c r="BB17" s="78">
        <f t="shared" si="4"/>
        <v>-22.967266492316099</v>
      </c>
      <c r="BC17" s="78">
        <f t="shared" si="4"/>
        <v>-22.967266492316099</v>
      </c>
      <c r="BD17" s="78">
        <f t="shared" si="4"/>
        <v>-22.967266492316099</v>
      </c>
      <c r="BE17" s="78">
        <f t="shared" si="4"/>
        <v>-22.967266492316099</v>
      </c>
      <c r="BF17" s="78">
        <f t="shared" si="4"/>
        <v>-22.967266492316099</v>
      </c>
      <c r="BG17" s="78">
        <f t="shared" si="4"/>
        <v>-22.967266492316099</v>
      </c>
      <c r="BH17" s="78">
        <f t="shared" si="4"/>
        <v>-22.967266492316099</v>
      </c>
      <c r="BI17" s="78">
        <f t="shared" si="4"/>
        <v>-22.967266492316099</v>
      </c>
    </row>
    <row r="18" spans="2:61" x14ac:dyDescent="0.25">
      <c r="H18" s="28"/>
      <c r="I18" s="22"/>
      <c r="L18" s="59"/>
      <c r="M18" s="59"/>
      <c r="N18" s="59"/>
      <c r="O18" s="59"/>
      <c r="P18" s="59"/>
      <c r="Q18" s="59"/>
      <c r="R18" s="59"/>
      <c r="S18" s="59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78">
        <f t="shared" si="3"/>
        <v>-22.967266492316099</v>
      </c>
      <c r="AP18" s="78">
        <f t="shared" si="3"/>
        <v>-22.967266492316099</v>
      </c>
      <c r="AQ18" s="78">
        <f t="shared" si="3"/>
        <v>-22.967266492316099</v>
      </c>
      <c r="AR18" s="78">
        <f t="shared" si="3"/>
        <v>-22.967266492316099</v>
      </c>
      <c r="AS18" s="78">
        <f t="shared" si="3"/>
        <v>-22.967266492316099</v>
      </c>
      <c r="AT18" s="78">
        <f t="shared" si="3"/>
        <v>-22.967266492316099</v>
      </c>
      <c r="AU18" s="78">
        <f t="shared" si="3"/>
        <v>-22.967266492316099</v>
      </c>
      <c r="AV18" s="78">
        <f t="shared" si="3"/>
        <v>-22.967266492316099</v>
      </c>
      <c r="AW18" s="78">
        <f t="shared" si="3"/>
        <v>-22.967266492316099</v>
      </c>
      <c r="AX18" s="78">
        <f t="shared" si="3"/>
        <v>-22.967266492316099</v>
      </c>
      <c r="AY18" s="78">
        <f t="shared" si="3"/>
        <v>-22.967266492316099</v>
      </c>
      <c r="AZ18" s="78">
        <f t="shared" si="3"/>
        <v>-22.967266492316099</v>
      </c>
      <c r="BA18" s="78">
        <f t="shared" si="4"/>
        <v>-22.967266492316099</v>
      </c>
      <c r="BB18" s="78">
        <f t="shared" si="4"/>
        <v>-22.967266492316099</v>
      </c>
      <c r="BC18" s="78">
        <f t="shared" si="4"/>
        <v>-22.967266492316099</v>
      </c>
      <c r="BD18" s="78">
        <f t="shared" si="4"/>
        <v>-22.967266492316099</v>
      </c>
      <c r="BE18" s="78">
        <f t="shared" si="4"/>
        <v>-22.967266492316099</v>
      </c>
      <c r="BF18" s="78">
        <f t="shared" si="4"/>
        <v>-22.967266492316099</v>
      </c>
      <c r="BG18" s="78">
        <f t="shared" si="4"/>
        <v>-22.967266492316099</v>
      </c>
      <c r="BH18" s="78">
        <f t="shared" si="4"/>
        <v>-22.967266492316099</v>
      </c>
      <c r="BI18" s="78">
        <f t="shared" si="4"/>
        <v>-22.967266492316099</v>
      </c>
    </row>
    <row r="19" spans="2:61" x14ac:dyDescent="0.25">
      <c r="H19" s="28"/>
      <c r="L19" s="59" t="s">
        <v>49</v>
      </c>
      <c r="M19" s="59"/>
      <c r="N19" s="59"/>
      <c r="O19" s="59"/>
      <c r="P19" s="59"/>
      <c r="Q19" s="59"/>
      <c r="R19" s="59"/>
      <c r="S19" s="59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78">
        <f t="shared" si="3"/>
        <v>-22.967266492316099</v>
      </c>
      <c r="AP19" s="78">
        <f t="shared" si="3"/>
        <v>-22.967266492316099</v>
      </c>
      <c r="AQ19" s="78">
        <f t="shared" si="3"/>
        <v>-22.967266492316099</v>
      </c>
      <c r="AR19" s="78">
        <f t="shared" si="3"/>
        <v>-22.967266492316099</v>
      </c>
      <c r="AS19" s="78">
        <f t="shared" si="3"/>
        <v>-22.967266492316099</v>
      </c>
      <c r="AT19" s="78">
        <f t="shared" si="3"/>
        <v>-22.967266492316099</v>
      </c>
      <c r="AU19" s="78">
        <f t="shared" si="3"/>
        <v>-22.967266492316099</v>
      </c>
      <c r="AV19" s="78">
        <f t="shared" si="3"/>
        <v>-22.967266492316099</v>
      </c>
      <c r="AW19" s="78">
        <f t="shared" si="3"/>
        <v>-22.967266492316099</v>
      </c>
      <c r="AX19" s="78">
        <f t="shared" si="3"/>
        <v>-22.967266492316099</v>
      </c>
      <c r="AY19" s="78">
        <f t="shared" si="3"/>
        <v>-22.967266492316099</v>
      </c>
      <c r="AZ19" s="78">
        <f t="shared" si="3"/>
        <v>-22.967266492316099</v>
      </c>
      <c r="BA19" s="78">
        <f t="shared" si="4"/>
        <v>-22.967266492316099</v>
      </c>
      <c r="BB19" s="78">
        <f t="shared" si="4"/>
        <v>-22.967266492316099</v>
      </c>
      <c r="BC19" s="78">
        <f t="shared" si="4"/>
        <v>-22.967266492316099</v>
      </c>
      <c r="BD19" s="78">
        <f t="shared" si="4"/>
        <v>-22.967266492316099</v>
      </c>
      <c r="BE19" s="78">
        <f t="shared" si="4"/>
        <v>-22.967266492316099</v>
      </c>
      <c r="BF19" s="78">
        <f t="shared" si="4"/>
        <v>-22.967266492316099</v>
      </c>
      <c r="BG19" s="78">
        <f t="shared" si="4"/>
        <v>-22.967266492316099</v>
      </c>
      <c r="BH19" s="78">
        <f t="shared" si="4"/>
        <v>-22.967266492316099</v>
      </c>
      <c r="BI19" s="78">
        <f t="shared" si="4"/>
        <v>-22.967266492316099</v>
      </c>
    </row>
    <row r="20" spans="2:61" x14ac:dyDescent="0.25">
      <c r="I20" s="22"/>
      <c r="L20" s="59" t="s">
        <v>50</v>
      </c>
      <c r="M20" s="59"/>
      <c r="N20" s="59"/>
      <c r="O20" s="59"/>
      <c r="P20" s="59"/>
      <c r="Q20" s="59"/>
      <c r="R20" s="59"/>
      <c r="S20" s="59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78">
        <f t="shared" si="3"/>
        <v>-22.967266492316099</v>
      </c>
      <c r="AP20" s="78">
        <f t="shared" si="3"/>
        <v>-22.967266492316099</v>
      </c>
      <c r="AQ20" s="78">
        <f t="shared" si="3"/>
        <v>-22.967266492316099</v>
      </c>
      <c r="AR20" s="78">
        <f t="shared" si="3"/>
        <v>-22.967266492316099</v>
      </c>
      <c r="AS20" s="78">
        <f t="shared" si="3"/>
        <v>-22.967266492316099</v>
      </c>
      <c r="AT20" s="78">
        <f t="shared" si="3"/>
        <v>-22.967266492316099</v>
      </c>
      <c r="AU20" s="78">
        <f t="shared" si="3"/>
        <v>-22.967266492316099</v>
      </c>
      <c r="AV20" s="78">
        <f t="shared" si="3"/>
        <v>-22.967266492316099</v>
      </c>
      <c r="AW20" s="78">
        <f t="shared" si="3"/>
        <v>-22.967266492316099</v>
      </c>
      <c r="AX20" s="78">
        <f t="shared" si="3"/>
        <v>-22.967266492316099</v>
      </c>
      <c r="AY20" s="78">
        <f t="shared" si="3"/>
        <v>-22.967266492316099</v>
      </c>
      <c r="AZ20" s="78">
        <f t="shared" si="3"/>
        <v>-22.967266492316099</v>
      </c>
      <c r="BA20" s="78">
        <f t="shared" si="4"/>
        <v>-22.967266492316099</v>
      </c>
      <c r="BB20" s="78">
        <f t="shared" si="4"/>
        <v>-22.967266492316099</v>
      </c>
      <c r="BC20" s="78">
        <f t="shared" si="4"/>
        <v>-22.967266492316099</v>
      </c>
      <c r="BD20" s="78">
        <f t="shared" si="4"/>
        <v>-22.967266492316099</v>
      </c>
      <c r="BE20" s="78">
        <f t="shared" si="4"/>
        <v>-22.967266492316099</v>
      </c>
      <c r="BF20" s="78">
        <f t="shared" si="4"/>
        <v>-22.967266492316099</v>
      </c>
      <c r="BG20" s="78">
        <f t="shared" si="4"/>
        <v>-22.967266492316099</v>
      </c>
      <c r="BH20" s="78">
        <f t="shared" si="4"/>
        <v>-22.967266492316099</v>
      </c>
      <c r="BI20" s="78">
        <f t="shared" si="4"/>
        <v>-22.967266492316099</v>
      </c>
    </row>
    <row r="21" spans="2:61" x14ac:dyDescent="0.25">
      <c r="H21" s="28"/>
      <c r="I21" s="22"/>
      <c r="L21" s="59"/>
      <c r="M21" s="59"/>
      <c r="N21" s="59"/>
      <c r="O21" s="59"/>
      <c r="P21" s="59"/>
      <c r="Q21" s="59"/>
      <c r="R21" s="59"/>
      <c r="S21" s="3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78">
        <f t="shared" si="3"/>
        <v>-22.967266492316099</v>
      </c>
      <c r="AP21" s="78">
        <f t="shared" si="3"/>
        <v>-22.967266492316099</v>
      </c>
      <c r="AQ21" s="78">
        <f t="shared" si="3"/>
        <v>-22.967266492316099</v>
      </c>
      <c r="AR21" s="78">
        <f t="shared" si="3"/>
        <v>-22.967266492316099</v>
      </c>
      <c r="AS21" s="78">
        <f t="shared" si="3"/>
        <v>-22.967266492316099</v>
      </c>
      <c r="AT21" s="78">
        <f t="shared" si="3"/>
        <v>-22.967266492316099</v>
      </c>
      <c r="AU21" s="78">
        <f t="shared" si="3"/>
        <v>-22.967266492316099</v>
      </c>
      <c r="AV21" s="78">
        <f t="shared" si="3"/>
        <v>-22.967266492316099</v>
      </c>
      <c r="AW21" s="78">
        <f t="shared" si="3"/>
        <v>-22.967266492316099</v>
      </c>
      <c r="AX21" s="78">
        <f t="shared" si="3"/>
        <v>-22.967266492316099</v>
      </c>
      <c r="AY21" s="78">
        <f t="shared" si="3"/>
        <v>-22.967266492316099</v>
      </c>
      <c r="AZ21" s="78">
        <f t="shared" si="3"/>
        <v>-22.967266492316099</v>
      </c>
      <c r="BA21" s="78">
        <f t="shared" si="4"/>
        <v>-22.967266492316099</v>
      </c>
      <c r="BB21" s="78">
        <f t="shared" si="4"/>
        <v>-22.967266492316099</v>
      </c>
      <c r="BC21" s="78">
        <f t="shared" si="4"/>
        <v>-22.967266492316099</v>
      </c>
      <c r="BD21" s="78">
        <f t="shared" si="4"/>
        <v>-22.967266492316099</v>
      </c>
      <c r="BE21" s="78">
        <f t="shared" si="4"/>
        <v>-22.967266492316099</v>
      </c>
      <c r="BF21" s="78">
        <f t="shared" si="4"/>
        <v>-22.967266492316099</v>
      </c>
      <c r="BG21" s="78">
        <f t="shared" si="4"/>
        <v>-22.967266492316099</v>
      </c>
      <c r="BH21" s="78">
        <f t="shared" si="4"/>
        <v>-22.967266492316099</v>
      </c>
      <c r="BI21" s="78">
        <f t="shared" si="4"/>
        <v>-22.967266492316099</v>
      </c>
    </row>
    <row r="22" spans="2:61" x14ac:dyDescent="0.25">
      <c r="H22" s="28"/>
      <c r="L22" s="59"/>
      <c r="M22" s="59"/>
      <c r="N22" s="59"/>
      <c r="O22" s="59"/>
      <c r="P22" s="59"/>
      <c r="Q22" s="59"/>
      <c r="R22" s="59"/>
      <c r="S22" s="3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78">
        <f t="shared" si="3"/>
        <v>-22.967266492316099</v>
      </c>
      <c r="AP22" s="78">
        <f t="shared" si="3"/>
        <v>-22.967266492316099</v>
      </c>
      <c r="AQ22" s="78">
        <f t="shared" si="3"/>
        <v>-22.967266492316099</v>
      </c>
      <c r="AR22" s="78">
        <f t="shared" si="3"/>
        <v>-22.967266492316099</v>
      </c>
      <c r="AS22" s="78">
        <f t="shared" si="3"/>
        <v>-22.967266492316099</v>
      </c>
      <c r="AT22" s="78">
        <f t="shared" si="3"/>
        <v>-22.967266492316099</v>
      </c>
      <c r="AU22" s="78">
        <f t="shared" si="3"/>
        <v>-22.967266492316099</v>
      </c>
      <c r="AV22" s="78">
        <f t="shared" si="3"/>
        <v>-22.967266492316099</v>
      </c>
      <c r="AW22" s="78">
        <f t="shared" si="3"/>
        <v>-22.967266492316099</v>
      </c>
      <c r="AX22" s="78">
        <f t="shared" si="3"/>
        <v>-22.967266492316099</v>
      </c>
      <c r="AY22" s="78">
        <f t="shared" si="3"/>
        <v>-22.967266492316099</v>
      </c>
      <c r="AZ22" s="78">
        <f t="shared" si="3"/>
        <v>-22.967266492316099</v>
      </c>
      <c r="BA22" s="78">
        <f t="shared" si="4"/>
        <v>-22.967266492316099</v>
      </c>
      <c r="BB22" s="78">
        <f t="shared" si="4"/>
        <v>-22.967266492316099</v>
      </c>
      <c r="BC22" s="78">
        <f t="shared" si="4"/>
        <v>-22.967266492316099</v>
      </c>
      <c r="BD22" s="78">
        <f t="shared" si="4"/>
        <v>-22.967266492316099</v>
      </c>
      <c r="BE22" s="78">
        <f t="shared" si="4"/>
        <v>-22.967266492316099</v>
      </c>
      <c r="BF22" s="78">
        <f t="shared" si="4"/>
        <v>-22.967266492316099</v>
      </c>
      <c r="BG22" s="78">
        <f t="shared" si="4"/>
        <v>-22.967266492316099</v>
      </c>
      <c r="BH22" s="78">
        <f t="shared" si="4"/>
        <v>-22.967266492316099</v>
      </c>
      <c r="BI22" s="78">
        <f t="shared" si="4"/>
        <v>-22.967266492316099</v>
      </c>
    </row>
    <row r="23" spans="2:61" x14ac:dyDescent="0.25">
      <c r="L23" s="59"/>
      <c r="M23" s="59"/>
      <c r="N23" s="59"/>
      <c r="O23" s="59"/>
      <c r="P23" s="59"/>
      <c r="Q23" s="59"/>
      <c r="R23" s="59"/>
      <c r="S23" s="3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78">
        <f t="shared" si="3"/>
        <v>-22.967266492316099</v>
      </c>
      <c r="AP23" s="78">
        <f t="shared" si="3"/>
        <v>-22.967266492316099</v>
      </c>
      <c r="AQ23" s="78">
        <f t="shared" si="3"/>
        <v>-22.967266492316099</v>
      </c>
      <c r="AR23" s="78">
        <f t="shared" si="3"/>
        <v>-22.967266492316099</v>
      </c>
      <c r="AS23" s="78">
        <f t="shared" si="3"/>
        <v>-22.967266492316099</v>
      </c>
      <c r="AT23" s="78">
        <f t="shared" si="3"/>
        <v>-22.967266492316099</v>
      </c>
      <c r="AU23" s="78">
        <f t="shared" si="3"/>
        <v>-22.967266492316099</v>
      </c>
      <c r="AV23" s="78">
        <f t="shared" si="3"/>
        <v>-22.967266492316099</v>
      </c>
      <c r="AW23" s="78">
        <f t="shared" si="3"/>
        <v>-22.967266492316099</v>
      </c>
      <c r="AX23" s="78">
        <f t="shared" si="3"/>
        <v>-22.967266492316099</v>
      </c>
      <c r="AY23" s="78">
        <f t="shared" si="3"/>
        <v>-22.967266492316099</v>
      </c>
      <c r="AZ23" s="78">
        <f t="shared" si="3"/>
        <v>-22.967266492316099</v>
      </c>
      <c r="BA23" s="78">
        <f t="shared" si="4"/>
        <v>-22.967266492316099</v>
      </c>
      <c r="BB23" s="78">
        <f t="shared" si="4"/>
        <v>-22.967266492316099</v>
      </c>
      <c r="BC23" s="78">
        <f t="shared" si="4"/>
        <v>-22.967266492316099</v>
      </c>
      <c r="BD23" s="78">
        <f t="shared" si="4"/>
        <v>-22.967266492316099</v>
      </c>
      <c r="BE23" s="78">
        <f t="shared" si="4"/>
        <v>-22.967266492316099</v>
      </c>
      <c r="BF23" s="78">
        <f t="shared" si="4"/>
        <v>-22.967266492316099</v>
      </c>
      <c r="BG23" s="78">
        <f t="shared" si="4"/>
        <v>-22.967266492316099</v>
      </c>
      <c r="BH23" s="78">
        <f t="shared" si="4"/>
        <v>-22.967266492316099</v>
      </c>
      <c r="BI23" s="78">
        <f t="shared" si="4"/>
        <v>-22.967266492316099</v>
      </c>
    </row>
    <row r="24" spans="2:61" x14ac:dyDescent="0.25">
      <c r="L24" s="59"/>
      <c r="M24" s="59"/>
      <c r="N24" s="59"/>
      <c r="O24" s="59"/>
      <c r="P24" s="59"/>
      <c r="Q24" s="59"/>
      <c r="R24" s="59"/>
      <c r="S24" s="59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78">
        <f t="shared" si="3"/>
        <v>-22.967266492316099</v>
      </c>
      <c r="AP24" s="78">
        <f t="shared" si="3"/>
        <v>-22.967266492316099</v>
      </c>
      <c r="AQ24" s="78">
        <f t="shared" si="3"/>
        <v>-22.967266492316099</v>
      </c>
      <c r="AR24" s="78">
        <f t="shared" si="3"/>
        <v>-22.967266492316099</v>
      </c>
      <c r="AS24" s="78">
        <f t="shared" si="3"/>
        <v>-22.967266492316099</v>
      </c>
      <c r="AT24" s="78">
        <f t="shared" si="3"/>
        <v>-22.967266492316099</v>
      </c>
      <c r="AU24" s="78">
        <f t="shared" si="3"/>
        <v>-22.967266492316099</v>
      </c>
      <c r="AV24" s="78">
        <f t="shared" si="3"/>
        <v>-22.967266492316099</v>
      </c>
      <c r="AW24" s="78">
        <f t="shared" si="3"/>
        <v>-22.967266492316099</v>
      </c>
      <c r="AX24" s="78">
        <f t="shared" si="3"/>
        <v>-22.967266492316099</v>
      </c>
      <c r="AY24" s="78">
        <f t="shared" si="3"/>
        <v>-22.967266492316099</v>
      </c>
      <c r="AZ24" s="78">
        <f t="shared" si="3"/>
        <v>-22.967266492316099</v>
      </c>
      <c r="BA24" s="78">
        <f t="shared" si="4"/>
        <v>-22.967266492316099</v>
      </c>
      <c r="BB24" s="78">
        <f t="shared" si="4"/>
        <v>-22.967266492316099</v>
      </c>
      <c r="BC24" s="78">
        <f t="shared" si="4"/>
        <v>-22.967266492316099</v>
      </c>
      <c r="BD24" s="78">
        <f t="shared" si="4"/>
        <v>-22.967266492316099</v>
      </c>
      <c r="BE24" s="78">
        <f t="shared" si="4"/>
        <v>-22.967266492316099</v>
      </c>
      <c r="BF24" s="78">
        <f t="shared" si="4"/>
        <v>-22.967266492316099</v>
      </c>
      <c r="BG24" s="78">
        <f t="shared" si="4"/>
        <v>-22.967266492316099</v>
      </c>
      <c r="BH24" s="78">
        <f t="shared" si="4"/>
        <v>-22.967266492316099</v>
      </c>
      <c r="BI24" s="78">
        <f t="shared" si="4"/>
        <v>-22.967266492316099</v>
      </c>
    </row>
    <row r="25" spans="2:61" x14ac:dyDescent="0.25">
      <c r="L25" s="59"/>
      <c r="M25" s="59"/>
      <c r="N25" s="59"/>
      <c r="O25" s="59"/>
      <c r="P25" s="59"/>
      <c r="Q25" s="59"/>
      <c r="R25" s="59"/>
      <c r="S25" s="59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78">
        <f t="shared" si="3"/>
        <v>-22.967266492316099</v>
      </c>
      <c r="AP25" s="78">
        <f t="shared" si="3"/>
        <v>-22.967266492316099</v>
      </c>
      <c r="AQ25" s="78">
        <f t="shared" si="3"/>
        <v>-22.967266492316099</v>
      </c>
      <c r="AR25" s="78">
        <f t="shared" si="3"/>
        <v>-22.967266492316099</v>
      </c>
      <c r="AS25" s="78">
        <f t="shared" si="3"/>
        <v>-22.967266492316099</v>
      </c>
      <c r="AT25" s="78">
        <f t="shared" si="3"/>
        <v>-22.967266492316099</v>
      </c>
      <c r="AU25" s="78">
        <f t="shared" si="3"/>
        <v>-22.967266492316099</v>
      </c>
      <c r="AV25" s="78">
        <f t="shared" si="3"/>
        <v>-22.967266492316099</v>
      </c>
      <c r="AW25" s="78">
        <f t="shared" si="3"/>
        <v>-22.967266492316099</v>
      </c>
      <c r="AX25" s="78">
        <f t="shared" si="3"/>
        <v>-22.967266492316099</v>
      </c>
      <c r="AY25" s="78">
        <f t="shared" si="3"/>
        <v>-22.967266492316099</v>
      </c>
      <c r="AZ25" s="78">
        <f t="shared" si="3"/>
        <v>-22.967266492316099</v>
      </c>
      <c r="BA25" s="78">
        <f t="shared" si="4"/>
        <v>-22.967266492316099</v>
      </c>
      <c r="BB25" s="78">
        <f t="shared" si="4"/>
        <v>-22.967266492316099</v>
      </c>
      <c r="BC25" s="78">
        <f t="shared" si="4"/>
        <v>-22.967266492316099</v>
      </c>
      <c r="BD25" s="78">
        <f t="shared" si="4"/>
        <v>-22.967266492316099</v>
      </c>
      <c r="BE25" s="78">
        <f t="shared" si="4"/>
        <v>-22.967266492316099</v>
      </c>
      <c r="BF25" s="78">
        <f t="shared" si="4"/>
        <v>-22.967266492316099</v>
      </c>
      <c r="BG25" s="78">
        <f t="shared" si="4"/>
        <v>-22.967266492316099</v>
      </c>
      <c r="BH25" s="78">
        <f t="shared" si="4"/>
        <v>-22.967266492316099</v>
      </c>
      <c r="BI25" s="78">
        <f t="shared" si="4"/>
        <v>-22.967266492316099</v>
      </c>
    </row>
    <row r="26" spans="2:61" x14ac:dyDescent="0.25">
      <c r="L26" s="59"/>
      <c r="M26" s="59"/>
      <c r="N26" s="3"/>
      <c r="O26" s="114"/>
      <c r="P26" s="114"/>
      <c r="Q26" s="59"/>
      <c r="R26" s="59"/>
      <c r="S26" s="59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78">
        <f t="shared" si="3"/>
        <v>-22.967266492316099</v>
      </c>
      <c r="AP26" s="78">
        <f t="shared" si="3"/>
        <v>-22.967266492316099</v>
      </c>
      <c r="AQ26" s="78">
        <f t="shared" si="3"/>
        <v>-22.967266492316099</v>
      </c>
      <c r="AR26" s="78">
        <f t="shared" si="3"/>
        <v>-22.967266492316099</v>
      </c>
      <c r="AS26" s="78">
        <f t="shared" si="3"/>
        <v>-22.967266492316099</v>
      </c>
      <c r="AT26" s="78">
        <f t="shared" si="3"/>
        <v>-22.967266492316099</v>
      </c>
      <c r="AU26" s="78">
        <f t="shared" si="3"/>
        <v>-22.967266492316099</v>
      </c>
      <c r="AV26" s="78">
        <f t="shared" si="3"/>
        <v>-22.967266492316099</v>
      </c>
      <c r="AW26" s="78">
        <f t="shared" si="3"/>
        <v>-22.967266492316099</v>
      </c>
      <c r="AX26" s="78">
        <f t="shared" si="3"/>
        <v>-22.967266492316099</v>
      </c>
      <c r="AY26" s="78">
        <f t="shared" si="3"/>
        <v>-22.967266492316099</v>
      </c>
      <c r="AZ26" s="78">
        <f t="shared" si="3"/>
        <v>-22.967266492316099</v>
      </c>
      <c r="BA26" s="78">
        <f t="shared" si="4"/>
        <v>-22.967266492316099</v>
      </c>
      <c r="BB26" s="78">
        <f t="shared" si="4"/>
        <v>-22.967266492316099</v>
      </c>
      <c r="BC26" s="78">
        <f t="shared" si="4"/>
        <v>-22.967266492316099</v>
      </c>
      <c r="BD26" s="78">
        <f t="shared" si="4"/>
        <v>-22.967266492316099</v>
      </c>
      <c r="BE26" s="78">
        <f t="shared" si="4"/>
        <v>-22.967266492316099</v>
      </c>
      <c r="BF26" s="78">
        <f t="shared" si="4"/>
        <v>-22.967266492316099</v>
      </c>
      <c r="BG26" s="78">
        <f t="shared" si="4"/>
        <v>-22.967266492316099</v>
      </c>
      <c r="BH26" s="78">
        <f t="shared" si="4"/>
        <v>-22.967266492316099</v>
      </c>
      <c r="BI26" s="78">
        <f t="shared" si="4"/>
        <v>-22.967266492316099</v>
      </c>
    </row>
    <row r="27" spans="2:61" x14ac:dyDescent="0.25">
      <c r="L27" s="59"/>
      <c r="M27" s="59"/>
      <c r="N27" s="3"/>
      <c r="O27" s="114"/>
      <c r="P27" s="114"/>
      <c r="Q27" s="59"/>
      <c r="R27" s="59"/>
      <c r="S27" s="59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78">
        <f t="shared" si="3"/>
        <v>-22.967266492316099</v>
      </c>
      <c r="AP27" s="78">
        <f t="shared" si="3"/>
        <v>-22.967266492316099</v>
      </c>
      <c r="AQ27" s="78">
        <f t="shared" si="3"/>
        <v>-22.967266492316099</v>
      </c>
      <c r="AR27" s="78">
        <f t="shared" si="3"/>
        <v>-22.967266492316099</v>
      </c>
      <c r="AS27" s="78">
        <f t="shared" si="3"/>
        <v>-22.967266492316099</v>
      </c>
      <c r="AT27" s="78">
        <f t="shared" si="3"/>
        <v>-22.967266492316099</v>
      </c>
      <c r="AU27" s="78">
        <f t="shared" si="3"/>
        <v>-22.967266492316099</v>
      </c>
      <c r="AV27" s="78">
        <f t="shared" si="3"/>
        <v>-22.967266492316099</v>
      </c>
      <c r="AW27" s="78">
        <f t="shared" si="3"/>
        <v>-22.967266492316099</v>
      </c>
      <c r="AX27" s="78">
        <f t="shared" si="3"/>
        <v>-22.967266492316099</v>
      </c>
      <c r="AY27" s="78">
        <f t="shared" si="3"/>
        <v>-22.967266492316099</v>
      </c>
      <c r="AZ27" s="78">
        <f t="shared" si="3"/>
        <v>-22.967266492316099</v>
      </c>
      <c r="BA27" s="78">
        <f t="shared" si="4"/>
        <v>-22.967266492316099</v>
      </c>
      <c r="BB27" s="78">
        <f t="shared" si="4"/>
        <v>-22.967266492316099</v>
      </c>
      <c r="BC27" s="78">
        <f t="shared" si="4"/>
        <v>-22.967266492316099</v>
      </c>
      <c r="BD27" s="78">
        <f t="shared" si="4"/>
        <v>-22.967266492316099</v>
      </c>
      <c r="BE27" s="78">
        <f t="shared" si="4"/>
        <v>-22.967266492316099</v>
      </c>
      <c r="BF27" s="78">
        <f t="shared" si="4"/>
        <v>-22.967266492316099</v>
      </c>
      <c r="BG27" s="78">
        <f t="shared" si="4"/>
        <v>-22.967266492316099</v>
      </c>
      <c r="BH27" s="78">
        <f t="shared" si="4"/>
        <v>-22.967266492316099</v>
      </c>
      <c r="BI27" s="78">
        <f t="shared" si="4"/>
        <v>-22.967266492316099</v>
      </c>
    </row>
    <row r="28" spans="2:61" x14ac:dyDescent="0.25">
      <c r="L28" s="59"/>
      <c r="M28" s="59"/>
      <c r="N28" s="3"/>
      <c r="O28" s="114"/>
      <c r="P28" s="114"/>
      <c r="Q28" s="59"/>
      <c r="R28" s="59"/>
      <c r="S28" s="59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78">
        <f t="shared" si="3"/>
        <v>-22.967266492316099</v>
      </c>
      <c r="AP28" s="78">
        <f t="shared" si="3"/>
        <v>-22.967266492316099</v>
      </c>
      <c r="AQ28" s="78">
        <f t="shared" si="3"/>
        <v>-22.967266492316099</v>
      </c>
      <c r="AR28" s="78">
        <f t="shared" si="3"/>
        <v>-22.967266492316099</v>
      </c>
      <c r="AS28" s="78">
        <f t="shared" si="3"/>
        <v>-22.967266492316099</v>
      </c>
      <c r="AT28" s="78">
        <f t="shared" si="3"/>
        <v>-22.967266492316099</v>
      </c>
      <c r="AU28" s="78">
        <f t="shared" si="3"/>
        <v>-22.967266492316099</v>
      </c>
      <c r="AV28" s="78">
        <f t="shared" si="3"/>
        <v>-22.967266492316099</v>
      </c>
      <c r="AW28" s="78">
        <f t="shared" si="3"/>
        <v>-22.967266492316099</v>
      </c>
      <c r="AX28" s="78">
        <f t="shared" si="3"/>
        <v>-22.967266492316099</v>
      </c>
      <c r="AY28" s="78">
        <f t="shared" si="3"/>
        <v>-22.967266492316099</v>
      </c>
      <c r="AZ28" s="78">
        <f t="shared" si="3"/>
        <v>-22.967266492316099</v>
      </c>
      <c r="BA28" s="78">
        <f t="shared" si="4"/>
        <v>-22.967266492316099</v>
      </c>
      <c r="BB28" s="78">
        <f t="shared" si="4"/>
        <v>-22.967266492316099</v>
      </c>
      <c r="BC28" s="78">
        <f t="shared" si="4"/>
        <v>-22.967266492316099</v>
      </c>
      <c r="BD28" s="78">
        <f t="shared" si="4"/>
        <v>-22.967266492316099</v>
      </c>
      <c r="BE28" s="78">
        <f t="shared" si="4"/>
        <v>-22.967266492316099</v>
      </c>
      <c r="BF28" s="78">
        <f t="shared" si="4"/>
        <v>-22.967266492316099</v>
      </c>
      <c r="BG28" s="78">
        <f t="shared" si="4"/>
        <v>-22.967266492316099</v>
      </c>
      <c r="BH28" s="78">
        <f t="shared" si="4"/>
        <v>-22.967266492316099</v>
      </c>
      <c r="BI28" s="78">
        <f t="shared" si="4"/>
        <v>-22.967266492316099</v>
      </c>
    </row>
    <row r="29" spans="2:61" x14ac:dyDescent="0.25">
      <c r="L29" s="59"/>
      <c r="M29" s="59"/>
      <c r="N29" s="3"/>
      <c r="O29" s="114"/>
      <c r="P29" s="114"/>
      <c r="Q29" s="59"/>
      <c r="R29" s="59"/>
      <c r="S29" s="59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78">
        <f t="shared" si="3"/>
        <v>-22.967266492316099</v>
      </c>
      <c r="AP29" s="78">
        <f t="shared" si="3"/>
        <v>-22.967266492316099</v>
      </c>
      <c r="AQ29" s="78">
        <f t="shared" si="3"/>
        <v>-22.967266492316099</v>
      </c>
      <c r="AR29" s="78">
        <f t="shared" si="3"/>
        <v>-22.967266492316099</v>
      </c>
      <c r="AS29" s="78">
        <f t="shared" si="3"/>
        <v>-22.967266492316099</v>
      </c>
      <c r="AT29" s="78">
        <f t="shared" si="3"/>
        <v>-22.967266492316099</v>
      </c>
      <c r="AU29" s="78">
        <f t="shared" si="3"/>
        <v>-22.967266492316099</v>
      </c>
      <c r="AV29" s="78">
        <f t="shared" si="3"/>
        <v>-22.967266492316099</v>
      </c>
      <c r="AW29" s="78">
        <f t="shared" si="3"/>
        <v>-22.967266492316099</v>
      </c>
      <c r="AX29" s="78">
        <f t="shared" si="3"/>
        <v>-22.967266492316099</v>
      </c>
      <c r="AY29" s="78">
        <f t="shared" si="3"/>
        <v>-22.967266492316099</v>
      </c>
      <c r="AZ29" s="78">
        <f t="shared" si="3"/>
        <v>-22.967266492316099</v>
      </c>
      <c r="BA29" s="78">
        <f t="shared" si="4"/>
        <v>-22.967266492316099</v>
      </c>
      <c r="BB29" s="78">
        <f t="shared" si="4"/>
        <v>-22.967266492316099</v>
      </c>
      <c r="BC29" s="78">
        <f t="shared" si="4"/>
        <v>-22.967266492316099</v>
      </c>
      <c r="BD29" s="78">
        <f t="shared" si="4"/>
        <v>-22.967266492316099</v>
      </c>
      <c r="BE29" s="78">
        <f t="shared" si="4"/>
        <v>-22.967266492316099</v>
      </c>
      <c r="BF29" s="78">
        <f t="shared" si="4"/>
        <v>-22.967266492316099</v>
      </c>
      <c r="BG29" s="78">
        <f t="shared" si="4"/>
        <v>-22.967266492316099</v>
      </c>
      <c r="BH29" s="78">
        <f t="shared" si="4"/>
        <v>-22.967266492316099</v>
      </c>
      <c r="BI29" s="78">
        <f t="shared" si="4"/>
        <v>-22.967266492316099</v>
      </c>
    </row>
    <row r="30" spans="2:61" x14ac:dyDescent="0.25">
      <c r="C30" s="76"/>
      <c r="L30" s="59"/>
      <c r="M30" s="59"/>
      <c r="N30" s="3"/>
      <c r="O30" s="114"/>
      <c r="P30" s="114"/>
      <c r="Q30" s="59"/>
      <c r="R30" s="59"/>
      <c r="S30" s="59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78">
        <f t="shared" si="3"/>
        <v>-22.967266492316099</v>
      </c>
      <c r="AP30" s="78">
        <f t="shared" si="3"/>
        <v>-22.967266492316099</v>
      </c>
      <c r="AQ30" s="78">
        <f t="shared" si="3"/>
        <v>-22.967266492316099</v>
      </c>
      <c r="AR30" s="78">
        <f t="shared" si="3"/>
        <v>-22.967266492316099</v>
      </c>
      <c r="AS30" s="78">
        <f t="shared" si="3"/>
        <v>-22.967266492316099</v>
      </c>
      <c r="AT30" s="78">
        <f t="shared" si="3"/>
        <v>-22.967266492316099</v>
      </c>
      <c r="AU30" s="78">
        <f t="shared" si="3"/>
        <v>-22.967266492316099</v>
      </c>
      <c r="AV30" s="78">
        <f t="shared" si="3"/>
        <v>-22.967266492316099</v>
      </c>
      <c r="AW30" s="78">
        <f t="shared" si="3"/>
        <v>-22.967266492316099</v>
      </c>
      <c r="AX30" s="78">
        <f t="shared" si="3"/>
        <v>-22.967266492316099</v>
      </c>
      <c r="AY30" s="78">
        <f t="shared" si="3"/>
        <v>-22.967266492316099</v>
      </c>
      <c r="AZ30" s="78">
        <f t="shared" si="3"/>
        <v>-22.967266492316099</v>
      </c>
      <c r="BA30" s="78">
        <f t="shared" si="4"/>
        <v>-22.967266492316099</v>
      </c>
      <c r="BB30" s="78">
        <f t="shared" si="4"/>
        <v>-22.967266492316099</v>
      </c>
      <c r="BC30" s="78">
        <f t="shared" si="4"/>
        <v>-22.967266492316099</v>
      </c>
      <c r="BD30" s="78">
        <f t="shared" si="4"/>
        <v>-22.967266492316099</v>
      </c>
      <c r="BE30" s="78">
        <f t="shared" si="4"/>
        <v>-22.967266492316099</v>
      </c>
      <c r="BF30" s="78">
        <f t="shared" si="4"/>
        <v>-22.967266492316099</v>
      </c>
      <c r="BG30" s="78">
        <f t="shared" si="4"/>
        <v>-22.967266492316099</v>
      </c>
      <c r="BH30" s="78">
        <f t="shared" si="4"/>
        <v>-22.967266492316099</v>
      </c>
      <c r="BI30" s="78">
        <f t="shared" si="4"/>
        <v>-22.967266492316099</v>
      </c>
    </row>
    <row r="31" spans="2:61" x14ac:dyDescent="0.25">
      <c r="B31" s="1"/>
      <c r="C31" s="1"/>
      <c r="L31" s="59"/>
      <c r="M31" s="59"/>
      <c r="N31" s="3"/>
      <c r="O31" s="114"/>
      <c r="P31" s="114"/>
      <c r="Q31" s="59"/>
      <c r="R31" s="59"/>
      <c r="S31" s="59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78">
        <f t="shared" si="3"/>
        <v>-22.967266492316099</v>
      </c>
      <c r="AP31" s="78">
        <f t="shared" si="3"/>
        <v>-22.967266492316099</v>
      </c>
      <c r="AQ31" s="78">
        <f t="shared" si="3"/>
        <v>-22.967266492316099</v>
      </c>
      <c r="AR31" s="78">
        <f t="shared" si="3"/>
        <v>-22.967266492316099</v>
      </c>
      <c r="AS31" s="78">
        <f t="shared" si="3"/>
        <v>-22.967266492316099</v>
      </c>
      <c r="AT31" s="78">
        <f t="shared" si="3"/>
        <v>-22.967266492316099</v>
      </c>
      <c r="AU31" s="78">
        <f t="shared" si="3"/>
        <v>-22.967266492316099</v>
      </c>
      <c r="AV31" s="78">
        <f t="shared" si="3"/>
        <v>-22.967266492316099</v>
      </c>
      <c r="AW31" s="78">
        <f t="shared" si="3"/>
        <v>-22.967266492316099</v>
      </c>
      <c r="AX31" s="78">
        <f t="shared" si="3"/>
        <v>-22.967266492316099</v>
      </c>
      <c r="AY31" s="78">
        <f t="shared" si="3"/>
        <v>-22.967266492316099</v>
      </c>
      <c r="AZ31" s="78">
        <f t="shared" ref="AZ31:BI31" si="5">tc/(LN(pl/(2*PI()*r0))+2*PI()*ksi/pl)*((PI()*(2*ksi+GL)/pl)-0.5*LN(4*(COSH(2*PI()/pl*(GL/2-AZ$9))-COS(2*PI()/pl*$T31))*(COSH(2*PI()/pl*(GL/2+AZ$9))+omega*COS(2*PI()/pl*$T31))))</f>
        <v>-22.967266492316099</v>
      </c>
      <c r="BA31" s="78">
        <f t="shared" si="5"/>
        <v>-22.967266492316099</v>
      </c>
      <c r="BB31" s="78">
        <f t="shared" si="5"/>
        <v>-22.967266492316099</v>
      </c>
      <c r="BC31" s="78">
        <f t="shared" si="5"/>
        <v>-22.967266492316099</v>
      </c>
      <c r="BD31" s="78">
        <f t="shared" si="5"/>
        <v>-22.967266492316099</v>
      </c>
      <c r="BE31" s="78">
        <f t="shared" si="5"/>
        <v>-22.967266492316099</v>
      </c>
      <c r="BF31" s="78">
        <f t="shared" si="5"/>
        <v>-22.967266492316099</v>
      </c>
      <c r="BG31" s="78">
        <f t="shared" si="5"/>
        <v>-22.967266492316099</v>
      </c>
      <c r="BH31" s="78">
        <f t="shared" si="5"/>
        <v>-22.967266492316099</v>
      </c>
      <c r="BI31" s="78">
        <f t="shared" si="5"/>
        <v>-22.967266492316099</v>
      </c>
    </row>
    <row r="32" spans="2:61" x14ac:dyDescent="0.25">
      <c r="B32" s="1"/>
      <c r="L32" s="59"/>
      <c r="M32" s="59"/>
      <c r="N32" s="3"/>
      <c r="O32" s="114"/>
      <c r="P32" s="114"/>
      <c r="Q32" s="59"/>
      <c r="R32" s="59"/>
      <c r="S32" s="59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78">
        <f t="shared" ref="AK32:AS47" si="6">tc/(LN(pl/(2*PI()*r0))+2*PI()*ksi/pl)*((PI()*(2*ksi+GL)/pl)-0.5*LN(4*(COSH(2*PI()/pl*(GL/2-AO$9))-COS(2*PI()/pl*$T32))*(COSH(2*PI()/pl*(GL/2+AO$9))+omega*COS(2*PI()/pl*$T32))))</f>
        <v>-22.967266492316099</v>
      </c>
      <c r="AP32" s="78">
        <f t="shared" si="6"/>
        <v>-22.967266492316099</v>
      </c>
      <c r="AQ32" s="78">
        <f t="shared" si="6"/>
        <v>-22.967266492316099</v>
      </c>
      <c r="AR32" s="78">
        <f t="shared" si="6"/>
        <v>-22.967266492316099</v>
      </c>
      <c r="AS32" s="78">
        <f t="shared" si="6"/>
        <v>-22.967266492316099</v>
      </c>
      <c r="AT32" s="78">
        <f t="shared" ref="AT32:BI47" si="7">tc/(LN(pl/(2*PI()*r0))+2*PI()*ksi/pl)*((PI()*(2*ksi+GL)/pl)-0.5*LN(4*(COSH(2*PI()/pl*(GL/2-AT$9))-COS(2*PI()/pl*$T32))*(COSH(2*PI()/pl*(GL/2+AT$9))+omega*COS(2*PI()/pl*$T32))))</f>
        <v>-22.967266492316099</v>
      </c>
      <c r="AU32" s="78">
        <f t="shared" si="7"/>
        <v>-22.967266492316099</v>
      </c>
      <c r="AV32" s="78">
        <f t="shared" si="7"/>
        <v>-22.967266492316099</v>
      </c>
      <c r="AW32" s="78">
        <f t="shared" si="7"/>
        <v>-22.967266492316099</v>
      </c>
      <c r="AX32" s="78">
        <f t="shared" si="7"/>
        <v>-22.967266492316099</v>
      </c>
      <c r="AY32" s="78">
        <f t="shared" si="7"/>
        <v>-22.967266492316099</v>
      </c>
      <c r="AZ32" s="78">
        <f t="shared" si="7"/>
        <v>-22.967266492316099</v>
      </c>
      <c r="BA32" s="78">
        <f t="shared" si="7"/>
        <v>-22.967266492316099</v>
      </c>
      <c r="BB32" s="78">
        <f t="shared" si="7"/>
        <v>-22.967266492316099</v>
      </c>
      <c r="BC32" s="78">
        <f t="shared" si="7"/>
        <v>-22.967266492316099</v>
      </c>
      <c r="BD32" s="78">
        <f t="shared" si="7"/>
        <v>-22.967266492316099</v>
      </c>
      <c r="BE32" s="78">
        <f t="shared" si="7"/>
        <v>-22.967266492316099</v>
      </c>
      <c r="BF32" s="78">
        <f t="shared" si="7"/>
        <v>-22.967266492316099</v>
      </c>
      <c r="BG32" s="78">
        <f t="shared" si="7"/>
        <v>-22.967266492316099</v>
      </c>
      <c r="BH32" s="78">
        <f t="shared" si="7"/>
        <v>-22.967266492316099</v>
      </c>
      <c r="BI32" s="78">
        <f t="shared" si="7"/>
        <v>-22.967266492316099</v>
      </c>
    </row>
    <row r="33" spans="2:61" x14ac:dyDescent="0.25">
      <c r="B33" s="1"/>
      <c r="C33" s="76"/>
      <c r="L33" s="59"/>
      <c r="M33" s="59"/>
      <c r="N33" s="59"/>
      <c r="O33" s="59"/>
      <c r="P33" s="59"/>
      <c r="Q33" s="59"/>
      <c r="R33" s="59"/>
      <c r="S33" s="59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78">
        <f t="shared" si="6"/>
        <v>-22.967266492316099</v>
      </c>
      <c r="AP33" s="78">
        <f t="shared" si="6"/>
        <v>-22.967266492316099</v>
      </c>
      <c r="AQ33" s="78">
        <f t="shared" si="6"/>
        <v>-22.967266492316099</v>
      </c>
      <c r="AR33" s="78">
        <f t="shared" si="6"/>
        <v>-22.967266492316099</v>
      </c>
      <c r="AS33" s="78">
        <f t="shared" si="6"/>
        <v>-22.967266492316099</v>
      </c>
      <c r="AT33" s="78">
        <f t="shared" si="7"/>
        <v>-22.967266492316099</v>
      </c>
      <c r="AU33" s="78">
        <f t="shared" si="7"/>
        <v>-22.967266492316099</v>
      </c>
      <c r="AV33" s="78">
        <f t="shared" si="7"/>
        <v>-22.967266492316099</v>
      </c>
      <c r="AW33" s="78">
        <f t="shared" si="7"/>
        <v>-22.967266492316099</v>
      </c>
      <c r="AX33" s="78">
        <f t="shared" si="7"/>
        <v>-22.967266492316099</v>
      </c>
      <c r="AY33" s="78">
        <f t="shared" si="7"/>
        <v>-22.967266492316099</v>
      </c>
      <c r="AZ33" s="78">
        <f t="shared" si="7"/>
        <v>-22.967266492316099</v>
      </c>
      <c r="BA33" s="78">
        <f t="shared" si="7"/>
        <v>-22.967266492316099</v>
      </c>
      <c r="BB33" s="78">
        <f t="shared" si="7"/>
        <v>-22.967266492316099</v>
      </c>
      <c r="BC33" s="78">
        <f t="shared" si="7"/>
        <v>-22.967266492316099</v>
      </c>
      <c r="BD33" s="78">
        <f t="shared" si="7"/>
        <v>-22.967266492316099</v>
      </c>
      <c r="BE33" s="78">
        <f t="shared" si="7"/>
        <v>-22.967266492316099</v>
      </c>
      <c r="BF33" s="78">
        <f t="shared" si="7"/>
        <v>-22.967266492316099</v>
      </c>
      <c r="BG33" s="78">
        <f t="shared" si="7"/>
        <v>-22.967266492316099</v>
      </c>
      <c r="BH33" s="78">
        <f t="shared" si="7"/>
        <v>-22.967266492316099</v>
      </c>
      <c r="BI33" s="78">
        <f t="shared" si="7"/>
        <v>-22.967266492316099</v>
      </c>
    </row>
    <row r="34" spans="2:61" x14ac:dyDescent="0.25">
      <c r="B34" s="1"/>
      <c r="C34" s="76"/>
      <c r="L34" s="59"/>
      <c r="M34" s="59"/>
      <c r="N34" s="59"/>
      <c r="O34" s="59"/>
      <c r="P34" s="59"/>
      <c r="Q34" s="59"/>
      <c r="R34" s="59"/>
      <c r="S34" s="59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78">
        <f t="shared" si="6"/>
        <v>-22.967266492316099</v>
      </c>
      <c r="AP34" s="78">
        <f t="shared" si="6"/>
        <v>-22.967266492316099</v>
      </c>
      <c r="AQ34" s="78">
        <f t="shared" si="6"/>
        <v>-22.967266492316099</v>
      </c>
      <c r="AR34" s="78">
        <f t="shared" si="6"/>
        <v>-22.967266492316099</v>
      </c>
      <c r="AS34" s="78">
        <f t="shared" si="6"/>
        <v>-22.967266492316099</v>
      </c>
      <c r="AT34" s="78">
        <f t="shared" si="7"/>
        <v>-22.967266492316099</v>
      </c>
      <c r="AU34" s="78">
        <f t="shared" si="7"/>
        <v>-22.967266492316099</v>
      </c>
      <c r="AV34" s="78">
        <f t="shared" si="7"/>
        <v>-22.967266492316099</v>
      </c>
      <c r="AW34" s="78">
        <f t="shared" si="7"/>
        <v>-22.967266492316099</v>
      </c>
      <c r="AX34" s="78">
        <f t="shared" si="7"/>
        <v>-22.967266492316099</v>
      </c>
      <c r="AY34" s="78">
        <f t="shared" si="7"/>
        <v>-22.967266492316099</v>
      </c>
      <c r="AZ34" s="78">
        <f t="shared" si="7"/>
        <v>-22.967266492316099</v>
      </c>
      <c r="BA34" s="78">
        <f t="shared" si="7"/>
        <v>-22.967266492316099</v>
      </c>
      <c r="BB34" s="78">
        <f t="shared" si="7"/>
        <v>-22.967266492316099</v>
      </c>
      <c r="BC34" s="78">
        <f t="shared" si="7"/>
        <v>-22.967266492316099</v>
      </c>
      <c r="BD34" s="78">
        <f t="shared" si="7"/>
        <v>-22.967266492316099</v>
      </c>
      <c r="BE34" s="78">
        <f t="shared" si="7"/>
        <v>-22.967266492316099</v>
      </c>
      <c r="BF34" s="78">
        <f t="shared" si="7"/>
        <v>-22.967266492316099</v>
      </c>
      <c r="BG34" s="78">
        <f t="shared" si="7"/>
        <v>-22.967266492316099</v>
      </c>
      <c r="BH34" s="78">
        <f t="shared" si="7"/>
        <v>-22.967266492316099</v>
      </c>
      <c r="BI34" s="78">
        <f t="shared" si="7"/>
        <v>-22.967266492316099</v>
      </c>
    </row>
    <row r="35" spans="2:61" x14ac:dyDescent="0.25">
      <c r="B35" s="1"/>
      <c r="L35" s="59"/>
      <c r="M35" s="59"/>
      <c r="N35" s="59"/>
      <c r="O35" s="59"/>
      <c r="P35" s="59"/>
      <c r="Q35" s="59"/>
      <c r="R35" s="59"/>
      <c r="S35" s="59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78">
        <f t="shared" si="6"/>
        <v>-22.967266492316099</v>
      </c>
      <c r="AP35" s="78">
        <f t="shared" si="6"/>
        <v>-22.967266492316099</v>
      </c>
      <c r="AQ35" s="78">
        <f t="shared" si="6"/>
        <v>-22.967266492316099</v>
      </c>
      <c r="AR35" s="78">
        <f t="shared" si="6"/>
        <v>-22.967266492316099</v>
      </c>
      <c r="AS35" s="78">
        <f t="shared" si="6"/>
        <v>-22.967266492316099</v>
      </c>
      <c r="AT35" s="78">
        <f t="shared" si="7"/>
        <v>-22.967266492316099</v>
      </c>
      <c r="AU35" s="78">
        <f t="shared" si="7"/>
        <v>-22.967266492316099</v>
      </c>
      <c r="AV35" s="78">
        <f t="shared" si="7"/>
        <v>-22.967266492316099</v>
      </c>
      <c r="AW35" s="78">
        <f t="shared" si="7"/>
        <v>-22.967266492316099</v>
      </c>
      <c r="AX35" s="78">
        <f t="shared" si="7"/>
        <v>-22.967266492316099</v>
      </c>
      <c r="AY35" s="78">
        <f t="shared" si="7"/>
        <v>-22.967266492316099</v>
      </c>
      <c r="AZ35" s="78">
        <f t="shared" si="7"/>
        <v>-22.967266492316099</v>
      </c>
      <c r="BA35" s="78">
        <f t="shared" si="7"/>
        <v>-22.967266492316099</v>
      </c>
      <c r="BB35" s="78">
        <f t="shared" si="7"/>
        <v>-22.967266492316099</v>
      </c>
      <c r="BC35" s="78">
        <f t="shared" si="7"/>
        <v>-22.967266492316099</v>
      </c>
      <c r="BD35" s="78">
        <f t="shared" si="7"/>
        <v>-22.967266492316099</v>
      </c>
      <c r="BE35" s="78">
        <f t="shared" si="7"/>
        <v>-22.967266492316099</v>
      </c>
      <c r="BF35" s="78">
        <f t="shared" si="7"/>
        <v>-22.967266492316099</v>
      </c>
      <c r="BG35" s="78">
        <f t="shared" si="7"/>
        <v>-22.967266492316099</v>
      </c>
      <c r="BH35" s="78">
        <f t="shared" si="7"/>
        <v>-22.967266492316099</v>
      </c>
      <c r="BI35" s="78">
        <f t="shared" si="7"/>
        <v>-22.967266492316099</v>
      </c>
    </row>
    <row r="36" spans="2:61" x14ac:dyDescent="0.25">
      <c r="L36" s="59"/>
      <c r="M36" s="59"/>
      <c r="N36" s="59"/>
      <c r="O36" s="59"/>
      <c r="P36" s="59"/>
      <c r="Q36" s="59"/>
      <c r="R36" s="59"/>
      <c r="S36" s="59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78">
        <f t="shared" si="6"/>
        <v>-22.967266492316099</v>
      </c>
      <c r="AP36" s="78">
        <f t="shared" si="6"/>
        <v>-22.967266492316099</v>
      </c>
      <c r="AQ36" s="78">
        <f t="shared" si="6"/>
        <v>-22.967266492316099</v>
      </c>
      <c r="AR36" s="78">
        <f t="shared" si="6"/>
        <v>-22.967266492316099</v>
      </c>
      <c r="AS36" s="78">
        <f t="shared" si="6"/>
        <v>-22.967266492316099</v>
      </c>
      <c r="AT36" s="78">
        <f t="shared" si="7"/>
        <v>-22.967266492316099</v>
      </c>
      <c r="AU36" s="78">
        <f t="shared" si="7"/>
        <v>-22.967266492316099</v>
      </c>
      <c r="AV36" s="78">
        <f t="shared" si="7"/>
        <v>-22.967266492316099</v>
      </c>
      <c r="AW36" s="78">
        <f t="shared" si="7"/>
        <v>-22.967266492316099</v>
      </c>
      <c r="AX36" s="78">
        <f t="shared" si="7"/>
        <v>-22.967266492316099</v>
      </c>
      <c r="AY36" s="78">
        <f t="shared" si="7"/>
        <v>-22.967266492316099</v>
      </c>
      <c r="AZ36" s="78">
        <f t="shared" si="7"/>
        <v>-22.967266492316099</v>
      </c>
      <c r="BA36" s="78">
        <f t="shared" si="7"/>
        <v>-22.967266492316099</v>
      </c>
      <c r="BB36" s="78">
        <f t="shared" si="7"/>
        <v>-22.967266492316099</v>
      </c>
      <c r="BC36" s="78">
        <f t="shared" si="7"/>
        <v>-22.967266492316099</v>
      </c>
      <c r="BD36" s="78">
        <f t="shared" si="7"/>
        <v>-22.967266492316099</v>
      </c>
      <c r="BE36" s="78">
        <f t="shared" si="7"/>
        <v>-22.967266492316099</v>
      </c>
      <c r="BF36" s="78">
        <f t="shared" si="7"/>
        <v>-22.967266492316099</v>
      </c>
      <c r="BG36" s="78">
        <f t="shared" si="7"/>
        <v>-22.967266492316099</v>
      </c>
      <c r="BH36" s="78">
        <f t="shared" si="7"/>
        <v>-22.967266492316099</v>
      </c>
      <c r="BI36" s="78">
        <f t="shared" si="7"/>
        <v>-22.967266492316099</v>
      </c>
    </row>
    <row r="37" spans="2:61" x14ac:dyDescent="0.25">
      <c r="L37" s="59"/>
      <c r="M37" s="59"/>
      <c r="N37" s="59"/>
      <c r="O37" s="59"/>
      <c r="P37" s="59"/>
      <c r="Q37" s="59"/>
      <c r="R37" s="59"/>
      <c r="S37" s="59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78">
        <f t="shared" si="6"/>
        <v>-22.967266492316099</v>
      </c>
      <c r="AP37" s="78">
        <f t="shared" si="6"/>
        <v>-22.967266492316099</v>
      </c>
      <c r="AQ37" s="78">
        <f t="shared" si="6"/>
        <v>-22.967266492316099</v>
      </c>
      <c r="AR37" s="78">
        <f t="shared" si="6"/>
        <v>-22.967266492316099</v>
      </c>
      <c r="AS37" s="78">
        <f t="shared" si="6"/>
        <v>-22.967266492316099</v>
      </c>
      <c r="AT37" s="78">
        <f t="shared" si="7"/>
        <v>-22.967266492316099</v>
      </c>
      <c r="AU37" s="78">
        <f t="shared" si="7"/>
        <v>-22.967266492316099</v>
      </c>
      <c r="AV37" s="78">
        <f t="shared" si="7"/>
        <v>-22.967266492316099</v>
      </c>
      <c r="AW37" s="78">
        <f t="shared" si="7"/>
        <v>-22.967266492316099</v>
      </c>
      <c r="AX37" s="78">
        <f t="shared" si="7"/>
        <v>-22.967266492316099</v>
      </c>
      <c r="AY37" s="78">
        <f t="shared" si="7"/>
        <v>-22.967266492316099</v>
      </c>
      <c r="AZ37" s="78">
        <f t="shared" si="7"/>
        <v>-22.967266492316099</v>
      </c>
      <c r="BA37" s="78">
        <f t="shared" si="7"/>
        <v>-22.967266492316099</v>
      </c>
      <c r="BB37" s="78">
        <f t="shared" si="7"/>
        <v>-22.967266492316099</v>
      </c>
      <c r="BC37" s="78">
        <f t="shared" si="7"/>
        <v>-22.967266492316099</v>
      </c>
      <c r="BD37" s="78">
        <f t="shared" si="7"/>
        <v>-22.967266492316099</v>
      </c>
      <c r="BE37" s="78">
        <f t="shared" si="7"/>
        <v>-22.967266492316099</v>
      </c>
      <c r="BF37" s="78">
        <f t="shared" si="7"/>
        <v>-22.967266492316099</v>
      </c>
      <c r="BG37" s="78">
        <f t="shared" si="7"/>
        <v>-22.967266492316099</v>
      </c>
      <c r="BH37" s="78">
        <f t="shared" si="7"/>
        <v>-22.967266492316099</v>
      </c>
      <c r="BI37" s="78">
        <f t="shared" si="7"/>
        <v>-22.967266492316099</v>
      </c>
    </row>
    <row r="38" spans="2:61" x14ac:dyDescent="0.25">
      <c r="L38" s="59"/>
      <c r="M38" s="59"/>
      <c r="N38" s="59"/>
      <c r="O38" s="59"/>
      <c r="P38" s="59"/>
      <c r="Q38" s="59"/>
      <c r="R38" s="59"/>
      <c r="S38" s="59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78">
        <f t="shared" si="6"/>
        <v>-22.967266492316099</v>
      </c>
      <c r="AP38" s="78">
        <f t="shared" si="6"/>
        <v>-22.967266492316099</v>
      </c>
      <c r="AQ38" s="78">
        <f t="shared" si="6"/>
        <v>-22.967266492316099</v>
      </c>
      <c r="AR38" s="78">
        <f t="shared" si="6"/>
        <v>-22.967266492316099</v>
      </c>
      <c r="AS38" s="78">
        <f t="shared" si="6"/>
        <v>-22.967266492316099</v>
      </c>
      <c r="AT38" s="78">
        <f t="shared" si="7"/>
        <v>-22.967266492316099</v>
      </c>
      <c r="AU38" s="78">
        <f t="shared" si="7"/>
        <v>-22.967266492316099</v>
      </c>
      <c r="AV38" s="78">
        <f t="shared" si="7"/>
        <v>-22.967266492316099</v>
      </c>
      <c r="AW38" s="78">
        <f t="shared" si="7"/>
        <v>-22.967266492316099</v>
      </c>
      <c r="AX38" s="78">
        <f t="shared" si="7"/>
        <v>-22.967266492316099</v>
      </c>
      <c r="AY38" s="78">
        <f t="shared" si="7"/>
        <v>-22.967266492316099</v>
      </c>
      <c r="AZ38" s="78">
        <f t="shared" si="7"/>
        <v>-22.967266492316099</v>
      </c>
      <c r="BA38" s="78">
        <f t="shared" si="7"/>
        <v>-22.967266492316099</v>
      </c>
      <c r="BB38" s="78">
        <f t="shared" si="7"/>
        <v>-22.967266492316099</v>
      </c>
      <c r="BC38" s="78">
        <f t="shared" si="7"/>
        <v>-22.967266492316099</v>
      </c>
      <c r="BD38" s="78">
        <f t="shared" si="7"/>
        <v>-22.967266492316099</v>
      </c>
      <c r="BE38" s="78">
        <f t="shared" si="7"/>
        <v>-22.967266492316099</v>
      </c>
      <c r="BF38" s="78">
        <f t="shared" si="7"/>
        <v>-22.967266492316099</v>
      </c>
      <c r="BG38" s="78">
        <f t="shared" si="7"/>
        <v>-22.967266492316099</v>
      </c>
      <c r="BH38" s="78">
        <f t="shared" si="7"/>
        <v>-22.967266492316099</v>
      </c>
      <c r="BI38" s="78">
        <f t="shared" si="7"/>
        <v>-22.967266492316099</v>
      </c>
    </row>
    <row r="39" spans="2:61" x14ac:dyDescent="0.25">
      <c r="L39" s="59"/>
      <c r="M39" s="59"/>
      <c r="N39" s="59"/>
      <c r="O39" s="59"/>
      <c r="P39" s="59"/>
      <c r="Q39" s="59"/>
      <c r="R39" s="59"/>
      <c r="S39" s="59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78">
        <f t="shared" si="6"/>
        <v>-22.967266492316099</v>
      </c>
      <c r="AP39" s="78">
        <f t="shared" si="6"/>
        <v>-22.967266492316099</v>
      </c>
      <c r="AQ39" s="78">
        <f t="shared" si="6"/>
        <v>-22.967266492316099</v>
      </c>
      <c r="AR39" s="78">
        <f t="shared" si="6"/>
        <v>-22.967266492316099</v>
      </c>
      <c r="AS39" s="78">
        <f t="shared" si="6"/>
        <v>-22.967266492316099</v>
      </c>
      <c r="AT39" s="78">
        <f t="shared" si="7"/>
        <v>-22.967266492316099</v>
      </c>
      <c r="AU39" s="78">
        <f t="shared" si="7"/>
        <v>-22.967266492316099</v>
      </c>
      <c r="AV39" s="78">
        <f t="shared" si="7"/>
        <v>-22.967266492316099</v>
      </c>
      <c r="AW39" s="78">
        <f t="shared" si="7"/>
        <v>-22.967266492316099</v>
      </c>
      <c r="AX39" s="78">
        <f t="shared" si="7"/>
        <v>-22.967266492316099</v>
      </c>
      <c r="AY39" s="78">
        <f t="shared" si="7"/>
        <v>-22.967266492316099</v>
      </c>
      <c r="AZ39" s="78">
        <f t="shared" si="7"/>
        <v>-22.967266492316099</v>
      </c>
      <c r="BA39" s="78">
        <f t="shared" si="7"/>
        <v>-22.967266492316099</v>
      </c>
      <c r="BB39" s="78">
        <f t="shared" si="7"/>
        <v>-22.967266492316099</v>
      </c>
      <c r="BC39" s="78">
        <f t="shared" si="7"/>
        <v>-22.967266492316099</v>
      </c>
      <c r="BD39" s="78">
        <f t="shared" si="7"/>
        <v>-22.967266492316099</v>
      </c>
      <c r="BE39" s="78">
        <f t="shared" si="7"/>
        <v>-22.967266492316099</v>
      </c>
      <c r="BF39" s="78">
        <f t="shared" si="7"/>
        <v>-22.967266492316099</v>
      </c>
      <c r="BG39" s="78">
        <f t="shared" si="7"/>
        <v>-22.967266492316099</v>
      </c>
      <c r="BH39" s="78">
        <f t="shared" si="7"/>
        <v>-22.967266492316099</v>
      </c>
      <c r="BI39" s="78">
        <f t="shared" si="7"/>
        <v>-22.967266492316099</v>
      </c>
    </row>
    <row r="40" spans="2:61" x14ac:dyDescent="0.25">
      <c r="L40" s="59"/>
      <c r="M40" s="59"/>
      <c r="N40" s="59"/>
      <c r="O40" s="59"/>
      <c r="P40" s="59"/>
      <c r="Q40" s="59"/>
      <c r="R40" s="59"/>
      <c r="S40" s="59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78">
        <f t="shared" si="6"/>
        <v>-22.967266492316099</v>
      </c>
      <c r="AP40" s="78">
        <f t="shared" si="6"/>
        <v>-22.967266492316099</v>
      </c>
      <c r="AQ40" s="78">
        <f t="shared" si="6"/>
        <v>-22.967266492316099</v>
      </c>
      <c r="AR40" s="78">
        <f t="shared" si="6"/>
        <v>-22.967266492316099</v>
      </c>
      <c r="AS40" s="78">
        <f t="shared" si="6"/>
        <v>-22.967266492316099</v>
      </c>
      <c r="AT40" s="78">
        <f t="shared" si="7"/>
        <v>-22.967266492316099</v>
      </c>
      <c r="AU40" s="78">
        <f t="shared" si="7"/>
        <v>-22.967266492316099</v>
      </c>
      <c r="AV40" s="78">
        <f t="shared" si="7"/>
        <v>-22.967266492316099</v>
      </c>
      <c r="AW40" s="78">
        <f t="shared" si="7"/>
        <v>-22.967266492316099</v>
      </c>
      <c r="AX40" s="78">
        <f t="shared" si="7"/>
        <v>-22.967266492316099</v>
      </c>
      <c r="AY40" s="78">
        <f t="shared" si="7"/>
        <v>-22.967266492316099</v>
      </c>
      <c r="AZ40" s="78">
        <f t="shared" si="7"/>
        <v>-22.967266492316099</v>
      </c>
      <c r="BA40" s="78">
        <f t="shared" si="7"/>
        <v>-22.967266492316099</v>
      </c>
      <c r="BB40" s="78">
        <f t="shared" si="7"/>
        <v>-22.967266492316099</v>
      </c>
      <c r="BC40" s="78">
        <f t="shared" si="7"/>
        <v>-22.967266492316099</v>
      </c>
      <c r="BD40" s="78">
        <f t="shared" si="7"/>
        <v>-22.967266492316099</v>
      </c>
      <c r="BE40" s="78">
        <f t="shared" si="7"/>
        <v>-22.967266492316099</v>
      </c>
      <c r="BF40" s="78">
        <f t="shared" si="7"/>
        <v>-22.967266492316099</v>
      </c>
      <c r="BG40" s="78">
        <f t="shared" si="7"/>
        <v>-22.967266492316099</v>
      </c>
      <c r="BH40" s="78">
        <f t="shared" si="7"/>
        <v>-22.967266492316099</v>
      </c>
      <c r="BI40" s="78">
        <f t="shared" si="7"/>
        <v>-22.967266492316099</v>
      </c>
    </row>
    <row r="41" spans="2:61" x14ac:dyDescent="0.25">
      <c r="L41" s="59"/>
      <c r="M41" s="59"/>
      <c r="N41" s="59"/>
      <c r="O41" s="59"/>
      <c r="P41" s="59"/>
      <c r="Q41" s="59"/>
      <c r="R41" s="59"/>
      <c r="S41" s="59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78">
        <f t="shared" si="6"/>
        <v>-22.967266492316099</v>
      </c>
      <c r="AP41" s="78">
        <f t="shared" si="6"/>
        <v>-22.967266492316099</v>
      </c>
      <c r="AQ41" s="78">
        <f t="shared" si="6"/>
        <v>-22.967266492316099</v>
      </c>
      <c r="AR41" s="78">
        <f t="shared" si="6"/>
        <v>-22.967266492316099</v>
      </c>
      <c r="AS41" s="78">
        <f t="shared" si="6"/>
        <v>-22.967266492316099</v>
      </c>
      <c r="AT41" s="78">
        <f t="shared" si="7"/>
        <v>-22.967266492316099</v>
      </c>
      <c r="AU41" s="78">
        <f t="shared" si="7"/>
        <v>-22.967266492316099</v>
      </c>
      <c r="AV41" s="78">
        <f t="shared" si="7"/>
        <v>-22.967266492316099</v>
      </c>
      <c r="AW41" s="78">
        <f t="shared" si="7"/>
        <v>-22.967266492316099</v>
      </c>
      <c r="AX41" s="78">
        <f t="shared" si="7"/>
        <v>-22.967266492316099</v>
      </c>
      <c r="AY41" s="78">
        <f t="shared" si="7"/>
        <v>-22.967266492316099</v>
      </c>
      <c r="AZ41" s="78">
        <f t="shared" si="7"/>
        <v>-22.967266492316099</v>
      </c>
      <c r="BA41" s="78">
        <f t="shared" si="7"/>
        <v>-22.967266492316099</v>
      </c>
      <c r="BB41" s="78">
        <f t="shared" si="7"/>
        <v>-22.967266492316099</v>
      </c>
      <c r="BC41" s="78">
        <f t="shared" si="7"/>
        <v>-22.967266492316099</v>
      </c>
      <c r="BD41" s="78">
        <f t="shared" si="7"/>
        <v>-22.967266492316099</v>
      </c>
      <c r="BE41" s="78">
        <f t="shared" si="7"/>
        <v>-22.967266492316099</v>
      </c>
      <c r="BF41" s="78">
        <f t="shared" si="7"/>
        <v>-22.967266492316099</v>
      </c>
      <c r="BG41" s="78">
        <f t="shared" si="7"/>
        <v>-22.967266492316099</v>
      </c>
      <c r="BH41" s="78">
        <f t="shared" si="7"/>
        <v>-22.967266492316099</v>
      </c>
      <c r="BI41" s="78">
        <f t="shared" si="7"/>
        <v>-22.967266492316099</v>
      </c>
    </row>
    <row r="42" spans="2:61" x14ac:dyDescent="0.25"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8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O42" s="78">
        <f t="shared" si="6"/>
        <v>-22.967266492316099</v>
      </c>
      <c r="AP42" s="78">
        <f t="shared" si="6"/>
        <v>-22.967266492316099</v>
      </c>
      <c r="AQ42" s="78">
        <f t="shared" si="6"/>
        <v>-22.967266492316099</v>
      </c>
      <c r="AR42" s="78">
        <f t="shared" si="6"/>
        <v>-22.967266492316099</v>
      </c>
      <c r="AS42" s="78">
        <f t="shared" si="6"/>
        <v>-22.967266492316099</v>
      </c>
      <c r="AT42" s="78">
        <f t="shared" si="7"/>
        <v>-22.967266492316099</v>
      </c>
      <c r="AU42" s="78">
        <f t="shared" si="7"/>
        <v>-22.967266492316099</v>
      </c>
      <c r="AV42" s="78">
        <f t="shared" si="7"/>
        <v>-22.967266492316099</v>
      </c>
      <c r="AW42" s="78">
        <f t="shared" si="7"/>
        <v>-22.967266492316099</v>
      </c>
      <c r="AX42" s="78">
        <f t="shared" si="7"/>
        <v>-22.967266492316099</v>
      </c>
      <c r="AY42" s="78">
        <f t="shared" si="7"/>
        <v>-22.967266492316099</v>
      </c>
      <c r="AZ42" s="78">
        <f t="shared" si="7"/>
        <v>-22.967266492316099</v>
      </c>
      <c r="BA42" s="78">
        <f t="shared" si="7"/>
        <v>-22.967266492316099</v>
      </c>
      <c r="BB42" s="78">
        <f t="shared" si="7"/>
        <v>-22.967266492316099</v>
      </c>
      <c r="BC42" s="78">
        <f t="shared" si="7"/>
        <v>-22.967266492316099</v>
      </c>
      <c r="BD42" s="78">
        <f t="shared" si="7"/>
        <v>-22.967266492316099</v>
      </c>
      <c r="BE42" s="78">
        <f t="shared" si="7"/>
        <v>-22.967266492316099</v>
      </c>
      <c r="BF42" s="78">
        <f t="shared" si="7"/>
        <v>-22.967266492316099</v>
      </c>
      <c r="BG42" s="78">
        <f t="shared" si="7"/>
        <v>-22.967266492316099</v>
      </c>
      <c r="BH42" s="78">
        <f t="shared" si="7"/>
        <v>-22.967266492316099</v>
      </c>
      <c r="BI42" s="78">
        <f t="shared" si="7"/>
        <v>-22.967266492316099</v>
      </c>
    </row>
    <row r="43" spans="2:61" x14ac:dyDescent="0.25"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>
        <f t="shared" si="6"/>
        <v>-22.967266492316099</v>
      </c>
      <c r="AP43" s="78">
        <f t="shared" si="6"/>
        <v>-22.967266492316099</v>
      </c>
      <c r="AQ43" s="78">
        <f t="shared" si="6"/>
        <v>-22.967266492316099</v>
      </c>
      <c r="AR43" s="78">
        <f t="shared" si="6"/>
        <v>-22.967266492316099</v>
      </c>
      <c r="AS43" s="78">
        <f t="shared" si="6"/>
        <v>-22.967266492316099</v>
      </c>
      <c r="AT43" s="78">
        <f t="shared" si="7"/>
        <v>-22.967266492316099</v>
      </c>
      <c r="AU43" s="78">
        <f t="shared" si="7"/>
        <v>-22.967266492316099</v>
      </c>
      <c r="AV43" s="78">
        <f t="shared" si="7"/>
        <v>-22.967266492316099</v>
      </c>
      <c r="AW43" s="78">
        <f t="shared" si="7"/>
        <v>-22.967266492316099</v>
      </c>
      <c r="AX43" s="78">
        <f t="shared" si="7"/>
        <v>-22.967266492316099</v>
      </c>
      <c r="AY43" s="78">
        <f t="shared" si="7"/>
        <v>-22.967266492316099</v>
      </c>
      <c r="AZ43" s="78">
        <f t="shared" si="7"/>
        <v>-22.967266492316099</v>
      </c>
      <c r="BA43" s="78">
        <f t="shared" si="7"/>
        <v>-22.967266492316099</v>
      </c>
      <c r="BB43" s="78">
        <f t="shared" si="7"/>
        <v>-22.967266492316099</v>
      </c>
      <c r="BC43" s="78">
        <f t="shared" si="7"/>
        <v>-22.967266492316099</v>
      </c>
      <c r="BD43" s="78">
        <f t="shared" si="7"/>
        <v>-22.967266492316099</v>
      </c>
      <c r="BE43" s="78">
        <f t="shared" si="7"/>
        <v>-22.967266492316099</v>
      </c>
      <c r="BF43" s="78">
        <f t="shared" si="7"/>
        <v>-22.967266492316099</v>
      </c>
      <c r="BG43" s="78">
        <f t="shared" si="7"/>
        <v>-22.967266492316099</v>
      </c>
      <c r="BH43" s="78">
        <f t="shared" si="7"/>
        <v>-22.967266492316099</v>
      </c>
      <c r="BI43" s="78">
        <f t="shared" si="7"/>
        <v>-22.967266492316099</v>
      </c>
    </row>
    <row r="44" spans="2:61" x14ac:dyDescent="0.25"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O44" s="78">
        <f t="shared" si="6"/>
        <v>-22.967266492316099</v>
      </c>
      <c r="AP44" s="78">
        <f t="shared" si="6"/>
        <v>-22.967266492316099</v>
      </c>
      <c r="AQ44" s="78">
        <f t="shared" si="6"/>
        <v>-22.967266492316099</v>
      </c>
      <c r="AR44" s="78">
        <f t="shared" si="6"/>
        <v>-22.967266492316099</v>
      </c>
      <c r="AS44" s="78">
        <f t="shared" si="6"/>
        <v>-22.967266492316099</v>
      </c>
      <c r="AT44" s="78">
        <f t="shared" si="7"/>
        <v>-22.967266492316099</v>
      </c>
      <c r="AU44" s="78">
        <f t="shared" si="7"/>
        <v>-22.967266492316099</v>
      </c>
      <c r="AV44" s="78">
        <f t="shared" si="7"/>
        <v>-22.967266492316099</v>
      </c>
      <c r="AW44" s="78">
        <f t="shared" si="7"/>
        <v>-22.967266492316099</v>
      </c>
      <c r="AX44" s="78">
        <f t="shared" si="7"/>
        <v>-22.967266492316099</v>
      </c>
      <c r="AY44" s="78">
        <f t="shared" si="7"/>
        <v>-22.967266492316099</v>
      </c>
      <c r="AZ44" s="78">
        <f t="shared" si="7"/>
        <v>-22.967266492316099</v>
      </c>
      <c r="BA44" s="78">
        <f t="shared" si="7"/>
        <v>-22.967266492316099</v>
      </c>
      <c r="BB44" s="78">
        <f t="shared" si="7"/>
        <v>-22.967266492316099</v>
      </c>
      <c r="BC44" s="78">
        <f t="shared" si="7"/>
        <v>-22.967266492316099</v>
      </c>
      <c r="BD44" s="78">
        <f t="shared" si="7"/>
        <v>-22.967266492316099</v>
      </c>
      <c r="BE44" s="78">
        <f t="shared" si="7"/>
        <v>-22.967266492316099</v>
      </c>
      <c r="BF44" s="78">
        <f t="shared" si="7"/>
        <v>-22.967266492316099</v>
      </c>
      <c r="BG44" s="78">
        <f t="shared" si="7"/>
        <v>-22.967266492316099</v>
      </c>
      <c r="BH44" s="78">
        <f t="shared" si="7"/>
        <v>-22.967266492316099</v>
      </c>
      <c r="BI44" s="78">
        <f t="shared" si="7"/>
        <v>-22.967266492316099</v>
      </c>
    </row>
    <row r="45" spans="2:61" x14ac:dyDescent="0.25">
      <c r="T45" s="78">
        <f t="shared" ref="T45:T50" si="8">IF($G$12="non",0,T44+ABS($M$3)/20)</f>
        <v>0</v>
      </c>
      <c r="U45" s="78">
        <f t="shared" ref="U45:AJ50" si="9">tc/(LN(pl/(2*PI()*r0))+2*PI()*ksi/pl)*((PI()*(2*ksi+GL)/pl)-0.5*LN(4*(COSH(2*PI()/pl*(GL/2-U$9))-COS(2*PI()/pl*$T45))*(COSH(2*PI()/pl*(GL/2+U$9))+omega*COS(2*PI()/pl*$T45))))</f>
        <v>-22.967266492316099</v>
      </c>
      <c r="V45" s="78">
        <f t="shared" si="9"/>
        <v>-22.967266492316099</v>
      </c>
      <c r="W45" s="78">
        <f t="shared" si="9"/>
        <v>-22.967266492316099</v>
      </c>
      <c r="X45" s="78">
        <f t="shared" si="9"/>
        <v>-22.967266492316099</v>
      </c>
      <c r="Y45" s="78">
        <f t="shared" si="9"/>
        <v>-22.967266492316099</v>
      </c>
      <c r="Z45" s="78">
        <f t="shared" si="9"/>
        <v>-22.967266492316099</v>
      </c>
      <c r="AA45" s="78">
        <f t="shared" si="9"/>
        <v>-22.967266492316099</v>
      </c>
      <c r="AB45" s="78">
        <f t="shared" si="9"/>
        <v>-22.967266492316099</v>
      </c>
      <c r="AC45" s="78">
        <f t="shared" si="9"/>
        <v>-22.967266492316099</v>
      </c>
      <c r="AD45" s="78">
        <f t="shared" si="9"/>
        <v>-22.967266492316099</v>
      </c>
      <c r="AE45" s="78">
        <f t="shared" si="9"/>
        <v>-22.967266492316099</v>
      </c>
      <c r="AF45" s="78">
        <f t="shared" si="9"/>
        <v>-22.967266492316099</v>
      </c>
      <c r="AG45" s="78">
        <f t="shared" si="9"/>
        <v>-22.967266492316099</v>
      </c>
      <c r="AH45" s="78">
        <f t="shared" si="9"/>
        <v>-22.967266492316099</v>
      </c>
      <c r="AI45" s="78">
        <f t="shared" si="9"/>
        <v>-22.967266492316099</v>
      </c>
      <c r="AJ45" s="78">
        <f t="shared" si="9"/>
        <v>-22.967266492316099</v>
      </c>
      <c r="AK45" s="78">
        <f t="shared" si="6"/>
        <v>-22.967266492316099</v>
      </c>
      <c r="AL45" s="78">
        <f t="shared" si="6"/>
        <v>-22.967266492316099</v>
      </c>
      <c r="AM45" s="78">
        <f t="shared" si="6"/>
        <v>-22.967266492316099</v>
      </c>
      <c r="AN45" s="78">
        <f t="shared" si="6"/>
        <v>-22.967266492316099</v>
      </c>
      <c r="AO45" s="78">
        <f t="shared" si="6"/>
        <v>-22.967266492316099</v>
      </c>
      <c r="AP45" s="78">
        <f t="shared" si="6"/>
        <v>-22.967266492316099</v>
      </c>
      <c r="AQ45" s="78">
        <f t="shared" si="6"/>
        <v>-22.967266492316099</v>
      </c>
      <c r="AR45" s="78">
        <f t="shared" si="6"/>
        <v>-22.967266492316099</v>
      </c>
      <c r="AS45" s="78">
        <f t="shared" si="6"/>
        <v>-22.967266492316099</v>
      </c>
      <c r="AT45" s="78">
        <f t="shared" si="7"/>
        <v>-22.967266492316099</v>
      </c>
      <c r="AU45" s="78">
        <f t="shared" si="7"/>
        <v>-22.967266492316099</v>
      </c>
      <c r="AV45" s="78">
        <f t="shared" si="7"/>
        <v>-22.967266492316099</v>
      </c>
      <c r="AW45" s="78">
        <f t="shared" si="7"/>
        <v>-22.967266492316099</v>
      </c>
      <c r="AX45" s="78">
        <f t="shared" si="7"/>
        <v>-22.967266492316099</v>
      </c>
      <c r="AY45" s="78">
        <f t="shared" si="7"/>
        <v>-22.967266492316099</v>
      </c>
      <c r="AZ45" s="78">
        <f t="shared" si="7"/>
        <v>-22.967266492316099</v>
      </c>
      <c r="BA45" s="78">
        <f t="shared" si="7"/>
        <v>-22.967266492316099</v>
      </c>
      <c r="BB45" s="78">
        <f t="shared" si="7"/>
        <v>-22.967266492316099</v>
      </c>
      <c r="BC45" s="78">
        <f t="shared" si="7"/>
        <v>-22.967266492316099</v>
      </c>
      <c r="BD45" s="78">
        <f t="shared" si="7"/>
        <v>-22.967266492316099</v>
      </c>
      <c r="BE45" s="78">
        <f t="shared" si="7"/>
        <v>-22.967266492316099</v>
      </c>
      <c r="BF45" s="78">
        <f t="shared" si="7"/>
        <v>-22.967266492316099</v>
      </c>
      <c r="BG45" s="78">
        <f t="shared" si="7"/>
        <v>-22.967266492316099</v>
      </c>
      <c r="BH45" s="78">
        <f t="shared" si="7"/>
        <v>-22.967266492316099</v>
      </c>
      <c r="BI45" s="78">
        <f t="shared" si="7"/>
        <v>-22.967266492316099</v>
      </c>
    </row>
    <row r="46" spans="2:61" x14ac:dyDescent="0.25">
      <c r="T46" s="78">
        <f t="shared" si="8"/>
        <v>0</v>
      </c>
      <c r="U46" s="78">
        <f t="shared" si="9"/>
        <v>-22.967266492316099</v>
      </c>
      <c r="V46" s="78">
        <f t="shared" si="9"/>
        <v>-22.967266492316099</v>
      </c>
      <c r="W46" s="78">
        <f t="shared" si="9"/>
        <v>-22.967266492316099</v>
      </c>
      <c r="X46" s="78">
        <f t="shared" si="9"/>
        <v>-22.967266492316099</v>
      </c>
      <c r="Y46" s="78">
        <f t="shared" si="9"/>
        <v>-22.967266492316099</v>
      </c>
      <c r="Z46" s="78">
        <f t="shared" si="9"/>
        <v>-22.967266492316099</v>
      </c>
      <c r="AA46" s="78">
        <f t="shared" si="9"/>
        <v>-22.967266492316099</v>
      </c>
      <c r="AB46" s="78">
        <f t="shared" si="9"/>
        <v>-22.967266492316099</v>
      </c>
      <c r="AC46" s="78">
        <f t="shared" si="9"/>
        <v>-22.967266492316099</v>
      </c>
      <c r="AD46" s="78">
        <f t="shared" si="9"/>
        <v>-22.967266492316099</v>
      </c>
      <c r="AE46" s="78">
        <f t="shared" si="9"/>
        <v>-22.967266492316099</v>
      </c>
      <c r="AF46" s="78">
        <f t="shared" si="9"/>
        <v>-22.967266492316099</v>
      </c>
      <c r="AG46" s="78">
        <f t="shared" si="9"/>
        <v>-22.967266492316099</v>
      </c>
      <c r="AH46" s="78">
        <f t="shared" si="9"/>
        <v>-22.967266492316099</v>
      </c>
      <c r="AI46" s="78">
        <f t="shared" si="9"/>
        <v>-22.967266492316099</v>
      </c>
      <c r="AJ46" s="78">
        <f t="shared" si="9"/>
        <v>-22.967266492316099</v>
      </c>
      <c r="AK46" s="78">
        <f t="shared" si="6"/>
        <v>-22.967266492316099</v>
      </c>
      <c r="AL46" s="78">
        <f t="shared" si="6"/>
        <v>-22.967266492316099</v>
      </c>
      <c r="AM46" s="78">
        <f t="shared" si="6"/>
        <v>-22.967266492316099</v>
      </c>
      <c r="AN46" s="78">
        <f t="shared" si="6"/>
        <v>-22.967266492316099</v>
      </c>
      <c r="AO46" s="78">
        <f t="shared" si="6"/>
        <v>-22.967266492316099</v>
      </c>
      <c r="AP46" s="78">
        <f t="shared" si="6"/>
        <v>-22.967266492316099</v>
      </c>
      <c r="AQ46" s="78">
        <f t="shared" si="6"/>
        <v>-22.967266492316099</v>
      </c>
      <c r="AR46" s="78">
        <f t="shared" si="6"/>
        <v>-22.967266492316099</v>
      </c>
      <c r="AS46" s="78">
        <f t="shared" si="6"/>
        <v>-22.967266492316099</v>
      </c>
      <c r="AT46" s="78">
        <f t="shared" si="7"/>
        <v>-22.967266492316099</v>
      </c>
      <c r="AU46" s="78">
        <f t="shared" si="7"/>
        <v>-22.967266492316099</v>
      </c>
      <c r="AV46" s="78">
        <f t="shared" si="7"/>
        <v>-22.967266492316099</v>
      </c>
      <c r="AW46" s="78">
        <f t="shared" si="7"/>
        <v>-22.967266492316099</v>
      </c>
      <c r="AX46" s="78">
        <f t="shared" si="7"/>
        <v>-22.967266492316099</v>
      </c>
      <c r="AY46" s="78">
        <f t="shared" si="7"/>
        <v>-22.967266492316099</v>
      </c>
      <c r="AZ46" s="78">
        <f t="shared" si="7"/>
        <v>-22.967266492316099</v>
      </c>
      <c r="BA46" s="78">
        <f t="shared" si="7"/>
        <v>-22.967266492316099</v>
      </c>
      <c r="BB46" s="78">
        <f t="shared" si="7"/>
        <v>-22.967266492316099</v>
      </c>
      <c r="BC46" s="78">
        <f t="shared" si="7"/>
        <v>-22.967266492316099</v>
      </c>
      <c r="BD46" s="78">
        <f t="shared" si="7"/>
        <v>-22.967266492316099</v>
      </c>
      <c r="BE46" s="78">
        <f t="shared" si="7"/>
        <v>-22.967266492316099</v>
      </c>
      <c r="BF46" s="78">
        <f t="shared" si="7"/>
        <v>-22.967266492316099</v>
      </c>
      <c r="BG46" s="78">
        <f t="shared" si="7"/>
        <v>-22.967266492316099</v>
      </c>
      <c r="BH46" s="78">
        <f t="shared" si="7"/>
        <v>-22.967266492316099</v>
      </c>
      <c r="BI46" s="78">
        <f t="shared" si="7"/>
        <v>-22.967266492316099</v>
      </c>
    </row>
    <row r="47" spans="2:61" x14ac:dyDescent="0.25">
      <c r="T47" s="78">
        <f t="shared" si="8"/>
        <v>0</v>
      </c>
      <c r="U47" s="78">
        <f t="shared" si="9"/>
        <v>-22.967266492316099</v>
      </c>
      <c r="V47" s="78">
        <f t="shared" si="9"/>
        <v>-22.967266492316099</v>
      </c>
      <c r="W47" s="78">
        <f t="shared" si="9"/>
        <v>-22.967266492316099</v>
      </c>
      <c r="X47" s="78">
        <f t="shared" si="9"/>
        <v>-22.967266492316099</v>
      </c>
      <c r="Y47" s="78">
        <f t="shared" si="9"/>
        <v>-22.967266492316099</v>
      </c>
      <c r="Z47" s="78">
        <f t="shared" si="9"/>
        <v>-22.967266492316099</v>
      </c>
      <c r="AA47" s="78">
        <f t="shared" si="9"/>
        <v>-22.967266492316099</v>
      </c>
      <c r="AB47" s="78">
        <f t="shared" si="9"/>
        <v>-22.967266492316099</v>
      </c>
      <c r="AC47" s="78">
        <f t="shared" si="9"/>
        <v>-22.967266492316099</v>
      </c>
      <c r="AD47" s="78">
        <f t="shared" si="9"/>
        <v>-22.967266492316099</v>
      </c>
      <c r="AE47" s="78">
        <f t="shared" si="9"/>
        <v>-22.967266492316099</v>
      </c>
      <c r="AF47" s="78">
        <f t="shared" si="9"/>
        <v>-22.967266492316099</v>
      </c>
      <c r="AG47" s="78">
        <f t="shared" si="9"/>
        <v>-22.967266492316099</v>
      </c>
      <c r="AH47" s="78">
        <f t="shared" si="9"/>
        <v>-22.967266492316099</v>
      </c>
      <c r="AI47" s="78">
        <f t="shared" si="9"/>
        <v>-22.967266492316099</v>
      </c>
      <c r="AJ47" s="78">
        <f t="shared" si="9"/>
        <v>-22.967266492316099</v>
      </c>
      <c r="AK47" s="78">
        <f t="shared" si="6"/>
        <v>-22.967266492316099</v>
      </c>
      <c r="AL47" s="78">
        <f t="shared" si="6"/>
        <v>-22.967266492316099</v>
      </c>
      <c r="AM47" s="78">
        <f t="shared" si="6"/>
        <v>-22.967266492316099</v>
      </c>
      <c r="AN47" s="78">
        <f t="shared" si="6"/>
        <v>-22.967266492316099</v>
      </c>
      <c r="AO47" s="78">
        <f t="shared" si="6"/>
        <v>-22.967266492316099</v>
      </c>
      <c r="AP47" s="78">
        <f t="shared" si="6"/>
        <v>-22.967266492316099</v>
      </c>
      <c r="AQ47" s="78">
        <f t="shared" si="6"/>
        <v>-22.967266492316099</v>
      </c>
      <c r="AR47" s="78">
        <f t="shared" si="6"/>
        <v>-22.967266492316099</v>
      </c>
      <c r="AS47" s="78">
        <f t="shared" si="6"/>
        <v>-22.967266492316099</v>
      </c>
      <c r="AT47" s="78">
        <f t="shared" si="7"/>
        <v>-22.967266492316099</v>
      </c>
      <c r="AU47" s="78">
        <f t="shared" si="7"/>
        <v>-22.967266492316099</v>
      </c>
      <c r="AV47" s="78">
        <f t="shared" si="7"/>
        <v>-22.967266492316099</v>
      </c>
      <c r="AW47" s="78">
        <f t="shared" si="7"/>
        <v>-22.967266492316099</v>
      </c>
      <c r="AX47" s="78">
        <f t="shared" si="7"/>
        <v>-22.967266492316099</v>
      </c>
      <c r="AY47" s="78">
        <f t="shared" si="7"/>
        <v>-22.967266492316099</v>
      </c>
      <c r="AZ47" s="78">
        <f t="shared" si="7"/>
        <v>-22.967266492316099</v>
      </c>
      <c r="BA47" s="78">
        <f t="shared" si="7"/>
        <v>-22.967266492316099</v>
      </c>
      <c r="BB47" s="78">
        <f t="shared" si="7"/>
        <v>-22.967266492316099</v>
      </c>
      <c r="BC47" s="78">
        <f t="shared" si="7"/>
        <v>-22.967266492316099</v>
      </c>
      <c r="BD47" s="78">
        <f t="shared" si="7"/>
        <v>-22.967266492316099</v>
      </c>
      <c r="BE47" s="78">
        <f t="shared" si="7"/>
        <v>-22.967266492316099</v>
      </c>
      <c r="BF47" s="78">
        <f t="shared" si="7"/>
        <v>-22.967266492316099</v>
      </c>
      <c r="BG47" s="78">
        <f t="shared" si="7"/>
        <v>-22.967266492316099</v>
      </c>
      <c r="BH47" s="78">
        <f t="shared" si="7"/>
        <v>-22.967266492316099</v>
      </c>
      <c r="BI47" s="78">
        <f t="shared" ref="V47:BI50" si="10">tc/(LN(pl/(2*PI()*r0))+2*PI()*ksi/pl)*((PI()*(2*ksi+GL)/pl)-0.5*LN(4*(COSH(2*PI()/pl*(GL/2-BI$9))-COS(2*PI()/pl*$T47))*(COSH(2*PI()/pl*(GL/2+BI$9))+omega*COS(2*PI()/pl*$T47))))</f>
        <v>-22.967266492316099</v>
      </c>
    </row>
    <row r="48" spans="2:61" x14ac:dyDescent="0.25">
      <c r="T48" s="78">
        <f t="shared" si="8"/>
        <v>0</v>
      </c>
      <c r="U48" s="78">
        <f t="shared" si="9"/>
        <v>-22.967266492316099</v>
      </c>
      <c r="V48" s="78">
        <f t="shared" si="10"/>
        <v>-22.967266492316099</v>
      </c>
      <c r="W48" s="78">
        <f t="shared" si="10"/>
        <v>-22.967266492316099</v>
      </c>
      <c r="X48" s="78">
        <f t="shared" si="10"/>
        <v>-22.967266492316099</v>
      </c>
      <c r="Y48" s="78">
        <f t="shared" si="10"/>
        <v>-22.967266492316099</v>
      </c>
      <c r="Z48" s="78">
        <f t="shared" si="10"/>
        <v>-22.967266492316099</v>
      </c>
      <c r="AA48" s="78">
        <f t="shared" si="10"/>
        <v>-22.967266492316099</v>
      </c>
      <c r="AB48" s="78">
        <f t="shared" si="10"/>
        <v>-22.967266492316099</v>
      </c>
      <c r="AC48" s="78">
        <f t="shared" si="10"/>
        <v>-22.967266492316099</v>
      </c>
      <c r="AD48" s="78">
        <f t="shared" si="10"/>
        <v>-22.967266492316099</v>
      </c>
      <c r="AE48" s="78">
        <f t="shared" si="10"/>
        <v>-22.967266492316099</v>
      </c>
      <c r="AF48" s="78">
        <f t="shared" si="10"/>
        <v>-22.967266492316099</v>
      </c>
      <c r="AG48" s="78">
        <f t="shared" si="10"/>
        <v>-22.967266492316099</v>
      </c>
      <c r="AH48" s="78">
        <f t="shared" si="10"/>
        <v>-22.967266492316099</v>
      </c>
      <c r="AI48" s="78">
        <f t="shared" si="10"/>
        <v>-22.967266492316099</v>
      </c>
      <c r="AJ48" s="78">
        <f t="shared" si="10"/>
        <v>-22.967266492316099</v>
      </c>
      <c r="AK48" s="78">
        <f t="shared" si="10"/>
        <v>-22.967266492316099</v>
      </c>
      <c r="AL48" s="78">
        <f t="shared" si="10"/>
        <v>-22.967266492316099</v>
      </c>
      <c r="AM48" s="78">
        <f t="shared" si="10"/>
        <v>-22.967266492316099</v>
      </c>
      <c r="AN48" s="78">
        <f t="shared" si="10"/>
        <v>-22.967266492316099</v>
      </c>
      <c r="AO48" s="78">
        <f t="shared" si="10"/>
        <v>-22.967266492316099</v>
      </c>
      <c r="AP48" s="78">
        <f t="shared" si="10"/>
        <v>-22.967266492316099</v>
      </c>
      <c r="AQ48" s="78">
        <f t="shared" si="10"/>
        <v>-22.967266492316099</v>
      </c>
      <c r="AR48" s="78">
        <f t="shared" si="10"/>
        <v>-22.967266492316099</v>
      </c>
      <c r="AS48" s="78">
        <f t="shared" si="10"/>
        <v>-22.967266492316099</v>
      </c>
      <c r="AT48" s="78">
        <f t="shared" si="10"/>
        <v>-22.967266492316099</v>
      </c>
      <c r="AU48" s="78">
        <f t="shared" si="10"/>
        <v>-22.967266492316099</v>
      </c>
      <c r="AV48" s="78">
        <f t="shared" si="10"/>
        <v>-22.967266492316099</v>
      </c>
      <c r="AW48" s="78">
        <f t="shared" si="10"/>
        <v>-22.967266492316099</v>
      </c>
      <c r="AX48" s="78">
        <f t="shared" si="10"/>
        <v>-22.967266492316099</v>
      </c>
      <c r="AY48" s="78">
        <f t="shared" si="10"/>
        <v>-22.967266492316099</v>
      </c>
      <c r="AZ48" s="78">
        <f t="shared" si="10"/>
        <v>-22.967266492316099</v>
      </c>
      <c r="BA48" s="78">
        <f t="shared" si="10"/>
        <v>-22.967266492316099</v>
      </c>
      <c r="BB48" s="78">
        <f t="shared" si="10"/>
        <v>-22.967266492316099</v>
      </c>
      <c r="BC48" s="78">
        <f t="shared" si="10"/>
        <v>-22.967266492316099</v>
      </c>
      <c r="BD48" s="78">
        <f t="shared" si="10"/>
        <v>-22.967266492316099</v>
      </c>
      <c r="BE48" s="78">
        <f t="shared" si="10"/>
        <v>-22.967266492316099</v>
      </c>
      <c r="BF48" s="78">
        <f t="shared" si="10"/>
        <v>-22.967266492316099</v>
      </c>
      <c r="BG48" s="78">
        <f t="shared" si="10"/>
        <v>-22.967266492316099</v>
      </c>
      <c r="BH48" s="78">
        <f t="shared" si="10"/>
        <v>-22.967266492316099</v>
      </c>
      <c r="BI48" s="78">
        <f t="shared" si="10"/>
        <v>-22.967266492316099</v>
      </c>
    </row>
    <row r="49" spans="20:61" x14ac:dyDescent="0.25">
      <c r="T49" s="78">
        <f t="shared" si="8"/>
        <v>0</v>
      </c>
      <c r="U49" s="78">
        <f t="shared" si="9"/>
        <v>-22.967266492316099</v>
      </c>
      <c r="V49" s="78">
        <f t="shared" si="10"/>
        <v>-22.967266492316099</v>
      </c>
      <c r="W49" s="78">
        <f t="shared" si="10"/>
        <v>-22.967266492316099</v>
      </c>
      <c r="X49" s="78">
        <f t="shared" si="10"/>
        <v>-22.967266492316099</v>
      </c>
      <c r="Y49" s="78">
        <f t="shared" si="10"/>
        <v>-22.967266492316099</v>
      </c>
      <c r="Z49" s="78">
        <f t="shared" si="10"/>
        <v>-22.967266492316099</v>
      </c>
      <c r="AA49" s="78">
        <f t="shared" si="10"/>
        <v>-22.967266492316099</v>
      </c>
      <c r="AB49" s="78">
        <f t="shared" si="10"/>
        <v>-22.967266492316099</v>
      </c>
      <c r="AC49" s="78">
        <f t="shared" si="10"/>
        <v>-22.967266492316099</v>
      </c>
      <c r="AD49" s="78">
        <f t="shared" si="10"/>
        <v>-22.967266492316099</v>
      </c>
      <c r="AE49" s="78">
        <f t="shared" si="10"/>
        <v>-22.967266492316099</v>
      </c>
      <c r="AF49" s="78">
        <f t="shared" si="10"/>
        <v>-22.967266492316099</v>
      </c>
      <c r="AG49" s="78">
        <f t="shared" si="10"/>
        <v>-22.967266492316099</v>
      </c>
      <c r="AH49" s="78">
        <f t="shared" si="10"/>
        <v>-22.967266492316099</v>
      </c>
      <c r="AI49" s="78">
        <f t="shared" si="10"/>
        <v>-22.967266492316099</v>
      </c>
      <c r="AJ49" s="78">
        <f t="shared" si="10"/>
        <v>-22.967266492316099</v>
      </c>
      <c r="AK49" s="78">
        <f t="shared" si="10"/>
        <v>-22.967266492316099</v>
      </c>
      <c r="AL49" s="78">
        <f t="shared" si="10"/>
        <v>-22.967266492316099</v>
      </c>
      <c r="AM49" s="78">
        <f t="shared" si="10"/>
        <v>-22.967266492316099</v>
      </c>
      <c r="AN49" s="78">
        <f t="shared" si="10"/>
        <v>-22.967266492316099</v>
      </c>
      <c r="AO49" s="78">
        <f t="shared" si="10"/>
        <v>-22.967266492316099</v>
      </c>
      <c r="AP49" s="78">
        <f t="shared" si="10"/>
        <v>-22.967266492316099</v>
      </c>
      <c r="AQ49" s="78">
        <f t="shared" si="10"/>
        <v>-22.967266492316099</v>
      </c>
      <c r="AR49" s="78">
        <f t="shared" si="10"/>
        <v>-22.967266492316099</v>
      </c>
      <c r="AS49" s="78">
        <f t="shared" si="10"/>
        <v>-22.967266492316099</v>
      </c>
      <c r="AT49" s="78">
        <f t="shared" si="10"/>
        <v>-22.967266492316099</v>
      </c>
      <c r="AU49" s="78">
        <f t="shared" si="10"/>
        <v>-22.967266492316099</v>
      </c>
      <c r="AV49" s="78">
        <f t="shared" si="10"/>
        <v>-22.967266492316099</v>
      </c>
      <c r="AW49" s="78">
        <f t="shared" si="10"/>
        <v>-22.967266492316099</v>
      </c>
      <c r="AX49" s="78">
        <f t="shared" si="10"/>
        <v>-22.967266492316099</v>
      </c>
      <c r="AY49" s="78">
        <f t="shared" si="10"/>
        <v>-22.967266492316099</v>
      </c>
      <c r="AZ49" s="78">
        <f t="shared" si="10"/>
        <v>-22.967266492316099</v>
      </c>
      <c r="BA49" s="78">
        <f t="shared" si="10"/>
        <v>-22.967266492316099</v>
      </c>
      <c r="BB49" s="78">
        <f t="shared" si="10"/>
        <v>-22.967266492316099</v>
      </c>
      <c r="BC49" s="78">
        <f t="shared" si="10"/>
        <v>-22.967266492316099</v>
      </c>
      <c r="BD49" s="78">
        <f t="shared" si="10"/>
        <v>-22.967266492316099</v>
      </c>
      <c r="BE49" s="78">
        <f t="shared" si="10"/>
        <v>-22.967266492316099</v>
      </c>
      <c r="BF49" s="78">
        <f t="shared" si="10"/>
        <v>-22.967266492316099</v>
      </c>
      <c r="BG49" s="78">
        <f t="shared" si="10"/>
        <v>-22.967266492316099</v>
      </c>
      <c r="BH49" s="78">
        <f t="shared" si="10"/>
        <v>-22.967266492316099</v>
      </c>
      <c r="BI49" s="78">
        <f t="shared" si="10"/>
        <v>-22.967266492316099</v>
      </c>
    </row>
    <row r="50" spans="20:61" x14ac:dyDescent="0.25">
      <c r="T50" s="78">
        <f t="shared" si="8"/>
        <v>0</v>
      </c>
      <c r="U50" s="78">
        <f t="shared" si="9"/>
        <v>-22.967266492316099</v>
      </c>
      <c r="V50" s="78">
        <f t="shared" si="10"/>
        <v>-22.967266492316099</v>
      </c>
      <c r="W50" s="78">
        <f t="shared" si="10"/>
        <v>-22.967266492316099</v>
      </c>
      <c r="X50" s="78">
        <f t="shared" si="10"/>
        <v>-22.967266492316099</v>
      </c>
      <c r="Y50" s="78">
        <f t="shared" si="10"/>
        <v>-22.967266492316099</v>
      </c>
      <c r="Z50" s="78">
        <f t="shared" si="10"/>
        <v>-22.967266492316099</v>
      </c>
      <c r="AA50" s="78">
        <f t="shared" si="10"/>
        <v>-22.967266492316099</v>
      </c>
      <c r="AB50" s="78">
        <f t="shared" si="10"/>
        <v>-22.967266492316099</v>
      </c>
      <c r="AC50" s="78">
        <f t="shared" si="10"/>
        <v>-22.967266492316099</v>
      </c>
      <c r="AD50" s="78">
        <f t="shared" si="10"/>
        <v>-22.967266492316099</v>
      </c>
      <c r="AE50" s="78">
        <f t="shared" si="10"/>
        <v>-22.967266492316099</v>
      </c>
      <c r="AF50" s="78">
        <f t="shared" si="10"/>
        <v>-22.967266492316099</v>
      </c>
      <c r="AG50" s="78">
        <f t="shared" si="10"/>
        <v>-22.967266492316099</v>
      </c>
      <c r="AH50" s="78">
        <f t="shared" si="10"/>
        <v>-22.967266492316099</v>
      </c>
      <c r="AI50" s="78">
        <f t="shared" si="10"/>
        <v>-22.967266492316099</v>
      </c>
      <c r="AJ50" s="78">
        <f t="shared" si="10"/>
        <v>-22.967266492316099</v>
      </c>
      <c r="AK50" s="78">
        <f t="shared" si="10"/>
        <v>-22.967266492316099</v>
      </c>
      <c r="AL50" s="78">
        <f t="shared" si="10"/>
        <v>-22.967266492316099</v>
      </c>
      <c r="AM50" s="78">
        <f t="shared" si="10"/>
        <v>-22.967266492316099</v>
      </c>
      <c r="AN50" s="78">
        <f t="shared" si="10"/>
        <v>-22.967266492316099</v>
      </c>
      <c r="AO50" s="78">
        <f t="shared" si="10"/>
        <v>-22.967266492316099</v>
      </c>
      <c r="AP50" s="78">
        <f t="shared" si="10"/>
        <v>-22.967266492316099</v>
      </c>
      <c r="AQ50" s="78">
        <f t="shared" si="10"/>
        <v>-22.967266492316099</v>
      </c>
      <c r="AR50" s="78">
        <f t="shared" si="10"/>
        <v>-22.967266492316099</v>
      </c>
      <c r="AS50" s="78">
        <f t="shared" si="10"/>
        <v>-22.967266492316099</v>
      </c>
      <c r="AT50" s="78">
        <f t="shared" si="10"/>
        <v>-22.967266492316099</v>
      </c>
      <c r="AU50" s="78">
        <f t="shared" si="10"/>
        <v>-22.967266492316099</v>
      </c>
      <c r="AV50" s="78">
        <f t="shared" si="10"/>
        <v>-22.967266492316099</v>
      </c>
      <c r="AW50" s="78">
        <f t="shared" si="10"/>
        <v>-22.967266492316099</v>
      </c>
      <c r="AX50" s="78">
        <f t="shared" si="10"/>
        <v>-22.967266492316099</v>
      </c>
      <c r="AY50" s="78">
        <f t="shared" si="10"/>
        <v>-22.967266492316099</v>
      </c>
      <c r="AZ50" s="78">
        <f t="shared" si="10"/>
        <v>-22.967266492316099</v>
      </c>
      <c r="BA50" s="78">
        <f t="shared" si="10"/>
        <v>-22.967266492316099</v>
      </c>
      <c r="BB50" s="78">
        <f t="shared" si="10"/>
        <v>-22.967266492316099</v>
      </c>
      <c r="BC50" s="78">
        <f t="shared" si="10"/>
        <v>-22.967266492316099</v>
      </c>
      <c r="BD50" s="78">
        <f t="shared" si="10"/>
        <v>-22.967266492316099</v>
      </c>
      <c r="BE50" s="78">
        <f t="shared" si="10"/>
        <v>-22.967266492316099</v>
      </c>
      <c r="BF50" s="78">
        <f t="shared" si="10"/>
        <v>-22.967266492316099</v>
      </c>
      <c r="BG50" s="78">
        <f t="shared" si="10"/>
        <v>-22.967266492316099</v>
      </c>
      <c r="BH50" s="78">
        <f t="shared" si="10"/>
        <v>-22.967266492316099</v>
      </c>
      <c r="BI50" s="78">
        <f t="shared" si="10"/>
        <v>-22.967266492316099</v>
      </c>
    </row>
    <row r="51" spans="20:61" x14ac:dyDescent="0.25"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  <c r="BH51" s="22"/>
      <c r="BI51" s="22"/>
    </row>
  </sheetData>
  <mergeCells count="6">
    <mergeCell ref="K5:P5"/>
    <mergeCell ref="AC2:AD2"/>
    <mergeCell ref="U2:V2"/>
    <mergeCell ref="W2:X2"/>
    <mergeCell ref="Y2:Z2"/>
    <mergeCell ref="AA2:AB2"/>
  </mergeCells>
  <dataValidations count="1">
    <dataValidation type="list" allowBlank="1" showInputMessage="1" showErrorMessage="1" sqref="G12" xr:uid="{3AAE6E28-815D-4196-8794-0A0DB5A604E1}">
      <formula1>$L$19:$L$20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29" r:id="rId4" name="Button 109">
              <controlPr defaultSize="0" print="0" autoFill="0" autoPict="0" macro="[0]!Solveur_ksi">
                <anchor moveWithCells="1" sizeWithCells="1">
                  <from>
                    <xdr:col>5</xdr:col>
                    <xdr:colOff>571500</xdr:colOff>
                    <xdr:row>4</xdr:row>
                    <xdr:rowOff>38100</xdr:rowOff>
                  </from>
                  <to>
                    <xdr:col>6</xdr:col>
                    <xdr:colOff>523875</xdr:colOff>
                    <xdr:row>9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8</vt:i4>
      </vt:variant>
    </vt:vector>
  </HeadingPairs>
  <TitlesOfParts>
    <vt:vector size="11" baseType="lpstr">
      <vt:lpstr>DALLE - SYNTHESE</vt:lpstr>
      <vt:lpstr>DALLE Informations géométriques</vt:lpstr>
      <vt:lpstr>DALLE - Hu</vt:lpstr>
      <vt:lpstr>GL</vt:lpstr>
      <vt:lpstr>ksi</vt:lpstr>
      <vt:lpstr>omega</vt:lpstr>
      <vt:lpstr>pl</vt:lpstr>
      <vt:lpstr>r0</vt:lpstr>
      <vt:lpstr>tc</vt:lpstr>
      <vt:lpstr>x</vt:lpstr>
      <vt:lpstr>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MEYER Grégory</dc:creator>
  <cp:lastModifiedBy>h2so4</cp:lastModifiedBy>
  <dcterms:created xsi:type="dcterms:W3CDTF">2021-07-27T09:02:48Z</dcterms:created>
  <dcterms:modified xsi:type="dcterms:W3CDTF">2021-10-18T16:37:52Z</dcterms:modified>
</cp:coreProperties>
</file>