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8CEBE6E-6CAA-4182-B472-4DA05817CE05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Réponses au formulaire" sheetId="1" r:id="rId1"/>
    <sheet name="530366850" sheetId="12" state="hidden" r:id="rId2"/>
  </sheets>
  <definedNames>
    <definedName name="_xlnm._FilterDatabase" localSheetId="0" hidden="1">'Réponses au formulaire'!$A$2:$P$2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48" i="1" l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P146" i="1" a="1"/>
  <c r="P146" i="1" s="1"/>
  <c r="K144" i="1"/>
  <c r="L141" i="1"/>
  <c r="P138" i="1" a="1"/>
  <c r="P138" i="1" s="1"/>
  <c r="K136" i="1"/>
  <c r="L133" i="1"/>
  <c r="P130" i="1" a="1"/>
  <c r="P130" i="1" s="1"/>
  <c r="K128" i="1"/>
  <c r="L125" i="1"/>
  <c r="P122" i="1" a="1"/>
  <c r="P122" i="1" s="1"/>
  <c r="K120" i="1"/>
  <c r="L117" i="1"/>
  <c r="P114" i="1" a="1"/>
  <c r="P114" i="1" s="1"/>
  <c r="K112" i="1"/>
  <c r="L109" i="1"/>
  <c r="P106" i="1" a="1"/>
  <c r="P106" i="1" s="1"/>
  <c r="K104" i="1"/>
  <c r="L101" i="1"/>
  <c r="P98" i="1" a="1"/>
  <c r="P98" i="1" s="1"/>
  <c r="K96" i="1"/>
  <c r="L93" i="1"/>
  <c r="P90" i="1" a="1"/>
  <c r="P90" i="1" s="1"/>
  <c r="K88" i="1"/>
  <c r="L85" i="1"/>
  <c r="P82" i="1" a="1"/>
  <c r="P82" i="1" s="1"/>
  <c r="K80" i="1"/>
  <c r="L77" i="1"/>
  <c r="P74" i="1" a="1"/>
  <c r="P74" i="1" s="1"/>
  <c r="K72" i="1"/>
  <c r="L69" i="1"/>
  <c r="P66" i="1" a="1"/>
  <c r="P66" i="1" s="1"/>
  <c r="K64" i="1"/>
  <c r="L61" i="1"/>
  <c r="P58" i="1" a="1"/>
  <c r="P58" i="1" s="1"/>
  <c r="K56" i="1"/>
  <c r="O54" i="1"/>
  <c r="L53" i="1"/>
  <c r="L51" i="1"/>
  <c r="P50" i="1" a="1"/>
  <c r="P50" i="1" s="1"/>
  <c r="L49" i="1"/>
  <c r="K48" i="1"/>
  <c r="O46" i="1"/>
  <c r="L45" i="1"/>
  <c r="L43" i="1"/>
  <c r="P42" i="1" a="1"/>
  <c r="P42" i="1" s="1"/>
  <c r="P41" i="1" a="1"/>
  <c r="P41" i="1" s="1"/>
  <c r="K40" i="1"/>
  <c r="O38" i="1"/>
  <c r="L37" i="1"/>
  <c r="L35" i="1"/>
  <c r="P34" i="1" a="1"/>
  <c r="P34" i="1" s="1"/>
  <c r="P33" i="1" a="1"/>
  <c r="P33" i="1" s="1"/>
  <c r="K32" i="1"/>
  <c r="O30" i="1"/>
  <c r="L29" i="1"/>
  <c r="L27" i="1"/>
  <c r="P26" i="1" a="1"/>
  <c r="P26" i="1" s="1"/>
  <c r="P25" i="1" a="1"/>
  <c r="P25" i="1" s="1"/>
  <c r="K24" i="1"/>
  <c r="O22" i="1"/>
  <c r="L21" i="1"/>
  <c r="L19" i="1"/>
  <c r="K18" i="1"/>
  <c r="P18" i="1" a="1"/>
  <c r="P18" i="1" s="1"/>
  <c r="O17" i="1"/>
  <c r="P17" i="1" a="1"/>
  <c r="P17" i="1" s="1"/>
  <c r="K16" i="1"/>
  <c r="O14" i="1"/>
  <c r="K13" i="1"/>
  <c r="L11" i="1"/>
  <c r="K10" i="1"/>
  <c r="P10" i="1" a="1"/>
  <c r="P10" i="1" s="1"/>
  <c r="O9" i="1"/>
  <c r="P9" i="1" a="1"/>
  <c r="P9" i="1" s="1"/>
  <c r="O7" i="1"/>
  <c r="K5" i="1"/>
  <c r="O4" i="1"/>
  <c r="O8" i="1"/>
  <c r="O148" i="1"/>
  <c r="O147" i="1"/>
  <c r="O146" i="1"/>
  <c r="O145" i="1"/>
  <c r="O144" i="1"/>
  <c r="O143" i="1"/>
  <c r="O142" i="1"/>
  <c r="O140" i="1"/>
  <c r="O139" i="1"/>
  <c r="O138" i="1"/>
  <c r="O137" i="1"/>
  <c r="O136" i="1"/>
  <c r="O135" i="1"/>
  <c r="O134" i="1"/>
  <c r="O132" i="1"/>
  <c r="O131" i="1"/>
  <c r="O130" i="1"/>
  <c r="O129" i="1"/>
  <c r="O128" i="1"/>
  <c r="O127" i="1"/>
  <c r="O126" i="1"/>
  <c r="O124" i="1"/>
  <c r="O123" i="1"/>
  <c r="O122" i="1"/>
  <c r="O121" i="1"/>
  <c r="O120" i="1"/>
  <c r="O119" i="1"/>
  <c r="O118" i="1"/>
  <c r="O116" i="1"/>
  <c r="O115" i="1"/>
  <c r="O114" i="1"/>
  <c r="O113" i="1"/>
  <c r="O112" i="1"/>
  <c r="O111" i="1"/>
  <c r="O110" i="1"/>
  <c r="O108" i="1"/>
  <c r="O107" i="1"/>
  <c r="O106" i="1"/>
  <c r="O105" i="1"/>
  <c r="O104" i="1"/>
  <c r="O103" i="1"/>
  <c r="O102" i="1"/>
  <c r="O100" i="1"/>
  <c r="O99" i="1"/>
  <c r="O98" i="1"/>
  <c r="O97" i="1"/>
  <c r="O96" i="1"/>
  <c r="O95" i="1"/>
  <c r="O94" i="1"/>
  <c r="O92" i="1"/>
  <c r="O91" i="1"/>
  <c r="O90" i="1"/>
  <c r="O89" i="1"/>
  <c r="O88" i="1"/>
  <c r="O87" i="1"/>
  <c r="O86" i="1"/>
  <c r="O84" i="1"/>
  <c r="O83" i="1"/>
  <c r="O82" i="1"/>
  <c r="O81" i="1"/>
  <c r="O80" i="1"/>
  <c r="O79" i="1"/>
  <c r="O78" i="1"/>
  <c r="O76" i="1"/>
  <c r="O75" i="1"/>
  <c r="O74" i="1"/>
  <c r="O73" i="1"/>
  <c r="O72" i="1"/>
  <c r="O71" i="1"/>
  <c r="O70" i="1"/>
  <c r="O68" i="1"/>
  <c r="O67" i="1"/>
  <c r="O66" i="1"/>
  <c r="O65" i="1"/>
  <c r="O64" i="1"/>
  <c r="O63" i="1"/>
  <c r="O62" i="1"/>
  <c r="O60" i="1"/>
  <c r="O59" i="1"/>
  <c r="O58" i="1"/>
  <c r="O57" i="1"/>
  <c r="O56" i="1"/>
  <c r="O55" i="1"/>
  <c r="O52" i="1"/>
  <c r="O51" i="1"/>
  <c r="O50" i="1"/>
  <c r="O49" i="1"/>
  <c r="O48" i="1"/>
  <c r="O47" i="1"/>
  <c r="O44" i="1"/>
  <c r="O43" i="1"/>
  <c r="O42" i="1"/>
  <c r="O41" i="1"/>
  <c r="O40" i="1"/>
  <c r="O39" i="1"/>
  <c r="O36" i="1"/>
  <c r="O35" i="1"/>
  <c r="O34" i="1"/>
  <c r="O33" i="1"/>
  <c r="O32" i="1"/>
  <c r="O31" i="1"/>
  <c r="O28" i="1"/>
  <c r="O27" i="1"/>
  <c r="O26" i="1"/>
  <c r="O25" i="1"/>
  <c r="O24" i="1"/>
  <c r="O23" i="1"/>
  <c r="O20" i="1"/>
  <c r="O19" i="1"/>
  <c r="O18" i="1"/>
  <c r="O16" i="1"/>
  <c r="O15" i="1"/>
  <c r="O12" i="1"/>
  <c r="O11" i="1"/>
  <c r="O10" i="1"/>
  <c r="N148" i="1"/>
  <c r="L148" i="1"/>
  <c r="K148" i="1"/>
  <c r="N147" i="1"/>
  <c r="L147" i="1"/>
  <c r="K147" i="1"/>
  <c r="N146" i="1"/>
  <c r="L146" i="1"/>
  <c r="N145" i="1"/>
  <c r="L145" i="1"/>
  <c r="K145" i="1"/>
  <c r="N144" i="1"/>
  <c r="L144" i="1"/>
  <c r="N143" i="1"/>
  <c r="L143" i="1"/>
  <c r="K143" i="1"/>
  <c r="N142" i="1"/>
  <c r="L142" i="1"/>
  <c r="K142" i="1"/>
  <c r="N141" i="1"/>
  <c r="K141" i="1"/>
  <c r="N140" i="1"/>
  <c r="L140" i="1"/>
  <c r="K140" i="1"/>
  <c r="N139" i="1"/>
  <c r="L139" i="1"/>
  <c r="K139" i="1"/>
  <c r="N138" i="1"/>
  <c r="L138" i="1"/>
  <c r="N137" i="1"/>
  <c r="L137" i="1"/>
  <c r="K137" i="1"/>
  <c r="N136" i="1"/>
  <c r="L136" i="1"/>
  <c r="N135" i="1"/>
  <c r="L135" i="1"/>
  <c r="K135" i="1"/>
  <c r="N134" i="1"/>
  <c r="L134" i="1"/>
  <c r="K134" i="1"/>
  <c r="N133" i="1"/>
  <c r="K133" i="1"/>
  <c r="N132" i="1"/>
  <c r="L132" i="1"/>
  <c r="K132" i="1"/>
  <c r="N131" i="1"/>
  <c r="L131" i="1"/>
  <c r="K131" i="1"/>
  <c r="N130" i="1"/>
  <c r="L130" i="1"/>
  <c r="N129" i="1"/>
  <c r="L129" i="1"/>
  <c r="K129" i="1"/>
  <c r="N128" i="1"/>
  <c r="L128" i="1"/>
  <c r="N127" i="1"/>
  <c r="L127" i="1"/>
  <c r="K127" i="1"/>
  <c r="N126" i="1"/>
  <c r="L126" i="1"/>
  <c r="K126" i="1"/>
  <c r="N125" i="1"/>
  <c r="K125" i="1"/>
  <c r="N124" i="1"/>
  <c r="L124" i="1"/>
  <c r="K124" i="1"/>
  <c r="N123" i="1"/>
  <c r="L123" i="1"/>
  <c r="K123" i="1"/>
  <c r="N122" i="1"/>
  <c r="L122" i="1"/>
  <c r="N121" i="1"/>
  <c r="L121" i="1"/>
  <c r="K121" i="1"/>
  <c r="N120" i="1"/>
  <c r="L120" i="1"/>
  <c r="N119" i="1"/>
  <c r="L119" i="1"/>
  <c r="K119" i="1"/>
  <c r="N118" i="1"/>
  <c r="L118" i="1"/>
  <c r="K118" i="1"/>
  <c r="N117" i="1"/>
  <c r="K117" i="1"/>
  <c r="N116" i="1"/>
  <c r="L116" i="1"/>
  <c r="K116" i="1"/>
  <c r="N115" i="1"/>
  <c r="L115" i="1"/>
  <c r="K115" i="1"/>
  <c r="N114" i="1"/>
  <c r="L114" i="1"/>
  <c r="N113" i="1"/>
  <c r="L113" i="1"/>
  <c r="K113" i="1"/>
  <c r="N112" i="1"/>
  <c r="L112" i="1"/>
  <c r="N111" i="1"/>
  <c r="L111" i="1"/>
  <c r="K111" i="1"/>
  <c r="N110" i="1"/>
  <c r="L110" i="1"/>
  <c r="K110" i="1"/>
  <c r="N109" i="1"/>
  <c r="K109" i="1"/>
  <c r="N108" i="1"/>
  <c r="L108" i="1"/>
  <c r="K108" i="1"/>
  <c r="N107" i="1"/>
  <c r="L107" i="1"/>
  <c r="K107" i="1"/>
  <c r="N106" i="1"/>
  <c r="L106" i="1"/>
  <c r="N105" i="1"/>
  <c r="L105" i="1"/>
  <c r="K105" i="1"/>
  <c r="N104" i="1"/>
  <c r="L104" i="1"/>
  <c r="N103" i="1"/>
  <c r="L103" i="1"/>
  <c r="K103" i="1"/>
  <c r="N102" i="1"/>
  <c r="L102" i="1"/>
  <c r="K102" i="1"/>
  <c r="N101" i="1"/>
  <c r="K101" i="1"/>
  <c r="N100" i="1"/>
  <c r="L100" i="1"/>
  <c r="K100" i="1"/>
  <c r="N99" i="1"/>
  <c r="L99" i="1"/>
  <c r="K99" i="1"/>
  <c r="N98" i="1"/>
  <c r="L98" i="1"/>
  <c r="N97" i="1"/>
  <c r="L97" i="1"/>
  <c r="K97" i="1"/>
  <c r="N96" i="1"/>
  <c r="L96" i="1"/>
  <c r="N95" i="1"/>
  <c r="L95" i="1"/>
  <c r="K95" i="1"/>
  <c r="N94" i="1"/>
  <c r="L94" i="1"/>
  <c r="K94" i="1"/>
  <c r="N93" i="1"/>
  <c r="K93" i="1"/>
  <c r="N92" i="1"/>
  <c r="L92" i="1"/>
  <c r="K92" i="1"/>
  <c r="N91" i="1"/>
  <c r="L91" i="1"/>
  <c r="K91" i="1"/>
  <c r="N90" i="1"/>
  <c r="L90" i="1"/>
  <c r="N89" i="1"/>
  <c r="L89" i="1"/>
  <c r="K89" i="1"/>
  <c r="N88" i="1"/>
  <c r="L88" i="1"/>
  <c r="N87" i="1"/>
  <c r="L87" i="1"/>
  <c r="K87" i="1"/>
  <c r="N86" i="1"/>
  <c r="L86" i="1"/>
  <c r="K86" i="1"/>
  <c r="N85" i="1"/>
  <c r="K85" i="1"/>
  <c r="N84" i="1"/>
  <c r="L84" i="1"/>
  <c r="K84" i="1"/>
  <c r="N83" i="1"/>
  <c r="L83" i="1"/>
  <c r="K83" i="1"/>
  <c r="N82" i="1"/>
  <c r="L82" i="1"/>
  <c r="N81" i="1"/>
  <c r="L81" i="1"/>
  <c r="K81" i="1"/>
  <c r="N80" i="1"/>
  <c r="L80" i="1"/>
  <c r="N79" i="1"/>
  <c r="L79" i="1"/>
  <c r="K79" i="1"/>
  <c r="N78" i="1"/>
  <c r="L78" i="1"/>
  <c r="K78" i="1"/>
  <c r="N77" i="1"/>
  <c r="K77" i="1"/>
  <c r="N76" i="1"/>
  <c r="L76" i="1"/>
  <c r="K76" i="1"/>
  <c r="N75" i="1"/>
  <c r="L75" i="1"/>
  <c r="K75" i="1"/>
  <c r="N74" i="1"/>
  <c r="L74" i="1"/>
  <c r="N73" i="1"/>
  <c r="L73" i="1"/>
  <c r="K73" i="1"/>
  <c r="N72" i="1"/>
  <c r="L72" i="1"/>
  <c r="N71" i="1"/>
  <c r="L71" i="1"/>
  <c r="K71" i="1"/>
  <c r="N70" i="1"/>
  <c r="L70" i="1"/>
  <c r="K70" i="1"/>
  <c r="N69" i="1"/>
  <c r="K69" i="1"/>
  <c r="N68" i="1"/>
  <c r="L68" i="1"/>
  <c r="K68" i="1"/>
  <c r="N67" i="1"/>
  <c r="L67" i="1"/>
  <c r="K67" i="1"/>
  <c r="N66" i="1"/>
  <c r="L66" i="1"/>
  <c r="N65" i="1"/>
  <c r="L65" i="1"/>
  <c r="K65" i="1"/>
  <c r="N64" i="1"/>
  <c r="L64" i="1"/>
  <c r="N63" i="1"/>
  <c r="L63" i="1"/>
  <c r="K63" i="1"/>
  <c r="N62" i="1"/>
  <c r="L62" i="1"/>
  <c r="K62" i="1"/>
  <c r="N61" i="1"/>
  <c r="N60" i="1"/>
  <c r="L60" i="1"/>
  <c r="K60" i="1"/>
  <c r="N59" i="1"/>
  <c r="L59" i="1"/>
  <c r="K59" i="1"/>
  <c r="N58" i="1"/>
  <c r="L58" i="1"/>
  <c r="N57" i="1"/>
  <c r="L57" i="1"/>
  <c r="K57" i="1"/>
  <c r="N56" i="1"/>
  <c r="L56" i="1"/>
  <c r="N55" i="1"/>
  <c r="L55" i="1"/>
  <c r="K55" i="1"/>
  <c r="N54" i="1"/>
  <c r="L54" i="1"/>
  <c r="N53" i="1"/>
  <c r="N52" i="1"/>
  <c r="L52" i="1"/>
  <c r="K52" i="1"/>
  <c r="N51" i="1"/>
  <c r="K51" i="1"/>
  <c r="N50" i="1"/>
  <c r="L50" i="1"/>
  <c r="N49" i="1"/>
  <c r="K49" i="1"/>
  <c r="N48" i="1"/>
  <c r="L48" i="1"/>
  <c r="N47" i="1"/>
  <c r="L47" i="1"/>
  <c r="K47" i="1"/>
  <c r="N46" i="1"/>
  <c r="L46" i="1"/>
  <c r="N45" i="1"/>
  <c r="N44" i="1"/>
  <c r="L44" i="1"/>
  <c r="K44" i="1"/>
  <c r="N43" i="1"/>
  <c r="K43" i="1"/>
  <c r="N42" i="1"/>
  <c r="L42" i="1"/>
  <c r="N41" i="1"/>
  <c r="K41" i="1"/>
  <c r="N40" i="1"/>
  <c r="L40" i="1"/>
  <c r="N39" i="1"/>
  <c r="L39" i="1"/>
  <c r="K39" i="1"/>
  <c r="N38" i="1"/>
  <c r="L38" i="1"/>
  <c r="N37" i="1"/>
  <c r="N36" i="1"/>
  <c r="L36" i="1"/>
  <c r="K36" i="1"/>
  <c r="N35" i="1"/>
  <c r="K35" i="1"/>
  <c r="N34" i="1"/>
  <c r="L34" i="1"/>
  <c r="N33" i="1"/>
  <c r="K33" i="1"/>
  <c r="N32" i="1"/>
  <c r="L32" i="1"/>
  <c r="N31" i="1"/>
  <c r="L31" i="1"/>
  <c r="K31" i="1"/>
  <c r="N30" i="1"/>
  <c r="L30" i="1"/>
  <c r="N29" i="1"/>
  <c r="N28" i="1"/>
  <c r="L28" i="1"/>
  <c r="K28" i="1"/>
  <c r="N27" i="1"/>
  <c r="K27" i="1"/>
  <c r="N26" i="1"/>
  <c r="L26" i="1"/>
  <c r="N25" i="1"/>
  <c r="K25" i="1"/>
  <c r="N24" i="1"/>
  <c r="L24" i="1"/>
  <c r="N23" i="1"/>
  <c r="L23" i="1"/>
  <c r="K23" i="1"/>
  <c r="N22" i="1"/>
  <c r="L22" i="1"/>
  <c r="N21" i="1"/>
  <c r="N20" i="1"/>
  <c r="L20" i="1"/>
  <c r="K20" i="1"/>
  <c r="N19" i="1"/>
  <c r="K19" i="1"/>
  <c r="N18" i="1"/>
  <c r="L18" i="1"/>
  <c r="N17" i="1"/>
  <c r="K17" i="1"/>
  <c r="N16" i="1"/>
  <c r="L16" i="1"/>
  <c r="N15" i="1"/>
  <c r="L15" i="1"/>
  <c r="K15" i="1"/>
  <c r="N14" i="1"/>
  <c r="L14" i="1"/>
  <c r="N13" i="1"/>
  <c r="N12" i="1"/>
  <c r="L12" i="1"/>
  <c r="K12" i="1"/>
  <c r="N11" i="1"/>
  <c r="K11" i="1"/>
  <c r="N10" i="1"/>
  <c r="L10" i="1"/>
  <c r="N9" i="1"/>
  <c r="K9" i="1"/>
  <c r="N8" i="1"/>
  <c r="N7" i="1"/>
  <c r="K7" i="1"/>
  <c r="N6" i="1"/>
  <c r="L6" i="1"/>
  <c r="N5" i="1"/>
  <c r="P12" i="1" a="1"/>
  <c r="P12" i="1" s="1"/>
  <c r="P15" i="1" a="1"/>
  <c r="P15" i="1" s="1"/>
  <c r="P20" i="1" a="1"/>
  <c r="P20" i="1" s="1"/>
  <c r="P23" i="1" a="1"/>
  <c r="P23" i="1" s="1"/>
  <c r="P28" i="1" a="1"/>
  <c r="P28" i="1" s="1"/>
  <c r="P31" i="1" a="1"/>
  <c r="P31" i="1" s="1"/>
  <c r="P36" i="1" a="1"/>
  <c r="P36" i="1" s="1"/>
  <c r="P39" i="1" a="1"/>
  <c r="P39" i="1" s="1"/>
  <c r="P43" i="1" a="1"/>
  <c r="P43" i="1" s="1"/>
  <c r="P44" i="1" a="1"/>
  <c r="P44" i="1" s="1"/>
  <c r="P47" i="1" a="1"/>
  <c r="P47" i="1" s="1"/>
  <c r="P49" i="1" a="1"/>
  <c r="P49" i="1" s="1"/>
  <c r="P51" i="1" a="1"/>
  <c r="P51" i="1" s="1"/>
  <c r="P52" i="1" a="1"/>
  <c r="P52" i="1" s="1"/>
  <c r="P55" i="1" a="1"/>
  <c r="P55" i="1" s="1"/>
  <c r="P57" i="1" a="1"/>
  <c r="P57" i="1" s="1"/>
  <c r="P59" i="1" a="1"/>
  <c r="P59" i="1" s="1"/>
  <c r="P60" i="1" a="1"/>
  <c r="P60" i="1" s="1"/>
  <c r="P62" i="1" a="1"/>
  <c r="P62" i="1" s="1"/>
  <c r="P63" i="1" a="1"/>
  <c r="P63" i="1" s="1"/>
  <c r="P65" i="1" a="1"/>
  <c r="P65" i="1" s="1"/>
  <c r="P67" i="1" a="1"/>
  <c r="P67" i="1" s="1"/>
  <c r="P68" i="1" a="1"/>
  <c r="P68" i="1" s="1"/>
  <c r="P70" i="1" a="1"/>
  <c r="P70" i="1" s="1"/>
  <c r="P71" i="1" a="1"/>
  <c r="P71" i="1" s="1"/>
  <c r="P73" i="1" a="1"/>
  <c r="P73" i="1" s="1"/>
  <c r="P75" i="1" a="1"/>
  <c r="P75" i="1" s="1"/>
  <c r="P76" i="1" a="1"/>
  <c r="P76" i="1" s="1"/>
  <c r="P78" i="1" a="1"/>
  <c r="P78" i="1" s="1"/>
  <c r="P79" i="1" a="1"/>
  <c r="P79" i="1" s="1"/>
  <c r="P81" i="1" a="1"/>
  <c r="P81" i="1" s="1"/>
  <c r="P83" i="1" a="1"/>
  <c r="P83" i="1" s="1"/>
  <c r="P84" i="1" a="1"/>
  <c r="P84" i="1" s="1"/>
  <c r="P86" i="1" a="1"/>
  <c r="P86" i="1" s="1"/>
  <c r="P87" i="1" a="1"/>
  <c r="P87" i="1" s="1"/>
  <c r="P89" i="1" a="1"/>
  <c r="P89" i="1" s="1"/>
  <c r="P91" i="1" a="1"/>
  <c r="P91" i="1" s="1"/>
  <c r="P92" i="1" a="1"/>
  <c r="P92" i="1" s="1"/>
  <c r="P94" i="1" a="1"/>
  <c r="P94" i="1" s="1"/>
  <c r="P95" i="1" a="1"/>
  <c r="P95" i="1" s="1"/>
  <c r="P97" i="1" a="1"/>
  <c r="P97" i="1" s="1"/>
  <c r="P99" i="1" a="1"/>
  <c r="P99" i="1" s="1"/>
  <c r="P100" i="1" a="1"/>
  <c r="P100" i="1" s="1"/>
  <c r="P102" i="1" a="1"/>
  <c r="P102" i="1" s="1"/>
  <c r="P103" i="1" a="1"/>
  <c r="P103" i="1" s="1"/>
  <c r="P105" i="1" a="1"/>
  <c r="P105" i="1" s="1"/>
  <c r="P107" i="1" a="1"/>
  <c r="P107" i="1" s="1"/>
  <c r="P108" i="1" a="1"/>
  <c r="P108" i="1" s="1"/>
  <c r="P110" i="1" a="1"/>
  <c r="P110" i="1" s="1"/>
  <c r="P111" i="1" a="1"/>
  <c r="P111" i="1" s="1"/>
  <c r="P113" i="1" a="1"/>
  <c r="P113" i="1" s="1"/>
  <c r="P115" i="1" a="1"/>
  <c r="P115" i="1" s="1"/>
  <c r="P116" i="1" a="1"/>
  <c r="P116" i="1" s="1"/>
  <c r="P118" i="1" a="1"/>
  <c r="P118" i="1" s="1"/>
  <c r="P119" i="1" a="1"/>
  <c r="P119" i="1" s="1"/>
  <c r="P121" i="1" a="1"/>
  <c r="P121" i="1" s="1"/>
  <c r="P123" i="1" a="1"/>
  <c r="P123" i="1" s="1"/>
  <c r="P124" i="1" a="1"/>
  <c r="P124" i="1" s="1"/>
  <c r="P126" i="1" a="1"/>
  <c r="P126" i="1" s="1"/>
  <c r="P127" i="1" a="1"/>
  <c r="P127" i="1" s="1"/>
  <c r="P129" i="1" a="1"/>
  <c r="P129" i="1" s="1"/>
  <c r="P131" i="1" a="1"/>
  <c r="P131" i="1" s="1"/>
  <c r="P132" i="1" a="1"/>
  <c r="P132" i="1" s="1"/>
  <c r="P134" i="1" a="1"/>
  <c r="P134" i="1" s="1"/>
  <c r="P135" i="1" a="1"/>
  <c r="P135" i="1" s="1"/>
  <c r="P137" i="1" a="1"/>
  <c r="P137" i="1" s="1"/>
  <c r="P139" i="1" a="1"/>
  <c r="P139" i="1" s="1"/>
  <c r="P140" i="1" a="1"/>
  <c r="P140" i="1" s="1"/>
  <c r="P142" i="1" a="1"/>
  <c r="P142" i="1" s="1"/>
  <c r="P143" i="1" a="1"/>
  <c r="P143" i="1" s="1"/>
  <c r="P145" i="1" a="1"/>
  <c r="P145" i="1" s="1"/>
  <c r="P147" i="1" a="1"/>
  <c r="P147" i="1" s="1"/>
  <c r="P148" i="1" a="1"/>
  <c r="P148" i="1" s="1"/>
  <c r="N4" i="1"/>
  <c r="L4" i="1"/>
  <c r="L369" i="12"/>
  <c r="K369" i="12"/>
  <c r="J369" i="12"/>
  <c r="L368" i="12"/>
  <c r="K368" i="12"/>
  <c r="J368" i="12"/>
  <c r="L367" i="12"/>
  <c r="K367" i="12"/>
  <c r="J367" i="12"/>
  <c r="L366" i="12"/>
  <c r="K366" i="12"/>
  <c r="J366" i="12"/>
  <c r="L365" i="12"/>
  <c r="K365" i="12"/>
  <c r="J365" i="12"/>
  <c r="L364" i="12"/>
  <c r="K364" i="12"/>
  <c r="J364" i="12"/>
  <c r="L363" i="12"/>
  <c r="K363" i="12"/>
  <c r="J363" i="12"/>
  <c r="L362" i="12"/>
  <c r="K362" i="12"/>
  <c r="J362" i="12"/>
  <c r="L361" i="12"/>
  <c r="K361" i="12"/>
  <c r="J361" i="12"/>
  <c r="L360" i="12"/>
  <c r="K360" i="12"/>
  <c r="J360" i="12"/>
  <c r="L359" i="12"/>
  <c r="K359" i="12"/>
  <c r="J359" i="12"/>
  <c r="L358" i="12"/>
  <c r="K358" i="12"/>
  <c r="J358" i="12"/>
  <c r="L357" i="12"/>
  <c r="K357" i="12"/>
  <c r="J357" i="12"/>
  <c r="L356" i="12"/>
  <c r="K356" i="12"/>
  <c r="J356" i="12"/>
  <c r="L355" i="12"/>
  <c r="K355" i="12"/>
  <c r="J355" i="12"/>
  <c r="L354" i="12"/>
  <c r="K354" i="12"/>
  <c r="J354" i="12"/>
  <c r="L353" i="12"/>
  <c r="K353" i="12"/>
  <c r="J353" i="12"/>
  <c r="L352" i="12"/>
  <c r="K352" i="12"/>
  <c r="J352" i="12"/>
  <c r="L351" i="12"/>
  <c r="K351" i="12"/>
  <c r="J351" i="12"/>
  <c r="L350" i="12"/>
  <c r="K350" i="12"/>
  <c r="J350" i="12"/>
  <c r="L349" i="12"/>
  <c r="K349" i="12"/>
  <c r="J349" i="12"/>
  <c r="L348" i="12"/>
  <c r="K348" i="12"/>
  <c r="J348" i="12"/>
  <c r="L347" i="12"/>
  <c r="K347" i="12"/>
  <c r="J347" i="12"/>
  <c r="L346" i="12"/>
  <c r="K346" i="12"/>
  <c r="J346" i="12"/>
  <c r="L345" i="12"/>
  <c r="K345" i="12"/>
  <c r="J345" i="12"/>
  <c r="L344" i="12"/>
  <c r="K344" i="12"/>
  <c r="J344" i="12"/>
  <c r="L343" i="12"/>
  <c r="K343" i="12"/>
  <c r="J343" i="12"/>
  <c r="L342" i="12"/>
  <c r="K342" i="12"/>
  <c r="J342" i="12"/>
  <c r="L341" i="12"/>
  <c r="K341" i="12"/>
  <c r="J341" i="12"/>
  <c r="L340" i="12"/>
  <c r="K340" i="12"/>
  <c r="J340" i="12"/>
  <c r="L339" i="12"/>
  <c r="K339" i="12"/>
  <c r="J339" i="12"/>
  <c r="L338" i="12"/>
  <c r="K338" i="12"/>
  <c r="J338" i="12"/>
  <c r="L337" i="12"/>
  <c r="K337" i="12"/>
  <c r="J337" i="12"/>
  <c r="L336" i="12"/>
  <c r="K336" i="12"/>
  <c r="J336" i="12"/>
  <c r="L335" i="12"/>
  <c r="K335" i="12"/>
  <c r="J335" i="12"/>
  <c r="L334" i="12"/>
  <c r="K334" i="12"/>
  <c r="J334" i="12"/>
  <c r="L333" i="12"/>
  <c r="K333" i="12"/>
  <c r="J333" i="12"/>
  <c r="L332" i="12"/>
  <c r="K332" i="12"/>
  <c r="J332" i="12"/>
  <c r="L331" i="12"/>
  <c r="K331" i="12"/>
  <c r="J331" i="12"/>
  <c r="L330" i="12"/>
  <c r="K330" i="12"/>
  <c r="J330" i="12"/>
  <c r="L329" i="12"/>
  <c r="K329" i="12"/>
  <c r="J329" i="12"/>
  <c r="L328" i="12"/>
  <c r="K328" i="12"/>
  <c r="J328" i="12"/>
  <c r="L327" i="12"/>
  <c r="K327" i="12"/>
  <c r="J327" i="12"/>
  <c r="L326" i="12"/>
  <c r="K326" i="12"/>
  <c r="J326" i="12"/>
  <c r="L325" i="12"/>
  <c r="K325" i="12"/>
  <c r="J325" i="12"/>
  <c r="L324" i="12"/>
  <c r="K324" i="12"/>
  <c r="J324" i="12"/>
  <c r="L323" i="12"/>
  <c r="K323" i="12"/>
  <c r="J323" i="12"/>
  <c r="L322" i="12"/>
  <c r="K322" i="12"/>
  <c r="J322" i="12"/>
  <c r="L321" i="12"/>
  <c r="K321" i="12"/>
  <c r="J321" i="12"/>
  <c r="L320" i="12"/>
  <c r="K320" i="12"/>
  <c r="J320" i="12"/>
  <c r="L319" i="12"/>
  <c r="K319" i="12"/>
  <c r="J319" i="12"/>
  <c r="L318" i="12"/>
  <c r="K318" i="12"/>
  <c r="J318" i="12"/>
  <c r="L317" i="12"/>
  <c r="K317" i="12"/>
  <c r="J317" i="12"/>
  <c r="L316" i="12"/>
  <c r="K316" i="12"/>
  <c r="J316" i="12"/>
  <c r="L315" i="12"/>
  <c r="K315" i="12"/>
  <c r="J315" i="12"/>
  <c r="L314" i="12"/>
  <c r="K314" i="12"/>
  <c r="J314" i="12"/>
  <c r="L313" i="12"/>
  <c r="K313" i="12"/>
  <c r="J313" i="12"/>
  <c r="L312" i="12"/>
  <c r="K312" i="12"/>
  <c r="J312" i="12"/>
  <c r="L311" i="12"/>
  <c r="K311" i="12"/>
  <c r="J311" i="12"/>
  <c r="L310" i="12"/>
  <c r="K310" i="12"/>
  <c r="J310" i="12"/>
  <c r="L309" i="12"/>
  <c r="K309" i="12"/>
  <c r="J309" i="12"/>
  <c r="L308" i="12"/>
  <c r="K308" i="12"/>
  <c r="J308" i="12"/>
  <c r="L307" i="12"/>
  <c r="K307" i="12"/>
  <c r="J307" i="12"/>
  <c r="L306" i="12"/>
  <c r="K306" i="12"/>
  <c r="J306" i="12"/>
  <c r="L305" i="12"/>
  <c r="K305" i="12"/>
  <c r="J305" i="12"/>
  <c r="L304" i="12"/>
  <c r="K304" i="12"/>
  <c r="J304" i="12"/>
  <c r="L303" i="12"/>
  <c r="K303" i="12"/>
  <c r="J303" i="12"/>
  <c r="L302" i="12"/>
  <c r="K302" i="12"/>
  <c r="J302" i="12"/>
  <c r="L301" i="12"/>
  <c r="K301" i="12"/>
  <c r="J301" i="12"/>
  <c r="L300" i="12"/>
  <c r="K300" i="12"/>
  <c r="J300" i="12"/>
  <c r="L299" i="12"/>
  <c r="K299" i="12"/>
  <c r="J299" i="12"/>
  <c r="L298" i="12"/>
  <c r="K298" i="12"/>
  <c r="J298" i="12"/>
  <c r="L297" i="12"/>
  <c r="K297" i="12"/>
  <c r="J297" i="12"/>
  <c r="L296" i="12"/>
  <c r="K296" i="12"/>
  <c r="J296" i="12"/>
  <c r="L295" i="12"/>
  <c r="K295" i="12"/>
  <c r="J295" i="12"/>
  <c r="L294" i="12"/>
  <c r="K294" i="12"/>
  <c r="J294" i="12"/>
  <c r="L293" i="12"/>
  <c r="K293" i="12"/>
  <c r="J293" i="12"/>
  <c r="L292" i="12"/>
  <c r="K292" i="12"/>
  <c r="J292" i="12"/>
  <c r="L291" i="12"/>
  <c r="K291" i="12"/>
  <c r="J291" i="12"/>
  <c r="L290" i="12"/>
  <c r="K290" i="12"/>
  <c r="J290" i="12"/>
  <c r="L289" i="12"/>
  <c r="K289" i="12"/>
  <c r="J289" i="12"/>
  <c r="L288" i="12"/>
  <c r="K288" i="12"/>
  <c r="J288" i="12"/>
  <c r="L287" i="12"/>
  <c r="K287" i="12"/>
  <c r="J287" i="12"/>
  <c r="L286" i="12"/>
  <c r="K286" i="12"/>
  <c r="J286" i="12"/>
  <c r="L285" i="12"/>
  <c r="K285" i="12"/>
  <c r="J285" i="12"/>
  <c r="L284" i="12"/>
  <c r="K284" i="12"/>
  <c r="J284" i="12"/>
  <c r="L283" i="12"/>
  <c r="K283" i="12"/>
  <c r="J283" i="12"/>
  <c r="L282" i="12"/>
  <c r="K282" i="12"/>
  <c r="J282" i="12"/>
  <c r="L281" i="12"/>
  <c r="K281" i="12"/>
  <c r="J281" i="12"/>
  <c r="L280" i="12"/>
  <c r="K280" i="12"/>
  <c r="J280" i="12"/>
  <c r="L279" i="12"/>
  <c r="K279" i="12"/>
  <c r="J279" i="12"/>
  <c r="L278" i="12"/>
  <c r="K278" i="12"/>
  <c r="J278" i="12"/>
  <c r="L277" i="12"/>
  <c r="K277" i="12"/>
  <c r="J277" i="12"/>
  <c r="L276" i="12"/>
  <c r="K276" i="12"/>
  <c r="J276" i="12"/>
  <c r="L275" i="12"/>
  <c r="K275" i="12"/>
  <c r="J275" i="12"/>
  <c r="L274" i="12"/>
  <c r="K274" i="12"/>
  <c r="J274" i="12"/>
  <c r="L273" i="12"/>
  <c r="K273" i="12"/>
  <c r="J273" i="12"/>
  <c r="L272" i="12"/>
  <c r="K272" i="12"/>
  <c r="J272" i="12"/>
  <c r="L271" i="12"/>
  <c r="K271" i="12"/>
  <c r="J271" i="12"/>
  <c r="L270" i="12"/>
  <c r="K270" i="12"/>
  <c r="J270" i="12"/>
  <c r="L269" i="12"/>
  <c r="K269" i="12"/>
  <c r="J269" i="12"/>
  <c r="L268" i="12"/>
  <c r="K268" i="12"/>
  <c r="J268" i="12"/>
  <c r="L267" i="12"/>
  <c r="K267" i="12"/>
  <c r="J267" i="12"/>
  <c r="L266" i="12"/>
  <c r="K266" i="12"/>
  <c r="J266" i="12"/>
  <c r="L265" i="12"/>
  <c r="K265" i="12"/>
  <c r="J265" i="12"/>
  <c r="L264" i="12"/>
  <c r="K264" i="12"/>
  <c r="J264" i="12"/>
  <c r="L263" i="12"/>
  <c r="K263" i="12"/>
  <c r="J263" i="12"/>
  <c r="L262" i="12"/>
  <c r="K262" i="12"/>
  <c r="J262" i="12"/>
  <c r="L261" i="12"/>
  <c r="K261" i="12"/>
  <c r="J261" i="12"/>
  <c r="L260" i="12"/>
  <c r="K260" i="12"/>
  <c r="J260" i="12"/>
  <c r="L259" i="12"/>
  <c r="K259" i="12"/>
  <c r="J259" i="12"/>
  <c r="L258" i="12"/>
  <c r="K258" i="12"/>
  <c r="J258" i="12"/>
  <c r="L257" i="12"/>
  <c r="K257" i="12"/>
  <c r="J257" i="12"/>
  <c r="L256" i="12"/>
  <c r="K256" i="12"/>
  <c r="J256" i="12"/>
  <c r="L255" i="12"/>
  <c r="K255" i="12"/>
  <c r="J255" i="12"/>
  <c r="L254" i="12"/>
  <c r="K254" i="12"/>
  <c r="J254" i="12"/>
  <c r="L253" i="12"/>
  <c r="K253" i="12"/>
  <c r="J253" i="12"/>
  <c r="L252" i="12"/>
  <c r="K252" i="12"/>
  <c r="J252" i="12"/>
  <c r="L251" i="12"/>
  <c r="K251" i="12"/>
  <c r="J251" i="12"/>
  <c r="L250" i="12"/>
  <c r="K250" i="12"/>
  <c r="J250" i="12"/>
  <c r="L249" i="12"/>
  <c r="K249" i="12"/>
  <c r="J249" i="12"/>
  <c r="L248" i="12"/>
  <c r="K248" i="12"/>
  <c r="J248" i="12"/>
  <c r="L247" i="12"/>
  <c r="K247" i="12"/>
  <c r="J247" i="12"/>
  <c r="L246" i="12"/>
  <c r="K246" i="12"/>
  <c r="J246" i="12"/>
  <c r="L245" i="12"/>
  <c r="K245" i="12"/>
  <c r="J245" i="12"/>
  <c r="L244" i="12"/>
  <c r="K244" i="12"/>
  <c r="J244" i="12"/>
  <c r="L243" i="12"/>
  <c r="K243" i="12"/>
  <c r="J243" i="12"/>
  <c r="L242" i="12"/>
  <c r="K242" i="12"/>
  <c r="J242" i="12"/>
  <c r="L241" i="12"/>
  <c r="K241" i="12"/>
  <c r="J241" i="12"/>
  <c r="L240" i="12"/>
  <c r="K240" i="12"/>
  <c r="J240" i="12"/>
  <c r="L239" i="12"/>
  <c r="K239" i="12"/>
  <c r="J239" i="12"/>
  <c r="L238" i="12"/>
  <c r="K238" i="12"/>
  <c r="J238" i="12"/>
  <c r="L237" i="12"/>
  <c r="K237" i="12"/>
  <c r="J237" i="12"/>
  <c r="L236" i="12"/>
  <c r="K236" i="12"/>
  <c r="J236" i="12"/>
  <c r="L235" i="12"/>
  <c r="K235" i="12"/>
  <c r="J235" i="12"/>
  <c r="L234" i="12"/>
  <c r="K234" i="12"/>
  <c r="J234" i="12"/>
  <c r="L233" i="12"/>
  <c r="K233" i="12"/>
  <c r="J233" i="12"/>
  <c r="L232" i="12"/>
  <c r="K232" i="12"/>
  <c r="J232" i="12"/>
  <c r="L231" i="12"/>
  <c r="K231" i="12"/>
  <c r="J231" i="12"/>
  <c r="L230" i="12"/>
  <c r="K230" i="12"/>
  <c r="J230" i="12"/>
  <c r="L229" i="12"/>
  <c r="K229" i="12"/>
  <c r="J229" i="12"/>
  <c r="L228" i="12"/>
  <c r="K228" i="12"/>
  <c r="J228" i="12"/>
  <c r="L227" i="12"/>
  <c r="K227" i="12"/>
  <c r="J227" i="12"/>
  <c r="L226" i="12"/>
  <c r="K226" i="12"/>
  <c r="J226" i="12"/>
  <c r="L225" i="12"/>
  <c r="K225" i="12"/>
  <c r="J225" i="12"/>
  <c r="L224" i="12"/>
  <c r="K224" i="12"/>
  <c r="J224" i="12"/>
  <c r="L223" i="12"/>
  <c r="K223" i="12"/>
  <c r="J223" i="12"/>
  <c r="L222" i="12"/>
  <c r="K222" i="12"/>
  <c r="J222" i="12"/>
  <c r="L221" i="12"/>
  <c r="K221" i="12"/>
  <c r="J221" i="12"/>
  <c r="L220" i="12"/>
  <c r="K220" i="12"/>
  <c r="J220" i="12"/>
  <c r="L219" i="12"/>
  <c r="K219" i="12"/>
  <c r="J219" i="12"/>
  <c r="L218" i="12"/>
  <c r="K218" i="12"/>
  <c r="J218" i="12"/>
  <c r="L217" i="12"/>
  <c r="K217" i="12"/>
  <c r="J217" i="12"/>
  <c r="L216" i="12"/>
  <c r="K216" i="12"/>
  <c r="J216" i="12"/>
  <c r="L215" i="12"/>
  <c r="K215" i="12"/>
  <c r="J215" i="12"/>
  <c r="L214" i="12"/>
  <c r="K214" i="12"/>
  <c r="J214" i="12"/>
  <c r="L213" i="12"/>
  <c r="K213" i="12"/>
  <c r="J213" i="12"/>
  <c r="L212" i="12"/>
  <c r="K212" i="12"/>
  <c r="J212" i="12"/>
  <c r="L211" i="12"/>
  <c r="K211" i="12"/>
  <c r="J211" i="12"/>
  <c r="L210" i="12"/>
  <c r="K210" i="12"/>
  <c r="J210" i="12"/>
  <c r="L209" i="12"/>
  <c r="K209" i="12"/>
  <c r="J209" i="12"/>
  <c r="L208" i="12"/>
  <c r="K208" i="12"/>
  <c r="J208" i="12"/>
  <c r="L207" i="12"/>
  <c r="K207" i="12"/>
  <c r="J207" i="12"/>
  <c r="L206" i="12"/>
  <c r="K206" i="12"/>
  <c r="J206" i="12"/>
  <c r="L205" i="12"/>
  <c r="K205" i="12"/>
  <c r="J205" i="12"/>
  <c r="L204" i="12"/>
  <c r="K204" i="12"/>
  <c r="J204" i="12"/>
  <c r="L203" i="12"/>
  <c r="K203" i="12"/>
  <c r="J203" i="12"/>
  <c r="L202" i="12"/>
  <c r="K202" i="12"/>
  <c r="J202" i="12"/>
  <c r="L201" i="12"/>
  <c r="K201" i="12"/>
  <c r="J201" i="12"/>
  <c r="L200" i="12"/>
  <c r="K200" i="12"/>
  <c r="J200" i="12"/>
  <c r="L199" i="12"/>
  <c r="K199" i="12"/>
  <c r="J199" i="12"/>
  <c r="L198" i="12"/>
  <c r="K198" i="12"/>
  <c r="J198" i="12"/>
  <c r="L197" i="12"/>
  <c r="K197" i="12"/>
  <c r="J197" i="12"/>
  <c r="L196" i="12"/>
  <c r="K196" i="12"/>
  <c r="J196" i="12"/>
  <c r="L195" i="12"/>
  <c r="K195" i="12"/>
  <c r="J195" i="12"/>
  <c r="L194" i="12"/>
  <c r="K194" i="12"/>
  <c r="J194" i="12"/>
  <c r="L193" i="12"/>
  <c r="K193" i="12"/>
  <c r="J193" i="12"/>
  <c r="L192" i="12"/>
  <c r="K192" i="12"/>
  <c r="J192" i="12"/>
  <c r="L191" i="12"/>
  <c r="K191" i="12"/>
  <c r="J191" i="12"/>
  <c r="L190" i="12"/>
  <c r="K190" i="12"/>
  <c r="J190" i="12"/>
  <c r="L189" i="12"/>
  <c r="K189" i="12"/>
  <c r="J189" i="12"/>
  <c r="L188" i="12"/>
  <c r="K188" i="12"/>
  <c r="J188" i="12"/>
  <c r="L187" i="12"/>
  <c r="K187" i="12"/>
  <c r="J187" i="12"/>
  <c r="L186" i="12"/>
  <c r="K186" i="12"/>
  <c r="J186" i="12"/>
  <c r="L185" i="12"/>
  <c r="K185" i="12"/>
  <c r="J185" i="12"/>
  <c r="L184" i="12"/>
  <c r="K184" i="12"/>
  <c r="J184" i="12"/>
  <c r="L183" i="12"/>
  <c r="K183" i="12"/>
  <c r="J183" i="12"/>
  <c r="L182" i="12"/>
  <c r="K182" i="12"/>
  <c r="J182" i="12"/>
  <c r="L181" i="12"/>
  <c r="K181" i="12"/>
  <c r="J181" i="12"/>
  <c r="L180" i="12"/>
  <c r="K180" i="12"/>
  <c r="J180" i="12"/>
  <c r="L179" i="12"/>
  <c r="K179" i="12"/>
  <c r="J179" i="12"/>
  <c r="L178" i="12"/>
  <c r="K178" i="12"/>
  <c r="J178" i="12"/>
  <c r="L177" i="12"/>
  <c r="K177" i="12"/>
  <c r="J177" i="12"/>
  <c r="L176" i="12"/>
  <c r="K176" i="12"/>
  <c r="J176" i="12"/>
  <c r="L175" i="12"/>
  <c r="K175" i="12"/>
  <c r="J175" i="12"/>
  <c r="L174" i="12"/>
  <c r="K174" i="12"/>
  <c r="J174" i="12"/>
  <c r="L173" i="12"/>
  <c r="K173" i="12"/>
  <c r="J173" i="12"/>
  <c r="L172" i="12"/>
  <c r="K172" i="12"/>
  <c r="J172" i="12"/>
  <c r="L171" i="12"/>
  <c r="K171" i="12"/>
  <c r="J171" i="12"/>
  <c r="L170" i="12"/>
  <c r="K170" i="12"/>
  <c r="J170" i="12"/>
  <c r="L169" i="12"/>
  <c r="K169" i="12"/>
  <c r="J169" i="12"/>
  <c r="L168" i="12"/>
  <c r="K168" i="12"/>
  <c r="J168" i="12"/>
  <c r="L167" i="12"/>
  <c r="K167" i="12"/>
  <c r="J167" i="12"/>
  <c r="L166" i="12"/>
  <c r="K166" i="12"/>
  <c r="J166" i="12"/>
  <c r="L165" i="12"/>
  <c r="K165" i="12"/>
  <c r="J165" i="12"/>
  <c r="L164" i="12"/>
  <c r="K164" i="12"/>
  <c r="J164" i="12"/>
  <c r="L163" i="12"/>
  <c r="K163" i="12"/>
  <c r="J163" i="12"/>
  <c r="L162" i="12"/>
  <c r="K162" i="12"/>
  <c r="J162" i="12"/>
  <c r="L161" i="12"/>
  <c r="K161" i="12"/>
  <c r="J161" i="12"/>
  <c r="L160" i="12"/>
  <c r="K160" i="12"/>
  <c r="J160" i="12"/>
  <c r="L159" i="12"/>
  <c r="K159" i="12"/>
  <c r="J159" i="12"/>
  <c r="L158" i="12"/>
  <c r="K158" i="12"/>
  <c r="J158" i="12"/>
  <c r="L157" i="12"/>
  <c r="K157" i="12"/>
  <c r="J157" i="12"/>
  <c r="L156" i="12"/>
  <c r="K156" i="12"/>
  <c r="J156" i="12"/>
  <c r="L155" i="12"/>
  <c r="K155" i="12"/>
  <c r="J155" i="12"/>
  <c r="L154" i="12"/>
  <c r="K154" i="12"/>
  <c r="J154" i="12"/>
  <c r="L153" i="12"/>
  <c r="K153" i="12"/>
  <c r="J153" i="12"/>
  <c r="L152" i="12"/>
  <c r="K152" i="12"/>
  <c r="J152" i="12"/>
  <c r="L151" i="12"/>
  <c r="K151" i="12"/>
  <c r="J151" i="12"/>
  <c r="L150" i="12"/>
  <c r="K150" i="12"/>
  <c r="J150" i="12"/>
  <c r="L149" i="12"/>
  <c r="K149" i="12"/>
  <c r="J149" i="12"/>
  <c r="L148" i="12"/>
  <c r="K148" i="12"/>
  <c r="J148" i="12"/>
  <c r="L147" i="12"/>
  <c r="K147" i="12"/>
  <c r="J147" i="12"/>
  <c r="L146" i="12"/>
  <c r="K146" i="12"/>
  <c r="J146" i="12"/>
  <c r="L145" i="12"/>
  <c r="K145" i="12"/>
  <c r="J145" i="12"/>
  <c r="L144" i="12"/>
  <c r="K144" i="12"/>
  <c r="J144" i="12"/>
  <c r="L143" i="12"/>
  <c r="K143" i="12"/>
  <c r="J143" i="12"/>
  <c r="L142" i="12"/>
  <c r="K142" i="12"/>
  <c r="J142" i="12"/>
  <c r="L141" i="12"/>
  <c r="K141" i="12"/>
  <c r="J141" i="12"/>
  <c r="L140" i="12"/>
  <c r="K140" i="12"/>
  <c r="J140" i="12"/>
  <c r="L139" i="12"/>
  <c r="K139" i="12"/>
  <c r="J139" i="12"/>
  <c r="L138" i="12"/>
  <c r="K138" i="12"/>
  <c r="J138" i="12"/>
  <c r="L137" i="12"/>
  <c r="K137" i="12"/>
  <c r="J137" i="12"/>
  <c r="L136" i="12"/>
  <c r="K136" i="12"/>
  <c r="J136" i="12"/>
  <c r="L135" i="12"/>
  <c r="K135" i="12"/>
  <c r="J135" i="12"/>
  <c r="L134" i="12"/>
  <c r="K134" i="12"/>
  <c r="J134" i="12"/>
  <c r="L133" i="12"/>
  <c r="K133" i="12"/>
  <c r="J133" i="12"/>
  <c r="L132" i="12"/>
  <c r="K132" i="12"/>
  <c r="J132" i="12"/>
  <c r="L131" i="12"/>
  <c r="K131" i="12"/>
  <c r="J131" i="12"/>
  <c r="L130" i="12"/>
  <c r="K130" i="12"/>
  <c r="J130" i="12"/>
  <c r="L129" i="12"/>
  <c r="K129" i="12"/>
  <c r="J129" i="12"/>
  <c r="L128" i="12"/>
  <c r="K128" i="12"/>
  <c r="J128" i="12"/>
  <c r="L127" i="12"/>
  <c r="K127" i="12"/>
  <c r="J127" i="12"/>
  <c r="L126" i="12"/>
  <c r="K126" i="12"/>
  <c r="J126" i="12"/>
  <c r="L125" i="12"/>
  <c r="K125" i="12"/>
  <c r="J125" i="12"/>
  <c r="L124" i="12"/>
  <c r="K124" i="12"/>
  <c r="J124" i="12"/>
  <c r="L123" i="12"/>
  <c r="K123" i="12"/>
  <c r="J123" i="12"/>
  <c r="L122" i="12"/>
  <c r="K122" i="12"/>
  <c r="J122" i="12"/>
  <c r="L121" i="12"/>
  <c r="K121" i="12"/>
  <c r="J121" i="12"/>
  <c r="L120" i="12"/>
  <c r="K120" i="12"/>
  <c r="J120" i="12"/>
  <c r="L119" i="12"/>
  <c r="K119" i="12"/>
  <c r="J119" i="12"/>
  <c r="L118" i="12"/>
  <c r="K118" i="12"/>
  <c r="J118" i="12"/>
  <c r="L117" i="12"/>
  <c r="K117" i="12"/>
  <c r="J117" i="12"/>
  <c r="L116" i="12"/>
  <c r="K116" i="12"/>
  <c r="J116" i="12"/>
  <c r="L115" i="12"/>
  <c r="K115" i="12"/>
  <c r="J115" i="12"/>
  <c r="L114" i="12"/>
  <c r="K114" i="12"/>
  <c r="J114" i="12"/>
  <c r="L113" i="12"/>
  <c r="K113" i="12"/>
  <c r="J113" i="12"/>
  <c r="L112" i="12"/>
  <c r="K112" i="12"/>
  <c r="J112" i="12"/>
  <c r="L111" i="12"/>
  <c r="K111" i="12"/>
  <c r="J111" i="12"/>
  <c r="L110" i="12"/>
  <c r="K110" i="12"/>
  <c r="J110" i="12"/>
  <c r="L109" i="12"/>
  <c r="K109" i="12"/>
  <c r="J109" i="12"/>
  <c r="L108" i="12"/>
  <c r="K108" i="12"/>
  <c r="J108" i="12"/>
  <c r="L107" i="12"/>
  <c r="K107" i="12"/>
  <c r="J107" i="12"/>
  <c r="L106" i="12"/>
  <c r="K106" i="12"/>
  <c r="J106" i="12"/>
  <c r="L105" i="12"/>
  <c r="K105" i="12"/>
  <c r="J105" i="12"/>
  <c r="L104" i="12"/>
  <c r="K104" i="12"/>
  <c r="J104" i="12"/>
  <c r="L103" i="12"/>
  <c r="K103" i="12"/>
  <c r="J103" i="12"/>
  <c r="L102" i="12"/>
  <c r="K102" i="12"/>
  <c r="J102" i="12"/>
  <c r="L101" i="12"/>
  <c r="K101" i="12"/>
  <c r="J101" i="12"/>
  <c r="L100" i="12"/>
  <c r="K100" i="12"/>
  <c r="J100" i="12"/>
  <c r="L99" i="12"/>
  <c r="K99" i="12"/>
  <c r="J99" i="12"/>
  <c r="L98" i="12"/>
  <c r="K98" i="12"/>
  <c r="J98" i="12"/>
  <c r="L97" i="12"/>
  <c r="K97" i="12"/>
  <c r="J97" i="12"/>
  <c r="L96" i="12"/>
  <c r="K96" i="12"/>
  <c r="J96" i="12"/>
  <c r="L95" i="12"/>
  <c r="K95" i="12"/>
  <c r="J95" i="12"/>
  <c r="L94" i="12"/>
  <c r="K94" i="12"/>
  <c r="J94" i="12"/>
  <c r="L93" i="12"/>
  <c r="K93" i="12"/>
  <c r="J93" i="12"/>
  <c r="L92" i="12"/>
  <c r="K92" i="12"/>
  <c r="J92" i="12"/>
  <c r="L91" i="12"/>
  <c r="K91" i="12"/>
  <c r="J91" i="12"/>
  <c r="L90" i="12"/>
  <c r="K90" i="12"/>
  <c r="J90" i="12"/>
  <c r="L89" i="12"/>
  <c r="K89" i="12"/>
  <c r="J89" i="12"/>
  <c r="L88" i="12"/>
  <c r="K88" i="12"/>
  <c r="J88" i="12"/>
  <c r="L87" i="12"/>
  <c r="K87" i="12"/>
  <c r="J87" i="12"/>
  <c r="L86" i="12"/>
  <c r="K86" i="12"/>
  <c r="J86" i="12"/>
  <c r="L85" i="12"/>
  <c r="K85" i="12"/>
  <c r="J85" i="12"/>
  <c r="L84" i="12"/>
  <c r="K84" i="12"/>
  <c r="J84" i="12"/>
  <c r="L83" i="12"/>
  <c r="K83" i="12"/>
  <c r="J83" i="12"/>
  <c r="L82" i="12"/>
  <c r="K82" i="12"/>
  <c r="J82" i="12"/>
  <c r="L81" i="12"/>
  <c r="K81" i="12"/>
  <c r="J81" i="12"/>
  <c r="L80" i="12"/>
  <c r="K80" i="12"/>
  <c r="J80" i="12"/>
  <c r="L79" i="12"/>
  <c r="K79" i="12"/>
  <c r="J79" i="12"/>
  <c r="L78" i="12"/>
  <c r="K78" i="12"/>
  <c r="J78" i="12"/>
  <c r="L77" i="12"/>
  <c r="K77" i="12"/>
  <c r="J77" i="12"/>
  <c r="L76" i="12"/>
  <c r="K76" i="12"/>
  <c r="J76" i="12"/>
  <c r="L75" i="12"/>
  <c r="K75" i="12"/>
  <c r="J75" i="12"/>
  <c r="L74" i="12"/>
  <c r="K74" i="12"/>
  <c r="J74" i="12"/>
  <c r="L73" i="12"/>
  <c r="K73" i="12"/>
  <c r="J73" i="12"/>
  <c r="L72" i="12"/>
  <c r="K72" i="12"/>
  <c r="J72" i="12"/>
  <c r="L71" i="12"/>
  <c r="K71" i="12"/>
  <c r="J71" i="12"/>
  <c r="L70" i="12"/>
  <c r="K70" i="12"/>
  <c r="J70" i="12"/>
  <c r="L69" i="12"/>
  <c r="K69" i="12"/>
  <c r="J69" i="12"/>
  <c r="L68" i="12"/>
  <c r="K68" i="12"/>
  <c r="J68" i="12"/>
  <c r="L67" i="12"/>
  <c r="K67" i="12"/>
  <c r="J67" i="12"/>
  <c r="L66" i="12"/>
  <c r="K66" i="12"/>
  <c r="J66" i="12"/>
  <c r="L65" i="12"/>
  <c r="K65" i="12"/>
  <c r="J65" i="12"/>
  <c r="L64" i="12"/>
  <c r="K64" i="12"/>
  <c r="J64" i="12"/>
  <c r="L63" i="12"/>
  <c r="K63" i="12"/>
  <c r="J63" i="12"/>
  <c r="L62" i="12"/>
  <c r="K62" i="12"/>
  <c r="J62" i="12"/>
  <c r="L61" i="12"/>
  <c r="K61" i="12"/>
  <c r="J61" i="12"/>
  <c r="L60" i="12"/>
  <c r="K60" i="12"/>
  <c r="J60" i="12"/>
  <c r="L59" i="12"/>
  <c r="K59" i="12"/>
  <c r="J59" i="12"/>
  <c r="L58" i="12"/>
  <c r="K58" i="12"/>
  <c r="J58" i="12"/>
  <c r="L57" i="12"/>
  <c r="K57" i="12"/>
  <c r="J57" i="12"/>
  <c r="L56" i="12"/>
  <c r="K56" i="12"/>
  <c r="J56" i="12"/>
  <c r="L55" i="12"/>
  <c r="K55" i="12"/>
  <c r="J55" i="12"/>
  <c r="L54" i="12"/>
  <c r="K54" i="12"/>
  <c r="J54" i="12"/>
  <c r="L53" i="12"/>
  <c r="K53" i="12"/>
  <c r="J53" i="12"/>
  <c r="L52" i="12"/>
  <c r="K52" i="12"/>
  <c r="J52" i="12"/>
  <c r="L51" i="12"/>
  <c r="K51" i="12"/>
  <c r="J51" i="12"/>
  <c r="L50" i="12"/>
  <c r="K50" i="12"/>
  <c r="J50" i="12"/>
  <c r="L49" i="12"/>
  <c r="K49" i="12"/>
  <c r="J49" i="12"/>
  <c r="L48" i="12"/>
  <c r="K48" i="12"/>
  <c r="J48" i="12"/>
  <c r="L47" i="12"/>
  <c r="K47" i="12"/>
  <c r="J47" i="12"/>
  <c r="L46" i="12"/>
  <c r="K46" i="12"/>
  <c r="J46" i="12"/>
  <c r="L45" i="12"/>
  <c r="K45" i="12"/>
  <c r="J45" i="12"/>
  <c r="L44" i="12"/>
  <c r="K44" i="12"/>
  <c r="J44" i="12"/>
  <c r="L43" i="12"/>
  <c r="K43" i="12"/>
  <c r="J43" i="12"/>
  <c r="L42" i="12"/>
  <c r="K42" i="12"/>
  <c r="J42" i="12"/>
  <c r="L41" i="12"/>
  <c r="K41" i="12"/>
  <c r="J41" i="12"/>
  <c r="L40" i="12"/>
  <c r="K40" i="12"/>
  <c r="J40" i="12"/>
  <c r="L39" i="12"/>
  <c r="K39" i="12"/>
  <c r="J39" i="12"/>
  <c r="L38" i="12"/>
  <c r="K38" i="12"/>
  <c r="J38" i="12"/>
  <c r="L37" i="12"/>
  <c r="K37" i="12"/>
  <c r="J37" i="12"/>
  <c r="L36" i="12"/>
  <c r="K36" i="12"/>
  <c r="J36" i="12"/>
  <c r="L35" i="12"/>
  <c r="K35" i="12"/>
  <c r="J35" i="12"/>
  <c r="L34" i="12"/>
  <c r="K34" i="12"/>
  <c r="J34" i="12"/>
  <c r="L33" i="12"/>
  <c r="K33" i="12"/>
  <c r="J33" i="12"/>
  <c r="L32" i="12"/>
  <c r="K32" i="12"/>
  <c r="J32" i="12"/>
  <c r="L31" i="12"/>
  <c r="K31" i="12"/>
  <c r="J31" i="12"/>
  <c r="L30" i="12"/>
  <c r="K30" i="12"/>
  <c r="J30" i="12"/>
  <c r="L29" i="12"/>
  <c r="K29" i="12"/>
  <c r="J29" i="12"/>
  <c r="L28" i="12"/>
  <c r="K28" i="12"/>
  <c r="J28" i="12"/>
  <c r="L27" i="12"/>
  <c r="K27" i="12"/>
  <c r="J27" i="12"/>
  <c r="L26" i="12"/>
  <c r="K26" i="12"/>
  <c r="J26" i="12"/>
  <c r="L25" i="12"/>
  <c r="K25" i="12"/>
  <c r="J25" i="12"/>
  <c r="L24" i="12"/>
  <c r="K24" i="12"/>
  <c r="J24" i="12"/>
  <c r="L23" i="12"/>
  <c r="K23" i="12"/>
  <c r="J23" i="12"/>
  <c r="L22" i="12"/>
  <c r="K22" i="12"/>
  <c r="J22" i="12"/>
  <c r="L21" i="12"/>
  <c r="K21" i="12"/>
  <c r="J21" i="12"/>
  <c r="L20" i="12"/>
  <c r="K20" i="12"/>
  <c r="J20" i="12"/>
  <c r="L19" i="12"/>
  <c r="K19" i="12"/>
  <c r="J19" i="12"/>
  <c r="L18" i="12"/>
  <c r="K18" i="12"/>
  <c r="J18" i="12"/>
  <c r="L17" i="12"/>
  <c r="K17" i="12"/>
  <c r="J17" i="12"/>
  <c r="L16" i="12"/>
  <c r="K16" i="12"/>
  <c r="J16" i="12"/>
  <c r="L15" i="12"/>
  <c r="K15" i="12"/>
  <c r="J15" i="12"/>
  <c r="L14" i="12"/>
  <c r="K14" i="12"/>
  <c r="J14" i="12"/>
  <c r="L13" i="12"/>
  <c r="K13" i="12"/>
  <c r="J13" i="12"/>
  <c r="L12" i="12"/>
  <c r="K12" i="12"/>
  <c r="J12" i="12"/>
  <c r="L11" i="12"/>
  <c r="K11" i="12"/>
  <c r="J11" i="12"/>
  <c r="L10" i="12"/>
  <c r="K10" i="12"/>
  <c r="J10" i="12"/>
  <c r="L9" i="12"/>
  <c r="K9" i="12"/>
  <c r="J9" i="12"/>
  <c r="C5" i="12"/>
  <c r="J150" i="1"/>
  <c r="I150" i="1"/>
  <c r="B2" i="12"/>
  <c r="K29" i="1" l="1"/>
  <c r="P144" i="1" a="1"/>
  <c r="P144" i="1" s="1"/>
  <c r="P136" i="1" a="1"/>
  <c r="P136" i="1" s="1"/>
  <c r="P128" i="1" a="1"/>
  <c r="P128" i="1" s="1"/>
  <c r="P120" i="1" a="1"/>
  <c r="P120" i="1" s="1"/>
  <c r="P112" i="1" a="1"/>
  <c r="P112" i="1" s="1"/>
  <c r="P104" i="1" a="1"/>
  <c r="P104" i="1" s="1"/>
  <c r="P96" i="1" a="1"/>
  <c r="P96" i="1" s="1"/>
  <c r="P88" i="1" a="1"/>
  <c r="P88" i="1" s="1"/>
  <c r="P80" i="1" a="1"/>
  <c r="P80" i="1" s="1"/>
  <c r="P72" i="1" a="1"/>
  <c r="P72" i="1" s="1"/>
  <c r="P64" i="1" a="1"/>
  <c r="P64" i="1" s="1"/>
  <c r="P56" i="1" a="1"/>
  <c r="P56" i="1" s="1"/>
  <c r="P48" i="1" a="1"/>
  <c r="P48" i="1" s="1"/>
  <c r="P40" i="1" a="1"/>
  <c r="P40" i="1" s="1"/>
  <c r="P32" i="1" a="1"/>
  <c r="P32" i="1" s="1"/>
  <c r="P24" i="1" a="1"/>
  <c r="P24" i="1" s="1"/>
  <c r="P16" i="1" a="1"/>
  <c r="P16" i="1" s="1"/>
  <c r="P5" i="1" a="1"/>
  <c r="P5" i="1" s="1"/>
  <c r="K14" i="1"/>
  <c r="K22" i="1"/>
  <c r="K26" i="1"/>
  <c r="K30" i="1"/>
  <c r="K34" i="1"/>
  <c r="K38" i="1"/>
  <c r="K42" i="1"/>
  <c r="K46" i="1"/>
  <c r="K50" i="1"/>
  <c r="K54" i="1"/>
  <c r="K58" i="1"/>
  <c r="K66" i="1"/>
  <c r="K74" i="1"/>
  <c r="K82" i="1"/>
  <c r="K90" i="1"/>
  <c r="K98" i="1"/>
  <c r="K106" i="1"/>
  <c r="K114" i="1"/>
  <c r="K122" i="1"/>
  <c r="K130" i="1"/>
  <c r="K138" i="1"/>
  <c r="K146" i="1"/>
  <c r="P54" i="1" a="1"/>
  <c r="P54" i="1" s="1"/>
  <c r="P46" i="1" a="1"/>
  <c r="P46" i="1" s="1"/>
  <c r="P38" i="1" a="1"/>
  <c r="P38" i="1" s="1"/>
  <c r="P30" i="1" a="1"/>
  <c r="P30" i="1" s="1"/>
  <c r="P22" i="1" a="1"/>
  <c r="P22" i="1" s="1"/>
  <c r="P14" i="1" a="1"/>
  <c r="P14" i="1" s="1"/>
  <c r="O13" i="1"/>
  <c r="O21" i="1"/>
  <c r="O29" i="1"/>
  <c r="O37" i="1"/>
  <c r="O45" i="1"/>
  <c r="O53" i="1"/>
  <c r="O61" i="1"/>
  <c r="O69" i="1"/>
  <c r="O77" i="1"/>
  <c r="O85" i="1"/>
  <c r="O93" i="1"/>
  <c r="O101" i="1"/>
  <c r="O109" i="1"/>
  <c r="O117" i="1"/>
  <c r="O125" i="1"/>
  <c r="O133" i="1"/>
  <c r="O141" i="1"/>
  <c r="P141" i="1" a="1"/>
  <c r="P141" i="1" s="1"/>
  <c r="P133" i="1" a="1"/>
  <c r="P133" i="1" s="1"/>
  <c r="P125" i="1" a="1"/>
  <c r="P125" i="1" s="1"/>
  <c r="P117" i="1" a="1"/>
  <c r="P117" i="1" s="1"/>
  <c r="P109" i="1" a="1"/>
  <c r="P109" i="1" s="1"/>
  <c r="P101" i="1" a="1"/>
  <c r="P101" i="1" s="1"/>
  <c r="P93" i="1" a="1"/>
  <c r="P93" i="1" s="1"/>
  <c r="P85" i="1" a="1"/>
  <c r="P85" i="1" s="1"/>
  <c r="P77" i="1" a="1"/>
  <c r="P77" i="1" s="1"/>
  <c r="P69" i="1" a="1"/>
  <c r="P69" i="1" s="1"/>
  <c r="P61" i="1" a="1"/>
  <c r="P61" i="1" s="1"/>
  <c r="P53" i="1" a="1"/>
  <c r="P53" i="1" s="1"/>
  <c r="P45" i="1" a="1"/>
  <c r="P45" i="1" s="1"/>
  <c r="P37" i="1" a="1"/>
  <c r="P37" i="1" s="1"/>
  <c r="P29" i="1" a="1"/>
  <c r="P29" i="1" s="1"/>
  <c r="P21" i="1" a="1"/>
  <c r="P21" i="1" s="1"/>
  <c r="P13" i="1" a="1"/>
  <c r="P13" i="1" s="1"/>
  <c r="L7" i="1"/>
  <c r="K21" i="1"/>
  <c r="K37" i="1"/>
  <c r="K45" i="1"/>
  <c r="K53" i="1"/>
  <c r="K61" i="1"/>
  <c r="O5" i="1"/>
  <c r="P35" i="1" a="1"/>
  <c r="P35" i="1" s="1"/>
  <c r="P27" i="1" a="1"/>
  <c r="P27" i="1" s="1"/>
  <c r="P19" i="1" a="1"/>
  <c r="P19" i="1" s="1"/>
  <c r="P11" i="1" a="1"/>
  <c r="P11" i="1" s="1"/>
  <c r="L9" i="1"/>
  <c r="L13" i="1"/>
  <c r="L17" i="1"/>
  <c r="L25" i="1"/>
  <c r="L33" i="1"/>
  <c r="L41" i="1"/>
  <c r="K4" i="1"/>
  <c r="K6" i="1"/>
  <c r="L5" i="1"/>
  <c r="P7" i="1" a="1"/>
  <c r="P7" i="1" s="1"/>
  <c r="P4" i="1" a="1"/>
  <c r="P4" i="1" s="1"/>
  <c r="O6" i="1"/>
  <c r="P6" i="1" a="1"/>
  <c r="P6" i="1" s="1"/>
  <c r="L8" i="1"/>
  <c r="L150" i="1" s="1"/>
  <c r="P8" i="1" a="1"/>
  <c r="P8" i="1" s="1"/>
  <c r="K8" i="1"/>
  <c r="I152" i="1"/>
  <c r="L7" i="12"/>
  <c r="M150" i="1"/>
  <c r="N150" i="1"/>
  <c r="H209" i="12"/>
  <c r="H16" i="12"/>
  <c r="H359" i="12"/>
  <c r="H107" i="12"/>
  <c r="H154" i="12"/>
  <c r="H341" i="12"/>
  <c r="H221" i="12"/>
  <c r="H225" i="12"/>
  <c r="H193" i="12"/>
  <c r="H143" i="12"/>
  <c r="H343" i="12"/>
  <c r="H91" i="12"/>
  <c r="H138" i="12"/>
  <c r="H309" i="12"/>
  <c r="H245" i="12"/>
  <c r="H54" i="12"/>
  <c r="H85" i="12"/>
  <c r="H366" i="12"/>
  <c r="H346" i="12"/>
  <c r="H364" i="12"/>
  <c r="H320" i="12"/>
  <c r="H53" i="12"/>
  <c r="H214" i="12"/>
  <c r="H281" i="12"/>
  <c r="H167" i="12"/>
  <c r="H44" i="12"/>
  <c r="H49" i="12"/>
  <c r="H210" i="12"/>
  <c r="H365" i="12"/>
  <c r="H184" i="12"/>
  <c r="H106" i="12"/>
  <c r="H349" i="12"/>
  <c r="H48" i="12"/>
  <c r="H203" i="12"/>
  <c r="H59" i="12"/>
  <c r="H158" i="12"/>
  <c r="H213" i="12"/>
  <c r="H109" i="12"/>
  <c r="H153" i="12"/>
  <c r="H101" i="12"/>
  <c r="H70" i="12"/>
  <c r="H352" i="12"/>
  <c r="H156" i="12"/>
  <c r="H246" i="12"/>
  <c r="H197" i="12"/>
  <c r="H356" i="12"/>
  <c r="H288" i="12"/>
  <c r="H301" i="12"/>
  <c r="H13" i="12"/>
  <c r="H255" i="12"/>
  <c r="H227" i="12"/>
  <c r="H74" i="12"/>
  <c r="H178" i="12"/>
  <c r="H283" i="12"/>
  <c r="H31" i="12"/>
  <c r="H231" i="12"/>
  <c r="H28" i="12"/>
  <c r="H26" i="12"/>
  <c r="H207" i="12"/>
  <c r="H81" i="12"/>
  <c r="H47" i="12"/>
  <c r="H267" i="12"/>
  <c r="H15" i="12"/>
  <c r="H215" i="12"/>
  <c r="H73" i="12"/>
  <c r="H10" i="12"/>
  <c r="H166" i="12"/>
  <c r="H115" i="12"/>
  <c r="H212" i="12"/>
  <c r="H242" i="12"/>
  <c r="H32" i="12"/>
  <c r="H282" i="12"/>
  <c r="H172" i="12"/>
  <c r="H256" i="12"/>
  <c r="H297" i="12"/>
  <c r="H136" i="12"/>
  <c r="H206" i="12"/>
  <c r="H240" i="12"/>
  <c r="H50" i="12"/>
  <c r="H289" i="12"/>
  <c r="H128" i="12"/>
  <c r="H237" i="12"/>
  <c r="H72" i="12"/>
  <c r="H334" i="12"/>
  <c r="H304" i="12"/>
  <c r="H38" i="12"/>
  <c r="H82" i="12"/>
  <c r="H261" i="12"/>
  <c r="H30" i="12"/>
  <c r="H137" i="12"/>
  <c r="H318" i="12"/>
  <c r="H220" i="12"/>
  <c r="H314" i="12"/>
  <c r="H268" i="12"/>
  <c r="H361" i="12"/>
  <c r="H182" i="12"/>
  <c r="H123" i="12"/>
  <c r="H345" i="12"/>
  <c r="H24" i="12"/>
  <c r="H271" i="12"/>
  <c r="H79" i="12"/>
  <c r="H14" i="12"/>
  <c r="H162" i="12"/>
  <c r="H11" i="12"/>
  <c r="H110" i="12"/>
  <c r="H239" i="12"/>
  <c r="H358" i="12"/>
  <c r="H332" i="12"/>
  <c r="H40" i="12"/>
  <c r="H83" i="12"/>
  <c r="H146" i="12"/>
  <c r="H41" i="12"/>
  <c r="H94" i="12"/>
  <c r="H191" i="12"/>
  <c r="H350" i="12"/>
  <c r="H316" i="12"/>
  <c r="H330" i="12"/>
  <c r="H211" i="12"/>
  <c r="H27" i="12"/>
  <c r="H180" i="12"/>
  <c r="H218" i="12"/>
  <c r="H33" i="12"/>
  <c r="H192" i="12"/>
  <c r="H368" i="12"/>
  <c r="H119" i="12"/>
  <c r="H20" i="12"/>
  <c r="H325" i="12"/>
  <c r="H126" i="12"/>
  <c r="H363" i="12"/>
  <c r="H111" i="12"/>
  <c r="H311" i="12"/>
  <c r="H61" i="12"/>
  <c r="H120" i="12"/>
  <c r="H45" i="12"/>
  <c r="H161" i="12"/>
  <c r="H117" i="12"/>
  <c r="H118" i="12"/>
  <c r="H360" i="12"/>
  <c r="H188" i="12"/>
  <c r="H254" i="12"/>
  <c r="H37" i="12"/>
  <c r="H250" i="12"/>
  <c r="H131" i="12"/>
  <c r="H224" i="12"/>
  <c r="H233" i="12"/>
  <c r="H64" i="12"/>
  <c r="H173" i="12"/>
  <c r="H140" i="12"/>
  <c r="H36" i="12"/>
  <c r="H9" i="12"/>
  <c r="H265" i="12"/>
  <c r="H322" i="12"/>
  <c r="H296" i="12"/>
  <c r="H190" i="12"/>
  <c r="H186" i="12"/>
  <c r="H163" i="12"/>
  <c r="H55" i="12"/>
  <c r="H357" i="12"/>
  <c r="H125" i="12"/>
  <c r="H56" i="12"/>
  <c r="H88" i="12"/>
  <c r="H189" i="12"/>
  <c r="H204" i="12"/>
  <c r="H165" i="12"/>
  <c r="H69" i="12"/>
  <c r="H299" i="12"/>
  <c r="H229" i="12"/>
  <c r="H34" i="12"/>
  <c r="H367" i="12"/>
  <c r="H145" i="12"/>
  <c r="H324" i="12"/>
  <c r="H294" i="12"/>
  <c r="H148" i="12"/>
  <c r="H339" i="12"/>
  <c r="H344" i="12"/>
  <c r="H18" i="12"/>
  <c r="H319" i="12"/>
  <c r="H129" i="12"/>
  <c r="H300" i="12"/>
  <c r="H286" i="12"/>
  <c r="H84" i="12"/>
  <c r="H95" i="12"/>
  <c r="H262" i="12"/>
  <c r="H252" i="12"/>
  <c r="H305" i="12"/>
  <c r="H144" i="12"/>
  <c r="H253" i="12"/>
  <c r="H92" i="12"/>
  <c r="H243" i="12"/>
  <c r="H52" i="12"/>
  <c r="H276" i="12"/>
  <c r="H65" i="12"/>
  <c r="H235" i="12"/>
  <c r="H183" i="12"/>
  <c r="H86" i="12"/>
  <c r="H287" i="12"/>
  <c r="H284" i="12"/>
  <c r="H17" i="12"/>
  <c r="H369" i="12"/>
  <c r="H317" i="12"/>
  <c r="H307" i="12"/>
  <c r="H280" i="12"/>
  <c r="H102" i="12"/>
  <c r="H168" i="12"/>
  <c r="H232" i="12"/>
  <c r="H241" i="12"/>
  <c r="H139" i="12"/>
  <c r="H58" i="12"/>
  <c r="H113" i="12"/>
  <c r="H248" i="12"/>
  <c r="H29" i="12"/>
  <c r="H89" i="12"/>
  <c r="H362" i="12"/>
  <c r="B3" i="12"/>
  <c r="H336" i="12"/>
  <c r="H147" i="12"/>
  <c r="H230" i="12"/>
  <c r="H273" i="12"/>
  <c r="H326" i="12"/>
  <c r="H348" i="12"/>
  <c r="H354" i="12"/>
  <c r="H121" i="12"/>
  <c r="H328" i="12"/>
  <c r="H99" i="12"/>
  <c r="H222" i="12"/>
  <c r="H76" i="12"/>
  <c r="H308" i="12"/>
  <c r="H104" i="12"/>
  <c r="H247" i="12"/>
  <c r="H177" i="12"/>
  <c r="H127" i="12"/>
  <c r="H327" i="12"/>
  <c r="H77" i="12"/>
  <c r="H122" i="12"/>
  <c r="H277" i="12"/>
  <c r="H219" i="12"/>
  <c r="H90" i="12"/>
  <c r="H116" i="12"/>
  <c r="H114" i="12"/>
  <c r="H62" i="12"/>
  <c r="H347" i="12"/>
  <c r="H258" i="12"/>
  <c r="H249" i="12"/>
  <c r="H80" i="12"/>
  <c r="H179" i="12"/>
  <c r="H353" i="12"/>
  <c r="H278" i="12"/>
  <c r="H274" i="12"/>
  <c r="H279" i="12"/>
  <c r="H310" i="12"/>
  <c r="H298" i="12"/>
  <c r="H228" i="12"/>
  <c r="H272" i="12"/>
  <c r="H329" i="12"/>
  <c r="H160" i="12"/>
  <c r="H98" i="12"/>
  <c r="H67" i="12"/>
  <c r="H42" i="12"/>
  <c r="H290" i="12"/>
  <c r="H196" i="12"/>
  <c r="H264" i="12"/>
  <c r="H313" i="12"/>
  <c r="H152" i="12"/>
  <c r="H141" i="12"/>
  <c r="H295" i="12"/>
  <c r="H22" i="12"/>
  <c r="H216" i="12"/>
  <c r="H251" i="12"/>
  <c r="H68" i="12"/>
  <c r="H199" i="12"/>
  <c r="H57" i="12"/>
  <c r="H157" i="12"/>
  <c r="H134" i="12"/>
  <c r="H112" i="12"/>
  <c r="H198" i="12"/>
  <c r="H291" i="12"/>
  <c r="H149" i="12"/>
  <c r="H223" i="12"/>
  <c r="H97" i="12"/>
  <c r="H236" i="12"/>
  <c r="H133" i="12"/>
  <c r="H87" i="12"/>
  <c r="H19" i="12"/>
  <c r="H194" i="12"/>
  <c r="H333" i="12"/>
  <c r="H164" i="12"/>
  <c r="H323" i="12"/>
  <c r="H71" i="12"/>
  <c r="H315" i="12"/>
  <c r="H63" i="12"/>
  <c r="H263" i="12"/>
  <c r="H260" i="12"/>
  <c r="H75" i="12"/>
  <c r="H351" i="12"/>
  <c r="H234" i="12"/>
  <c r="H21" i="12"/>
  <c r="H208" i="12"/>
  <c r="H201" i="12"/>
  <c r="H151" i="12"/>
  <c r="H266" i="12"/>
  <c r="H244" i="12"/>
  <c r="H39" i="12"/>
  <c r="H226" i="12"/>
  <c r="H12" i="12"/>
  <c r="H200" i="12"/>
  <c r="H185" i="12"/>
  <c r="H135" i="12"/>
  <c r="H270" i="12"/>
  <c r="H46" i="12"/>
  <c r="H105" i="12"/>
  <c r="H60" i="12"/>
  <c r="H130" i="12"/>
  <c r="H25" i="12"/>
  <c r="H78" i="12"/>
  <c r="H150" i="12"/>
  <c r="H342" i="12"/>
  <c r="H292" i="12"/>
  <c r="H175" i="12"/>
  <c r="H181" i="12"/>
  <c r="H238" i="12"/>
  <c r="H338" i="12"/>
  <c r="H340" i="12"/>
  <c r="H312" i="12"/>
  <c r="H355" i="12"/>
  <c r="H202" i="12"/>
  <c r="H303" i="12"/>
  <c r="H257" i="12"/>
  <c r="H96" i="12"/>
  <c r="H205" i="12"/>
  <c r="H155" i="12"/>
  <c r="H195" i="12"/>
  <c r="H51" i="12"/>
  <c r="H187" i="12"/>
  <c r="H43" i="12"/>
  <c r="H142" i="12"/>
  <c r="H335" i="12"/>
  <c r="H93" i="12"/>
  <c r="H306" i="12"/>
  <c r="H302" i="12"/>
  <c r="H337" i="12"/>
  <c r="H170" i="12"/>
  <c r="H285" i="12"/>
  <c r="H124" i="12"/>
  <c r="H275" i="12"/>
  <c r="H23" i="12"/>
  <c r="H293" i="12"/>
  <c r="H35" i="12"/>
  <c r="H321" i="12"/>
  <c r="H169" i="12"/>
  <c r="H269" i="12"/>
  <c r="H108" i="12"/>
  <c r="H259" i="12"/>
  <c r="H159" i="12"/>
  <c r="H103" i="12"/>
  <c r="H176" i="12"/>
  <c r="H171" i="12"/>
  <c r="H217" i="12"/>
  <c r="H100" i="12"/>
  <c r="H132" i="12"/>
  <c r="H331" i="12"/>
  <c r="H66" i="12"/>
  <c r="H174" i="12"/>
  <c r="O150" i="1" l="1"/>
  <c r="K150" i="1"/>
  <c r="P150" i="1"/>
  <c r="I356" i="12"/>
  <c r="I109" i="12"/>
  <c r="I184" i="12"/>
  <c r="I53" i="12"/>
  <c r="I309" i="12"/>
  <c r="I341" i="12"/>
  <c r="I23" i="12"/>
  <c r="I174" i="12"/>
  <c r="I74" i="12"/>
  <c r="I248" i="12"/>
  <c r="I260" i="12"/>
  <c r="I159" i="12"/>
  <c r="I119" i="12"/>
  <c r="I142" i="12"/>
  <c r="I257" i="12"/>
  <c r="I181" i="12"/>
  <c r="I60" i="12"/>
  <c r="I226" i="12"/>
  <c r="I298" i="12"/>
  <c r="I329" i="12"/>
  <c r="I353" i="12"/>
  <c r="I164" i="12"/>
  <c r="I223" i="12"/>
  <c r="I199" i="12"/>
  <c r="I98" i="12"/>
  <c r="I123" i="12"/>
  <c r="I249" i="12"/>
  <c r="I62" i="12"/>
  <c r="I77" i="12"/>
  <c r="I222" i="12"/>
  <c r="I230" i="12"/>
  <c r="I311" i="12"/>
  <c r="I307" i="12"/>
  <c r="I284" i="12"/>
  <c r="I235" i="12"/>
  <c r="I144" i="12"/>
  <c r="I145" i="12"/>
  <c r="I254" i="12"/>
  <c r="I182" i="12"/>
  <c r="I30" i="12"/>
  <c r="I128" i="12"/>
  <c r="I172" i="12"/>
  <c r="I73" i="12"/>
  <c r="I31" i="12"/>
  <c r="I332" i="12"/>
  <c r="I75" i="12"/>
  <c r="I25" i="12"/>
  <c r="I236" i="12"/>
  <c r="I277" i="12"/>
  <c r="I294" i="12"/>
  <c r="I207" i="12"/>
  <c r="I197" i="12"/>
  <c r="I213" i="12"/>
  <c r="I365" i="12"/>
  <c r="I320" i="12"/>
  <c r="I138" i="12"/>
  <c r="I154" i="12"/>
  <c r="I285" i="12"/>
  <c r="I178" i="12"/>
  <c r="I29" i="12"/>
  <c r="I132" i="12"/>
  <c r="I113" i="12"/>
  <c r="I108" i="12"/>
  <c r="I180" i="12"/>
  <c r="I43" i="12"/>
  <c r="I303" i="12"/>
  <c r="I175" i="12"/>
  <c r="I105" i="12"/>
  <c r="I39" i="12"/>
  <c r="I68" i="12"/>
  <c r="I228" i="12"/>
  <c r="I58" i="12"/>
  <c r="I333" i="12"/>
  <c r="I149" i="12"/>
  <c r="I251" i="12"/>
  <c r="I272" i="12"/>
  <c r="I204" i="12"/>
  <c r="I232" i="12"/>
  <c r="I357" i="12"/>
  <c r="I327" i="12"/>
  <c r="I99" i="12"/>
  <c r="I147" i="12"/>
  <c r="I111" i="12"/>
  <c r="I163" i="12"/>
  <c r="I322" i="12"/>
  <c r="I140" i="12"/>
  <c r="I305" i="12"/>
  <c r="I319" i="12"/>
  <c r="I11" i="12"/>
  <c r="I360" i="12"/>
  <c r="I361" i="12"/>
  <c r="I261" i="12"/>
  <c r="I289" i="12"/>
  <c r="I282" i="12"/>
  <c r="I215" i="12"/>
  <c r="I231" i="12"/>
  <c r="I192" i="12"/>
  <c r="I349" i="12"/>
  <c r="I234" i="12"/>
  <c r="I208" i="12"/>
  <c r="I196" i="12"/>
  <c r="I280" i="12"/>
  <c r="I40" i="12"/>
  <c r="I246" i="12"/>
  <c r="I158" i="12"/>
  <c r="I210" i="12"/>
  <c r="I364" i="12"/>
  <c r="I91" i="12"/>
  <c r="I107" i="12"/>
  <c r="I118" i="12"/>
  <c r="I310" i="12"/>
  <c r="I279" i="12"/>
  <c r="I274" i="12"/>
  <c r="I255" i="12"/>
  <c r="I269" i="12"/>
  <c r="I41" i="12"/>
  <c r="I187" i="12"/>
  <c r="I202" i="12"/>
  <c r="I292" i="12"/>
  <c r="I46" i="12"/>
  <c r="I244" i="12"/>
  <c r="I295" i="12"/>
  <c r="I188" i="12"/>
  <c r="I13" i="12"/>
  <c r="I194" i="12"/>
  <c r="I291" i="12"/>
  <c r="I216" i="12"/>
  <c r="I362" i="12"/>
  <c r="I179" i="12"/>
  <c r="I56" i="12"/>
  <c r="I114" i="12"/>
  <c r="I127" i="12"/>
  <c r="I328" i="12"/>
  <c r="I336" i="12"/>
  <c r="I368" i="12"/>
  <c r="I317" i="12"/>
  <c r="I287" i="12"/>
  <c r="I65" i="12"/>
  <c r="I252" i="12"/>
  <c r="I18" i="12"/>
  <c r="I162" i="12"/>
  <c r="I61" i="12"/>
  <c r="I288" i="12"/>
  <c r="I82" i="12"/>
  <c r="I50" i="12"/>
  <c r="I32" i="12"/>
  <c r="I15" i="12"/>
  <c r="I16" i="12"/>
  <c r="I314" i="12"/>
  <c r="I281" i="12"/>
  <c r="I176" i="12"/>
  <c r="I67" i="12"/>
  <c r="I94" i="12"/>
  <c r="I37" i="12"/>
  <c r="I131" i="12"/>
  <c r="I120" i="12"/>
  <c r="I156" i="12"/>
  <c r="I59" i="12"/>
  <c r="I49" i="12"/>
  <c r="I346" i="12"/>
  <c r="I343" i="12"/>
  <c r="I359" i="12"/>
  <c r="I325" i="12"/>
  <c r="I89" i="12"/>
  <c r="I79" i="12"/>
  <c r="I271" i="12"/>
  <c r="I165" i="12"/>
  <c r="I169" i="12"/>
  <c r="I239" i="12"/>
  <c r="I51" i="12"/>
  <c r="I355" i="12"/>
  <c r="I342" i="12"/>
  <c r="I270" i="12"/>
  <c r="I266" i="12"/>
  <c r="I152" i="12"/>
  <c r="I363" i="12"/>
  <c r="I263" i="12"/>
  <c r="I19" i="12"/>
  <c r="I198" i="12"/>
  <c r="I22" i="12"/>
  <c r="I161" i="12"/>
  <c r="I139" i="12"/>
  <c r="I258" i="12"/>
  <c r="I116" i="12"/>
  <c r="I177" i="12"/>
  <c r="I121" i="12"/>
  <c r="I367" i="12"/>
  <c r="I211" i="12"/>
  <c r="I186" i="12"/>
  <c r="I265" i="12"/>
  <c r="I276" i="12"/>
  <c r="I262" i="12"/>
  <c r="I344" i="12"/>
  <c r="I173" i="12"/>
  <c r="I126" i="12"/>
  <c r="I268" i="12"/>
  <c r="I38" i="12"/>
  <c r="I240" i="12"/>
  <c r="I242" i="12"/>
  <c r="I267" i="12"/>
  <c r="I209" i="12"/>
  <c r="I339" i="12"/>
  <c r="I293" i="12"/>
  <c r="I54" i="12"/>
  <c r="I66" i="12"/>
  <c r="I93" i="12"/>
  <c r="I83" i="12"/>
  <c r="I347" i="12"/>
  <c r="I17" i="12"/>
  <c r="I72" i="12"/>
  <c r="I352" i="12"/>
  <c r="I203" i="12"/>
  <c r="I44" i="12"/>
  <c r="I366" i="12"/>
  <c r="I143" i="12"/>
  <c r="I170" i="12"/>
  <c r="I218" i="12"/>
  <c r="I14" i="12"/>
  <c r="I331" i="12"/>
  <c r="I69" i="12"/>
  <c r="I217" i="12"/>
  <c r="I35" i="12"/>
  <c r="I302" i="12"/>
  <c r="I195" i="12"/>
  <c r="I312" i="12"/>
  <c r="I150" i="12"/>
  <c r="I135" i="12"/>
  <c r="I151" i="12"/>
  <c r="I264" i="12"/>
  <c r="I33" i="12"/>
  <c r="I63" i="12"/>
  <c r="I87" i="12"/>
  <c r="I112" i="12"/>
  <c r="I141" i="12"/>
  <c r="I20" i="12"/>
  <c r="I189" i="12"/>
  <c r="I168" i="12"/>
  <c r="I90" i="12"/>
  <c r="I247" i="12"/>
  <c r="I354" i="12"/>
  <c r="I34" i="12"/>
  <c r="I146" i="12"/>
  <c r="I369" i="12"/>
  <c r="I86" i="12"/>
  <c r="I52" i="12"/>
  <c r="I95" i="12"/>
  <c r="I233" i="12"/>
  <c r="I304" i="12"/>
  <c r="I206" i="12"/>
  <c r="I212" i="12"/>
  <c r="I47" i="12"/>
  <c r="I225" i="12"/>
  <c r="I24" i="12"/>
  <c r="I338" i="12"/>
  <c r="I71" i="12"/>
  <c r="I308" i="12"/>
  <c r="I286" i="12"/>
  <c r="I297" i="12"/>
  <c r="I70" i="12"/>
  <c r="I48" i="12"/>
  <c r="I167" i="12"/>
  <c r="I85" i="12"/>
  <c r="I193" i="12"/>
  <c r="I337" i="12"/>
  <c r="I191" i="12"/>
  <c r="I229" i="12"/>
  <c r="I299" i="12"/>
  <c r="I100" i="12"/>
  <c r="I171" i="12"/>
  <c r="I275" i="12"/>
  <c r="I306" i="12"/>
  <c r="I155" i="12"/>
  <c r="I340" i="12"/>
  <c r="I78" i="12"/>
  <c r="I185" i="12"/>
  <c r="I201" i="12"/>
  <c r="I290" i="12"/>
  <c r="I330" i="12"/>
  <c r="I315" i="12"/>
  <c r="I133" i="12"/>
  <c r="I134" i="12"/>
  <c r="I313" i="12"/>
  <c r="I27" i="12"/>
  <c r="I80" i="12"/>
  <c r="I125" i="12"/>
  <c r="I219" i="12"/>
  <c r="I104" i="12"/>
  <c r="I348" i="12"/>
  <c r="I64" i="12"/>
  <c r="I358" i="12"/>
  <c r="I190" i="12"/>
  <c r="I9" i="12"/>
  <c r="I243" i="12"/>
  <c r="I84" i="12"/>
  <c r="I148" i="12"/>
  <c r="I224" i="12"/>
  <c r="I316" i="12"/>
  <c r="I220" i="12"/>
  <c r="I334" i="12"/>
  <c r="I136" i="12"/>
  <c r="I115" i="12"/>
  <c r="I81" i="12"/>
  <c r="I124" i="12"/>
  <c r="I101" i="12"/>
  <c r="I205" i="12"/>
  <c r="I241" i="12"/>
  <c r="I183" i="12"/>
  <c r="I166" i="12"/>
  <c r="I153" i="12"/>
  <c r="I106" i="12"/>
  <c r="I214" i="12"/>
  <c r="I245" i="12"/>
  <c r="I221" i="12"/>
  <c r="I321" i="12"/>
  <c r="I283" i="12"/>
  <c r="I351" i="12"/>
  <c r="I227" i="12"/>
  <c r="I278" i="12"/>
  <c r="I103" i="12"/>
  <c r="I45" i="12"/>
  <c r="I335" i="12"/>
  <c r="I96" i="12"/>
  <c r="I238" i="12"/>
  <c r="I130" i="12"/>
  <c r="I12" i="12"/>
  <c r="I21" i="12"/>
  <c r="I160" i="12"/>
  <c r="I345" i="12"/>
  <c r="I323" i="12"/>
  <c r="I97" i="12"/>
  <c r="I57" i="12"/>
  <c r="I42" i="12"/>
  <c r="I110" i="12"/>
  <c r="I88" i="12"/>
  <c r="I102" i="12"/>
  <c r="I122" i="12"/>
  <c r="I76" i="12"/>
  <c r="I273" i="12"/>
  <c r="I117" i="12"/>
  <c r="I55" i="12"/>
  <c r="I296" i="12"/>
  <c r="I36" i="12"/>
  <c r="I253" i="12"/>
  <c r="I300" i="12"/>
  <c r="I324" i="12"/>
  <c r="I250" i="12"/>
  <c r="I301" i="12"/>
  <c r="I137" i="12"/>
  <c r="I237" i="12"/>
  <c r="I256" i="12"/>
  <c r="I10" i="12"/>
  <c r="I26" i="12"/>
  <c r="I350" i="12"/>
  <c r="I129" i="12"/>
  <c r="I28" i="12"/>
  <c r="I259" i="12"/>
  <c r="I200" i="12"/>
  <c r="I157" i="12"/>
  <c r="I326" i="12"/>
  <c r="I92" i="12"/>
  <c r="I318" i="1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<sst xmlns="http://schemas.openxmlformats.org/spreadsheetml/2006/main" count="550" uniqueCount="404">
  <si>
    <t xml:space="preserve"> Pain(s) au Chocolat</t>
  </si>
  <si>
    <t>Croissant(s)</t>
  </si>
  <si>
    <t>Viennoiseries</t>
  </si>
  <si>
    <t>Baguette</t>
  </si>
  <si>
    <t>Brioche</t>
  </si>
  <si>
    <t>Jus d'Orange</t>
  </si>
  <si>
    <t>Chouquette</t>
  </si>
  <si>
    <t>Tarif</t>
  </si>
  <si>
    <t>07h00 85100 Les Sables d'Olonne ( la Chaume)</t>
  </si>
  <si>
    <t>07h25 85100 Les Sables d'Olonne ( la Chaume)</t>
  </si>
  <si>
    <t>07h55 85100 Les Sables d'Olonne ( la Chaume)</t>
  </si>
  <si>
    <t>08h00 85100 Les Sables d'Olonne ( la Chaume)</t>
  </si>
  <si>
    <t>08h05 85100 Les Sables d'Olonne ( la Chaume)</t>
  </si>
  <si>
    <t>08h15 85100 Les Sables d'Olonne ( la Chaume)</t>
  </si>
  <si>
    <t>08h25 85100 Les Sables d'Olonne ( la Chaume)</t>
  </si>
  <si>
    <t>08h30 85100 Les Sables d'Olonne ( la Chaume)</t>
  </si>
  <si>
    <t>08h55 85100 Les Sables d'Olonne ( la Chaume)</t>
  </si>
  <si>
    <t>09h00 85100 Les Sables d'Olonne ( la Chaume)</t>
  </si>
  <si>
    <t>07h00 85100 Les Sables d'Olonne (les Sables d'Olonne)-.</t>
  </si>
  <si>
    <t>07h05 85100 Les Sables d'Olonne (les Sables d'Olonne)-.</t>
  </si>
  <si>
    <t>07h20 85100 Les Sables d'Olonne (les Sables d'Olonne)-.</t>
  </si>
  <si>
    <t>07h30 85100 Les Sables d'Olonne (les Sables d'Olonne)</t>
  </si>
  <si>
    <t>08h15 85100 Les Sables d'Olonne (les Sables d'Olonne)-.</t>
  </si>
  <si>
    <t>08h30 85100 Les Sables d'Olonne (les Sables d'Olonne)</t>
  </si>
  <si>
    <t>08h30 85100 Les Sables d'Olonne (les Sables d'Olonne)-.</t>
  </si>
  <si>
    <t>08h55 85100 Les Sables d'Olonne (les Sables d'Olonne)-.</t>
  </si>
  <si>
    <t>09h00 85100 Les Sables d'Olonne (les Sables d'Olonne)-.</t>
  </si>
  <si>
    <t>09h05 85100 Les Sables d'Olonne (les Sables d'Olonne)-.</t>
  </si>
  <si>
    <t>09h10 85100 Les Sables d'Olonne (les Sables d'Olonne)-.</t>
  </si>
  <si>
    <t>09h30 85100 Les Sables d'Olonne (les Sables d'Olonne)</t>
  </si>
  <si>
    <t>08h35 85150 Saint-Mathurin</t>
  </si>
  <si>
    <t>08h40 85150 Saint-Mathurin</t>
  </si>
  <si>
    <t>08h45 85150 Saint-Mathurin</t>
  </si>
  <si>
    <t>08h50 85150 Saint-Mathurin</t>
  </si>
  <si>
    <t>08h55 85150 Saint-Mathurin</t>
  </si>
  <si>
    <t>09h00 85150 Saint-Mathurin</t>
  </si>
  <si>
    <t>09h05 85150 Saint-Mathurin</t>
  </si>
  <si>
    <t>09h10 85150 Saint-Mathurin</t>
  </si>
  <si>
    <t>09h15 85150 Saint-Mathurin</t>
  </si>
  <si>
    <t>07h00 85180 Les Sables d'Olonne (le Château d'Olonne)-.</t>
  </si>
  <si>
    <t>07h05 85180 Les Sables d'Olonne (le Château d'Olonne)-.</t>
  </si>
  <si>
    <t>07h30 85180 Les Sables d'Olonne (le Château d'Olonne)-.</t>
  </si>
  <si>
    <t>07h50 85180 Les Sables d'Olonne (le Château d'Olonne)</t>
  </si>
  <si>
    <t>07h55 85180 Les Sables d'Olonne (le Château d'Olonne)</t>
  </si>
  <si>
    <t>08h00 85180 Les Sables d'Olonne (le Château d'Olonne)-.</t>
  </si>
  <si>
    <t>08h05 85180 Les Sables d'Olonne (le Château d'Olonne)</t>
  </si>
  <si>
    <t>08h10 85180 Les Sables d'Olonne (le Château d'Olonne)</t>
  </si>
  <si>
    <t>08h10 85180 Les Sables d'Olonne (le Château d'Olonne)-.</t>
  </si>
  <si>
    <t>08h15 85180 Les Sables d'Olonne (le Château d'Olonne)-.</t>
  </si>
  <si>
    <t>08h25 85180 Les Sables d'Olonne (le Château d'Olonne)</t>
  </si>
  <si>
    <t>08h25 85180 Les Sables d'Olonne (le Château d'Olonne)-.</t>
  </si>
  <si>
    <t>08h30 85180 Les Sables d'Olonne (le Château d'Olonne)-.</t>
  </si>
  <si>
    <t>08h35 85180 Les Sables d'Olonne (le Château d'Olonne)-.</t>
  </si>
  <si>
    <t>08h45 85180 Les Sables d'Olonne (le Château d'Olonne)-.</t>
  </si>
  <si>
    <t>08h50 85180 Les Sables d'Olonne (le Château d'Olonne)-.</t>
  </si>
  <si>
    <t>08h55 85180 Les Sables d'Olonne (le Château d'Olonne)</t>
  </si>
  <si>
    <t>08h55 85180 Les Sables d'Olonne (le Château d'Olonne)-.</t>
  </si>
  <si>
    <t>09h00 85180 Les Sables d'Olonne (le Château d'Olonne)</t>
  </si>
  <si>
    <t>09h00 85180 Les Sables d'Olonne (le Château d'Olonne)-.</t>
  </si>
  <si>
    <t>09h05 85180 Les Sables d'Olonne (le Château d'Olonne)-.</t>
  </si>
  <si>
    <t>09h10 85180 Les Sables d'Olonne (le Château d'Olonne)</t>
  </si>
  <si>
    <t>09h10 85180 Les Sables d'Olonne (le Château d'Olonne)-.</t>
  </si>
  <si>
    <t>09h15 85180 Les Sables d'Olonne (le Château d'Olonne)</t>
  </si>
  <si>
    <t>09h15 85180 Les Sables d'Olonne (le Château d'Olonne)-.</t>
  </si>
  <si>
    <t>09h30 85180 Les Sables d'Olonne (le Château d'Olonne)-.</t>
  </si>
  <si>
    <t>09h35 85180 Les Sables d'Olonne (le Château d'Olonne)-.</t>
  </si>
  <si>
    <t>09h45 85180 Les Sables d'Olonne (le Château d'Olonne)-.</t>
  </si>
  <si>
    <t>10h10 85180 Les Sables d'Olonne (le Château d'Olonne)-.</t>
  </si>
  <si>
    <t>10h30 85180 Les Sables d'Olonne (le Château d'Olonne)</t>
  </si>
  <si>
    <t>10h30 85180 Les Sables d'Olonne (le Château d'Olonne)-.</t>
  </si>
  <si>
    <t>07h00 85340 Les Sables d'Olonne (Olonne sur Mer)</t>
  </si>
  <si>
    <t>07h00 85340 Les Sables d'Olonne (Olonne sur Mer)-.</t>
  </si>
  <si>
    <t>07h05 85340 Les Sables d'Olonne (Olonne sur Mer)-.</t>
  </si>
  <si>
    <t>07h10 85340 Les Sables d'Olonne (Olonne sur Mer)-.</t>
  </si>
  <si>
    <t>07h15 85340 Les Sables d'Olonne (Olonne sur Mer)-.</t>
  </si>
  <si>
    <t>07h20 85340 Les Sables d'Olonne (Olonne sur Mer)-.</t>
  </si>
  <si>
    <t>07h25 85340 Les Sables d'Olonne (Olonne sur Mer)-.</t>
  </si>
  <si>
    <t>07h35 85340 Les Sables d'Olonne (Olonne sur Mer)</t>
  </si>
  <si>
    <t>07h45 85340 Les Sables d'Olonne (Olonne sur Mer)</t>
  </si>
  <si>
    <t>07h50 85340 Les Sables d'Olonne (Olonne sur Mer)</t>
  </si>
  <si>
    <t>07h50 85340 Les Sables d'Olonne (Olonne sur Mer)-.</t>
  </si>
  <si>
    <t>07h55 85340 Les Sables d'Olonne (Olonne sur Mer)</t>
  </si>
  <si>
    <t>07h55 85340 Les Sables d'Olonne (Olonne sur Mer)-.</t>
  </si>
  <si>
    <t>08h00 85340 Les Sables d'Olonne (Olonne sur Mer)</t>
  </si>
  <si>
    <t>08h00 85340 Les Sables d'Olonne (Olonne sur Mer)-.</t>
  </si>
  <si>
    <t>08h05 85340 Les Sables d'Olonne (Olonne sur Mer)</t>
  </si>
  <si>
    <t>08h05 85340 Les Sables d'Olonne (Olonne sur Mer)-.</t>
  </si>
  <si>
    <t>08h10 85340 Les Sables d'Olonne (Olonne sur Mer)-.</t>
  </si>
  <si>
    <t>08h15 85340 Les Sables d'Olonne (Olonne sur Mer)</t>
  </si>
  <si>
    <t>08h15 85340 Les Sables d'Olonne (Olonne sur Mer)-.</t>
  </si>
  <si>
    <t>08h20 85340 Les Sables d'Olonne (Olonne sur Mer)-.</t>
  </si>
  <si>
    <t>08h25 85340 Les Sables d'Olonne (Olonne sur Mer)</t>
  </si>
  <si>
    <t>08h25 85340 Les Sables d'Olonne (Olonne sur Mer)-.</t>
  </si>
  <si>
    <t>08h30 85340 Les Sables d'Olonne (Olonne sur Mer)-.</t>
  </si>
  <si>
    <t>08h35 85340 Les Sables d'Olonne (Olonne sur Mer)-.</t>
  </si>
  <si>
    <t>08h40 85340 Les Sables d'Olonne (Olonne sur Mer)</t>
  </si>
  <si>
    <t>08h40 85340 Les Sables d'Olonne (Olonne sur Mer)-.</t>
  </si>
  <si>
    <t>08h45 85340 Les Sables d'Olonne (Olonne sur Mer)-.</t>
  </si>
  <si>
    <t>08h50 85340 Les Sables d'Olonne (Olonne sur Mer)</t>
  </si>
  <si>
    <t>08h50 85340 Les Sables d'Olonne (Olonne sur Mer)-.</t>
  </si>
  <si>
    <t>08h55 85340 Les Sables d'Olonne (Olonne sur Mer)</t>
  </si>
  <si>
    <t>08h55 85340 Les Sables d'Olonne (Olonne sur Mer)-.</t>
  </si>
  <si>
    <t>09h00 85340 Les Sables d'Olonne (Olonne sur Mer)-.</t>
  </si>
  <si>
    <t>09h05 85340 Les Sables d'Olonne (Olonne sur Mer)</t>
  </si>
  <si>
    <t>09h05 85340 Les Sables d'Olonne (Olonne sur Mer)-.</t>
  </si>
  <si>
    <t>09h10 85340 Les Sables d'Olonne (Olonne sur Mer)-.</t>
  </si>
  <si>
    <t>09h15 85340 Les Sables d'Olonne (Olonne sur Mer)</t>
  </si>
  <si>
    <t>09h15 85340 Les Sables d'Olonne (Olonne sur Mer)-.</t>
  </si>
  <si>
    <t>09h20 85340 Les Sables d'Olonne (Olonne sur Mer)-.</t>
  </si>
  <si>
    <t>09h25 85340 Les Sables d'Olonne (Olonne sur Mer)-.</t>
  </si>
  <si>
    <t>09h30 85340 Les Sables d'Olonne (Olonne sur Mer)-.</t>
  </si>
  <si>
    <t>09h35 85340 Les Sables d'Olonne (Olonne sur Mer)-.</t>
  </si>
  <si>
    <t>09h40 85340 Les Sables d'Olonne (Olonne sur Mer)-.</t>
  </si>
  <si>
    <t>09h45 85340 Les Sables d'Olonne (Olonne sur Mer)-.</t>
  </si>
  <si>
    <t>09h50 85340 Les Sables d'Olonne (Olonne sur Mer)</t>
  </si>
  <si>
    <t>10h00 85340 Les Sables d'Olonne (Olonne sur Mer)</t>
  </si>
  <si>
    <t>10h00 85340 Les Sables d'Olonne (Olonne sur Mer)-.</t>
  </si>
  <si>
    <t>10h15 85340 Les Sables d'Olonne (Olonne sur Mer)-.</t>
  </si>
  <si>
    <t>10h25 85340 Les Sables d'Olonne (Olonne sur Mer)</t>
  </si>
  <si>
    <t>10h25 85340 Les Sables d'Olonne (Olonne sur Mer)-.</t>
  </si>
  <si>
    <t>10h30 85340 Les Sables d'Olonne (Olonne sur Mer)</t>
  </si>
  <si>
    <t>10h30 85340 Les Sables d'Olonne (Olonne sur Mer)-.</t>
  </si>
  <si>
    <t>10h31 au local-.</t>
  </si>
  <si>
    <t>10h32 au local</t>
  </si>
  <si>
    <t>10h40 au local</t>
  </si>
  <si>
    <t>10h40 au local-.</t>
  </si>
  <si>
    <t>07h05 85340 l'Île d'Olonne</t>
  </si>
  <si>
    <t>07h10 85340 l'Île d'Olonne</t>
  </si>
  <si>
    <t>07h30 85340 l'Île d'Olonne</t>
  </si>
  <si>
    <t>07h45 85340 l'Île d'Olonne</t>
  </si>
  <si>
    <t>07h50 85340 l'Île d'Olonne</t>
  </si>
  <si>
    <t>07h55 85340 l'Île d'Olonne</t>
  </si>
  <si>
    <t>08h00 85340 l'Île d'Olonne</t>
  </si>
  <si>
    <t>08h05 85340 l'Île d'Olonne</t>
  </si>
  <si>
    <t>08h10 85340 l'Île d'Olonne</t>
  </si>
  <si>
    <t>08h15 85340 l'Île d'Olonne</t>
  </si>
  <si>
    <t>08h20 85340 l'Île d'Olonne</t>
  </si>
  <si>
    <t>08h25 85340 l'Île d'Olonne</t>
  </si>
  <si>
    <t>08h30 85340 l'Île d'Olonne</t>
  </si>
  <si>
    <t>07h25 85340 Les Sables d'Olonne (Olonne sur Mer)</t>
  </si>
  <si>
    <t>Data Sheet</t>
  </si>
  <si>
    <t>Réponses au formulaire 1</t>
  </si>
  <si>
    <t>Column</t>
  </si>
  <si>
    <t>Question Title</t>
  </si>
  <si>
    <t>Question Id</t>
  </si>
  <si>
    <t>Question Type</t>
  </si>
  <si>
    <t>LIST</t>
  </si>
  <si>
    <t>Backup Text</t>
  </si>
  <si>
    <t>No More Options</t>
  </si>
  <si>
    <t>Choices</t>
  </si>
  <si>
    <t>ROffset</t>
  </si>
  <si>
    <t>RLimit</t>
  </si>
  <si>
    <t>PageNavigationType</t>
  </si>
  <si>
    <t>GoToPage ID</t>
  </si>
  <si>
    <t>GoToPage Title</t>
  </si>
  <si>
    <t>RCountTotal</t>
  </si>
  <si>
    <t>RCount</t>
  </si>
  <si>
    <t>Combined PNT</t>
  </si>
  <si>
    <t>Combined GTPId</t>
  </si>
  <si>
    <t>Combined</t>
  </si>
  <si>
    <t>07h00 85100 Les Sables d'Olonne (les Sables d'Olonne)</t>
  </si>
  <si>
    <t>07h00 85180 Les Sables d'Olonne (le Château d'Olonne)</t>
  </si>
  <si>
    <t>07h00 85340 l'Île d'Olonne</t>
  </si>
  <si>
    <t>07h05 85100 Les Sables d'Olonne (les Sables d'Olonne)</t>
  </si>
  <si>
    <t>07h05 85100 Les Sables d'Olonne ( la Chaume)</t>
  </si>
  <si>
    <t>07h05 85340 Les Sables d'Olonne (Olonne sur Mer)</t>
  </si>
  <si>
    <t>07h05 85180 Les Sables d'Olonne (le Château d'Olonne)</t>
  </si>
  <si>
    <t>07h10 85100 Les Sables d'Olonne (les Sables d'Olonne)-.</t>
  </si>
  <si>
    <t>07h10 85100 Les Sables d'Olonne (les Sables d'Olonne)</t>
  </si>
  <si>
    <t>07h10 85100 Les Sables d'Olonne ( la Chaume)</t>
  </si>
  <si>
    <t>07h10 85340 Les Sables d'Olonne (Olonne sur Mer)</t>
  </si>
  <si>
    <t>07h10 85180 Les Sables d'Olonne (le Château d'Olonne)-.</t>
  </si>
  <si>
    <t>07h10 85180 Les Sables d'Olonne (le Château d'Olonne)</t>
  </si>
  <si>
    <t>07h15 85100 Les Sables d'Olonne (les Sables d'Olonne)-.</t>
  </si>
  <si>
    <t>07h15 85100 Les Sables d'Olonne (les Sables d'Olonne)</t>
  </si>
  <si>
    <t>07h15 85100 Les Sables d'Olonne ( la Chaume)</t>
  </si>
  <si>
    <t>07h15 85340 Les Sables d'Olonne (Olonne sur Mer)</t>
  </si>
  <si>
    <t>07h15 85180 Les Sables d'Olonne (le Château d'Olonne)-.</t>
  </si>
  <si>
    <t>07h15 85180 Les Sables d'Olonne (le Château d'Olonne)</t>
  </si>
  <si>
    <t>07h15 85340 l'Île d'Olonne</t>
  </si>
  <si>
    <t>07h20 85100 Les Sables d'Olonne (les Sables d'Olonne)</t>
  </si>
  <si>
    <t>07h20 85100 Les Sables d'Olonne ( la Chaume)</t>
  </si>
  <si>
    <t>07h20 85340 Les Sables d'Olonne (Olonne sur Mer)</t>
  </si>
  <si>
    <t>07h20 85180 Les Sables d'Olonne (le Château d'Olonne)-.</t>
  </si>
  <si>
    <t>07h20 85180 Les Sables d'Olonne (le Château d'Olonne)</t>
  </si>
  <si>
    <t>07h20 85340 l'Île d'Olonne</t>
  </si>
  <si>
    <t>07h25 85100 Les Sables d'Olonne (les Sables d'Olonne)-.</t>
  </si>
  <si>
    <t>07h25 85100 Les Sables d'Olonne (les Sables d'Olonne)</t>
  </si>
  <si>
    <t>07h25 85180 Les Sables d'Olonne (le Château d'Olonne)-.</t>
  </si>
  <si>
    <t>07h25 85180 Les Sables d'Olonne (le Château d'Olonne)</t>
  </si>
  <si>
    <t>07h25 85340 l'Île d'Olonne</t>
  </si>
  <si>
    <t>07h30 85100 Les Sables d'Olonne (les Sables d'Olonne)-.</t>
  </si>
  <si>
    <t>07h30 85100 Les Sables d'Olonne ( la Chaume)</t>
  </si>
  <si>
    <t>07h30 85340 Les Sables d'Olonne (Olonne sur Mer)-.</t>
  </si>
  <si>
    <t>07h30 85340 Les Sables d'Olonne (Olonne sur Mer)</t>
  </si>
  <si>
    <t>07h30 85180 Les Sables d'Olonne (le Château d'Olonne)</t>
  </si>
  <si>
    <t>07h35 85100 Les Sables d'Olonne (les Sables d'Olonne)-.</t>
  </si>
  <si>
    <t>07h35 85100 Les Sables d'Olonne (les Sables d'Olonne)</t>
  </si>
  <si>
    <t>07h35 85100 Les Sables d'Olonne ( la Chaume)</t>
  </si>
  <si>
    <t>07h35 85340 Les Sables d'Olonne (Olonne sur Mer)-.</t>
  </si>
  <si>
    <t>07h35 85180 Les Sables d'Olonne (le Château d'Olonne)-.</t>
  </si>
  <si>
    <t>07h35 85180 Les Sables d'Olonne (le Château d'Olonne)</t>
  </si>
  <si>
    <t>07h35 85340 l'Île d'Olonne</t>
  </si>
  <si>
    <t>07h40 85100 Les Sables d'Olonne (les Sables d'Olonne)-.</t>
  </si>
  <si>
    <t>07h40 85100 Les Sables d'Olonne (les Sables d'Olonne)</t>
  </si>
  <si>
    <t>07h40 85100 Les Sables d'Olonne ( la Chaume)</t>
  </si>
  <si>
    <t>07h40 85340 Les Sables d'Olonne (Olonne sur Mer)-.</t>
  </si>
  <si>
    <t>07h40 85340 Les Sables d'Olonne (Olonne sur Mer)</t>
  </si>
  <si>
    <t>07h40 85180 Les Sables d'Olonne (le Château d'Olonne)-.</t>
  </si>
  <si>
    <t>07h40 85180 Les Sables d'Olonne (le Château d'Olonne)</t>
  </si>
  <si>
    <t>07h40 85340 l'Île d'Olonne</t>
  </si>
  <si>
    <t>07h45 85100 Les Sables d'Olonne (les Sables d'Olonne)-.</t>
  </si>
  <si>
    <t>07h45 85100 Les Sables d'Olonne (les Sables d'Olonne)</t>
  </si>
  <si>
    <t>07h45 85100 Les Sables d'Olonne ( la Chaume)</t>
  </si>
  <si>
    <t>07h45 85340 Les Sables d'Olonne (Olonne sur Mer)-.</t>
  </si>
  <si>
    <t>07h45 85180 Les Sables d'Olonne (le Château d'Olonne)-.</t>
  </si>
  <si>
    <t>07h45 85180 Les Sables d'Olonne (le Château d'Olonne)</t>
  </si>
  <si>
    <t>07h50 85100 Les Sables d'Olonne (les Sables d'Olonne)-.</t>
  </si>
  <si>
    <t>07h50 85100 Les Sables d'Olonne (les Sables d'Olonne)</t>
  </si>
  <si>
    <t>07h50 85100 Les Sables d'Olonne ( la Chaume)</t>
  </si>
  <si>
    <t>07h50 85180 Les Sables d'Olonne (le Château d'Olonne)-.</t>
  </si>
  <si>
    <t>07h55 85100 Les Sables d'Olonne (les Sables d'Olonne)-.</t>
  </si>
  <si>
    <t>07h55 85100 Les Sables d'Olonne (les Sables d'Olonne)</t>
  </si>
  <si>
    <t>07h55 85180 Les Sables d'Olonne (le Château d'Olonne)-.</t>
  </si>
  <si>
    <t>08h00 85100 Les Sables d'Olonne (les Sables d'Olonne)-.</t>
  </si>
  <si>
    <t>08h00 85100 Les Sables d'Olonne (les Sables d'Olonne)</t>
  </si>
  <si>
    <t>08h00 85180 Les Sables d'Olonne (le Château d'Olonne)</t>
  </si>
  <si>
    <t>08h05 85100 Les Sables d'Olonne (les Sables d'Olonne)-.</t>
  </si>
  <si>
    <t>08h05 85100 Les Sables d'Olonne (les Sables d'Olonne)</t>
  </si>
  <si>
    <t>08h05 85180 Les Sables d'Olonne (le Château d'Olonne)-.</t>
  </si>
  <si>
    <t>08h10 85100 Les Sables d'Olonne (les Sables d'Olonne)-.</t>
  </si>
  <si>
    <t>08h10 85100 Les Sables d'Olonne (les Sables d'Olonne)</t>
  </si>
  <si>
    <t>08h10 85100 Les Sables d'Olonne ( la Chaume)</t>
  </si>
  <si>
    <t>08h10 85340 Les Sables d'Olonne (Olonne sur Mer)</t>
  </si>
  <si>
    <t>08h15 85100 Les Sables d'Olonne (les Sables d'Olonne)</t>
  </si>
  <si>
    <t>08h15 85180 Les Sables d'Olonne (le Château d'Olonne)</t>
  </si>
  <si>
    <t>08h20 85100 Les Sables d'Olonne (les Sables d'Olonne)-.</t>
  </si>
  <si>
    <t>08h20 85100 Les Sables d'Olonne (les Sables d'Olonne)</t>
  </si>
  <si>
    <t>08h20 85100 Les Sables d'Olonne ( la Chaume)</t>
  </si>
  <si>
    <t>08h20 85340 Les Sables d'Olonne (Olonne sur Mer)</t>
  </si>
  <si>
    <t>08h20 85180 Les Sables d'Olonne (le Château d'Olonne)-.</t>
  </si>
  <si>
    <t>08h20 85180 Les Sables d'Olonne (le Château d'Olonne)</t>
  </si>
  <si>
    <t>08h25 85100 Les Sables d'Olonne (les Sables d'Olonne)-.</t>
  </si>
  <si>
    <t>08h25 85100 Les Sables d'Olonne (les Sables d'Olonne)</t>
  </si>
  <si>
    <t>08h30 85340 Les Sables d'Olonne (Olonne sur Mer)</t>
  </si>
  <si>
    <t>08h30 85180 Les Sables d'Olonne (le Château d'Olonne)</t>
  </si>
  <si>
    <t>08h35 85100 Les Sables d'Olonne (les Sables d'Olonne)-.</t>
  </si>
  <si>
    <t>08h35 85100 Les Sables d'Olonne (les Sables d'Olonne)</t>
  </si>
  <si>
    <t>08h35 85100 Les Sables d'Olonne ( la Chaume)</t>
  </si>
  <si>
    <t>08h35 85340 Les Sables d'Olonne (Olonne sur Mer)</t>
  </si>
  <si>
    <t>08h35 85180 Les Sables d'Olonne (le Château d'Olonne)</t>
  </si>
  <si>
    <t>08h40 85100 Les Sables d'Olonne (les Sables d'Olonne)-.</t>
  </si>
  <si>
    <t>08h40 85100 Les Sables d'Olonne (les Sables d'Olonne)</t>
  </si>
  <si>
    <t>08h40 85100 Les Sables d'Olonne ( la Chaume)</t>
  </si>
  <si>
    <t>08h40 85180 Les Sables d'Olonne (le Château d'Olonne)-.</t>
  </si>
  <si>
    <t>08h40 85180 Les Sables d'Olonne (le Château d'Olonne)</t>
  </si>
  <si>
    <t>08h45 85100 Les Sables d'Olonne (les Sables d'Olonne)-.</t>
  </si>
  <si>
    <t>08h45 85100 Les Sables d'Olonne (les Sables d'Olonne)</t>
  </si>
  <si>
    <t>08h45 85100 Les Sables d'Olonne ( la Chaume)</t>
  </si>
  <si>
    <t>08h45 85340 Les Sables d'Olonne (Olonne sur Mer)</t>
  </si>
  <si>
    <t>08h45 85180 Les Sables d'Olonne (le Château d'Olonne)</t>
  </si>
  <si>
    <t>08h50 85100 Les Sables d'Olonne (les Sables d'Olonne)-.</t>
  </si>
  <si>
    <t>08h50 85100 Les Sables d'Olonne (les Sables d'Olonne)</t>
  </si>
  <si>
    <t>08h50 85100 Les Sables d'Olonne ( la Chaume)</t>
  </si>
  <si>
    <t>08h50 85180 Les Sables d'Olonne (le Château d'Olonne)</t>
  </si>
  <si>
    <t>08h55 85100 Les Sables d'Olonne (les Sables d'Olonne)</t>
  </si>
  <si>
    <t>09h00 85100 Les Sables d'Olonne (les Sables d'Olonne)</t>
  </si>
  <si>
    <t>09h00 85340 Les Sables d'Olonne (Olonne sur Mer)</t>
  </si>
  <si>
    <t>09h05 85100 Les Sables d'Olonne (les Sables d'Olonne)</t>
  </si>
  <si>
    <t>09h05 85100 Les Sables d'Olonne ( la Chaume)</t>
  </si>
  <si>
    <t>09h05 85180 Les Sables d'Olonne (le Château d'Olonne)</t>
  </si>
  <si>
    <t>09h10 85100 Les Sables d'Olonne (les Sables d'Olonne)</t>
  </si>
  <si>
    <t>09h10 85100 Les Sables d'Olonne ( la Chaume)</t>
  </si>
  <si>
    <t>09h10 85340 Les Sables d'Olonne (Olonne sur Mer)</t>
  </si>
  <si>
    <t>09h15 85100 Les Sables d'Olonne (les Sables d'Olonne)-.</t>
  </si>
  <si>
    <t>09h15 85100 Les Sables d'Olonne (les Sables d'Olonne)</t>
  </si>
  <si>
    <t>09h15 85100 Les Sables d'Olonne ( la Chaume)</t>
  </si>
  <si>
    <t>09h20 85100 Les Sables d'Olonne (les Sables d'Olonne)-.</t>
  </si>
  <si>
    <t>09h20 85100 Les Sables d'Olonne (les Sables d'Olonne)</t>
  </si>
  <si>
    <t>09h20 85100 Les Sables d'Olonne ( la Chaume)</t>
  </si>
  <si>
    <t>09h20 85340 Les Sables d'Olonne (Olonne sur Mer)</t>
  </si>
  <si>
    <t>09h20 85180 Les Sables d'Olonne (le Château d'Olonne)-.</t>
  </si>
  <si>
    <t>09h20 85180 Les Sables d'Olonne (le Château d'Olonne)</t>
  </si>
  <si>
    <t>09h20 85150 Saint-Mathurin</t>
  </si>
  <si>
    <t>09h25 85100 Les Sables d'Olonne (les Sables d'Olonne)-.</t>
  </si>
  <si>
    <t>09h25 85100 Les Sables d'Olonne (les Sables d'Olonne)</t>
  </si>
  <si>
    <t>09h25 85100 Les Sables d'Olonne ( la Chaume)</t>
  </si>
  <si>
    <t>09h25 85340 Les Sables d'Olonne (Olonne sur Mer)</t>
  </si>
  <si>
    <t>09h25 85180 Les Sables d'Olonne (le Château d'Olonne)-.</t>
  </si>
  <si>
    <t>09h25 85180 Les Sables d'Olonne (le Château d'Olonne)</t>
  </si>
  <si>
    <t>09h25 85150 Saint-Mathurin</t>
  </si>
  <si>
    <t>09h30 85100 Les Sables d'Olonne (les Sables d'Olonne)-.</t>
  </si>
  <si>
    <t>09h30 85100 Les Sables d'Olonne ( la Chaume)</t>
  </si>
  <si>
    <t>09h30 85340 Les Sables d'Olonne (Olonne sur Mer)</t>
  </si>
  <si>
    <t>09h30 85180 Les Sables d'Olonne (le Château d'Olonne)</t>
  </si>
  <si>
    <t>09h30 85150 Saint-Mathurin</t>
  </si>
  <si>
    <t>09h35 85100 Les Sables d'Olonne (les Sables d'Olonne)-.</t>
  </si>
  <si>
    <t>09h35 85100 Les Sables d'Olonne (les Sables d'Olonne)</t>
  </si>
  <si>
    <t>09h35 85100 Les Sables d'Olonne ( la Chaume)</t>
  </si>
  <si>
    <t>09h35 85340 Les Sables d'Olonne (Olonne sur Mer)</t>
  </si>
  <si>
    <t>09h35 85180 Les Sables d'Olonne (le Château d'Olonne)</t>
  </si>
  <si>
    <t>09h35 85150 Saint-Mathurin</t>
  </si>
  <si>
    <t>09h40 85100 Les Sables d'Olonne (les Sables d'Olonne)-.</t>
  </si>
  <si>
    <t>09h40 85100 Les Sables d'Olonne (les Sables d'Olonne)</t>
  </si>
  <si>
    <t>09h40 85100 Les Sables d'Olonne ( la Chaume)</t>
  </si>
  <si>
    <t>09h40 85340 Les Sables d'Olonne (Olonne sur Mer)</t>
  </si>
  <si>
    <t>09h40 85180 Les Sables d'Olonne (le Château d'Olonne)-.</t>
  </si>
  <si>
    <t>09h40 85180 Les Sables d'Olonne (le Château d'Olonne)</t>
  </si>
  <si>
    <t>09h40 85150 Saint-Mathurin</t>
  </si>
  <si>
    <t>09h45 85100 Les Sables d'Olonne (les Sables d'Olonne)-.</t>
  </si>
  <si>
    <t>09h45 85100 Les Sables d'Olonne (les Sables d'Olonne)</t>
  </si>
  <si>
    <t>09h45 85100 Les Sables d'Olonne ( la Chaume)</t>
  </si>
  <si>
    <t>09h45 85340 Les Sables d'Olonne (Olonne sur Mer)</t>
  </si>
  <si>
    <t>09h45 85180 Les Sables d'Olonne (le Château d'Olonne)</t>
  </si>
  <si>
    <t>09h45 85150 Saint-Mathurin</t>
  </si>
  <si>
    <t>09h50 85100 Les Sables d'Olonne (les Sables d'Olonne)-.</t>
  </si>
  <si>
    <t>09h50 85100 Les Sables d'Olonne (les Sables d'Olonne)</t>
  </si>
  <si>
    <t>09h50 85100 Les Sables d'Olonne ( la Chaume)</t>
  </si>
  <si>
    <t>09h50 85340 Les Sables d'Olonne (Olonne sur Mer)-.</t>
  </si>
  <si>
    <t>09h50 85180 Les Sables d'Olonne (le Château d'Olonne)-.</t>
  </si>
  <si>
    <t>09h50 85180 Les Sables d'Olonne (le Château d'Olonne)</t>
  </si>
  <si>
    <t>09h50 85150 Saint-Mathurin</t>
  </si>
  <si>
    <t>09h55 85100 Les Sables d'Olonne (les Sables d'Olonne)-.</t>
  </si>
  <si>
    <t>09h55 85100 Les Sables d'Olonne (les Sables d'Olonne)</t>
  </si>
  <si>
    <t>09h55 85100 Les Sables d'Olonne ( la Chaume)</t>
  </si>
  <si>
    <t>09h55 85340 Les Sables d'Olonne (Olonne sur Mer)-.</t>
  </si>
  <si>
    <t>09h55 85340 Les Sables d'Olonne (Olonne sur Mer)</t>
  </si>
  <si>
    <t>09h55 85180 Les Sables d'Olonne (le Château d'Olonne)-.</t>
  </si>
  <si>
    <t>09h55 85180 Les Sables d'Olonne (le Château d'Olonne)</t>
  </si>
  <si>
    <t>09h55 85150 Saint-Mathurin</t>
  </si>
  <si>
    <t>10h00 85100 Les Sables d'Olonne (les Sables d'Olonne)-.</t>
  </si>
  <si>
    <t>10h00 85100 Les Sables d'Olonne (les Sables d'Olonne)</t>
  </si>
  <si>
    <t>10h00 85100 Les Sables d'Olonne ( la Chaume)</t>
  </si>
  <si>
    <t>10h00 85180 Les Sables d'Olonne (le Château d'Olonne)-.</t>
  </si>
  <si>
    <t>10h00 85180 Les Sables d'Olonne (le Château d'Olonne)</t>
  </si>
  <si>
    <t>10h00 85150 Saint-Mathurin</t>
  </si>
  <si>
    <t>10h05 85100 Les Sables d'Olonne (les Sables d'Olonne)-.</t>
  </si>
  <si>
    <t>10h05 85100 Les Sables d'Olonne (les Sables d'Olonne)</t>
  </si>
  <si>
    <t>10h05 85100 Les Sables d'Olonne ( la Chaume)</t>
  </si>
  <si>
    <t>10h05 85340 Les Sables d'Olonne (Olonne sur Mer)-.</t>
  </si>
  <si>
    <t>10h05 85340 Les Sables d'Olonne (Olonne sur Mer)</t>
  </si>
  <si>
    <t>10h05 85180 Les Sables d'Olonne (le Château d'Olonne)-.</t>
  </si>
  <si>
    <t>10h05 85180 Les Sables d'Olonne (le Château d'Olonne)</t>
  </si>
  <si>
    <t>10h05 85150 Saint-Mathurin</t>
  </si>
  <si>
    <t>10h10 85100 Les Sables d'Olonne (les Sables d'Olonne)-.</t>
  </si>
  <si>
    <t>10h10 85100 Les Sables d'Olonne (les Sables d'Olonne)</t>
  </si>
  <si>
    <t>10h10 85100 Les Sables d'Olonne ( la Chaume)</t>
  </si>
  <si>
    <t>10h10 85340 Les Sables d'Olonne (Olonne sur Mer)-.</t>
  </si>
  <si>
    <t>10h10 85340 Les Sables d'Olonne (Olonne sur Mer)</t>
  </si>
  <si>
    <t>10h10 85180 Les Sables d'Olonne (le Château d'Olonne)</t>
  </si>
  <si>
    <t>10h10 85150 Saint-Mathurin</t>
  </si>
  <si>
    <t>10h15 85100 Les Sables d'Olonne (les Sables d'Olonne)-.</t>
  </si>
  <si>
    <t>10h15 85100 Les Sables d'Olonne (les Sables d'Olonne)</t>
  </si>
  <si>
    <t>10h15 85100 Les Sables d'Olonne ( la Chaume)</t>
  </si>
  <si>
    <t>10h15 85340 Les Sables d'Olonne (Olonne sur Mer)</t>
  </si>
  <si>
    <t>10h15 85180 Les Sables d'Olonne (le Château d'Olonne)-.</t>
  </si>
  <si>
    <t>10h15 85180 Les Sables d'Olonne (le Château d'Olonne)</t>
  </si>
  <si>
    <t>10h15 85150 Saint-Mathurin</t>
  </si>
  <si>
    <t>10h20 85100 Les Sables d'Olonne (les Sables d'Olonne)-.</t>
  </si>
  <si>
    <t>10h20 85100 Les Sables d'Olonne (les Sables d'Olonne)</t>
  </si>
  <si>
    <t>10h20 85100 Les Sables d'Olonne ( la Chaume)</t>
  </si>
  <si>
    <t>10h20 85340 Les Sables d'Olonne (Olonne sur Mer)-.</t>
  </si>
  <si>
    <t>10h20 85340 Les Sables d'Olonne (Olonne sur Mer)</t>
  </si>
  <si>
    <t>10h20 85180 Les Sables d'Olonne (le Château d'Olonne)-.</t>
  </si>
  <si>
    <t>10h20 85180 Les Sables d'Olonne (le Château d'Olonne)</t>
  </si>
  <si>
    <t>10h20 85150 Saint-Mathurin</t>
  </si>
  <si>
    <t>10h25 85100 Les Sables d'Olonne (les Sables d'Olonne)-.</t>
  </si>
  <si>
    <t>10h25 85100 Les Sables d'Olonne (les Sables d'Olonne)</t>
  </si>
  <si>
    <t>10h25 85100 Les Sables d'Olonne ( la Chaume)</t>
  </si>
  <si>
    <t>10h25 85180 Les Sables d'Olonne (le Château d'Olonne)-.</t>
  </si>
  <si>
    <t>10h25 85180 Les Sables d'Olonne (le Château d'Olonne)</t>
  </si>
  <si>
    <t>10h25 85150 Saint-Mathurin</t>
  </si>
  <si>
    <t>10h30 85100 Les Sables d'Olonne (les Sables d'Olonne)-.</t>
  </si>
  <si>
    <t>10h30 85100 Les Sables d'Olonne (les Sables d'Olonne)</t>
  </si>
  <si>
    <t>10h30 85100 Les Sables d'Olonne ( la Chaume)</t>
  </si>
  <si>
    <t>10h30 85150 Saint-Mathurin</t>
  </si>
  <si>
    <t>10h31 au local</t>
  </si>
  <si>
    <t>10h32 au local-.</t>
  </si>
  <si>
    <t>10h33 au local-.</t>
  </si>
  <si>
    <t>10h34 au local</t>
  </si>
  <si>
    <t>10h34 au local-.</t>
  </si>
  <si>
    <t>10h35 au local</t>
  </si>
  <si>
    <t>10h35 au local-.</t>
  </si>
  <si>
    <t>10h36 au local</t>
  </si>
  <si>
    <t>10h36 au local-.</t>
  </si>
  <si>
    <t>10h37 au local-.</t>
  </si>
  <si>
    <t>10h37 au local</t>
  </si>
  <si>
    <t>Option 361</t>
  </si>
  <si>
    <t>1 € [Nombre de Viennoiseries en plus]</t>
  </si>
  <si>
    <t>5,5 €  [Nombre de Brioches en plus]</t>
  </si>
  <si>
    <t>2 € [Nombre de Bouteilles de Jus d'Orange]</t>
  </si>
  <si>
    <t>2,5 € [Nombre de 12 x Chouquettes en plus]</t>
  </si>
  <si>
    <t>P'tit Déj'</t>
  </si>
  <si>
    <t>P'tite Faim</t>
  </si>
  <si>
    <t>Formule</t>
  </si>
  <si>
    <t>Familiale</t>
  </si>
  <si>
    <t xml:space="preserve">2 </t>
  </si>
  <si>
    <t xml:space="preserve">1 </t>
  </si>
  <si>
    <t>tarif</t>
  </si>
  <si>
    <t>données calculées</t>
  </si>
  <si>
    <t xml:space="preserve"> 4 Viennoiseries + 2 Baguettes à l'Ancienne + 1 Brioche</t>
  </si>
  <si>
    <t>2 Viennoiseries + 2 Baguettes à l'Ancienne + 12 Chouquettes</t>
  </si>
  <si>
    <t>2 Viennoiseries + 1 Baguette à l'Ancienne</t>
  </si>
  <si>
    <t>Formule(s) Choisie(s)
 (champ calculé)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</si>
</sst>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0;0;&quot;0 = Non&quot;"/>
    <numFmt numFmtId="168" formatCode="0;0;&quot;&quot;"/>
    <numFmt numFmtId="169" formatCode="0;0;"/>
  </numFmts>
  <fonts count="13" x14ac:knownFonts="1">
    <font>
      <sz val="10"/>
      <color rgb="FF000000"/>
      <name val="Arial"/>
    </font>
    <font>
      <sz val="12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FFFFFF"/>
      <name val="Arial"/>
      <family val="2"/>
    </font>
    <font>
      <sz val="12"/>
      <color rgb="FFFFFFFF"/>
      <name val="Arial"/>
      <family val="2"/>
    </font>
    <font>
      <sz val="10"/>
      <color rgb="FFFF0000"/>
      <name val="Arial"/>
      <family val="2"/>
    </font>
    <font>
      <sz val="12"/>
      <color rgb="FFFF0000"/>
      <name val="Arial"/>
      <family val="2"/>
    </font>
    <font>
      <sz val="10"/>
      <color rgb="FF7030A0"/>
      <name val="Arial"/>
      <family val="2"/>
    </font>
    <font>
      <sz val="12"/>
      <color rgb="FF7030A0"/>
      <name val="Arial"/>
      <family val="2"/>
    </font>
    <font>
      <b/>
      <sz val="8"/>
      <color rgb="FFFF000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rgb="FFFA7D00"/>
      <name val="Arial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A6E3B6"/>
        <bgColor rgb="FFA6E3B6"/>
      </patternFill>
    </fill>
    <fill>
      <patternFill patternType="solid">
        <fgColor rgb="FF277E3E"/>
        <bgColor rgb="FF277E3E"/>
      </patternFill>
    </fill>
    <fill>
      <patternFill patternType="solid">
        <fgColor rgb="FFB4E4E8"/>
        <bgColor rgb="FFB4E4E8"/>
      </patternFill>
    </fill>
    <fill>
      <patternFill patternType="solid">
        <fgColor rgb="FFFF0000"/>
        <bgColor rgb="FFFF0000"/>
      </patternFill>
    </fill>
    <fill>
      <patternFill patternType="solid">
        <fgColor rgb="FF8DB5F8"/>
        <bgColor rgb="FF8DB5F8"/>
      </patternFill>
    </fill>
    <fill>
      <patternFill patternType="solid">
        <fgColor rgb="FFFFFF00"/>
        <bgColor rgb="FFFFFF00"/>
      </patternFill>
    </fill>
    <fill>
      <patternFill patternType="solid">
        <fgColor rgb="FFF2F2F2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249977111117893"/>
        <bgColor rgb="FFA6E3B6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2" fillId="8" borderId="14" applyNumberFormat="0" applyAlignment="0" applyProtection="0"/>
  </cellStyleXfs>
  <cellXfs count="159">
    <xf numFmtId="0" fontId="0" fillId="0" borderId="0" xfId="0" applyFont="1" applyAlignment="1"/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2" borderId="1" xfId="0" applyFont="1" applyFill="1" applyBorder="1" applyAlignment="1">
      <alignment horizontal="left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 wrapText="1"/>
    </xf>
    <xf numFmtId="0" fontId="0" fillId="4" borderId="1" xfId="0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left"/>
    </xf>
    <xf numFmtId="0" fontId="0" fillId="4" borderId="1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left" wrapText="1"/>
    </xf>
    <xf numFmtId="0" fontId="0" fillId="4" borderId="1" xfId="0" applyFont="1" applyFill="1" applyBorder="1" applyAlignment="1">
      <alignment horizontal="center" wrapText="1"/>
    </xf>
    <xf numFmtId="0" fontId="0" fillId="4" borderId="3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left"/>
    </xf>
    <xf numFmtId="0" fontId="3" fillId="5" borderId="1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wrapText="1"/>
    </xf>
    <xf numFmtId="0" fontId="3" fillId="5" borderId="3" xfId="0" applyFont="1" applyFill="1" applyBorder="1" applyAlignment="1">
      <alignment horizontal="center" wrapText="1"/>
    </xf>
    <xf numFmtId="0" fontId="0" fillId="6" borderId="1" xfId="0" applyFont="1" applyFill="1" applyBorder="1" applyAlignment="1">
      <alignment horizontal="left" vertical="center"/>
    </xf>
    <xf numFmtId="0" fontId="0" fillId="6" borderId="1" xfId="0" applyFon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left"/>
    </xf>
    <xf numFmtId="0" fontId="0" fillId="6" borderId="1" xfId="0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/>
    </xf>
    <xf numFmtId="0" fontId="0" fillId="6" borderId="6" xfId="0" applyFont="1" applyFill="1" applyBorder="1" applyAlignment="1">
      <alignment horizontal="left" vertical="center"/>
    </xf>
    <xf numFmtId="0" fontId="0" fillId="6" borderId="6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left"/>
    </xf>
    <xf numFmtId="0" fontId="0" fillId="6" borderId="6" xfId="0" applyFont="1" applyFill="1" applyBorder="1" applyAlignment="1">
      <alignment horizontal="center"/>
    </xf>
    <xf numFmtId="0" fontId="0" fillId="6" borderId="7" xfId="0" applyFont="1" applyFill="1" applyBorder="1" applyAlignment="1">
      <alignment horizontal="center"/>
    </xf>
    <xf numFmtId="0" fontId="0" fillId="6" borderId="10" xfId="0" applyFont="1" applyFill="1" applyBorder="1" applyAlignment="1">
      <alignment horizontal="left" vertical="center"/>
    </xf>
    <xf numFmtId="0" fontId="0" fillId="6" borderId="10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left" vertical="center"/>
    </xf>
    <xf numFmtId="0" fontId="7" fillId="6" borderId="1" xfId="0" applyFont="1" applyFill="1" applyBorder="1" applyAlignment="1">
      <alignment horizontal="center" wrapText="1"/>
    </xf>
    <xf numFmtId="0" fontId="8" fillId="6" borderId="8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2" xfId="0" applyFont="1" applyBorder="1" applyAlignment="1">
      <alignment horizontal="left"/>
    </xf>
    <xf numFmtId="0" fontId="0" fillId="0" borderId="2" xfId="0" applyFont="1" applyBorder="1" applyAlignment="1">
      <alignment horizontal="center" vertical="center"/>
    </xf>
    <xf numFmtId="0" fontId="0" fillId="7" borderId="1" xfId="0" applyFont="1" applyFill="1" applyBorder="1" applyAlignment="1">
      <alignment horizontal="left"/>
    </xf>
    <xf numFmtId="0" fontId="0" fillId="7" borderId="1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left" vertical="center"/>
    </xf>
    <xf numFmtId="0" fontId="0" fillId="7" borderId="1" xfId="0" applyFont="1" applyFill="1" applyBorder="1" applyAlignment="1">
      <alignment horizontal="center" vertical="center"/>
    </xf>
    <xf numFmtId="0" fontId="0" fillId="7" borderId="6" xfId="0" applyFont="1" applyFill="1" applyBorder="1" applyAlignment="1">
      <alignment horizontal="center"/>
    </xf>
    <xf numFmtId="0" fontId="0" fillId="7" borderId="6" xfId="0" applyFont="1" applyFill="1" applyBorder="1" applyAlignment="1">
      <alignment horizontal="center" vertical="center"/>
    </xf>
    <xf numFmtId="0" fontId="0" fillId="7" borderId="6" xfId="0" applyFont="1" applyFill="1" applyBorder="1" applyAlignment="1">
      <alignment horizont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wrapText="1"/>
    </xf>
    <xf numFmtId="0" fontId="0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49" fontId="0" fillId="0" borderId="0" xfId="0" applyNumberFormat="1" applyFont="1"/>
    <xf numFmtId="49" fontId="10" fillId="0" borderId="0" xfId="0" applyNumberFormat="1" applyFo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11" fillId="0" borderId="1" xfId="0" applyFont="1" applyBorder="1" applyAlignment="1">
      <alignment horizontal="left" vertical="center" wrapText="1"/>
    </xf>
    <xf numFmtId="165" fontId="1" fillId="2" borderId="4" xfId="0" applyNumberFormat="1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left" vertical="center"/>
    </xf>
    <xf numFmtId="164" fontId="2" fillId="10" borderId="1" xfId="0" applyNumberFormat="1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0" fillId="9" borderId="3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164" fontId="2" fillId="9" borderId="0" xfId="0" applyNumberFormat="1" applyFont="1" applyFill="1" applyAlignment="1">
      <alignment horizontal="center" vertical="center"/>
    </xf>
    <xf numFmtId="0" fontId="12" fillId="8" borderId="14" xfId="1" applyAlignment="1"/>
    <xf numFmtId="0" fontId="12" fillId="8" borderId="14" xfId="1" applyAlignment="1">
      <alignment horizontal="center" vertical="center" wrapText="1"/>
    </xf>
    <xf numFmtId="164" fontId="12" fillId="8" borderId="14" xfId="1" applyNumberFormat="1" applyAlignment="1">
      <alignment horizontal="center" vertical="center" wrapText="1"/>
    </xf>
    <xf numFmtId="168" fontId="0" fillId="2" borderId="1" xfId="0" applyNumberFormat="1" applyFont="1" applyFill="1" applyBorder="1" applyAlignment="1">
      <alignment horizontal="center" vertical="center"/>
    </xf>
    <xf numFmtId="168" fontId="3" fillId="3" borderId="1" xfId="0" applyNumberFormat="1" applyFont="1" applyFill="1" applyBorder="1" applyAlignment="1">
      <alignment horizontal="center"/>
    </xf>
    <xf numFmtId="168" fontId="3" fillId="3" borderId="1" xfId="0" applyNumberFormat="1" applyFont="1" applyFill="1" applyBorder="1" applyAlignment="1">
      <alignment horizontal="center" vertical="center"/>
    </xf>
    <xf numFmtId="168" fontId="3" fillId="3" borderId="1" xfId="0" applyNumberFormat="1" applyFont="1" applyFill="1" applyBorder="1" applyAlignment="1">
      <alignment horizontal="center" wrapText="1"/>
    </xf>
    <xf numFmtId="168" fontId="0" fillId="4" borderId="1" xfId="0" applyNumberFormat="1" applyFont="1" applyFill="1" applyBorder="1" applyAlignment="1">
      <alignment horizontal="center" vertical="center"/>
    </xf>
    <xf numFmtId="168" fontId="0" fillId="4" borderId="1" xfId="0" applyNumberFormat="1" applyFont="1" applyFill="1" applyBorder="1" applyAlignment="1">
      <alignment horizontal="center"/>
    </xf>
    <xf numFmtId="168" fontId="0" fillId="4" borderId="1" xfId="0" applyNumberFormat="1" applyFont="1" applyFill="1" applyBorder="1" applyAlignment="1">
      <alignment horizontal="center" wrapText="1"/>
    </xf>
    <xf numFmtId="168" fontId="3" fillId="5" borderId="1" xfId="0" applyNumberFormat="1" applyFont="1" applyFill="1" applyBorder="1" applyAlignment="1">
      <alignment horizontal="center" vertical="center"/>
    </xf>
    <xf numFmtId="168" fontId="3" fillId="5" borderId="1" xfId="0" applyNumberFormat="1" applyFont="1" applyFill="1" applyBorder="1" applyAlignment="1">
      <alignment horizontal="center"/>
    </xf>
    <xf numFmtId="168" fontId="3" fillId="5" borderId="1" xfId="0" applyNumberFormat="1" applyFont="1" applyFill="1" applyBorder="1" applyAlignment="1">
      <alignment horizontal="center" wrapText="1"/>
    </xf>
    <xf numFmtId="168" fontId="0" fillId="6" borderId="1" xfId="0" applyNumberFormat="1" applyFont="1" applyFill="1" applyBorder="1" applyAlignment="1">
      <alignment horizontal="center" vertical="center"/>
    </xf>
    <xf numFmtId="168" fontId="0" fillId="6" borderId="1" xfId="0" applyNumberFormat="1" applyFont="1" applyFill="1" applyBorder="1" applyAlignment="1">
      <alignment horizontal="center"/>
    </xf>
    <xf numFmtId="168" fontId="0" fillId="6" borderId="6" xfId="0" applyNumberFormat="1" applyFont="1" applyFill="1" applyBorder="1" applyAlignment="1">
      <alignment horizontal="center" vertical="center"/>
    </xf>
    <xf numFmtId="168" fontId="0" fillId="6" borderId="6" xfId="0" applyNumberFormat="1" applyFont="1" applyFill="1" applyBorder="1" applyAlignment="1">
      <alignment horizontal="center"/>
    </xf>
    <xf numFmtId="168" fontId="0" fillId="6" borderId="10" xfId="0" applyNumberFormat="1" applyFont="1" applyFill="1" applyBorder="1" applyAlignment="1">
      <alignment horizontal="center" vertical="center"/>
    </xf>
    <xf numFmtId="168" fontId="5" fillId="6" borderId="1" xfId="0" applyNumberFormat="1" applyFont="1" applyFill="1" applyBorder="1" applyAlignment="1">
      <alignment horizontal="center" vertical="center"/>
    </xf>
    <xf numFmtId="168" fontId="7" fillId="6" borderId="1" xfId="0" applyNumberFormat="1" applyFont="1" applyFill="1" applyBorder="1" applyAlignment="1">
      <alignment horizontal="center" wrapText="1"/>
    </xf>
    <xf numFmtId="168" fontId="0" fillId="0" borderId="1" xfId="0" applyNumberFormat="1" applyFont="1" applyBorder="1" applyAlignment="1">
      <alignment horizontal="center"/>
    </xf>
    <xf numFmtId="168" fontId="0" fillId="0" borderId="1" xfId="0" applyNumberFormat="1" applyFont="1" applyBorder="1" applyAlignment="1">
      <alignment horizontal="center" vertical="center"/>
    </xf>
    <xf numFmtId="168" fontId="0" fillId="0" borderId="2" xfId="0" applyNumberFormat="1" applyFont="1" applyBorder="1" applyAlignment="1">
      <alignment horizontal="center" vertical="center"/>
    </xf>
    <xf numFmtId="168" fontId="0" fillId="7" borderId="1" xfId="0" applyNumberFormat="1" applyFont="1" applyFill="1" applyBorder="1" applyAlignment="1">
      <alignment horizontal="center"/>
    </xf>
    <xf numFmtId="168" fontId="0" fillId="7" borderId="1" xfId="0" applyNumberFormat="1" applyFont="1" applyFill="1" applyBorder="1" applyAlignment="1">
      <alignment horizontal="center" vertical="center"/>
    </xf>
    <xf numFmtId="168" fontId="0" fillId="7" borderId="6" xfId="0" applyNumberFormat="1" applyFont="1" applyFill="1" applyBorder="1" applyAlignment="1">
      <alignment horizontal="center"/>
    </xf>
    <xf numFmtId="168" fontId="0" fillId="7" borderId="6" xfId="0" applyNumberFormat="1" applyFont="1" applyFill="1" applyBorder="1" applyAlignment="1">
      <alignment horizontal="center" vertical="center"/>
    </xf>
    <xf numFmtId="168" fontId="0" fillId="7" borderId="6" xfId="0" applyNumberFormat="1" applyFont="1" applyFill="1" applyBorder="1" applyAlignment="1">
      <alignment horizontal="center" wrapText="1"/>
    </xf>
    <xf numFmtId="169" fontId="0" fillId="2" borderId="1" xfId="0" applyNumberFormat="1" applyFont="1" applyFill="1" applyBorder="1" applyAlignment="1">
      <alignment horizontal="center" vertical="center"/>
    </xf>
    <xf numFmtId="169" fontId="3" fillId="3" borderId="1" xfId="0" applyNumberFormat="1" applyFont="1" applyFill="1" applyBorder="1" applyAlignment="1">
      <alignment horizontal="center"/>
    </xf>
    <xf numFmtId="169" fontId="3" fillId="3" borderId="1" xfId="0" applyNumberFormat="1" applyFont="1" applyFill="1" applyBorder="1" applyAlignment="1">
      <alignment horizontal="center" vertical="center"/>
    </xf>
    <xf numFmtId="169" fontId="3" fillId="3" borderId="1" xfId="0" applyNumberFormat="1" applyFont="1" applyFill="1" applyBorder="1" applyAlignment="1">
      <alignment horizontal="center" wrapText="1"/>
    </xf>
    <xf numFmtId="169" fontId="0" fillId="4" borderId="1" xfId="0" applyNumberFormat="1" applyFont="1" applyFill="1" applyBorder="1" applyAlignment="1">
      <alignment horizontal="center" vertical="center"/>
    </xf>
    <xf numFmtId="169" fontId="0" fillId="4" borderId="1" xfId="0" applyNumberFormat="1" applyFont="1" applyFill="1" applyBorder="1" applyAlignment="1">
      <alignment horizontal="center"/>
    </xf>
    <xf numFmtId="169" fontId="0" fillId="4" borderId="1" xfId="0" applyNumberFormat="1" applyFont="1" applyFill="1" applyBorder="1" applyAlignment="1">
      <alignment horizontal="center" wrapText="1"/>
    </xf>
    <xf numFmtId="169" fontId="3" fillId="5" borderId="1" xfId="0" applyNumberFormat="1" applyFont="1" applyFill="1" applyBorder="1" applyAlignment="1">
      <alignment horizontal="center" vertical="center"/>
    </xf>
    <xf numFmtId="169" fontId="3" fillId="5" borderId="1" xfId="0" applyNumberFormat="1" applyFont="1" applyFill="1" applyBorder="1" applyAlignment="1">
      <alignment horizontal="center"/>
    </xf>
    <xf numFmtId="169" fontId="3" fillId="5" borderId="1" xfId="0" applyNumberFormat="1" applyFont="1" applyFill="1" applyBorder="1" applyAlignment="1">
      <alignment horizontal="center" wrapText="1"/>
    </xf>
    <xf numFmtId="169" fontId="0" fillId="6" borderId="1" xfId="0" applyNumberFormat="1" applyFont="1" applyFill="1" applyBorder="1" applyAlignment="1">
      <alignment horizontal="center" vertical="center"/>
    </xf>
    <xf numFmtId="169" fontId="0" fillId="6" borderId="1" xfId="0" applyNumberFormat="1" applyFont="1" applyFill="1" applyBorder="1" applyAlignment="1">
      <alignment horizontal="center"/>
    </xf>
    <xf numFmtId="169" fontId="0" fillId="6" borderId="6" xfId="0" applyNumberFormat="1" applyFont="1" applyFill="1" applyBorder="1" applyAlignment="1">
      <alignment horizontal="center" vertical="center"/>
    </xf>
    <xf numFmtId="169" fontId="0" fillId="6" borderId="6" xfId="0" applyNumberFormat="1" applyFont="1" applyFill="1" applyBorder="1" applyAlignment="1">
      <alignment horizontal="center"/>
    </xf>
    <xf numFmtId="169" fontId="0" fillId="6" borderId="10" xfId="0" applyNumberFormat="1" applyFont="1" applyFill="1" applyBorder="1" applyAlignment="1">
      <alignment horizontal="center" vertical="center"/>
    </xf>
    <xf numFmtId="169" fontId="5" fillId="6" borderId="1" xfId="0" applyNumberFormat="1" applyFont="1" applyFill="1" applyBorder="1" applyAlignment="1">
      <alignment horizontal="center" vertical="center"/>
    </xf>
    <xf numFmtId="169" fontId="7" fillId="6" borderId="1" xfId="0" applyNumberFormat="1" applyFont="1" applyFill="1" applyBorder="1" applyAlignment="1">
      <alignment horizontal="center" wrapText="1"/>
    </xf>
    <xf numFmtId="169" fontId="0" fillId="0" borderId="1" xfId="0" applyNumberFormat="1" applyFont="1" applyBorder="1" applyAlignment="1">
      <alignment horizontal="center"/>
    </xf>
    <xf numFmtId="169" fontId="0" fillId="0" borderId="1" xfId="0" applyNumberFormat="1" applyFont="1" applyBorder="1" applyAlignment="1">
      <alignment horizontal="center" vertical="center"/>
    </xf>
    <xf numFmtId="169" fontId="0" fillId="0" borderId="2" xfId="0" applyNumberFormat="1" applyFont="1" applyBorder="1" applyAlignment="1">
      <alignment horizontal="center" vertical="center"/>
    </xf>
    <xf numFmtId="169" fontId="0" fillId="7" borderId="1" xfId="0" applyNumberFormat="1" applyFont="1" applyFill="1" applyBorder="1" applyAlignment="1">
      <alignment horizontal="center"/>
    </xf>
    <xf numFmtId="169" fontId="0" fillId="7" borderId="1" xfId="0" applyNumberFormat="1" applyFont="1" applyFill="1" applyBorder="1" applyAlignment="1">
      <alignment horizontal="center" vertical="center"/>
    </xf>
    <xf numFmtId="169" fontId="0" fillId="7" borderId="6" xfId="0" applyNumberFormat="1" applyFont="1" applyFill="1" applyBorder="1" applyAlignment="1">
      <alignment horizontal="center"/>
    </xf>
    <xf numFmtId="169" fontId="0" fillId="7" borderId="6" xfId="0" applyNumberFormat="1" applyFont="1" applyFill="1" applyBorder="1" applyAlignment="1">
      <alignment horizontal="center" vertical="center"/>
    </xf>
    <xf numFmtId="169" fontId="0" fillId="7" borderId="6" xfId="0" applyNumberFormat="1" applyFont="1" applyFill="1" applyBorder="1" applyAlignment="1">
      <alignment horizontal="center" wrapText="1"/>
    </xf>
    <xf numFmtId="0" fontId="12" fillId="8" borderId="14" xfId="1" applyAlignment="1">
      <alignment horizontal="left" vertical="center" wrapText="1"/>
    </xf>
  </cellXfs>
  <cellStyles count="2">
    <cellStyle name="Calculation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U152"/>
  <sheetViews>
    <sheetView tabSelected="1" workbookViewId="0">
      <pane ySplit="2" topLeftCell="A3" activePane="bottomLeft" state="frozen"/>
      <selection pane="bottomLeft" activeCell="T9" sqref="T9"/>
    </sheetView>
  </sheetViews>
  <sheetFormatPr defaultColWidth="12.5703125" defaultRowHeight="15" customHeight="1" x14ac:dyDescent="0.2"/>
  <cols>
    <col min="1" max="1" width="25.7109375" customWidth="1"/>
    <col min="2" max="4" width="14.140625" style="94" customWidth="1"/>
    <col min="5" max="5" width="10.28515625" customWidth="1"/>
    <col min="6" max="6" width="11.140625" customWidth="1"/>
    <col min="7" max="7" width="9" customWidth="1"/>
    <col min="8" max="8" width="9.140625" customWidth="1"/>
    <col min="9" max="9" width="7.28515625" customWidth="1"/>
    <col min="10" max="10" width="7.85546875" customWidth="1"/>
    <col min="11" max="11" width="8" customWidth="1"/>
    <col min="12" max="12" width="7.85546875" customWidth="1"/>
    <col min="13" max="13" width="9.42578125" customWidth="1"/>
    <col min="14" max="14" width="8.140625" customWidth="1"/>
    <col min="15" max="15" width="7.85546875" customWidth="1"/>
    <col min="16" max="16" width="10.28515625" bestFit="1" customWidth="1"/>
  </cols>
  <sheetData>
    <row r="1" spans="1:21" s="94" customFormat="1" ht="15" customHeight="1" x14ac:dyDescent="0.25">
      <c r="A1" s="94" t="s">
        <v>394</v>
      </c>
      <c r="B1" s="94" t="s">
        <v>395</v>
      </c>
      <c r="C1" s="94" t="s">
        <v>392</v>
      </c>
      <c r="D1" s="94" t="s">
        <v>393</v>
      </c>
      <c r="K1" s="105" t="s">
        <v>399</v>
      </c>
      <c r="L1" s="105"/>
      <c r="M1" s="105"/>
      <c r="N1" s="105"/>
      <c r="O1" s="105"/>
      <c r="P1" s="105"/>
    </row>
    <row r="2" spans="1:21" ht="82.5" customHeight="1" x14ac:dyDescent="0.2">
      <c r="A2" s="158" t="s">
        <v>403</v>
      </c>
      <c r="B2" s="97" t="s">
        <v>400</v>
      </c>
      <c r="C2" s="97" t="s">
        <v>401</v>
      </c>
      <c r="D2" s="97" t="s">
        <v>402</v>
      </c>
      <c r="E2" s="2" t="s">
        <v>388</v>
      </c>
      <c r="F2" s="2" t="s">
        <v>389</v>
      </c>
      <c r="G2" s="2" t="s">
        <v>390</v>
      </c>
      <c r="H2" s="2" t="s">
        <v>391</v>
      </c>
      <c r="I2" s="2" t="s">
        <v>0</v>
      </c>
      <c r="J2" s="2" t="s">
        <v>1</v>
      </c>
      <c r="K2" s="106" t="s">
        <v>2</v>
      </c>
      <c r="L2" s="106" t="s">
        <v>3</v>
      </c>
      <c r="M2" s="106" t="s">
        <v>4</v>
      </c>
      <c r="N2" s="106" t="s">
        <v>5</v>
      </c>
      <c r="O2" s="106" t="s">
        <v>6</v>
      </c>
      <c r="P2" s="107" t="s">
        <v>7</v>
      </c>
      <c r="Q2" s="93"/>
    </row>
    <row r="3" spans="1:21" ht="15.75" customHeight="1" thickBot="1" x14ac:dyDescent="0.25">
      <c r="A3" s="99" t="s">
        <v>398</v>
      </c>
      <c r="B3" s="100">
        <v>10</v>
      </c>
      <c r="C3" s="100">
        <v>6.5</v>
      </c>
      <c r="D3" s="100">
        <v>4.5</v>
      </c>
      <c r="E3" s="100">
        <v>1</v>
      </c>
      <c r="F3" s="100">
        <v>5.5</v>
      </c>
      <c r="G3" s="100">
        <v>2</v>
      </c>
      <c r="H3" s="100">
        <v>2.5</v>
      </c>
      <c r="I3" s="101"/>
      <c r="J3" s="102"/>
      <c r="K3" s="103"/>
      <c r="L3" s="103"/>
      <c r="M3" s="103"/>
      <c r="N3" s="103"/>
      <c r="O3" s="103"/>
      <c r="P3" s="104"/>
    </row>
    <row r="4" spans="1:21" ht="15.75" customHeight="1" thickBot="1" x14ac:dyDescent="0.25">
      <c r="A4" s="5" t="str">
        <f>IF(B4&lt;&gt;0,B4&amp;"x "&amp;B$1,"")&amp;IF(AND(B4&lt;&gt;0,C4&lt;&gt;0),",","")&amp;IF(C4&lt;&gt;0,C4&amp;"x "&amp;C$1,"")&amp;IF(AND(D4&lt;&gt;0,OR(B4&lt;&gt;0,C4&lt;&gt;0)),",","")&amp;IF(D4&lt;&gt;0,D4&amp;"x "&amp;D$1,"")</f>
        <v>2 x Familiale</v>
      </c>
      <c r="B4" s="108" t="s">
        <v>396</v>
      </c>
      <c r="C4" s="108">
        <v>0</v>
      </c>
      <c r="D4" s="108">
        <v>0</v>
      </c>
      <c r="E4" s="108">
        <v>0</v>
      </c>
      <c r="F4" s="108">
        <v>0</v>
      </c>
      <c r="G4" s="133">
        <v>2</v>
      </c>
      <c r="H4" s="133">
        <v>0</v>
      </c>
      <c r="I4" s="6">
        <v>4</v>
      </c>
      <c r="J4" s="7">
        <v>4</v>
      </c>
      <c r="K4" s="8">
        <f>4*B4+2*C4+2*D4+E4</f>
        <v>8</v>
      </c>
      <c r="L4" s="8">
        <f>2*B4+2*C4+1*D4</f>
        <v>4</v>
      </c>
      <c r="M4" s="8">
        <f>2*B4+F4</f>
        <v>4</v>
      </c>
      <c r="N4" s="98">
        <f>G4</f>
        <v>2</v>
      </c>
      <c r="O4" s="9">
        <f>12*(C4+H4)</f>
        <v>0</v>
      </c>
      <c r="P4" s="10" cm="1">
        <f t="array" ref="P4">SUMPRODUCT(B4:H4*$B$3:$H$3)</f>
        <v>24</v>
      </c>
      <c r="R4" s="93"/>
      <c r="S4" s="93"/>
      <c r="T4" s="93"/>
      <c r="U4" s="93"/>
    </row>
    <row r="5" spans="1:21" ht="15.75" customHeight="1" thickBot="1" x14ac:dyDescent="0.25">
      <c r="A5" s="5" t="str">
        <f t="shared" ref="A5:A68" si="0">IF(B5&lt;&gt;0,B5&amp;"x "&amp;B$1,"")&amp;IF(AND(B5&lt;&gt;0,C5&lt;&gt;0),",","")&amp;IF(C5&lt;&gt;0,C5&amp;"x "&amp;C$1,"")&amp;IF(AND(D5&lt;&gt;0,OR(B5&lt;&gt;0,C5&lt;&gt;0)),",","")&amp;IF(D5&lt;&gt;0,D5&amp;"x "&amp;D$1,"")</f>
        <v>1 x Familiale</v>
      </c>
      <c r="B5" s="108" t="s">
        <v>397</v>
      </c>
      <c r="C5" s="108">
        <v>0</v>
      </c>
      <c r="D5" s="108">
        <v>0</v>
      </c>
      <c r="E5" s="108">
        <v>0</v>
      </c>
      <c r="F5" s="108">
        <v>0</v>
      </c>
      <c r="G5" s="133">
        <v>0</v>
      </c>
      <c r="H5" s="133">
        <v>0</v>
      </c>
      <c r="I5" s="6">
        <v>4</v>
      </c>
      <c r="J5" s="7">
        <v>0</v>
      </c>
      <c r="K5" s="8">
        <f t="shared" ref="K5:K68" si="1">4*B5+2*C5+2*D5+E5</f>
        <v>4</v>
      </c>
      <c r="L5" s="8">
        <f t="shared" ref="L5:L68" si="2">2*B5+2*C5+1*D5</f>
        <v>2</v>
      </c>
      <c r="M5" s="8">
        <f t="shared" ref="M5:M68" si="3">2*B5+F5</f>
        <v>2</v>
      </c>
      <c r="N5" s="8">
        <f t="shared" ref="N5:N68" si="4">G5</f>
        <v>0</v>
      </c>
      <c r="O5" s="9">
        <f t="shared" ref="O5:O68" si="5">12*(C5+H5)</f>
        <v>0</v>
      </c>
      <c r="P5" s="10" cm="1">
        <f t="array" ref="P5">SUMPRODUCT(B5:H5*$B$3:$H$3)</f>
        <v>10</v>
      </c>
    </row>
    <row r="6" spans="1:21" ht="15.75" customHeight="1" thickBot="1" x14ac:dyDescent="0.25">
      <c r="A6" s="5" t="str">
        <f t="shared" si="0"/>
        <v>1 x P'tit Déj'</v>
      </c>
      <c r="B6" s="108">
        <v>0</v>
      </c>
      <c r="C6" s="108" t="s">
        <v>397</v>
      </c>
      <c r="D6" s="108">
        <v>0</v>
      </c>
      <c r="E6" s="108">
        <v>0</v>
      </c>
      <c r="F6" s="108">
        <v>0</v>
      </c>
      <c r="G6" s="133">
        <v>0</v>
      </c>
      <c r="H6" s="133">
        <v>0</v>
      </c>
      <c r="I6" s="6">
        <v>0</v>
      </c>
      <c r="J6" s="7">
        <v>2</v>
      </c>
      <c r="K6" s="8">
        <f t="shared" si="1"/>
        <v>2</v>
      </c>
      <c r="L6" s="8">
        <f t="shared" si="2"/>
        <v>2</v>
      </c>
      <c r="M6" s="8">
        <f t="shared" si="3"/>
        <v>0</v>
      </c>
      <c r="N6" s="8">
        <f t="shared" si="4"/>
        <v>0</v>
      </c>
      <c r="O6" s="9">
        <f t="shared" si="5"/>
        <v>12</v>
      </c>
      <c r="P6" s="10" cm="1">
        <f t="array" ref="P6">SUMPRODUCT(B6:H6*$B$3:$H$3)</f>
        <v>6.5</v>
      </c>
    </row>
    <row r="7" spans="1:21" ht="15.75" customHeight="1" thickBot="1" x14ac:dyDescent="0.25">
      <c r="A7" s="5" t="str">
        <f t="shared" si="0"/>
        <v>1 x Familiale</v>
      </c>
      <c r="B7" s="108" t="s">
        <v>397</v>
      </c>
      <c r="C7" s="108">
        <v>0</v>
      </c>
      <c r="D7" s="108">
        <v>0</v>
      </c>
      <c r="E7" s="108">
        <v>0</v>
      </c>
      <c r="F7" s="108">
        <v>0</v>
      </c>
      <c r="G7" s="133">
        <v>0</v>
      </c>
      <c r="H7" s="133">
        <v>0</v>
      </c>
      <c r="I7" s="6">
        <v>0</v>
      </c>
      <c r="J7" s="7">
        <v>4</v>
      </c>
      <c r="K7" s="8">
        <f t="shared" si="1"/>
        <v>4</v>
      </c>
      <c r="L7" s="8">
        <f t="shared" si="2"/>
        <v>2</v>
      </c>
      <c r="M7" s="8">
        <f t="shared" si="3"/>
        <v>2</v>
      </c>
      <c r="N7" s="8">
        <f t="shared" si="4"/>
        <v>0</v>
      </c>
      <c r="O7" s="9">
        <f t="shared" si="5"/>
        <v>0</v>
      </c>
      <c r="P7" s="10" cm="1">
        <f t="array" ref="P7">SUMPRODUCT(B7:H7*$B$3:$H$3)</f>
        <v>10</v>
      </c>
    </row>
    <row r="8" spans="1:21" ht="15.75" customHeight="1" thickBot="1" x14ac:dyDescent="0.25">
      <c r="A8" s="5" t="str">
        <f t="shared" si="0"/>
        <v>1 x P'tite Faim</v>
      </c>
      <c r="B8" s="108">
        <v>0</v>
      </c>
      <c r="C8" s="108">
        <v>0</v>
      </c>
      <c r="D8" s="108" t="s">
        <v>397</v>
      </c>
      <c r="E8" s="108">
        <v>0</v>
      </c>
      <c r="F8" s="108">
        <v>1</v>
      </c>
      <c r="G8" s="133">
        <v>0</v>
      </c>
      <c r="H8" s="133">
        <v>0</v>
      </c>
      <c r="I8" s="6">
        <v>1</v>
      </c>
      <c r="J8" s="7">
        <v>1</v>
      </c>
      <c r="K8" s="8">
        <f t="shared" si="1"/>
        <v>2</v>
      </c>
      <c r="L8" s="8">
        <f t="shared" si="2"/>
        <v>1</v>
      </c>
      <c r="M8" s="8">
        <f t="shared" si="3"/>
        <v>1</v>
      </c>
      <c r="N8" s="8">
        <f t="shared" si="4"/>
        <v>0</v>
      </c>
      <c r="O8" s="9">
        <f t="shared" si="5"/>
        <v>0</v>
      </c>
      <c r="P8" s="10" cm="1">
        <f t="array" ref="P8">SUMPRODUCT(B8:H8*$B$3:$H$3)</f>
        <v>10</v>
      </c>
    </row>
    <row r="9" spans="1:21" ht="15.75" customHeight="1" thickBot="1" x14ac:dyDescent="0.25">
      <c r="A9" s="5" t="str">
        <f t="shared" si="0"/>
        <v>1 x P'tite Faim</v>
      </c>
      <c r="B9" s="108">
        <v>0</v>
      </c>
      <c r="C9" s="108">
        <v>0</v>
      </c>
      <c r="D9" s="108" t="s">
        <v>397</v>
      </c>
      <c r="E9" s="108">
        <v>2</v>
      </c>
      <c r="F9" s="108">
        <v>0</v>
      </c>
      <c r="G9" s="133">
        <v>0</v>
      </c>
      <c r="H9" s="133">
        <v>1</v>
      </c>
      <c r="I9" s="6">
        <v>1</v>
      </c>
      <c r="J9" s="7">
        <v>3</v>
      </c>
      <c r="K9" s="8">
        <f t="shared" si="1"/>
        <v>4</v>
      </c>
      <c r="L9" s="8">
        <f t="shared" si="2"/>
        <v>1</v>
      </c>
      <c r="M9" s="8">
        <f t="shared" si="3"/>
        <v>0</v>
      </c>
      <c r="N9" s="8">
        <f t="shared" si="4"/>
        <v>0</v>
      </c>
      <c r="O9" s="9">
        <f t="shared" si="5"/>
        <v>12</v>
      </c>
      <c r="P9" s="10" cm="1">
        <f t="array" ref="P9">SUMPRODUCT(B9:H9*$B$3:$H$3)</f>
        <v>9</v>
      </c>
    </row>
    <row r="10" spans="1:21" ht="15.75" customHeight="1" thickBot="1" x14ac:dyDescent="0.25">
      <c r="A10" s="5" t="str">
        <f t="shared" si="0"/>
        <v>2 x Familiale</v>
      </c>
      <c r="B10" s="108" t="s">
        <v>396</v>
      </c>
      <c r="C10" s="108">
        <v>0</v>
      </c>
      <c r="D10" s="108">
        <v>0</v>
      </c>
      <c r="E10" s="108">
        <v>0</v>
      </c>
      <c r="F10" s="108">
        <v>0</v>
      </c>
      <c r="G10" s="133">
        <v>0</v>
      </c>
      <c r="H10" s="133">
        <v>0</v>
      </c>
      <c r="I10" s="6">
        <v>5</v>
      </c>
      <c r="J10" s="7">
        <v>3</v>
      </c>
      <c r="K10" s="8">
        <f t="shared" si="1"/>
        <v>8</v>
      </c>
      <c r="L10" s="8">
        <f t="shared" si="2"/>
        <v>4</v>
      </c>
      <c r="M10" s="8">
        <f t="shared" si="3"/>
        <v>4</v>
      </c>
      <c r="N10" s="8">
        <f t="shared" si="4"/>
        <v>0</v>
      </c>
      <c r="O10" s="9">
        <f t="shared" si="5"/>
        <v>0</v>
      </c>
      <c r="P10" s="10" cm="1">
        <f t="array" ref="P10">SUMPRODUCT(B10:H10*$B$3:$H$3)</f>
        <v>20</v>
      </c>
    </row>
    <row r="11" spans="1:21" ht="15.75" customHeight="1" thickBot="1" x14ac:dyDescent="0.25">
      <c r="A11" s="5" t="str">
        <f t="shared" si="0"/>
        <v>1 x Familiale</v>
      </c>
      <c r="B11" s="108" t="s">
        <v>397</v>
      </c>
      <c r="C11" s="108">
        <v>0</v>
      </c>
      <c r="D11" s="108">
        <v>0</v>
      </c>
      <c r="E11" s="108">
        <v>0</v>
      </c>
      <c r="F11" s="108">
        <v>0</v>
      </c>
      <c r="G11" s="133">
        <v>0</v>
      </c>
      <c r="H11" s="133">
        <v>0</v>
      </c>
      <c r="I11" s="6">
        <v>2</v>
      </c>
      <c r="J11" s="7">
        <v>2</v>
      </c>
      <c r="K11" s="8">
        <f t="shared" si="1"/>
        <v>4</v>
      </c>
      <c r="L11" s="8">
        <f t="shared" si="2"/>
        <v>2</v>
      </c>
      <c r="M11" s="8">
        <f t="shared" si="3"/>
        <v>2</v>
      </c>
      <c r="N11" s="8">
        <f t="shared" si="4"/>
        <v>0</v>
      </c>
      <c r="O11" s="9">
        <f t="shared" si="5"/>
        <v>0</v>
      </c>
      <c r="P11" s="10" cm="1">
        <f t="array" ref="P11">SUMPRODUCT(B11:H11*$B$3:$H$3)</f>
        <v>10</v>
      </c>
    </row>
    <row r="12" spans="1:21" ht="15.75" customHeight="1" thickBot="1" x14ac:dyDescent="0.25">
      <c r="A12" s="5" t="str">
        <f t="shared" si="0"/>
        <v>1 x Familiale</v>
      </c>
      <c r="B12" s="108" t="s">
        <v>397</v>
      </c>
      <c r="C12" s="108">
        <v>0</v>
      </c>
      <c r="D12" s="108">
        <v>0</v>
      </c>
      <c r="E12" s="108">
        <v>0</v>
      </c>
      <c r="F12" s="108">
        <v>0</v>
      </c>
      <c r="G12" s="133">
        <v>0</v>
      </c>
      <c r="H12" s="133">
        <v>0</v>
      </c>
      <c r="I12" s="6">
        <v>2</v>
      </c>
      <c r="J12" s="7">
        <v>2</v>
      </c>
      <c r="K12" s="8">
        <f t="shared" si="1"/>
        <v>4</v>
      </c>
      <c r="L12" s="8">
        <f t="shared" si="2"/>
        <v>2</v>
      </c>
      <c r="M12" s="8">
        <f t="shared" si="3"/>
        <v>2</v>
      </c>
      <c r="N12" s="8">
        <f t="shared" si="4"/>
        <v>0</v>
      </c>
      <c r="O12" s="9">
        <f t="shared" si="5"/>
        <v>0</v>
      </c>
      <c r="P12" s="10" cm="1">
        <f t="array" ref="P12">SUMPRODUCT(B12:H12*$B$3:$H$3)</f>
        <v>10</v>
      </c>
    </row>
    <row r="13" spans="1:21" ht="15.75" customHeight="1" thickBot="1" x14ac:dyDescent="0.25">
      <c r="A13" s="5" t="str">
        <f t="shared" si="0"/>
        <v>1 x Familiale</v>
      </c>
      <c r="B13" s="108" t="s">
        <v>397</v>
      </c>
      <c r="C13" s="108">
        <v>0</v>
      </c>
      <c r="D13" s="108">
        <v>0</v>
      </c>
      <c r="E13" s="108">
        <v>0</v>
      </c>
      <c r="F13" s="108">
        <v>0</v>
      </c>
      <c r="G13" s="133">
        <v>0</v>
      </c>
      <c r="H13" s="133">
        <v>0</v>
      </c>
      <c r="I13" s="6">
        <v>4</v>
      </c>
      <c r="J13" s="7">
        <v>0</v>
      </c>
      <c r="K13" s="8">
        <f t="shared" si="1"/>
        <v>4</v>
      </c>
      <c r="L13" s="8">
        <f t="shared" si="2"/>
        <v>2</v>
      </c>
      <c r="M13" s="8">
        <f t="shared" si="3"/>
        <v>2</v>
      </c>
      <c r="N13" s="8">
        <f t="shared" si="4"/>
        <v>0</v>
      </c>
      <c r="O13" s="9">
        <f t="shared" si="5"/>
        <v>0</v>
      </c>
      <c r="P13" s="10" cm="1">
        <f t="array" ref="P13">SUMPRODUCT(B13:H13*$B$3:$H$3)</f>
        <v>10</v>
      </c>
    </row>
    <row r="14" spans="1:21" ht="15.75" customHeight="1" thickBot="1" x14ac:dyDescent="0.25">
      <c r="A14" s="11" t="str">
        <f t="shared" si="0"/>
        <v>1 x Familiale</v>
      </c>
      <c r="B14" s="109" t="s">
        <v>397</v>
      </c>
      <c r="C14" s="109">
        <v>0</v>
      </c>
      <c r="D14" s="109">
        <v>0</v>
      </c>
      <c r="E14" s="109">
        <v>0</v>
      </c>
      <c r="F14" s="109">
        <v>0</v>
      </c>
      <c r="G14" s="134">
        <v>0</v>
      </c>
      <c r="H14" s="134">
        <v>0</v>
      </c>
      <c r="I14" s="12">
        <v>2</v>
      </c>
      <c r="J14" s="13">
        <v>2</v>
      </c>
      <c r="K14" s="14">
        <f t="shared" si="1"/>
        <v>4</v>
      </c>
      <c r="L14" s="14">
        <f t="shared" si="2"/>
        <v>2</v>
      </c>
      <c r="M14" s="14">
        <f t="shared" si="3"/>
        <v>2</v>
      </c>
      <c r="N14" s="14">
        <f t="shared" si="4"/>
        <v>0</v>
      </c>
      <c r="O14" s="15">
        <f t="shared" si="5"/>
        <v>0</v>
      </c>
      <c r="P14" s="10" cm="1">
        <f t="array" ref="P14">SUMPRODUCT(B14:H14*$B$3:$H$3)</f>
        <v>10</v>
      </c>
    </row>
    <row r="15" spans="1:21" ht="15.75" customHeight="1" thickBot="1" x14ac:dyDescent="0.25">
      <c r="A15" s="16" t="str">
        <f t="shared" si="0"/>
        <v>1 x Familiale</v>
      </c>
      <c r="B15" s="110" t="s">
        <v>397</v>
      </c>
      <c r="C15" s="110">
        <v>0</v>
      </c>
      <c r="D15" s="110">
        <v>0</v>
      </c>
      <c r="E15" s="110">
        <v>2</v>
      </c>
      <c r="F15" s="110">
        <v>0</v>
      </c>
      <c r="G15" s="135">
        <v>0</v>
      </c>
      <c r="H15" s="135">
        <v>2</v>
      </c>
      <c r="I15" s="17">
        <v>3</v>
      </c>
      <c r="J15" s="18">
        <v>3</v>
      </c>
      <c r="K15" s="14">
        <f t="shared" si="1"/>
        <v>6</v>
      </c>
      <c r="L15" s="14">
        <f t="shared" si="2"/>
        <v>2</v>
      </c>
      <c r="M15" s="14">
        <f t="shared" si="3"/>
        <v>2</v>
      </c>
      <c r="N15" s="14">
        <f t="shared" si="4"/>
        <v>0</v>
      </c>
      <c r="O15" s="15">
        <f t="shared" si="5"/>
        <v>24</v>
      </c>
      <c r="P15" s="10" cm="1">
        <f t="array" ref="P15">SUMPRODUCT(B15:H15*$B$3:$H$3)</f>
        <v>17</v>
      </c>
    </row>
    <row r="16" spans="1:21" ht="15.75" customHeight="1" thickBot="1" x14ac:dyDescent="0.25">
      <c r="A16" s="16" t="str">
        <f t="shared" si="0"/>
        <v>1 x P'tite Faim</v>
      </c>
      <c r="B16" s="110">
        <v>0</v>
      </c>
      <c r="C16" s="110">
        <v>0</v>
      </c>
      <c r="D16" s="110" t="s">
        <v>397</v>
      </c>
      <c r="E16" s="110">
        <v>2</v>
      </c>
      <c r="F16" s="110">
        <v>0</v>
      </c>
      <c r="G16" s="135">
        <v>0</v>
      </c>
      <c r="H16" s="135">
        <v>0</v>
      </c>
      <c r="I16" s="17">
        <v>0</v>
      </c>
      <c r="J16" s="18">
        <v>4</v>
      </c>
      <c r="K16" s="14">
        <f t="shared" si="1"/>
        <v>4</v>
      </c>
      <c r="L16" s="14">
        <f t="shared" si="2"/>
        <v>1</v>
      </c>
      <c r="M16" s="14">
        <f t="shared" si="3"/>
        <v>0</v>
      </c>
      <c r="N16" s="14">
        <f t="shared" si="4"/>
        <v>0</v>
      </c>
      <c r="O16" s="15">
        <f t="shared" si="5"/>
        <v>0</v>
      </c>
      <c r="P16" s="10" cm="1">
        <f t="array" ref="P16">SUMPRODUCT(B16:H16*$B$3:$H$3)</f>
        <v>6.5</v>
      </c>
    </row>
    <row r="17" spans="1:16" ht="15.75" customHeight="1" thickBot="1" x14ac:dyDescent="0.25">
      <c r="A17" s="16" t="str">
        <f t="shared" si="0"/>
        <v>1 x P'tit Déj'</v>
      </c>
      <c r="B17" s="110">
        <v>0</v>
      </c>
      <c r="C17" s="110" t="s">
        <v>397</v>
      </c>
      <c r="D17" s="110">
        <v>0</v>
      </c>
      <c r="E17" s="110">
        <v>0</v>
      </c>
      <c r="F17" s="110">
        <v>0</v>
      </c>
      <c r="G17" s="135">
        <v>0</v>
      </c>
      <c r="H17" s="135">
        <v>0</v>
      </c>
      <c r="I17" s="17">
        <v>0</v>
      </c>
      <c r="J17" s="18">
        <v>2</v>
      </c>
      <c r="K17" s="14">
        <f t="shared" si="1"/>
        <v>2</v>
      </c>
      <c r="L17" s="14">
        <f t="shared" si="2"/>
        <v>2</v>
      </c>
      <c r="M17" s="14">
        <f t="shared" si="3"/>
        <v>0</v>
      </c>
      <c r="N17" s="14">
        <f t="shared" si="4"/>
        <v>0</v>
      </c>
      <c r="O17" s="15">
        <f t="shared" si="5"/>
        <v>12</v>
      </c>
      <c r="P17" s="10" cm="1">
        <f t="array" ref="P17">SUMPRODUCT(B17:H17*$B$3:$H$3)</f>
        <v>6.5</v>
      </c>
    </row>
    <row r="18" spans="1:16" ht="15.75" customHeight="1" thickBot="1" x14ac:dyDescent="0.25">
      <c r="A18" s="11" t="str">
        <f t="shared" si="0"/>
        <v>1 x P'tite Faim</v>
      </c>
      <c r="B18" s="109">
        <v>0</v>
      </c>
      <c r="C18" s="109">
        <v>0</v>
      </c>
      <c r="D18" s="109" t="s">
        <v>397</v>
      </c>
      <c r="E18" s="109">
        <v>0</v>
      </c>
      <c r="F18" s="109">
        <v>0</v>
      </c>
      <c r="G18" s="134">
        <v>0</v>
      </c>
      <c r="H18" s="134">
        <v>0</v>
      </c>
      <c r="I18" s="12">
        <v>0</v>
      </c>
      <c r="J18" s="13">
        <v>2</v>
      </c>
      <c r="K18" s="14">
        <f t="shared" si="1"/>
        <v>2</v>
      </c>
      <c r="L18" s="14">
        <f t="shared" si="2"/>
        <v>1</v>
      </c>
      <c r="M18" s="14">
        <f t="shared" si="3"/>
        <v>0</v>
      </c>
      <c r="N18" s="14">
        <f t="shared" si="4"/>
        <v>0</v>
      </c>
      <c r="O18" s="15">
        <f t="shared" si="5"/>
        <v>0</v>
      </c>
      <c r="P18" s="10" cm="1">
        <f t="array" ref="P18">SUMPRODUCT(B18:H18*$B$3:$H$3)</f>
        <v>4.5</v>
      </c>
    </row>
    <row r="19" spans="1:16" ht="15.75" customHeight="1" thickBot="1" x14ac:dyDescent="0.25">
      <c r="A19" s="11" t="str">
        <f t="shared" si="0"/>
        <v>1 x P'tite Faim</v>
      </c>
      <c r="B19" s="109">
        <v>0</v>
      </c>
      <c r="C19" s="109">
        <v>0</v>
      </c>
      <c r="D19" s="109" t="s">
        <v>397</v>
      </c>
      <c r="E19" s="109">
        <v>0</v>
      </c>
      <c r="F19" s="109">
        <v>0</v>
      </c>
      <c r="G19" s="134">
        <v>0</v>
      </c>
      <c r="H19" s="134">
        <v>1</v>
      </c>
      <c r="I19" s="12">
        <v>0</v>
      </c>
      <c r="J19" s="13">
        <v>2</v>
      </c>
      <c r="K19" s="14">
        <f t="shared" si="1"/>
        <v>2</v>
      </c>
      <c r="L19" s="14">
        <f t="shared" si="2"/>
        <v>1</v>
      </c>
      <c r="M19" s="14">
        <f t="shared" si="3"/>
        <v>0</v>
      </c>
      <c r="N19" s="14">
        <f t="shared" si="4"/>
        <v>0</v>
      </c>
      <c r="O19" s="15">
        <f t="shared" si="5"/>
        <v>12</v>
      </c>
      <c r="P19" s="10" cm="1">
        <f t="array" ref="P19">SUMPRODUCT(B19:H19*$B$3:$H$3)</f>
        <v>7</v>
      </c>
    </row>
    <row r="20" spans="1:16" ht="15.75" customHeight="1" thickBot="1" x14ac:dyDescent="0.25">
      <c r="A20" s="11" t="str">
        <f t="shared" si="0"/>
        <v>1 x P'tit Déj'</v>
      </c>
      <c r="B20" s="109">
        <v>0</v>
      </c>
      <c r="C20" s="109" t="s">
        <v>397</v>
      </c>
      <c r="D20" s="109">
        <v>0</v>
      </c>
      <c r="E20" s="109">
        <v>0</v>
      </c>
      <c r="F20" s="109">
        <v>0</v>
      </c>
      <c r="G20" s="134">
        <v>0</v>
      </c>
      <c r="H20" s="134">
        <v>0</v>
      </c>
      <c r="I20" s="12">
        <v>0</v>
      </c>
      <c r="J20" s="13">
        <v>2</v>
      </c>
      <c r="K20" s="14">
        <f t="shared" si="1"/>
        <v>2</v>
      </c>
      <c r="L20" s="14">
        <f t="shared" si="2"/>
        <v>2</v>
      </c>
      <c r="M20" s="14">
        <f t="shared" si="3"/>
        <v>0</v>
      </c>
      <c r="N20" s="14">
        <f t="shared" si="4"/>
        <v>0</v>
      </c>
      <c r="O20" s="15">
        <f t="shared" si="5"/>
        <v>12</v>
      </c>
      <c r="P20" s="10" cm="1">
        <f t="array" ref="P20">SUMPRODUCT(B20:H20*$B$3:$H$3)</f>
        <v>6.5</v>
      </c>
    </row>
    <row r="21" spans="1:16" ht="15.75" customHeight="1" thickBot="1" x14ac:dyDescent="0.25">
      <c r="A21" s="11" t="str">
        <f t="shared" si="0"/>
        <v>1 x P'tit Déj'</v>
      </c>
      <c r="B21" s="111">
        <v>0</v>
      </c>
      <c r="C21" s="111" t="s">
        <v>397</v>
      </c>
      <c r="D21" s="111">
        <v>0</v>
      </c>
      <c r="E21" s="111">
        <v>0</v>
      </c>
      <c r="F21" s="111">
        <v>0</v>
      </c>
      <c r="G21" s="136">
        <v>0</v>
      </c>
      <c r="H21" s="136">
        <v>0</v>
      </c>
      <c r="I21" s="19">
        <v>1</v>
      </c>
      <c r="J21" s="20">
        <v>1</v>
      </c>
      <c r="K21" s="14">
        <f t="shared" si="1"/>
        <v>2</v>
      </c>
      <c r="L21" s="14">
        <f t="shared" si="2"/>
        <v>2</v>
      </c>
      <c r="M21" s="14">
        <f t="shared" si="3"/>
        <v>0</v>
      </c>
      <c r="N21" s="14">
        <f t="shared" si="4"/>
        <v>0</v>
      </c>
      <c r="O21" s="15">
        <f t="shared" si="5"/>
        <v>12</v>
      </c>
      <c r="P21" s="10" cm="1">
        <f t="array" ref="P21">SUMPRODUCT(B21:H21*$B$3:$H$3)</f>
        <v>6.5</v>
      </c>
    </row>
    <row r="22" spans="1:16" ht="15.75" customHeight="1" thickBot="1" x14ac:dyDescent="0.25">
      <c r="A22" s="16" t="str">
        <f t="shared" si="0"/>
        <v>1 x Familiale</v>
      </c>
      <c r="B22" s="110" t="s">
        <v>397</v>
      </c>
      <c r="C22" s="110">
        <v>0</v>
      </c>
      <c r="D22" s="110">
        <v>0</v>
      </c>
      <c r="E22" s="110">
        <v>0</v>
      </c>
      <c r="F22" s="110">
        <v>0</v>
      </c>
      <c r="G22" s="135">
        <v>1</v>
      </c>
      <c r="H22" s="135">
        <v>1</v>
      </c>
      <c r="I22" s="17">
        <v>2</v>
      </c>
      <c r="J22" s="18">
        <v>2</v>
      </c>
      <c r="K22" s="14">
        <f t="shared" si="1"/>
        <v>4</v>
      </c>
      <c r="L22" s="14">
        <f t="shared" si="2"/>
        <v>2</v>
      </c>
      <c r="M22" s="14">
        <f t="shared" si="3"/>
        <v>2</v>
      </c>
      <c r="N22" s="14">
        <f t="shared" si="4"/>
        <v>1</v>
      </c>
      <c r="O22" s="15">
        <f t="shared" si="5"/>
        <v>12</v>
      </c>
      <c r="P22" s="10" cm="1">
        <f t="array" ref="P22">SUMPRODUCT(B22:H22*$B$3:$H$3)</f>
        <v>14.5</v>
      </c>
    </row>
    <row r="23" spans="1:16" ht="15.75" customHeight="1" thickBot="1" x14ac:dyDescent="0.25">
      <c r="A23" s="11" t="str">
        <f t="shared" si="0"/>
        <v>1 x P'tite Faim</v>
      </c>
      <c r="B23" s="111">
        <v>0</v>
      </c>
      <c r="C23" s="111">
        <v>0</v>
      </c>
      <c r="D23" s="111" t="s">
        <v>397</v>
      </c>
      <c r="E23" s="111">
        <v>0</v>
      </c>
      <c r="F23" s="111">
        <v>1</v>
      </c>
      <c r="G23" s="136">
        <v>0</v>
      </c>
      <c r="H23" s="136">
        <v>0</v>
      </c>
      <c r="I23" s="19">
        <v>0</v>
      </c>
      <c r="J23" s="20">
        <v>2</v>
      </c>
      <c r="K23" s="14">
        <f t="shared" si="1"/>
        <v>2</v>
      </c>
      <c r="L23" s="14">
        <f t="shared" si="2"/>
        <v>1</v>
      </c>
      <c r="M23" s="14">
        <f t="shared" si="3"/>
        <v>1</v>
      </c>
      <c r="N23" s="14">
        <f t="shared" si="4"/>
        <v>0</v>
      </c>
      <c r="O23" s="15">
        <f t="shared" si="5"/>
        <v>0</v>
      </c>
      <c r="P23" s="10" cm="1">
        <f t="array" ref="P23">SUMPRODUCT(B23:H23*$B$3:$H$3)</f>
        <v>10</v>
      </c>
    </row>
    <row r="24" spans="1:16" ht="15.75" customHeight="1" thickBot="1" x14ac:dyDescent="0.25">
      <c r="A24" s="11" t="str">
        <f t="shared" si="0"/>
        <v>1 x P'tite Faim</v>
      </c>
      <c r="B24" s="111">
        <v>0</v>
      </c>
      <c r="C24" s="111">
        <v>0</v>
      </c>
      <c r="D24" s="111" t="s">
        <v>397</v>
      </c>
      <c r="E24" s="111">
        <v>0</v>
      </c>
      <c r="F24" s="111">
        <v>0</v>
      </c>
      <c r="G24" s="136">
        <v>0</v>
      </c>
      <c r="H24" s="136">
        <v>0</v>
      </c>
      <c r="I24" s="19">
        <v>1</v>
      </c>
      <c r="J24" s="20">
        <v>1</v>
      </c>
      <c r="K24" s="14">
        <f t="shared" si="1"/>
        <v>2</v>
      </c>
      <c r="L24" s="14">
        <f t="shared" si="2"/>
        <v>1</v>
      </c>
      <c r="M24" s="14">
        <f t="shared" si="3"/>
        <v>0</v>
      </c>
      <c r="N24" s="14">
        <f t="shared" si="4"/>
        <v>0</v>
      </c>
      <c r="O24" s="15">
        <f t="shared" si="5"/>
        <v>0</v>
      </c>
      <c r="P24" s="10" cm="1">
        <f t="array" ref="P24">SUMPRODUCT(B24:H24*$B$3:$H$3)</f>
        <v>4.5</v>
      </c>
    </row>
    <row r="25" spans="1:16" ht="15.75" customHeight="1" thickBot="1" x14ac:dyDescent="0.25">
      <c r="A25" s="16" t="str">
        <f t="shared" si="0"/>
        <v>1 x Familiale</v>
      </c>
      <c r="B25" s="110" t="s">
        <v>397</v>
      </c>
      <c r="C25" s="110">
        <v>0</v>
      </c>
      <c r="D25" s="110">
        <v>0</v>
      </c>
      <c r="E25" s="110">
        <v>1</v>
      </c>
      <c r="F25" s="110">
        <v>0</v>
      </c>
      <c r="G25" s="135">
        <v>1</v>
      </c>
      <c r="H25" s="135">
        <v>0</v>
      </c>
      <c r="I25" s="17">
        <v>2</v>
      </c>
      <c r="J25" s="18">
        <v>3</v>
      </c>
      <c r="K25" s="14">
        <f t="shared" si="1"/>
        <v>5</v>
      </c>
      <c r="L25" s="14">
        <f t="shared" si="2"/>
        <v>2</v>
      </c>
      <c r="M25" s="14">
        <f t="shared" si="3"/>
        <v>2</v>
      </c>
      <c r="N25" s="14">
        <f t="shared" si="4"/>
        <v>1</v>
      </c>
      <c r="O25" s="15">
        <f t="shared" si="5"/>
        <v>0</v>
      </c>
      <c r="P25" s="10" cm="1">
        <f t="array" ref="P25">SUMPRODUCT(B25:H25*$B$3:$H$3)</f>
        <v>13</v>
      </c>
    </row>
    <row r="26" spans="1:16" ht="15.75" customHeight="1" thickBot="1" x14ac:dyDescent="0.25">
      <c r="A26" s="21" t="str">
        <f t="shared" si="0"/>
        <v>1 x Familiale</v>
      </c>
      <c r="B26" s="112" t="s">
        <v>397</v>
      </c>
      <c r="C26" s="112">
        <v>0</v>
      </c>
      <c r="D26" s="112">
        <v>0</v>
      </c>
      <c r="E26" s="112">
        <v>1</v>
      </c>
      <c r="F26" s="112">
        <v>0</v>
      </c>
      <c r="G26" s="137">
        <v>0</v>
      </c>
      <c r="H26" s="137">
        <v>1</v>
      </c>
      <c r="I26" s="22">
        <v>0</v>
      </c>
      <c r="J26" s="23">
        <v>5</v>
      </c>
      <c r="K26" s="24">
        <f t="shared" si="1"/>
        <v>5</v>
      </c>
      <c r="L26" s="24">
        <f t="shared" si="2"/>
        <v>2</v>
      </c>
      <c r="M26" s="24">
        <f t="shared" si="3"/>
        <v>2</v>
      </c>
      <c r="N26" s="24">
        <f t="shared" si="4"/>
        <v>0</v>
      </c>
      <c r="O26" s="25">
        <f t="shared" si="5"/>
        <v>12</v>
      </c>
      <c r="P26" s="10" cm="1">
        <f t="array" ref="P26">SUMPRODUCT(B26:H26*$B$3:$H$3)</f>
        <v>13.5</v>
      </c>
    </row>
    <row r="27" spans="1:16" ht="15.75" customHeight="1" thickBot="1" x14ac:dyDescent="0.25">
      <c r="A27" s="21" t="str">
        <f t="shared" si="0"/>
        <v>1 x P'tit Déj'</v>
      </c>
      <c r="B27" s="112">
        <v>0</v>
      </c>
      <c r="C27" s="112" t="s">
        <v>397</v>
      </c>
      <c r="D27" s="112">
        <v>0</v>
      </c>
      <c r="E27" s="112">
        <v>1</v>
      </c>
      <c r="F27" s="112">
        <v>0</v>
      </c>
      <c r="G27" s="137">
        <v>0</v>
      </c>
      <c r="H27" s="137">
        <v>0</v>
      </c>
      <c r="I27" s="22">
        <v>1</v>
      </c>
      <c r="J27" s="23">
        <v>2</v>
      </c>
      <c r="K27" s="24">
        <f t="shared" si="1"/>
        <v>3</v>
      </c>
      <c r="L27" s="24">
        <f t="shared" si="2"/>
        <v>2</v>
      </c>
      <c r="M27" s="24">
        <f t="shared" si="3"/>
        <v>0</v>
      </c>
      <c r="N27" s="24">
        <f t="shared" si="4"/>
        <v>0</v>
      </c>
      <c r="O27" s="25">
        <f t="shared" si="5"/>
        <v>12</v>
      </c>
      <c r="P27" s="10" cm="1">
        <f t="array" ref="P27">SUMPRODUCT(B27:H27*$B$3:$H$3)</f>
        <v>7.5</v>
      </c>
    </row>
    <row r="28" spans="1:16" ht="15.75" customHeight="1" thickBot="1" x14ac:dyDescent="0.25">
      <c r="A28" s="26" t="str">
        <f t="shared" si="0"/>
        <v>1 x P'tit Déj'</v>
      </c>
      <c r="B28" s="113">
        <v>0</v>
      </c>
      <c r="C28" s="113" t="s">
        <v>397</v>
      </c>
      <c r="D28" s="113">
        <v>0</v>
      </c>
      <c r="E28" s="113">
        <v>0</v>
      </c>
      <c r="F28" s="113">
        <v>0</v>
      </c>
      <c r="G28" s="138">
        <v>0</v>
      </c>
      <c r="H28" s="138">
        <v>0</v>
      </c>
      <c r="I28" s="27">
        <v>2</v>
      </c>
      <c r="J28" s="28">
        <v>0</v>
      </c>
      <c r="K28" s="24">
        <f t="shared" si="1"/>
        <v>2</v>
      </c>
      <c r="L28" s="24">
        <f t="shared" si="2"/>
        <v>2</v>
      </c>
      <c r="M28" s="24">
        <f t="shared" si="3"/>
        <v>0</v>
      </c>
      <c r="N28" s="24">
        <f t="shared" si="4"/>
        <v>0</v>
      </c>
      <c r="O28" s="25">
        <f t="shared" si="5"/>
        <v>12</v>
      </c>
      <c r="P28" s="10" cm="1">
        <f t="array" ref="P28">SUMPRODUCT(B28:H28*$B$3:$H$3)</f>
        <v>6.5</v>
      </c>
    </row>
    <row r="29" spans="1:16" ht="15.75" customHeight="1" thickBot="1" x14ac:dyDescent="0.25">
      <c r="A29" s="29" t="str">
        <f t="shared" si="0"/>
        <v>1 x Familiale</v>
      </c>
      <c r="B29" s="114" t="s">
        <v>397</v>
      </c>
      <c r="C29" s="114">
        <v>0</v>
      </c>
      <c r="D29" s="114">
        <v>0</v>
      </c>
      <c r="E29" s="114">
        <v>0</v>
      </c>
      <c r="F29" s="114">
        <v>0</v>
      </c>
      <c r="G29" s="139">
        <v>0</v>
      </c>
      <c r="H29" s="139">
        <v>0</v>
      </c>
      <c r="I29" s="30">
        <v>2</v>
      </c>
      <c r="J29" s="31">
        <v>2</v>
      </c>
      <c r="K29" s="24">
        <f t="shared" si="1"/>
        <v>4</v>
      </c>
      <c r="L29" s="24">
        <f t="shared" si="2"/>
        <v>2</v>
      </c>
      <c r="M29" s="24">
        <f t="shared" si="3"/>
        <v>2</v>
      </c>
      <c r="N29" s="24">
        <f t="shared" si="4"/>
        <v>0</v>
      </c>
      <c r="O29" s="25">
        <f t="shared" si="5"/>
        <v>0</v>
      </c>
      <c r="P29" s="10" cm="1">
        <f t="array" ref="P29">SUMPRODUCT(B29:H29*$B$3:$H$3)</f>
        <v>10</v>
      </c>
    </row>
    <row r="30" spans="1:16" ht="15.75" customHeight="1" thickBot="1" x14ac:dyDescent="0.25">
      <c r="A30" s="21" t="str">
        <f t="shared" si="0"/>
        <v>1 x Familiale</v>
      </c>
      <c r="B30" s="112" t="s">
        <v>397</v>
      </c>
      <c r="C30" s="112">
        <v>0</v>
      </c>
      <c r="D30" s="112">
        <v>0</v>
      </c>
      <c r="E30" s="112">
        <v>4</v>
      </c>
      <c r="F30" s="112">
        <v>0</v>
      </c>
      <c r="G30" s="137">
        <v>0</v>
      </c>
      <c r="H30" s="137">
        <v>0</v>
      </c>
      <c r="I30" s="22">
        <v>4</v>
      </c>
      <c r="J30" s="23">
        <v>4</v>
      </c>
      <c r="K30" s="24">
        <f t="shared" si="1"/>
        <v>8</v>
      </c>
      <c r="L30" s="24">
        <f t="shared" si="2"/>
        <v>2</v>
      </c>
      <c r="M30" s="24">
        <f t="shared" si="3"/>
        <v>2</v>
      </c>
      <c r="N30" s="24">
        <f t="shared" si="4"/>
        <v>0</v>
      </c>
      <c r="O30" s="25">
        <f t="shared" si="5"/>
        <v>0</v>
      </c>
      <c r="P30" s="10" cm="1">
        <f t="array" ref="P30">SUMPRODUCT(B30:H30*$B$3:$H$3)</f>
        <v>14</v>
      </c>
    </row>
    <row r="31" spans="1:16" ht="15.75" customHeight="1" thickBot="1" x14ac:dyDescent="0.25">
      <c r="A31" s="21" t="str">
        <f t="shared" si="0"/>
        <v>1 x Familiale</v>
      </c>
      <c r="B31" s="112" t="s">
        <v>397</v>
      </c>
      <c r="C31" s="112">
        <v>0</v>
      </c>
      <c r="D31" s="112">
        <v>0</v>
      </c>
      <c r="E31" s="112">
        <v>3</v>
      </c>
      <c r="F31" s="112">
        <v>0</v>
      </c>
      <c r="G31" s="137">
        <v>0</v>
      </c>
      <c r="H31" s="137">
        <v>1</v>
      </c>
      <c r="I31" s="22">
        <v>5</v>
      </c>
      <c r="J31" s="23">
        <v>2</v>
      </c>
      <c r="K31" s="24">
        <f t="shared" si="1"/>
        <v>7</v>
      </c>
      <c r="L31" s="24">
        <f t="shared" si="2"/>
        <v>2</v>
      </c>
      <c r="M31" s="24">
        <f t="shared" si="3"/>
        <v>2</v>
      </c>
      <c r="N31" s="24">
        <f t="shared" si="4"/>
        <v>0</v>
      </c>
      <c r="O31" s="25">
        <f t="shared" si="5"/>
        <v>12</v>
      </c>
      <c r="P31" s="10" cm="1">
        <f t="array" ref="P31">SUMPRODUCT(B31:H31*$B$3:$H$3)</f>
        <v>15.5</v>
      </c>
    </row>
    <row r="32" spans="1:16" ht="15.75" customHeight="1" thickBot="1" x14ac:dyDescent="0.25">
      <c r="A32" s="21" t="str">
        <f t="shared" si="0"/>
        <v>1 x Familiale</v>
      </c>
      <c r="B32" s="112" t="s">
        <v>397</v>
      </c>
      <c r="C32" s="112">
        <v>0</v>
      </c>
      <c r="D32" s="112">
        <v>0</v>
      </c>
      <c r="E32" s="112">
        <v>4</v>
      </c>
      <c r="F32" s="112">
        <v>0</v>
      </c>
      <c r="G32" s="137">
        <v>0</v>
      </c>
      <c r="H32" s="137">
        <v>0</v>
      </c>
      <c r="I32" s="22">
        <v>4</v>
      </c>
      <c r="J32" s="23">
        <v>4</v>
      </c>
      <c r="K32" s="24">
        <f t="shared" si="1"/>
        <v>8</v>
      </c>
      <c r="L32" s="24">
        <f t="shared" si="2"/>
        <v>2</v>
      </c>
      <c r="M32" s="24">
        <f t="shared" si="3"/>
        <v>2</v>
      </c>
      <c r="N32" s="24">
        <f t="shared" si="4"/>
        <v>0</v>
      </c>
      <c r="O32" s="25">
        <f t="shared" si="5"/>
        <v>0</v>
      </c>
      <c r="P32" s="10" cm="1">
        <f t="array" ref="P32">SUMPRODUCT(B32:H32*$B$3:$H$3)</f>
        <v>14</v>
      </c>
    </row>
    <row r="33" spans="1:16" ht="15.75" customHeight="1" thickBot="1" x14ac:dyDescent="0.25">
      <c r="A33" s="26" t="str">
        <f t="shared" si="0"/>
        <v>1 x Familiale</v>
      </c>
      <c r="B33" s="113" t="s">
        <v>397</v>
      </c>
      <c r="C33" s="113">
        <v>0</v>
      </c>
      <c r="D33" s="113">
        <v>0</v>
      </c>
      <c r="E33" s="113">
        <v>4</v>
      </c>
      <c r="F33" s="113">
        <v>0</v>
      </c>
      <c r="G33" s="138">
        <v>0</v>
      </c>
      <c r="H33" s="138">
        <v>0</v>
      </c>
      <c r="I33" s="27">
        <v>4</v>
      </c>
      <c r="J33" s="28">
        <v>4</v>
      </c>
      <c r="K33" s="24">
        <f t="shared" si="1"/>
        <v>8</v>
      </c>
      <c r="L33" s="24">
        <f t="shared" si="2"/>
        <v>2</v>
      </c>
      <c r="M33" s="24">
        <f t="shared" si="3"/>
        <v>2</v>
      </c>
      <c r="N33" s="24">
        <f t="shared" si="4"/>
        <v>0</v>
      </c>
      <c r="O33" s="25">
        <f t="shared" si="5"/>
        <v>0</v>
      </c>
      <c r="P33" s="10" cm="1">
        <f t="array" ref="P33">SUMPRODUCT(B33:H33*$B$3:$H$3)</f>
        <v>14</v>
      </c>
    </row>
    <row r="34" spans="1:16" ht="15.75" customHeight="1" thickBot="1" x14ac:dyDescent="0.25">
      <c r="A34" s="21" t="str">
        <f t="shared" si="0"/>
        <v>1 x P'tit Déj'</v>
      </c>
      <c r="B34" s="112">
        <v>0</v>
      </c>
      <c r="C34" s="112" t="s">
        <v>397</v>
      </c>
      <c r="D34" s="112">
        <v>0</v>
      </c>
      <c r="E34" s="112">
        <v>2</v>
      </c>
      <c r="F34" s="112">
        <v>1</v>
      </c>
      <c r="G34" s="137">
        <v>0</v>
      </c>
      <c r="H34" s="137">
        <v>0</v>
      </c>
      <c r="I34" s="22">
        <v>2</v>
      </c>
      <c r="J34" s="23">
        <v>2</v>
      </c>
      <c r="K34" s="24">
        <f t="shared" si="1"/>
        <v>4</v>
      </c>
      <c r="L34" s="24">
        <f t="shared" si="2"/>
        <v>2</v>
      </c>
      <c r="M34" s="24">
        <f t="shared" si="3"/>
        <v>1</v>
      </c>
      <c r="N34" s="24">
        <f t="shared" si="4"/>
        <v>0</v>
      </c>
      <c r="O34" s="25">
        <f t="shared" si="5"/>
        <v>12</v>
      </c>
      <c r="P34" s="10" cm="1">
        <f t="array" ref="P34">SUMPRODUCT(B34:H34*$B$3:$H$3)</f>
        <v>14</v>
      </c>
    </row>
    <row r="35" spans="1:16" ht="15.75" customHeight="1" thickBot="1" x14ac:dyDescent="0.25">
      <c r="A35" s="32" t="str">
        <f t="shared" si="0"/>
        <v>1 x Familiale</v>
      </c>
      <c r="B35" s="115" t="s">
        <v>397</v>
      </c>
      <c r="C35" s="115">
        <v>0</v>
      </c>
      <c r="D35" s="115">
        <v>0</v>
      </c>
      <c r="E35" s="115">
        <v>0</v>
      </c>
      <c r="F35" s="115">
        <v>0</v>
      </c>
      <c r="G35" s="140">
        <v>1</v>
      </c>
      <c r="H35" s="140">
        <v>0</v>
      </c>
      <c r="I35" s="33">
        <v>0</v>
      </c>
      <c r="J35" s="34">
        <v>0</v>
      </c>
      <c r="K35" s="35">
        <f t="shared" si="1"/>
        <v>4</v>
      </c>
      <c r="L35" s="35">
        <f t="shared" si="2"/>
        <v>2</v>
      </c>
      <c r="M35" s="35">
        <f t="shared" si="3"/>
        <v>2</v>
      </c>
      <c r="N35" s="35">
        <f t="shared" si="4"/>
        <v>1</v>
      </c>
      <c r="O35" s="36">
        <f t="shared" si="5"/>
        <v>0</v>
      </c>
      <c r="P35" s="10" cm="1">
        <f t="array" ref="P35">SUMPRODUCT(B35:H35*$B$3:$H$3)</f>
        <v>12</v>
      </c>
    </row>
    <row r="36" spans="1:16" ht="15.75" customHeight="1" thickBot="1" x14ac:dyDescent="0.25">
      <c r="A36" s="37" t="str">
        <f t="shared" si="0"/>
        <v>1 x P'tit Déj'</v>
      </c>
      <c r="B36" s="116">
        <v>0</v>
      </c>
      <c r="C36" s="116" t="s">
        <v>397</v>
      </c>
      <c r="D36" s="116">
        <v>0</v>
      </c>
      <c r="E36" s="116">
        <v>0</v>
      </c>
      <c r="F36" s="116">
        <v>1</v>
      </c>
      <c r="G36" s="141">
        <v>0</v>
      </c>
      <c r="H36" s="141">
        <v>0</v>
      </c>
      <c r="I36" s="38">
        <v>1</v>
      </c>
      <c r="J36" s="39">
        <v>1</v>
      </c>
      <c r="K36" s="35">
        <f t="shared" si="1"/>
        <v>2</v>
      </c>
      <c r="L36" s="35">
        <f t="shared" si="2"/>
        <v>2</v>
      </c>
      <c r="M36" s="35">
        <f t="shared" si="3"/>
        <v>1</v>
      </c>
      <c r="N36" s="35">
        <f t="shared" si="4"/>
        <v>0</v>
      </c>
      <c r="O36" s="36">
        <f t="shared" si="5"/>
        <v>12</v>
      </c>
      <c r="P36" s="10" cm="1">
        <f t="array" ref="P36">SUMPRODUCT(B36:H36*$B$3:$H$3)</f>
        <v>12</v>
      </c>
    </row>
    <row r="37" spans="1:16" ht="15.75" customHeight="1" thickBot="1" x14ac:dyDescent="0.25">
      <c r="A37" s="32" t="str">
        <f t="shared" si="0"/>
        <v>1 x Familiale</v>
      </c>
      <c r="B37" s="115" t="s">
        <v>397</v>
      </c>
      <c r="C37" s="115">
        <v>0</v>
      </c>
      <c r="D37" s="115">
        <v>0</v>
      </c>
      <c r="E37" s="115">
        <v>0</v>
      </c>
      <c r="F37" s="115">
        <v>0</v>
      </c>
      <c r="G37" s="140">
        <v>0</v>
      </c>
      <c r="H37" s="140">
        <v>0</v>
      </c>
      <c r="I37" s="33">
        <v>2</v>
      </c>
      <c r="J37" s="34">
        <v>2</v>
      </c>
      <c r="K37" s="35">
        <f t="shared" si="1"/>
        <v>4</v>
      </c>
      <c r="L37" s="35">
        <f t="shared" si="2"/>
        <v>2</v>
      </c>
      <c r="M37" s="35">
        <f t="shared" si="3"/>
        <v>2</v>
      </c>
      <c r="N37" s="35">
        <f t="shared" si="4"/>
        <v>0</v>
      </c>
      <c r="O37" s="36">
        <f t="shared" si="5"/>
        <v>0</v>
      </c>
      <c r="P37" s="10" cm="1">
        <f t="array" ref="P37">SUMPRODUCT(B37:H37*$B$3:$H$3)</f>
        <v>10</v>
      </c>
    </row>
    <row r="38" spans="1:16" ht="15.75" customHeight="1" thickBot="1" x14ac:dyDescent="0.25">
      <c r="A38" s="32" t="str">
        <f t="shared" si="0"/>
        <v>2 x Familiale</v>
      </c>
      <c r="B38" s="115" t="s">
        <v>396</v>
      </c>
      <c r="C38" s="115">
        <v>0</v>
      </c>
      <c r="D38" s="115">
        <v>0</v>
      </c>
      <c r="E38" s="115">
        <v>0</v>
      </c>
      <c r="F38" s="115">
        <v>0</v>
      </c>
      <c r="G38" s="140">
        <v>0</v>
      </c>
      <c r="H38" s="140">
        <v>1</v>
      </c>
      <c r="I38" s="33">
        <v>0</v>
      </c>
      <c r="J38" s="34">
        <v>8</v>
      </c>
      <c r="K38" s="35">
        <f t="shared" si="1"/>
        <v>8</v>
      </c>
      <c r="L38" s="35">
        <f t="shared" si="2"/>
        <v>4</v>
      </c>
      <c r="M38" s="35">
        <f t="shared" si="3"/>
        <v>4</v>
      </c>
      <c r="N38" s="35">
        <f t="shared" si="4"/>
        <v>0</v>
      </c>
      <c r="O38" s="36">
        <f t="shared" si="5"/>
        <v>12</v>
      </c>
      <c r="P38" s="10" cm="1">
        <f t="array" ref="P38">SUMPRODUCT(B38:H38*$B$3:$H$3)</f>
        <v>22.5</v>
      </c>
    </row>
    <row r="39" spans="1:16" ht="15.75" customHeight="1" thickBot="1" x14ac:dyDescent="0.25">
      <c r="A39" s="32" t="str">
        <f t="shared" si="0"/>
        <v>2 x Familiale</v>
      </c>
      <c r="B39" s="115" t="s">
        <v>396</v>
      </c>
      <c r="C39" s="115">
        <v>0</v>
      </c>
      <c r="D39" s="115">
        <v>0</v>
      </c>
      <c r="E39" s="115">
        <v>0</v>
      </c>
      <c r="F39" s="115">
        <v>0</v>
      </c>
      <c r="G39" s="140">
        <v>0</v>
      </c>
      <c r="H39" s="140">
        <v>0</v>
      </c>
      <c r="I39" s="33">
        <v>4</v>
      </c>
      <c r="J39" s="34">
        <v>4</v>
      </c>
      <c r="K39" s="35">
        <f t="shared" si="1"/>
        <v>8</v>
      </c>
      <c r="L39" s="35">
        <f t="shared" si="2"/>
        <v>4</v>
      </c>
      <c r="M39" s="35">
        <f t="shared" si="3"/>
        <v>4</v>
      </c>
      <c r="N39" s="35">
        <f t="shared" si="4"/>
        <v>0</v>
      </c>
      <c r="O39" s="36">
        <f t="shared" si="5"/>
        <v>0</v>
      </c>
      <c r="P39" s="10" cm="1">
        <f t="array" ref="P39">SUMPRODUCT(B39:H39*$B$3:$H$3)</f>
        <v>20</v>
      </c>
    </row>
    <row r="40" spans="1:16" ht="15.75" customHeight="1" thickBot="1" x14ac:dyDescent="0.25">
      <c r="A40" s="32" t="str">
        <f t="shared" si="0"/>
        <v>1 x P'tit Déj'</v>
      </c>
      <c r="B40" s="115">
        <v>0</v>
      </c>
      <c r="C40" s="115" t="s">
        <v>397</v>
      </c>
      <c r="D40" s="115">
        <v>0</v>
      </c>
      <c r="E40" s="115">
        <v>0</v>
      </c>
      <c r="F40" s="115">
        <v>0</v>
      </c>
      <c r="G40" s="140">
        <v>0</v>
      </c>
      <c r="H40" s="140">
        <v>0</v>
      </c>
      <c r="I40" s="33">
        <v>2</v>
      </c>
      <c r="J40" s="34">
        <v>0</v>
      </c>
      <c r="K40" s="35">
        <f t="shared" si="1"/>
        <v>2</v>
      </c>
      <c r="L40" s="35">
        <f t="shared" si="2"/>
        <v>2</v>
      </c>
      <c r="M40" s="35">
        <f t="shared" si="3"/>
        <v>0</v>
      </c>
      <c r="N40" s="35">
        <f t="shared" si="4"/>
        <v>0</v>
      </c>
      <c r="O40" s="36">
        <f t="shared" si="5"/>
        <v>12</v>
      </c>
      <c r="P40" s="10" cm="1">
        <f t="array" ref="P40">SUMPRODUCT(B40:H40*$B$3:$H$3)</f>
        <v>6.5</v>
      </c>
    </row>
    <row r="41" spans="1:16" ht="15.75" customHeight="1" thickBot="1" x14ac:dyDescent="0.25">
      <c r="A41" s="32" t="str">
        <f t="shared" si="0"/>
        <v>1 x P'tite Faim</v>
      </c>
      <c r="B41" s="115">
        <v>0</v>
      </c>
      <c r="C41" s="115">
        <v>0</v>
      </c>
      <c r="D41" s="115" t="s">
        <v>397</v>
      </c>
      <c r="E41" s="115">
        <v>2</v>
      </c>
      <c r="F41" s="115">
        <v>0</v>
      </c>
      <c r="G41" s="140">
        <v>0</v>
      </c>
      <c r="H41" s="140">
        <v>0</v>
      </c>
      <c r="I41" s="33">
        <v>2</v>
      </c>
      <c r="J41" s="34">
        <v>2</v>
      </c>
      <c r="K41" s="35">
        <f t="shared" si="1"/>
        <v>4</v>
      </c>
      <c r="L41" s="35">
        <f t="shared" si="2"/>
        <v>1</v>
      </c>
      <c r="M41" s="35">
        <f t="shared" si="3"/>
        <v>0</v>
      </c>
      <c r="N41" s="35">
        <f t="shared" si="4"/>
        <v>0</v>
      </c>
      <c r="O41" s="36">
        <f t="shared" si="5"/>
        <v>0</v>
      </c>
      <c r="P41" s="10" cm="1">
        <f t="array" ref="P41">SUMPRODUCT(B41:H41*$B$3:$H$3)</f>
        <v>6.5</v>
      </c>
    </row>
    <row r="42" spans="1:16" ht="15.75" customHeight="1" thickBot="1" x14ac:dyDescent="0.25">
      <c r="A42" s="32" t="str">
        <f t="shared" si="0"/>
        <v>1 x Familiale</v>
      </c>
      <c r="B42" s="115" t="s">
        <v>397</v>
      </c>
      <c r="C42" s="115">
        <v>0</v>
      </c>
      <c r="D42" s="115">
        <v>0</v>
      </c>
      <c r="E42" s="115">
        <v>0</v>
      </c>
      <c r="F42" s="115">
        <v>0</v>
      </c>
      <c r="G42" s="140">
        <v>0</v>
      </c>
      <c r="H42" s="140">
        <v>0</v>
      </c>
      <c r="I42" s="33">
        <v>2</v>
      </c>
      <c r="J42" s="34">
        <v>2</v>
      </c>
      <c r="K42" s="35">
        <f t="shared" si="1"/>
        <v>4</v>
      </c>
      <c r="L42" s="35">
        <f t="shared" si="2"/>
        <v>2</v>
      </c>
      <c r="M42" s="35">
        <f t="shared" si="3"/>
        <v>2</v>
      </c>
      <c r="N42" s="35">
        <f t="shared" si="4"/>
        <v>0</v>
      </c>
      <c r="O42" s="36">
        <f t="shared" si="5"/>
        <v>0</v>
      </c>
      <c r="P42" s="10" cm="1">
        <f t="array" ref="P42">SUMPRODUCT(B42:H42*$B$3:$H$3)</f>
        <v>10</v>
      </c>
    </row>
    <row r="43" spans="1:16" ht="15.75" customHeight="1" thickBot="1" x14ac:dyDescent="0.25">
      <c r="A43" s="32" t="str">
        <f t="shared" si="0"/>
        <v>2 x P'tite Faim</v>
      </c>
      <c r="B43" s="115">
        <v>0</v>
      </c>
      <c r="C43" s="115">
        <v>0</v>
      </c>
      <c r="D43" s="115" t="s">
        <v>396</v>
      </c>
      <c r="E43" s="115">
        <v>0</v>
      </c>
      <c r="F43" s="115">
        <v>0</v>
      </c>
      <c r="G43" s="140">
        <v>0</v>
      </c>
      <c r="H43" s="140">
        <v>0</v>
      </c>
      <c r="I43" s="33">
        <v>4</v>
      </c>
      <c r="J43" s="34">
        <v>0</v>
      </c>
      <c r="K43" s="35">
        <f t="shared" si="1"/>
        <v>4</v>
      </c>
      <c r="L43" s="35">
        <f t="shared" si="2"/>
        <v>2</v>
      </c>
      <c r="M43" s="35">
        <f t="shared" si="3"/>
        <v>0</v>
      </c>
      <c r="N43" s="35">
        <f t="shared" si="4"/>
        <v>0</v>
      </c>
      <c r="O43" s="36">
        <f t="shared" si="5"/>
        <v>0</v>
      </c>
      <c r="P43" s="10" cm="1">
        <f t="array" ref="P43">SUMPRODUCT(B43:H43*$B$3:$H$3)</f>
        <v>9</v>
      </c>
    </row>
    <row r="44" spans="1:16" ht="15.75" customHeight="1" thickBot="1" x14ac:dyDescent="0.25">
      <c r="A44" s="37" t="str">
        <f t="shared" si="0"/>
        <v>1 x Familiale</v>
      </c>
      <c r="B44" s="116" t="s">
        <v>397</v>
      </c>
      <c r="C44" s="116">
        <v>0</v>
      </c>
      <c r="D44" s="116">
        <v>0</v>
      </c>
      <c r="E44" s="116">
        <v>0</v>
      </c>
      <c r="F44" s="116">
        <v>0</v>
      </c>
      <c r="G44" s="141">
        <v>0</v>
      </c>
      <c r="H44" s="141">
        <v>0</v>
      </c>
      <c r="I44" s="38">
        <v>2</v>
      </c>
      <c r="J44" s="39">
        <v>2</v>
      </c>
      <c r="K44" s="35">
        <f t="shared" si="1"/>
        <v>4</v>
      </c>
      <c r="L44" s="35">
        <f t="shared" si="2"/>
        <v>2</v>
      </c>
      <c r="M44" s="35">
        <f t="shared" si="3"/>
        <v>2</v>
      </c>
      <c r="N44" s="35">
        <f t="shared" si="4"/>
        <v>0</v>
      </c>
      <c r="O44" s="36">
        <f t="shared" si="5"/>
        <v>0</v>
      </c>
      <c r="P44" s="10" cm="1">
        <f t="array" ref="P44">SUMPRODUCT(B44:H44*$B$3:$H$3)</f>
        <v>10</v>
      </c>
    </row>
    <row r="45" spans="1:16" ht="15.75" customHeight="1" thickBot="1" x14ac:dyDescent="0.25">
      <c r="A45" s="37" t="str">
        <f t="shared" si="0"/>
        <v>1 x P'tite Faim</v>
      </c>
      <c r="B45" s="116">
        <v>0</v>
      </c>
      <c r="C45" s="116">
        <v>0</v>
      </c>
      <c r="D45" s="116" t="s">
        <v>397</v>
      </c>
      <c r="E45" s="116">
        <v>2</v>
      </c>
      <c r="F45" s="116">
        <v>0</v>
      </c>
      <c r="G45" s="141">
        <v>0</v>
      </c>
      <c r="H45" s="141">
        <v>0</v>
      </c>
      <c r="I45" s="38">
        <v>4</v>
      </c>
      <c r="J45" s="39">
        <v>0</v>
      </c>
      <c r="K45" s="35">
        <f t="shared" si="1"/>
        <v>4</v>
      </c>
      <c r="L45" s="35">
        <f t="shared" si="2"/>
        <v>1</v>
      </c>
      <c r="M45" s="35">
        <f t="shared" si="3"/>
        <v>0</v>
      </c>
      <c r="N45" s="35">
        <f t="shared" si="4"/>
        <v>0</v>
      </c>
      <c r="O45" s="36">
        <f t="shared" si="5"/>
        <v>0</v>
      </c>
      <c r="P45" s="10" cm="1">
        <f t="array" ref="P45">SUMPRODUCT(B45:H45*$B$3:$H$3)</f>
        <v>6.5</v>
      </c>
    </row>
    <row r="46" spans="1:16" ht="15.75" customHeight="1" thickBot="1" x14ac:dyDescent="0.25">
      <c r="A46" s="32" t="str">
        <f t="shared" si="0"/>
        <v>1 x P'tit Déj'</v>
      </c>
      <c r="B46" s="115">
        <v>0</v>
      </c>
      <c r="C46" s="115" t="s">
        <v>397</v>
      </c>
      <c r="D46" s="115">
        <v>0</v>
      </c>
      <c r="E46" s="115">
        <v>0</v>
      </c>
      <c r="F46" s="115">
        <v>0</v>
      </c>
      <c r="G46" s="140">
        <v>0</v>
      </c>
      <c r="H46" s="140">
        <v>0</v>
      </c>
      <c r="I46" s="33">
        <v>2</v>
      </c>
      <c r="J46" s="34">
        <v>0</v>
      </c>
      <c r="K46" s="35">
        <f t="shared" si="1"/>
        <v>2</v>
      </c>
      <c r="L46" s="35">
        <f t="shared" si="2"/>
        <v>2</v>
      </c>
      <c r="M46" s="35">
        <f t="shared" si="3"/>
        <v>0</v>
      </c>
      <c r="N46" s="35">
        <f t="shared" si="4"/>
        <v>0</v>
      </c>
      <c r="O46" s="36">
        <f t="shared" si="5"/>
        <v>12</v>
      </c>
      <c r="P46" s="10" cm="1">
        <f t="array" ref="P46">SUMPRODUCT(B46:H46*$B$3:$H$3)</f>
        <v>6.5</v>
      </c>
    </row>
    <row r="47" spans="1:16" ht="15.75" customHeight="1" thickBot="1" x14ac:dyDescent="0.25">
      <c r="A47" s="32" t="str">
        <f t="shared" si="0"/>
        <v>2 x P'tite Faim</v>
      </c>
      <c r="B47" s="115">
        <v>0</v>
      </c>
      <c r="C47" s="115">
        <v>0</v>
      </c>
      <c r="D47" s="115" t="s">
        <v>396</v>
      </c>
      <c r="E47" s="115">
        <v>0</v>
      </c>
      <c r="F47" s="115">
        <v>0</v>
      </c>
      <c r="G47" s="140">
        <v>0</v>
      </c>
      <c r="H47" s="140">
        <v>1</v>
      </c>
      <c r="I47" s="33">
        <v>4</v>
      </c>
      <c r="J47" s="34">
        <v>0</v>
      </c>
      <c r="K47" s="35">
        <f t="shared" si="1"/>
        <v>4</v>
      </c>
      <c r="L47" s="35">
        <f t="shared" si="2"/>
        <v>2</v>
      </c>
      <c r="M47" s="35">
        <f t="shared" si="3"/>
        <v>0</v>
      </c>
      <c r="N47" s="35">
        <f t="shared" si="4"/>
        <v>0</v>
      </c>
      <c r="O47" s="36">
        <f t="shared" si="5"/>
        <v>12</v>
      </c>
      <c r="P47" s="10" cm="1">
        <f t="array" ref="P47">SUMPRODUCT(B47:H47*$B$3:$H$3)</f>
        <v>11.5</v>
      </c>
    </row>
    <row r="48" spans="1:16" ht="15.75" customHeight="1" thickBot="1" x14ac:dyDescent="0.25">
      <c r="A48" s="32" t="str">
        <f t="shared" si="0"/>
        <v>1 x Familiale</v>
      </c>
      <c r="B48" s="115" t="s">
        <v>397</v>
      </c>
      <c r="C48" s="115">
        <v>0</v>
      </c>
      <c r="D48" s="115">
        <v>0</v>
      </c>
      <c r="E48" s="115">
        <v>0</v>
      </c>
      <c r="F48" s="115">
        <v>0</v>
      </c>
      <c r="G48" s="140">
        <v>0</v>
      </c>
      <c r="H48" s="140">
        <v>1</v>
      </c>
      <c r="I48" s="33">
        <v>4</v>
      </c>
      <c r="J48" s="34">
        <v>0</v>
      </c>
      <c r="K48" s="35">
        <f t="shared" si="1"/>
        <v>4</v>
      </c>
      <c r="L48" s="35">
        <f t="shared" si="2"/>
        <v>2</v>
      </c>
      <c r="M48" s="35">
        <f t="shared" si="3"/>
        <v>2</v>
      </c>
      <c r="N48" s="35">
        <f t="shared" si="4"/>
        <v>0</v>
      </c>
      <c r="O48" s="36">
        <f t="shared" si="5"/>
        <v>12</v>
      </c>
      <c r="P48" s="10" cm="1">
        <f t="array" ref="P48">SUMPRODUCT(B48:H48*$B$3:$H$3)</f>
        <v>12.5</v>
      </c>
    </row>
    <row r="49" spans="1:16" ht="15.75" customHeight="1" thickBot="1" x14ac:dyDescent="0.25">
      <c r="A49" s="32" t="str">
        <f t="shared" si="0"/>
        <v>1 x Familiale</v>
      </c>
      <c r="B49" s="115" t="s">
        <v>397</v>
      </c>
      <c r="C49" s="115">
        <v>0</v>
      </c>
      <c r="D49" s="115">
        <v>0</v>
      </c>
      <c r="E49" s="115">
        <v>4</v>
      </c>
      <c r="F49" s="115">
        <v>0</v>
      </c>
      <c r="G49" s="140">
        <v>0</v>
      </c>
      <c r="H49" s="140">
        <v>0</v>
      </c>
      <c r="I49" s="33">
        <v>4</v>
      </c>
      <c r="J49" s="34">
        <v>4</v>
      </c>
      <c r="K49" s="35">
        <f t="shared" si="1"/>
        <v>8</v>
      </c>
      <c r="L49" s="35">
        <f t="shared" si="2"/>
        <v>2</v>
      </c>
      <c r="M49" s="35">
        <f t="shared" si="3"/>
        <v>2</v>
      </c>
      <c r="N49" s="35">
        <f t="shared" si="4"/>
        <v>0</v>
      </c>
      <c r="O49" s="36">
        <f t="shared" si="5"/>
        <v>0</v>
      </c>
      <c r="P49" s="10" cm="1">
        <f t="array" ref="P49">SUMPRODUCT(B49:H49*$B$3:$H$3)</f>
        <v>14</v>
      </c>
    </row>
    <row r="50" spans="1:16" ht="15.75" customHeight="1" thickBot="1" x14ac:dyDescent="0.25">
      <c r="A50" s="37" t="str">
        <f t="shared" si="0"/>
        <v>1 x Familiale</v>
      </c>
      <c r="B50" s="116" t="s">
        <v>397</v>
      </c>
      <c r="C50" s="116">
        <v>0</v>
      </c>
      <c r="D50" s="116">
        <v>0</v>
      </c>
      <c r="E50" s="116">
        <v>0</v>
      </c>
      <c r="F50" s="116">
        <v>0</v>
      </c>
      <c r="G50" s="141">
        <v>0</v>
      </c>
      <c r="H50" s="141">
        <v>0</v>
      </c>
      <c r="I50" s="38">
        <v>3</v>
      </c>
      <c r="J50" s="39">
        <v>1</v>
      </c>
      <c r="K50" s="35">
        <f t="shared" si="1"/>
        <v>4</v>
      </c>
      <c r="L50" s="35">
        <f t="shared" si="2"/>
        <v>2</v>
      </c>
      <c r="M50" s="35">
        <f t="shared" si="3"/>
        <v>2</v>
      </c>
      <c r="N50" s="35">
        <f t="shared" si="4"/>
        <v>0</v>
      </c>
      <c r="O50" s="36">
        <f t="shared" si="5"/>
        <v>0</v>
      </c>
      <c r="P50" s="10" cm="1">
        <f t="array" ref="P50">SUMPRODUCT(B50:H50*$B$3:$H$3)</f>
        <v>10</v>
      </c>
    </row>
    <row r="51" spans="1:16" ht="15.75" customHeight="1" thickBot="1" x14ac:dyDescent="0.25">
      <c r="A51" s="37" t="str">
        <f t="shared" si="0"/>
        <v>1 x P'tite Faim</v>
      </c>
      <c r="B51" s="116">
        <v>0</v>
      </c>
      <c r="C51" s="116">
        <v>0</v>
      </c>
      <c r="D51" s="116" t="s">
        <v>397</v>
      </c>
      <c r="E51" s="116">
        <v>2</v>
      </c>
      <c r="F51" s="116">
        <v>0</v>
      </c>
      <c r="G51" s="141">
        <v>0</v>
      </c>
      <c r="H51" s="141">
        <v>0</v>
      </c>
      <c r="I51" s="38">
        <v>0</v>
      </c>
      <c r="J51" s="39">
        <v>4</v>
      </c>
      <c r="K51" s="35">
        <f t="shared" si="1"/>
        <v>4</v>
      </c>
      <c r="L51" s="35">
        <f t="shared" si="2"/>
        <v>1</v>
      </c>
      <c r="M51" s="35">
        <f t="shared" si="3"/>
        <v>0</v>
      </c>
      <c r="N51" s="35">
        <f t="shared" si="4"/>
        <v>0</v>
      </c>
      <c r="O51" s="36">
        <f t="shared" si="5"/>
        <v>0</v>
      </c>
      <c r="P51" s="10" cm="1">
        <f t="array" ref="P51">SUMPRODUCT(B51:H51*$B$3:$H$3)</f>
        <v>6.5</v>
      </c>
    </row>
    <row r="52" spans="1:16" ht="15.75" customHeight="1" thickBot="1" x14ac:dyDescent="0.25">
      <c r="A52" s="32" t="str">
        <f t="shared" si="0"/>
        <v>1 x P'tit Déj'</v>
      </c>
      <c r="B52" s="115">
        <v>0</v>
      </c>
      <c r="C52" s="115" t="s">
        <v>397</v>
      </c>
      <c r="D52" s="115">
        <v>0</v>
      </c>
      <c r="E52" s="115">
        <v>0</v>
      </c>
      <c r="F52" s="115">
        <v>0</v>
      </c>
      <c r="G52" s="140">
        <v>0</v>
      </c>
      <c r="H52" s="140">
        <v>0</v>
      </c>
      <c r="I52" s="33">
        <v>2</v>
      </c>
      <c r="J52" s="34">
        <v>0</v>
      </c>
      <c r="K52" s="35">
        <f t="shared" si="1"/>
        <v>2</v>
      </c>
      <c r="L52" s="35">
        <f t="shared" si="2"/>
        <v>2</v>
      </c>
      <c r="M52" s="35">
        <f t="shared" si="3"/>
        <v>0</v>
      </c>
      <c r="N52" s="35">
        <f t="shared" si="4"/>
        <v>0</v>
      </c>
      <c r="O52" s="36">
        <f t="shared" si="5"/>
        <v>12</v>
      </c>
      <c r="P52" s="10" cm="1">
        <f t="array" ref="P52">SUMPRODUCT(B52:H52*$B$3:$H$3)</f>
        <v>6.5</v>
      </c>
    </row>
    <row r="53" spans="1:16" ht="15.75" customHeight="1" thickBot="1" x14ac:dyDescent="0.25">
      <c r="A53" s="32" t="str">
        <f t="shared" si="0"/>
        <v>1 x Familiale</v>
      </c>
      <c r="B53" s="115" t="s">
        <v>397</v>
      </c>
      <c r="C53" s="115">
        <v>0</v>
      </c>
      <c r="D53" s="115">
        <v>0</v>
      </c>
      <c r="E53" s="115">
        <v>0</v>
      </c>
      <c r="F53" s="115">
        <v>0</v>
      </c>
      <c r="G53" s="140">
        <v>0</v>
      </c>
      <c r="H53" s="140">
        <v>0</v>
      </c>
      <c r="I53" s="33">
        <v>3</v>
      </c>
      <c r="J53" s="34">
        <v>1</v>
      </c>
      <c r="K53" s="35">
        <f t="shared" si="1"/>
        <v>4</v>
      </c>
      <c r="L53" s="35">
        <f t="shared" si="2"/>
        <v>2</v>
      </c>
      <c r="M53" s="35">
        <f t="shared" si="3"/>
        <v>2</v>
      </c>
      <c r="N53" s="35">
        <f t="shared" si="4"/>
        <v>0</v>
      </c>
      <c r="O53" s="36">
        <f t="shared" si="5"/>
        <v>0</v>
      </c>
      <c r="P53" s="10" cm="1">
        <f t="array" ref="P53">SUMPRODUCT(B53:H53*$B$3:$H$3)</f>
        <v>10</v>
      </c>
    </row>
    <row r="54" spans="1:16" ht="15.75" customHeight="1" thickBot="1" x14ac:dyDescent="0.25">
      <c r="A54" s="32" t="str">
        <f t="shared" si="0"/>
        <v>1 x Familiale</v>
      </c>
      <c r="B54" s="115" t="s">
        <v>397</v>
      </c>
      <c r="C54" s="115">
        <v>0</v>
      </c>
      <c r="D54" s="115">
        <v>0</v>
      </c>
      <c r="E54" s="115">
        <v>0</v>
      </c>
      <c r="F54" s="115">
        <v>0</v>
      </c>
      <c r="G54" s="140">
        <v>0</v>
      </c>
      <c r="H54" s="140">
        <v>0</v>
      </c>
      <c r="I54" s="33">
        <v>2</v>
      </c>
      <c r="J54" s="34">
        <v>2</v>
      </c>
      <c r="K54" s="35">
        <f t="shared" si="1"/>
        <v>4</v>
      </c>
      <c r="L54" s="35">
        <f t="shared" si="2"/>
        <v>2</v>
      </c>
      <c r="M54" s="35">
        <f t="shared" si="3"/>
        <v>2</v>
      </c>
      <c r="N54" s="35">
        <f t="shared" si="4"/>
        <v>0</v>
      </c>
      <c r="O54" s="36">
        <f t="shared" si="5"/>
        <v>0</v>
      </c>
      <c r="P54" s="10" cm="1">
        <f t="array" ref="P54">SUMPRODUCT(B54:H54*$B$3:$H$3)</f>
        <v>10</v>
      </c>
    </row>
    <row r="55" spans="1:16" ht="15.75" customHeight="1" thickBot="1" x14ac:dyDescent="0.25">
      <c r="A55" s="37" t="str">
        <f t="shared" si="0"/>
        <v>1 x Familiale</v>
      </c>
      <c r="B55" s="116" t="s">
        <v>397</v>
      </c>
      <c r="C55" s="116">
        <v>0</v>
      </c>
      <c r="D55" s="116">
        <v>0</v>
      </c>
      <c r="E55" s="116">
        <v>0</v>
      </c>
      <c r="F55" s="116">
        <v>0</v>
      </c>
      <c r="G55" s="141">
        <v>0</v>
      </c>
      <c r="H55" s="141">
        <v>0</v>
      </c>
      <c r="I55" s="38">
        <v>4</v>
      </c>
      <c r="J55" s="39">
        <v>0</v>
      </c>
      <c r="K55" s="35">
        <f t="shared" si="1"/>
        <v>4</v>
      </c>
      <c r="L55" s="35">
        <f t="shared" si="2"/>
        <v>2</v>
      </c>
      <c r="M55" s="35">
        <f t="shared" si="3"/>
        <v>2</v>
      </c>
      <c r="N55" s="35">
        <f t="shared" si="4"/>
        <v>0</v>
      </c>
      <c r="O55" s="36">
        <f t="shared" si="5"/>
        <v>0</v>
      </c>
      <c r="P55" s="10" cm="1">
        <f t="array" ref="P55">SUMPRODUCT(B55:H55*$B$3:$H$3)</f>
        <v>10</v>
      </c>
    </row>
    <row r="56" spans="1:16" ht="15.75" customHeight="1" thickBot="1" x14ac:dyDescent="0.25">
      <c r="A56" s="37" t="str">
        <f t="shared" si="0"/>
        <v>1 x Familiale</v>
      </c>
      <c r="B56" s="116" t="s">
        <v>397</v>
      </c>
      <c r="C56" s="116">
        <v>0</v>
      </c>
      <c r="D56" s="116">
        <v>0</v>
      </c>
      <c r="E56" s="116">
        <v>1</v>
      </c>
      <c r="F56" s="116">
        <v>0</v>
      </c>
      <c r="G56" s="141">
        <v>0</v>
      </c>
      <c r="H56" s="141">
        <v>1</v>
      </c>
      <c r="I56" s="38">
        <v>3</v>
      </c>
      <c r="J56" s="39">
        <v>2</v>
      </c>
      <c r="K56" s="35">
        <f t="shared" si="1"/>
        <v>5</v>
      </c>
      <c r="L56" s="35">
        <f t="shared" si="2"/>
        <v>2</v>
      </c>
      <c r="M56" s="35">
        <f t="shared" si="3"/>
        <v>2</v>
      </c>
      <c r="N56" s="35">
        <f t="shared" si="4"/>
        <v>0</v>
      </c>
      <c r="O56" s="36">
        <f t="shared" si="5"/>
        <v>12</v>
      </c>
      <c r="P56" s="10" cm="1">
        <f t="array" ref="P56">SUMPRODUCT(B56:H56*$B$3:$H$3)</f>
        <v>13.5</v>
      </c>
    </row>
    <row r="57" spans="1:16" ht="15.75" customHeight="1" thickBot="1" x14ac:dyDescent="0.25">
      <c r="A57" s="37" t="str">
        <f t="shared" si="0"/>
        <v>1 x P'tit Déj'</v>
      </c>
      <c r="B57" s="116">
        <v>0</v>
      </c>
      <c r="C57" s="116" t="s">
        <v>397</v>
      </c>
      <c r="D57" s="116">
        <v>0</v>
      </c>
      <c r="E57" s="116">
        <v>2</v>
      </c>
      <c r="F57" s="116">
        <v>0</v>
      </c>
      <c r="G57" s="141">
        <v>0</v>
      </c>
      <c r="H57" s="141">
        <v>0</v>
      </c>
      <c r="I57" s="38">
        <v>2</v>
      </c>
      <c r="J57" s="39">
        <v>2</v>
      </c>
      <c r="K57" s="35">
        <f t="shared" si="1"/>
        <v>4</v>
      </c>
      <c r="L57" s="35">
        <f t="shared" si="2"/>
        <v>2</v>
      </c>
      <c r="M57" s="35">
        <f t="shared" si="3"/>
        <v>0</v>
      </c>
      <c r="N57" s="35">
        <f t="shared" si="4"/>
        <v>0</v>
      </c>
      <c r="O57" s="36">
        <f t="shared" si="5"/>
        <v>12</v>
      </c>
      <c r="P57" s="10" cm="1">
        <f t="array" ref="P57">SUMPRODUCT(B57:H57*$B$3:$H$3)</f>
        <v>8.5</v>
      </c>
    </row>
    <row r="58" spans="1:16" ht="15.75" customHeight="1" thickBot="1" x14ac:dyDescent="0.25">
      <c r="A58" s="37" t="str">
        <f t="shared" si="0"/>
        <v>1 x P'tite Faim</v>
      </c>
      <c r="B58" s="116">
        <v>0</v>
      </c>
      <c r="C58" s="116">
        <v>0</v>
      </c>
      <c r="D58" s="116" t="s">
        <v>397</v>
      </c>
      <c r="E58" s="116">
        <v>8</v>
      </c>
      <c r="F58" s="116">
        <v>0</v>
      </c>
      <c r="G58" s="141">
        <v>0</v>
      </c>
      <c r="H58" s="141">
        <v>0</v>
      </c>
      <c r="I58" s="38">
        <v>5</v>
      </c>
      <c r="J58" s="39">
        <v>5</v>
      </c>
      <c r="K58" s="35">
        <f t="shared" si="1"/>
        <v>10</v>
      </c>
      <c r="L58" s="35">
        <f t="shared" si="2"/>
        <v>1</v>
      </c>
      <c r="M58" s="35">
        <f t="shared" si="3"/>
        <v>0</v>
      </c>
      <c r="N58" s="35">
        <f t="shared" si="4"/>
        <v>0</v>
      </c>
      <c r="O58" s="36">
        <f t="shared" si="5"/>
        <v>0</v>
      </c>
      <c r="P58" s="10" cm="1">
        <f t="array" ref="P58">SUMPRODUCT(B58:H58*$B$3:$H$3)</f>
        <v>12.5</v>
      </c>
    </row>
    <row r="59" spans="1:16" ht="15.75" customHeight="1" thickBot="1" x14ac:dyDescent="0.25">
      <c r="A59" s="32" t="str">
        <f t="shared" si="0"/>
        <v>1 x Familiale</v>
      </c>
      <c r="B59" s="115" t="s">
        <v>397</v>
      </c>
      <c r="C59" s="115">
        <v>0</v>
      </c>
      <c r="D59" s="115">
        <v>0</v>
      </c>
      <c r="E59" s="115">
        <v>0</v>
      </c>
      <c r="F59" s="115">
        <v>0</v>
      </c>
      <c r="G59" s="140">
        <v>0</v>
      </c>
      <c r="H59" s="140">
        <v>2</v>
      </c>
      <c r="I59" s="33">
        <v>3</v>
      </c>
      <c r="J59" s="34">
        <v>1</v>
      </c>
      <c r="K59" s="35">
        <f t="shared" si="1"/>
        <v>4</v>
      </c>
      <c r="L59" s="35">
        <f t="shared" si="2"/>
        <v>2</v>
      </c>
      <c r="M59" s="35">
        <f t="shared" si="3"/>
        <v>2</v>
      </c>
      <c r="N59" s="35">
        <f t="shared" si="4"/>
        <v>0</v>
      </c>
      <c r="O59" s="36">
        <f t="shared" si="5"/>
        <v>24</v>
      </c>
      <c r="P59" s="10" cm="1">
        <f t="array" ref="P59">SUMPRODUCT(B59:H59*$B$3:$H$3)</f>
        <v>15</v>
      </c>
    </row>
    <row r="60" spans="1:16" ht="15.75" customHeight="1" thickBot="1" x14ac:dyDescent="0.25">
      <c r="A60" s="32" t="str">
        <f t="shared" si="0"/>
        <v>1 x Familiale</v>
      </c>
      <c r="B60" s="115" t="s">
        <v>397</v>
      </c>
      <c r="C60" s="115">
        <v>0</v>
      </c>
      <c r="D60" s="115">
        <v>0</v>
      </c>
      <c r="E60" s="115">
        <v>0</v>
      </c>
      <c r="F60" s="115">
        <v>0</v>
      </c>
      <c r="G60" s="140">
        <v>0</v>
      </c>
      <c r="H60" s="140">
        <v>1</v>
      </c>
      <c r="I60" s="33">
        <v>2</v>
      </c>
      <c r="J60" s="34">
        <v>2</v>
      </c>
      <c r="K60" s="35">
        <f t="shared" si="1"/>
        <v>4</v>
      </c>
      <c r="L60" s="35">
        <f t="shared" si="2"/>
        <v>2</v>
      </c>
      <c r="M60" s="35">
        <f t="shared" si="3"/>
        <v>2</v>
      </c>
      <c r="N60" s="35">
        <f t="shared" si="4"/>
        <v>0</v>
      </c>
      <c r="O60" s="36">
        <f t="shared" si="5"/>
        <v>12</v>
      </c>
      <c r="P60" s="10" cm="1">
        <f t="array" ref="P60">SUMPRODUCT(B60:H60*$B$3:$H$3)</f>
        <v>12.5</v>
      </c>
    </row>
    <row r="61" spans="1:16" ht="15.75" customHeight="1" thickBot="1" x14ac:dyDescent="0.25">
      <c r="A61" s="32" t="str">
        <f t="shared" si="0"/>
        <v>1 x Familiale</v>
      </c>
      <c r="B61" s="115" t="s">
        <v>397</v>
      </c>
      <c r="C61" s="115">
        <v>0</v>
      </c>
      <c r="D61" s="115">
        <v>0</v>
      </c>
      <c r="E61" s="115">
        <v>0</v>
      </c>
      <c r="F61" s="115">
        <v>0</v>
      </c>
      <c r="G61" s="140">
        <v>0</v>
      </c>
      <c r="H61" s="140">
        <v>0</v>
      </c>
      <c r="I61" s="33">
        <v>2</v>
      </c>
      <c r="J61" s="34">
        <v>2</v>
      </c>
      <c r="K61" s="35">
        <f t="shared" si="1"/>
        <v>4</v>
      </c>
      <c r="L61" s="35">
        <f t="shared" si="2"/>
        <v>2</v>
      </c>
      <c r="M61" s="35">
        <f t="shared" si="3"/>
        <v>2</v>
      </c>
      <c r="N61" s="35">
        <f t="shared" si="4"/>
        <v>0</v>
      </c>
      <c r="O61" s="36">
        <f t="shared" si="5"/>
        <v>0</v>
      </c>
      <c r="P61" s="10" cm="1">
        <f t="array" ref="P61">SUMPRODUCT(B61:H61*$B$3:$H$3)</f>
        <v>10</v>
      </c>
    </row>
    <row r="62" spans="1:16" ht="15.75" customHeight="1" thickBot="1" x14ac:dyDescent="0.25">
      <c r="A62" s="32" t="str">
        <f t="shared" si="0"/>
        <v>1 x Familiale</v>
      </c>
      <c r="B62" s="115" t="s">
        <v>397</v>
      </c>
      <c r="C62" s="115">
        <v>0</v>
      </c>
      <c r="D62" s="115">
        <v>0</v>
      </c>
      <c r="E62" s="115">
        <v>0</v>
      </c>
      <c r="F62" s="115">
        <v>0</v>
      </c>
      <c r="G62" s="140">
        <v>0</v>
      </c>
      <c r="H62" s="140">
        <v>0</v>
      </c>
      <c r="I62" s="33">
        <v>2</v>
      </c>
      <c r="J62" s="34">
        <v>2</v>
      </c>
      <c r="K62" s="35">
        <f t="shared" si="1"/>
        <v>4</v>
      </c>
      <c r="L62" s="35">
        <f t="shared" si="2"/>
        <v>2</v>
      </c>
      <c r="M62" s="35">
        <f t="shared" si="3"/>
        <v>2</v>
      </c>
      <c r="N62" s="35">
        <f t="shared" si="4"/>
        <v>0</v>
      </c>
      <c r="O62" s="36">
        <f t="shared" si="5"/>
        <v>0</v>
      </c>
      <c r="P62" s="10" cm="1">
        <f t="array" ref="P62">SUMPRODUCT(B62:H62*$B$3:$H$3)</f>
        <v>10</v>
      </c>
    </row>
    <row r="63" spans="1:16" ht="15.75" customHeight="1" thickBot="1" x14ac:dyDescent="0.25">
      <c r="A63" s="32" t="str">
        <f t="shared" si="0"/>
        <v>2 x P'tite Faim</v>
      </c>
      <c r="B63" s="115">
        <v>0</v>
      </c>
      <c r="C63" s="115">
        <v>0</v>
      </c>
      <c r="D63" s="115" t="s">
        <v>396</v>
      </c>
      <c r="E63" s="115">
        <v>4</v>
      </c>
      <c r="F63" s="115">
        <v>0</v>
      </c>
      <c r="G63" s="140">
        <v>2</v>
      </c>
      <c r="H63" s="140">
        <v>0</v>
      </c>
      <c r="I63" s="33">
        <v>4</v>
      </c>
      <c r="J63" s="34">
        <v>4</v>
      </c>
      <c r="K63" s="35">
        <f t="shared" si="1"/>
        <v>8</v>
      </c>
      <c r="L63" s="35">
        <f t="shared" si="2"/>
        <v>2</v>
      </c>
      <c r="M63" s="35">
        <f t="shared" si="3"/>
        <v>0</v>
      </c>
      <c r="N63" s="35">
        <f t="shared" si="4"/>
        <v>2</v>
      </c>
      <c r="O63" s="36">
        <f t="shared" si="5"/>
        <v>0</v>
      </c>
      <c r="P63" s="10" cm="1">
        <f t="array" ref="P63">SUMPRODUCT(B63:H63*$B$3:$H$3)</f>
        <v>17</v>
      </c>
    </row>
    <row r="64" spans="1:16" ht="15.75" customHeight="1" thickBot="1" x14ac:dyDescent="0.25">
      <c r="A64" s="32" t="str">
        <f t="shared" si="0"/>
        <v>1 x P'tit Déj'</v>
      </c>
      <c r="B64" s="115">
        <v>0</v>
      </c>
      <c r="C64" s="115" t="s">
        <v>397</v>
      </c>
      <c r="D64" s="115">
        <v>0</v>
      </c>
      <c r="E64" s="115">
        <v>0</v>
      </c>
      <c r="F64" s="115">
        <v>0</v>
      </c>
      <c r="G64" s="140">
        <v>0</v>
      </c>
      <c r="H64" s="140">
        <v>0</v>
      </c>
      <c r="I64" s="33">
        <v>2</v>
      </c>
      <c r="J64" s="34">
        <v>0</v>
      </c>
      <c r="K64" s="35">
        <f t="shared" si="1"/>
        <v>2</v>
      </c>
      <c r="L64" s="35">
        <f t="shared" si="2"/>
        <v>2</v>
      </c>
      <c r="M64" s="35">
        <f t="shared" si="3"/>
        <v>0</v>
      </c>
      <c r="N64" s="35">
        <f t="shared" si="4"/>
        <v>0</v>
      </c>
      <c r="O64" s="36">
        <f t="shared" si="5"/>
        <v>12</v>
      </c>
      <c r="P64" s="10" cm="1">
        <f t="array" ref="P64">SUMPRODUCT(B64:H64*$B$3:$H$3)</f>
        <v>6.5</v>
      </c>
    </row>
    <row r="65" spans="1:16" ht="15.75" customHeight="1" thickBot="1" x14ac:dyDescent="0.25">
      <c r="A65" s="37" t="str">
        <f t="shared" si="0"/>
        <v>2 x P'tite Faim</v>
      </c>
      <c r="B65" s="117">
        <v>0</v>
      </c>
      <c r="C65" s="117">
        <v>0</v>
      </c>
      <c r="D65" s="117" t="s">
        <v>396</v>
      </c>
      <c r="E65" s="117">
        <v>2</v>
      </c>
      <c r="F65" s="117">
        <v>0</v>
      </c>
      <c r="G65" s="142">
        <v>0</v>
      </c>
      <c r="H65" s="142">
        <v>0</v>
      </c>
      <c r="I65" s="40">
        <v>2</v>
      </c>
      <c r="J65" s="41">
        <v>4</v>
      </c>
      <c r="K65" s="35">
        <f t="shared" si="1"/>
        <v>6</v>
      </c>
      <c r="L65" s="35">
        <f t="shared" si="2"/>
        <v>2</v>
      </c>
      <c r="M65" s="35">
        <f t="shared" si="3"/>
        <v>0</v>
      </c>
      <c r="N65" s="35">
        <f t="shared" si="4"/>
        <v>0</v>
      </c>
      <c r="O65" s="36">
        <f t="shared" si="5"/>
        <v>0</v>
      </c>
      <c r="P65" s="10" cm="1">
        <f t="array" ref="P65">SUMPRODUCT(B65:H65*$B$3:$H$3)</f>
        <v>11</v>
      </c>
    </row>
    <row r="66" spans="1:16" ht="15.75" customHeight="1" thickBot="1" x14ac:dyDescent="0.25">
      <c r="A66" s="37" t="str">
        <f t="shared" si="0"/>
        <v>1 x P'tite Faim</v>
      </c>
      <c r="B66" s="117">
        <v>0</v>
      </c>
      <c r="C66" s="117">
        <v>0</v>
      </c>
      <c r="D66" s="117" t="s">
        <v>397</v>
      </c>
      <c r="E66" s="117">
        <v>0</v>
      </c>
      <c r="F66" s="117">
        <v>0</v>
      </c>
      <c r="G66" s="142">
        <v>0</v>
      </c>
      <c r="H66" s="142">
        <v>0</v>
      </c>
      <c r="I66" s="40">
        <v>1</v>
      </c>
      <c r="J66" s="41">
        <v>1</v>
      </c>
      <c r="K66" s="35">
        <f t="shared" si="1"/>
        <v>2</v>
      </c>
      <c r="L66" s="35">
        <f t="shared" si="2"/>
        <v>1</v>
      </c>
      <c r="M66" s="35">
        <f t="shared" si="3"/>
        <v>0</v>
      </c>
      <c r="N66" s="35">
        <f t="shared" si="4"/>
        <v>0</v>
      </c>
      <c r="O66" s="36">
        <f t="shared" si="5"/>
        <v>0</v>
      </c>
      <c r="P66" s="10" cm="1">
        <f t="array" ref="P66">SUMPRODUCT(B66:H66*$B$3:$H$3)</f>
        <v>4.5</v>
      </c>
    </row>
    <row r="67" spans="1:16" ht="15.75" customHeight="1" thickBot="1" x14ac:dyDescent="0.25">
      <c r="A67" s="42" t="str">
        <f t="shared" si="0"/>
        <v>1 x Familiale</v>
      </c>
      <c r="B67" s="118" t="s">
        <v>397</v>
      </c>
      <c r="C67" s="118">
        <v>0</v>
      </c>
      <c r="D67" s="118">
        <v>0</v>
      </c>
      <c r="E67" s="118">
        <v>0</v>
      </c>
      <c r="F67" s="118">
        <v>0</v>
      </c>
      <c r="G67" s="143">
        <v>1</v>
      </c>
      <c r="H67" s="143">
        <v>0</v>
      </c>
      <c r="I67" s="43">
        <v>2</v>
      </c>
      <c r="J67" s="44">
        <v>2</v>
      </c>
      <c r="K67" s="45">
        <f t="shared" si="1"/>
        <v>4</v>
      </c>
      <c r="L67" s="45">
        <f t="shared" si="2"/>
        <v>2</v>
      </c>
      <c r="M67" s="45">
        <f t="shared" si="3"/>
        <v>2</v>
      </c>
      <c r="N67" s="45">
        <f t="shared" si="4"/>
        <v>1</v>
      </c>
      <c r="O67" s="46">
        <f t="shared" si="5"/>
        <v>0</v>
      </c>
      <c r="P67" s="10" cm="1">
        <f t="array" ref="P67">SUMPRODUCT(B67:H67*$B$3:$H$3)</f>
        <v>12</v>
      </c>
    </row>
    <row r="68" spans="1:16" ht="15.75" customHeight="1" thickBot="1" x14ac:dyDescent="0.25">
      <c r="A68" s="47" t="str">
        <f t="shared" si="0"/>
        <v>1 x Familiale</v>
      </c>
      <c r="B68" s="119" t="s">
        <v>397</v>
      </c>
      <c r="C68" s="119">
        <v>0</v>
      </c>
      <c r="D68" s="119">
        <v>0</v>
      </c>
      <c r="E68" s="119">
        <v>0</v>
      </c>
      <c r="F68" s="119">
        <v>0</v>
      </c>
      <c r="G68" s="144">
        <v>0</v>
      </c>
      <c r="H68" s="144">
        <v>0</v>
      </c>
      <c r="I68" s="48">
        <v>2</v>
      </c>
      <c r="J68" s="49">
        <v>2</v>
      </c>
      <c r="K68" s="45">
        <f t="shared" si="1"/>
        <v>4</v>
      </c>
      <c r="L68" s="45">
        <f t="shared" si="2"/>
        <v>2</v>
      </c>
      <c r="M68" s="45">
        <f t="shared" si="3"/>
        <v>2</v>
      </c>
      <c r="N68" s="45">
        <f t="shared" si="4"/>
        <v>0</v>
      </c>
      <c r="O68" s="46">
        <f t="shared" si="5"/>
        <v>0</v>
      </c>
      <c r="P68" s="10" cm="1">
        <f t="array" ref="P68">SUMPRODUCT(B68:H68*$B$3:$H$3)</f>
        <v>10</v>
      </c>
    </row>
    <row r="69" spans="1:16" ht="15.75" customHeight="1" thickBot="1" x14ac:dyDescent="0.25">
      <c r="A69" s="42" t="str">
        <f t="shared" ref="A69:A132" si="6">IF(B69&lt;&gt;0,B69&amp;"x "&amp;B$1,"")&amp;IF(AND(B69&lt;&gt;0,C69&lt;&gt;0),",","")&amp;IF(C69&lt;&gt;0,C69&amp;"x "&amp;C$1,"")&amp;IF(AND(D69&lt;&gt;0,OR(B69&lt;&gt;0,C69&lt;&gt;0)),",","")&amp;IF(D69&lt;&gt;0,D69&amp;"x "&amp;D$1,"")</f>
        <v>1 x Familiale</v>
      </c>
      <c r="B69" s="118" t="s">
        <v>397</v>
      </c>
      <c r="C69" s="118">
        <v>0</v>
      </c>
      <c r="D69" s="118">
        <v>0</v>
      </c>
      <c r="E69" s="118">
        <v>8</v>
      </c>
      <c r="F69" s="118">
        <v>0</v>
      </c>
      <c r="G69" s="143">
        <v>0</v>
      </c>
      <c r="H69" s="143">
        <v>0</v>
      </c>
      <c r="I69" s="43">
        <v>6</v>
      </c>
      <c r="J69" s="44">
        <v>6</v>
      </c>
      <c r="K69" s="45">
        <f t="shared" ref="K69:K132" si="7">4*B69+2*C69+2*D69+E69</f>
        <v>12</v>
      </c>
      <c r="L69" s="45">
        <f t="shared" ref="L69:L132" si="8">2*B69+2*C69+1*D69</f>
        <v>2</v>
      </c>
      <c r="M69" s="45">
        <f t="shared" ref="M69:M132" si="9">2*B69+F69</f>
        <v>2</v>
      </c>
      <c r="N69" s="45">
        <f t="shared" ref="N69:N132" si="10">G69</f>
        <v>0</v>
      </c>
      <c r="O69" s="46">
        <f t="shared" ref="O69:O132" si="11">12*(C69+H69)</f>
        <v>0</v>
      </c>
      <c r="P69" s="10" cm="1">
        <f t="array" ref="P69">SUMPRODUCT(B69:H69*$B$3:$H$3)</f>
        <v>18</v>
      </c>
    </row>
    <row r="70" spans="1:16" ht="15.75" customHeight="1" thickBot="1" x14ac:dyDescent="0.25">
      <c r="A70" s="42" t="str">
        <f t="shared" si="6"/>
        <v>1 x P'tit Déj'</v>
      </c>
      <c r="B70" s="118">
        <v>0</v>
      </c>
      <c r="C70" s="118" t="s">
        <v>397</v>
      </c>
      <c r="D70" s="118">
        <v>0</v>
      </c>
      <c r="E70" s="118">
        <v>0</v>
      </c>
      <c r="F70" s="118">
        <v>0</v>
      </c>
      <c r="G70" s="143">
        <v>0</v>
      </c>
      <c r="H70" s="143">
        <v>0</v>
      </c>
      <c r="I70" s="43">
        <v>1</v>
      </c>
      <c r="J70" s="44">
        <v>1</v>
      </c>
      <c r="K70" s="45">
        <f t="shared" si="7"/>
        <v>2</v>
      </c>
      <c r="L70" s="45">
        <f t="shared" si="8"/>
        <v>2</v>
      </c>
      <c r="M70" s="45">
        <f t="shared" si="9"/>
        <v>0</v>
      </c>
      <c r="N70" s="45">
        <f t="shared" si="10"/>
        <v>0</v>
      </c>
      <c r="O70" s="46">
        <f t="shared" si="11"/>
        <v>12</v>
      </c>
      <c r="P70" s="10" cm="1">
        <f t="array" ref="P70">SUMPRODUCT(B70:H70*$B$3:$H$3)</f>
        <v>6.5</v>
      </c>
    </row>
    <row r="71" spans="1:16" ht="15.75" customHeight="1" thickBot="1" x14ac:dyDescent="0.25">
      <c r="A71" s="42" t="str">
        <f t="shared" si="6"/>
        <v>1 x Familiale</v>
      </c>
      <c r="B71" s="118" t="s">
        <v>397</v>
      </c>
      <c r="C71" s="118">
        <v>0</v>
      </c>
      <c r="D71" s="118">
        <v>0</v>
      </c>
      <c r="E71" s="118">
        <v>1</v>
      </c>
      <c r="F71" s="118">
        <v>0</v>
      </c>
      <c r="G71" s="143">
        <v>1</v>
      </c>
      <c r="H71" s="143">
        <v>0</v>
      </c>
      <c r="I71" s="43">
        <v>1</v>
      </c>
      <c r="J71" s="44">
        <v>4</v>
      </c>
      <c r="K71" s="45">
        <f t="shared" si="7"/>
        <v>5</v>
      </c>
      <c r="L71" s="45">
        <f t="shared" si="8"/>
        <v>2</v>
      </c>
      <c r="M71" s="45">
        <f t="shared" si="9"/>
        <v>2</v>
      </c>
      <c r="N71" s="45">
        <f t="shared" si="10"/>
        <v>1</v>
      </c>
      <c r="O71" s="46">
        <f t="shared" si="11"/>
        <v>0</v>
      </c>
      <c r="P71" s="10" cm="1">
        <f t="array" ref="P71">SUMPRODUCT(B71:H71*$B$3:$H$3)</f>
        <v>13</v>
      </c>
    </row>
    <row r="72" spans="1:16" ht="15.75" customHeight="1" thickBot="1" x14ac:dyDescent="0.25">
      <c r="A72" s="42" t="str">
        <f t="shared" si="6"/>
        <v>1 x Familiale</v>
      </c>
      <c r="B72" s="118" t="s">
        <v>397</v>
      </c>
      <c r="C72" s="118">
        <v>0</v>
      </c>
      <c r="D72" s="118">
        <v>0</v>
      </c>
      <c r="E72" s="118">
        <v>0</v>
      </c>
      <c r="F72" s="118">
        <v>0</v>
      </c>
      <c r="G72" s="143">
        <v>0</v>
      </c>
      <c r="H72" s="143">
        <v>0</v>
      </c>
      <c r="I72" s="43">
        <v>2</v>
      </c>
      <c r="J72" s="44">
        <v>2</v>
      </c>
      <c r="K72" s="45">
        <f t="shared" si="7"/>
        <v>4</v>
      </c>
      <c r="L72" s="45">
        <f t="shared" si="8"/>
        <v>2</v>
      </c>
      <c r="M72" s="45">
        <f t="shared" si="9"/>
        <v>2</v>
      </c>
      <c r="N72" s="45">
        <f t="shared" si="10"/>
        <v>0</v>
      </c>
      <c r="O72" s="46">
        <f t="shared" si="11"/>
        <v>0</v>
      </c>
      <c r="P72" s="10" cm="1">
        <f t="array" ref="P72">SUMPRODUCT(B72:H72*$B$3:$H$3)</f>
        <v>10</v>
      </c>
    </row>
    <row r="73" spans="1:16" ht="15.75" customHeight="1" thickBot="1" x14ac:dyDescent="0.25">
      <c r="A73" s="42" t="str">
        <f t="shared" si="6"/>
        <v>2 x Familiale</v>
      </c>
      <c r="B73" s="118" t="s">
        <v>396</v>
      </c>
      <c r="C73" s="118">
        <v>0</v>
      </c>
      <c r="D73" s="118">
        <v>0</v>
      </c>
      <c r="E73" s="118">
        <v>0</v>
      </c>
      <c r="F73" s="118">
        <v>0</v>
      </c>
      <c r="G73" s="143">
        <v>0</v>
      </c>
      <c r="H73" s="143">
        <v>0</v>
      </c>
      <c r="I73" s="43">
        <v>4</v>
      </c>
      <c r="J73" s="44">
        <v>4</v>
      </c>
      <c r="K73" s="45">
        <f t="shared" si="7"/>
        <v>8</v>
      </c>
      <c r="L73" s="45">
        <f t="shared" si="8"/>
        <v>4</v>
      </c>
      <c r="M73" s="45">
        <f t="shared" si="9"/>
        <v>4</v>
      </c>
      <c r="N73" s="45">
        <f t="shared" si="10"/>
        <v>0</v>
      </c>
      <c r="O73" s="46">
        <f t="shared" si="11"/>
        <v>0</v>
      </c>
      <c r="P73" s="10" cm="1">
        <f t="array" ref="P73">SUMPRODUCT(B73:H73*$B$3:$H$3)</f>
        <v>20</v>
      </c>
    </row>
    <row r="74" spans="1:16" ht="15.75" customHeight="1" thickBot="1" x14ac:dyDescent="0.25">
      <c r="A74" s="47" t="str">
        <f t="shared" si="6"/>
        <v>1 x P'tite Faim</v>
      </c>
      <c r="B74" s="119">
        <v>0</v>
      </c>
      <c r="C74" s="119">
        <v>0</v>
      </c>
      <c r="D74" s="119" t="s">
        <v>397</v>
      </c>
      <c r="E74" s="119">
        <v>0</v>
      </c>
      <c r="F74" s="119">
        <v>0</v>
      </c>
      <c r="G74" s="144">
        <v>0</v>
      </c>
      <c r="H74" s="144">
        <v>0</v>
      </c>
      <c r="I74" s="48">
        <v>0</v>
      </c>
      <c r="J74" s="49">
        <v>2</v>
      </c>
      <c r="K74" s="45">
        <f t="shared" si="7"/>
        <v>2</v>
      </c>
      <c r="L74" s="45">
        <f t="shared" si="8"/>
        <v>1</v>
      </c>
      <c r="M74" s="45">
        <f t="shared" si="9"/>
        <v>0</v>
      </c>
      <c r="N74" s="45">
        <f t="shared" si="10"/>
        <v>0</v>
      </c>
      <c r="O74" s="46">
        <f t="shared" si="11"/>
        <v>0</v>
      </c>
      <c r="P74" s="10" cm="1">
        <f t="array" ref="P74">SUMPRODUCT(B74:H74*$B$3:$H$3)</f>
        <v>4.5</v>
      </c>
    </row>
    <row r="75" spans="1:16" ht="15.75" customHeight="1" thickBot="1" x14ac:dyDescent="0.25">
      <c r="A75" s="47" t="str">
        <f t="shared" si="6"/>
        <v>1 x Familiale</v>
      </c>
      <c r="B75" s="119" t="s">
        <v>397</v>
      </c>
      <c r="C75" s="119">
        <v>0</v>
      </c>
      <c r="D75" s="119">
        <v>0</v>
      </c>
      <c r="E75" s="119">
        <v>4</v>
      </c>
      <c r="F75" s="119">
        <v>0</v>
      </c>
      <c r="G75" s="144">
        <v>0</v>
      </c>
      <c r="H75" s="144">
        <v>0</v>
      </c>
      <c r="I75" s="48">
        <v>4</v>
      </c>
      <c r="J75" s="49">
        <v>4</v>
      </c>
      <c r="K75" s="45">
        <f t="shared" si="7"/>
        <v>8</v>
      </c>
      <c r="L75" s="45">
        <f t="shared" si="8"/>
        <v>2</v>
      </c>
      <c r="M75" s="45">
        <f t="shared" si="9"/>
        <v>2</v>
      </c>
      <c r="N75" s="45">
        <f t="shared" si="10"/>
        <v>0</v>
      </c>
      <c r="O75" s="46">
        <f t="shared" si="11"/>
        <v>0</v>
      </c>
      <c r="P75" s="10" cm="1">
        <f t="array" ref="P75">SUMPRODUCT(B75:H75*$B$3:$H$3)</f>
        <v>14</v>
      </c>
    </row>
    <row r="76" spans="1:16" ht="15.75" customHeight="1" thickBot="1" x14ac:dyDescent="0.25">
      <c r="A76" s="47" t="str">
        <f t="shared" si="6"/>
        <v>1 x P'tit Déj'</v>
      </c>
      <c r="B76" s="119">
        <v>0</v>
      </c>
      <c r="C76" s="119" t="s">
        <v>397</v>
      </c>
      <c r="D76" s="119">
        <v>0</v>
      </c>
      <c r="E76" s="119">
        <v>1</v>
      </c>
      <c r="F76" s="119">
        <v>0</v>
      </c>
      <c r="G76" s="144">
        <v>0</v>
      </c>
      <c r="H76" s="144">
        <v>0</v>
      </c>
      <c r="I76" s="48">
        <v>1</v>
      </c>
      <c r="J76" s="49">
        <v>2</v>
      </c>
      <c r="K76" s="45">
        <f t="shared" si="7"/>
        <v>3</v>
      </c>
      <c r="L76" s="45">
        <f t="shared" si="8"/>
        <v>2</v>
      </c>
      <c r="M76" s="45">
        <f t="shared" si="9"/>
        <v>0</v>
      </c>
      <c r="N76" s="45">
        <f t="shared" si="10"/>
        <v>0</v>
      </c>
      <c r="O76" s="46">
        <f t="shared" si="11"/>
        <v>12</v>
      </c>
      <c r="P76" s="10" cm="1">
        <f t="array" ref="P76">SUMPRODUCT(B76:H76*$B$3:$H$3)</f>
        <v>7.5</v>
      </c>
    </row>
    <row r="77" spans="1:16" ht="15.75" customHeight="1" thickBot="1" x14ac:dyDescent="0.25">
      <c r="A77" s="42" t="str">
        <f t="shared" si="6"/>
        <v>1 x P'tit Déj'</v>
      </c>
      <c r="B77" s="118">
        <v>0</v>
      </c>
      <c r="C77" s="118" t="s">
        <v>397</v>
      </c>
      <c r="D77" s="118">
        <v>0</v>
      </c>
      <c r="E77" s="118">
        <v>2</v>
      </c>
      <c r="F77" s="118">
        <v>0</v>
      </c>
      <c r="G77" s="143">
        <v>0</v>
      </c>
      <c r="H77" s="143">
        <v>0</v>
      </c>
      <c r="I77" s="43">
        <v>2</v>
      </c>
      <c r="J77" s="44">
        <v>2</v>
      </c>
      <c r="K77" s="45">
        <f t="shared" si="7"/>
        <v>4</v>
      </c>
      <c r="L77" s="45">
        <f t="shared" si="8"/>
        <v>2</v>
      </c>
      <c r="M77" s="45">
        <f t="shared" si="9"/>
        <v>0</v>
      </c>
      <c r="N77" s="45">
        <f t="shared" si="10"/>
        <v>0</v>
      </c>
      <c r="O77" s="46">
        <f t="shared" si="11"/>
        <v>12</v>
      </c>
      <c r="P77" s="10" cm="1">
        <f t="array" ref="P77">SUMPRODUCT(B77:H77*$B$3:$H$3)</f>
        <v>8.5</v>
      </c>
    </row>
    <row r="78" spans="1:16" ht="15.75" customHeight="1" thickBot="1" x14ac:dyDescent="0.25">
      <c r="A78" s="47" t="str">
        <f t="shared" si="6"/>
        <v>2 x P'tite Faim</v>
      </c>
      <c r="B78" s="119">
        <v>0</v>
      </c>
      <c r="C78" s="119">
        <v>0</v>
      </c>
      <c r="D78" s="119" t="s">
        <v>396</v>
      </c>
      <c r="E78" s="119">
        <v>0</v>
      </c>
      <c r="F78" s="119">
        <v>0</v>
      </c>
      <c r="G78" s="144">
        <v>0</v>
      </c>
      <c r="H78" s="144">
        <v>0</v>
      </c>
      <c r="I78" s="48">
        <v>2</v>
      </c>
      <c r="J78" s="49">
        <v>2</v>
      </c>
      <c r="K78" s="45">
        <f t="shared" si="7"/>
        <v>4</v>
      </c>
      <c r="L78" s="45">
        <f t="shared" si="8"/>
        <v>2</v>
      </c>
      <c r="M78" s="45">
        <f t="shared" si="9"/>
        <v>0</v>
      </c>
      <c r="N78" s="45">
        <f t="shared" si="10"/>
        <v>0</v>
      </c>
      <c r="O78" s="46">
        <f t="shared" si="11"/>
        <v>0</v>
      </c>
      <c r="P78" s="10" cm="1">
        <f t="array" ref="P78">SUMPRODUCT(B78:H78*$B$3:$H$3)</f>
        <v>9</v>
      </c>
    </row>
    <row r="79" spans="1:16" ht="15.75" customHeight="1" thickBot="1" x14ac:dyDescent="0.25">
      <c r="A79" s="42" t="str">
        <f t="shared" si="6"/>
        <v>1 x P'tit Déj'</v>
      </c>
      <c r="B79" s="118">
        <v>0</v>
      </c>
      <c r="C79" s="118" t="s">
        <v>397</v>
      </c>
      <c r="D79" s="118">
        <v>0</v>
      </c>
      <c r="E79" s="118">
        <v>1</v>
      </c>
      <c r="F79" s="118">
        <v>1</v>
      </c>
      <c r="G79" s="143">
        <v>0</v>
      </c>
      <c r="H79" s="143">
        <v>1</v>
      </c>
      <c r="I79" s="43">
        <v>3</v>
      </c>
      <c r="J79" s="44">
        <v>0</v>
      </c>
      <c r="K79" s="45">
        <f t="shared" si="7"/>
        <v>3</v>
      </c>
      <c r="L79" s="45">
        <f t="shared" si="8"/>
        <v>2</v>
      </c>
      <c r="M79" s="45">
        <f t="shared" si="9"/>
        <v>1</v>
      </c>
      <c r="N79" s="45">
        <f t="shared" si="10"/>
        <v>0</v>
      </c>
      <c r="O79" s="46">
        <f t="shared" si="11"/>
        <v>24</v>
      </c>
      <c r="P79" s="10" cm="1">
        <f t="array" ref="P79">SUMPRODUCT(B79:H79*$B$3:$H$3)</f>
        <v>15.5</v>
      </c>
    </row>
    <row r="80" spans="1:16" ht="15.75" customHeight="1" thickBot="1" x14ac:dyDescent="0.25">
      <c r="A80" s="42" t="str">
        <f t="shared" si="6"/>
        <v>1 x P'tit Déj'</v>
      </c>
      <c r="B80" s="118">
        <v>0</v>
      </c>
      <c r="C80" s="118" t="s">
        <v>397</v>
      </c>
      <c r="D80" s="118">
        <v>0</v>
      </c>
      <c r="E80" s="118">
        <v>0</v>
      </c>
      <c r="F80" s="118">
        <v>0</v>
      </c>
      <c r="G80" s="143">
        <v>1</v>
      </c>
      <c r="H80" s="143">
        <v>0</v>
      </c>
      <c r="I80" s="43">
        <v>1</v>
      </c>
      <c r="J80" s="44">
        <v>1</v>
      </c>
      <c r="K80" s="45">
        <f t="shared" si="7"/>
        <v>2</v>
      </c>
      <c r="L80" s="45">
        <f t="shared" si="8"/>
        <v>2</v>
      </c>
      <c r="M80" s="45">
        <f t="shared" si="9"/>
        <v>0</v>
      </c>
      <c r="N80" s="45">
        <f t="shared" si="10"/>
        <v>1</v>
      </c>
      <c r="O80" s="46">
        <f t="shared" si="11"/>
        <v>12</v>
      </c>
      <c r="P80" s="10" cm="1">
        <f t="array" ref="P80">SUMPRODUCT(B80:H80*$B$3:$H$3)</f>
        <v>8.5</v>
      </c>
    </row>
    <row r="81" spans="1:16" ht="15.75" customHeight="1" thickBot="1" x14ac:dyDescent="0.25">
      <c r="A81" s="50" t="str">
        <f t="shared" si="6"/>
        <v>1 x Familiale</v>
      </c>
      <c r="B81" s="120" t="s">
        <v>397</v>
      </c>
      <c r="C81" s="120">
        <v>0</v>
      </c>
      <c r="D81" s="120">
        <v>0</v>
      </c>
      <c r="E81" s="120">
        <v>2</v>
      </c>
      <c r="F81" s="120">
        <v>0</v>
      </c>
      <c r="G81" s="145">
        <v>0</v>
      </c>
      <c r="H81" s="145">
        <v>2</v>
      </c>
      <c r="I81" s="51">
        <v>2</v>
      </c>
      <c r="J81" s="52">
        <v>4</v>
      </c>
      <c r="K81" s="53">
        <f t="shared" si="7"/>
        <v>6</v>
      </c>
      <c r="L81" s="53">
        <f t="shared" si="8"/>
        <v>2</v>
      </c>
      <c r="M81" s="53">
        <f t="shared" si="9"/>
        <v>2</v>
      </c>
      <c r="N81" s="53">
        <f t="shared" si="10"/>
        <v>0</v>
      </c>
      <c r="O81" s="54">
        <f t="shared" si="11"/>
        <v>24</v>
      </c>
      <c r="P81" s="10" cm="1">
        <f t="array" ref="P81">SUMPRODUCT(B81:H81*$B$3:$H$3)</f>
        <v>17</v>
      </c>
    </row>
    <row r="82" spans="1:16" ht="15.75" customHeight="1" thickBot="1" x14ac:dyDescent="0.25">
      <c r="A82" s="42" t="str">
        <f t="shared" si="6"/>
        <v>1 x P'tite Faim</v>
      </c>
      <c r="B82" s="118">
        <v>0</v>
      </c>
      <c r="C82" s="118">
        <v>0</v>
      </c>
      <c r="D82" s="118" t="s">
        <v>397</v>
      </c>
      <c r="E82" s="118">
        <v>1</v>
      </c>
      <c r="F82" s="118">
        <v>0</v>
      </c>
      <c r="G82" s="143">
        <v>0</v>
      </c>
      <c r="H82" s="143">
        <v>0</v>
      </c>
      <c r="I82" s="43">
        <v>2</v>
      </c>
      <c r="J82" s="44">
        <v>1</v>
      </c>
      <c r="K82" s="45">
        <f t="shared" si="7"/>
        <v>3</v>
      </c>
      <c r="L82" s="45">
        <f t="shared" si="8"/>
        <v>1</v>
      </c>
      <c r="M82" s="45">
        <f t="shared" si="9"/>
        <v>0</v>
      </c>
      <c r="N82" s="45">
        <f t="shared" si="10"/>
        <v>0</v>
      </c>
      <c r="O82" s="46">
        <f t="shared" si="11"/>
        <v>0</v>
      </c>
      <c r="P82" s="10" cm="1">
        <f t="array" ref="P82">SUMPRODUCT(B82:H82*$B$3:$H$3)</f>
        <v>5.5</v>
      </c>
    </row>
    <row r="83" spans="1:16" ht="15.75" customHeight="1" thickBot="1" x14ac:dyDescent="0.25">
      <c r="A83" s="47" t="str">
        <f t="shared" si="6"/>
        <v>1 x P'tite Faim</v>
      </c>
      <c r="B83" s="119">
        <v>0</v>
      </c>
      <c r="C83" s="119">
        <v>0</v>
      </c>
      <c r="D83" s="119" t="s">
        <v>397</v>
      </c>
      <c r="E83" s="119">
        <v>0</v>
      </c>
      <c r="F83" s="119">
        <v>0</v>
      </c>
      <c r="G83" s="144">
        <v>0</v>
      </c>
      <c r="H83" s="144">
        <v>0</v>
      </c>
      <c r="I83" s="48">
        <v>1</v>
      </c>
      <c r="J83" s="49">
        <v>1</v>
      </c>
      <c r="K83" s="45">
        <f t="shared" si="7"/>
        <v>2</v>
      </c>
      <c r="L83" s="45">
        <f t="shared" si="8"/>
        <v>1</v>
      </c>
      <c r="M83" s="45">
        <f t="shared" si="9"/>
        <v>0</v>
      </c>
      <c r="N83" s="45">
        <f t="shared" si="10"/>
        <v>0</v>
      </c>
      <c r="O83" s="46">
        <f t="shared" si="11"/>
        <v>0</v>
      </c>
      <c r="P83" s="10" cm="1">
        <f t="array" ref="P83">SUMPRODUCT(B83:H83*$B$3:$H$3)</f>
        <v>4.5</v>
      </c>
    </row>
    <row r="84" spans="1:16" ht="15.75" customHeight="1" thickBot="1" x14ac:dyDescent="0.25">
      <c r="A84" s="47" t="str">
        <f t="shared" si="6"/>
        <v>1 x Familiale</v>
      </c>
      <c r="B84" s="119" t="s">
        <v>397</v>
      </c>
      <c r="C84" s="119">
        <v>0</v>
      </c>
      <c r="D84" s="119">
        <v>0</v>
      </c>
      <c r="E84" s="119">
        <v>2</v>
      </c>
      <c r="F84" s="119">
        <v>1</v>
      </c>
      <c r="G84" s="144">
        <v>0</v>
      </c>
      <c r="H84" s="144">
        <v>0</v>
      </c>
      <c r="I84" s="48">
        <v>3</v>
      </c>
      <c r="J84" s="49">
        <v>3</v>
      </c>
      <c r="K84" s="45">
        <f t="shared" si="7"/>
        <v>6</v>
      </c>
      <c r="L84" s="45">
        <f t="shared" si="8"/>
        <v>2</v>
      </c>
      <c r="M84" s="45">
        <f t="shared" si="9"/>
        <v>3</v>
      </c>
      <c r="N84" s="45">
        <f t="shared" si="10"/>
        <v>0</v>
      </c>
      <c r="O84" s="46">
        <f t="shared" si="11"/>
        <v>0</v>
      </c>
      <c r="P84" s="10" cm="1">
        <f t="array" ref="P84">SUMPRODUCT(B84:H84*$B$3:$H$3)</f>
        <v>17.5</v>
      </c>
    </row>
    <row r="85" spans="1:16" ht="15.75" customHeight="1" thickBot="1" x14ac:dyDescent="0.25">
      <c r="A85" s="42" t="str">
        <f t="shared" si="6"/>
        <v>1 x P'tit Déj'</v>
      </c>
      <c r="B85" s="118">
        <v>0</v>
      </c>
      <c r="C85" s="118" t="s">
        <v>397</v>
      </c>
      <c r="D85" s="118">
        <v>0</v>
      </c>
      <c r="E85" s="118">
        <v>0</v>
      </c>
      <c r="F85" s="118">
        <v>0</v>
      </c>
      <c r="G85" s="143">
        <v>0</v>
      </c>
      <c r="H85" s="143">
        <v>0</v>
      </c>
      <c r="I85" s="43">
        <v>2</v>
      </c>
      <c r="J85" s="44">
        <v>0</v>
      </c>
      <c r="K85" s="45">
        <f t="shared" si="7"/>
        <v>2</v>
      </c>
      <c r="L85" s="45">
        <f t="shared" si="8"/>
        <v>2</v>
      </c>
      <c r="M85" s="45">
        <f t="shared" si="9"/>
        <v>0</v>
      </c>
      <c r="N85" s="45">
        <f t="shared" si="10"/>
        <v>0</v>
      </c>
      <c r="O85" s="46">
        <f t="shared" si="11"/>
        <v>12</v>
      </c>
      <c r="P85" s="10" cm="1">
        <f t="array" ref="P85">SUMPRODUCT(B85:H85*$B$3:$H$3)</f>
        <v>6.5</v>
      </c>
    </row>
    <row r="86" spans="1:16" ht="15.75" customHeight="1" thickBot="1" x14ac:dyDescent="0.25">
      <c r="A86" s="47" t="str">
        <f t="shared" si="6"/>
        <v>1 x Familiale</v>
      </c>
      <c r="B86" s="119" t="s">
        <v>397</v>
      </c>
      <c r="C86" s="119">
        <v>0</v>
      </c>
      <c r="D86" s="119">
        <v>0</v>
      </c>
      <c r="E86" s="119">
        <v>1</v>
      </c>
      <c r="F86" s="119">
        <v>0</v>
      </c>
      <c r="G86" s="144">
        <v>0</v>
      </c>
      <c r="H86" s="144">
        <v>0</v>
      </c>
      <c r="I86" s="48">
        <v>2</v>
      </c>
      <c r="J86" s="49">
        <v>3</v>
      </c>
      <c r="K86" s="45">
        <f t="shared" si="7"/>
        <v>5</v>
      </c>
      <c r="L86" s="45">
        <f t="shared" si="8"/>
        <v>2</v>
      </c>
      <c r="M86" s="45">
        <f t="shared" si="9"/>
        <v>2</v>
      </c>
      <c r="N86" s="45">
        <f t="shared" si="10"/>
        <v>0</v>
      </c>
      <c r="O86" s="46">
        <f t="shared" si="11"/>
        <v>0</v>
      </c>
      <c r="P86" s="10" cm="1">
        <f t="array" ref="P86">SUMPRODUCT(B86:H86*$B$3:$H$3)</f>
        <v>11</v>
      </c>
    </row>
    <row r="87" spans="1:16" ht="15.75" customHeight="1" thickBot="1" x14ac:dyDescent="0.25">
      <c r="A87" s="47" t="str">
        <f t="shared" si="6"/>
        <v>1 x Familiale</v>
      </c>
      <c r="B87" s="119" t="s">
        <v>397</v>
      </c>
      <c r="C87" s="119">
        <v>0</v>
      </c>
      <c r="D87" s="119">
        <v>0</v>
      </c>
      <c r="E87" s="119">
        <v>0</v>
      </c>
      <c r="F87" s="119">
        <v>1</v>
      </c>
      <c r="G87" s="144">
        <v>0</v>
      </c>
      <c r="H87" s="144">
        <v>0</v>
      </c>
      <c r="I87" s="48">
        <v>2</v>
      </c>
      <c r="J87" s="49">
        <v>2</v>
      </c>
      <c r="K87" s="45">
        <f t="shared" si="7"/>
        <v>4</v>
      </c>
      <c r="L87" s="45">
        <f t="shared" si="8"/>
        <v>2</v>
      </c>
      <c r="M87" s="45">
        <f t="shared" si="9"/>
        <v>3</v>
      </c>
      <c r="N87" s="45">
        <f t="shared" si="10"/>
        <v>0</v>
      </c>
      <c r="O87" s="46">
        <f t="shared" si="11"/>
        <v>0</v>
      </c>
      <c r="P87" s="10" cm="1">
        <f t="array" ref="P87">SUMPRODUCT(B87:H87*$B$3:$H$3)</f>
        <v>15.5</v>
      </c>
    </row>
    <row r="88" spans="1:16" ht="15.75" customHeight="1" thickBot="1" x14ac:dyDescent="0.25">
      <c r="A88" s="47" t="str">
        <f t="shared" si="6"/>
        <v>2 x Familiale</v>
      </c>
      <c r="B88" s="119" t="s">
        <v>396</v>
      </c>
      <c r="C88" s="119">
        <v>0</v>
      </c>
      <c r="D88" s="119">
        <v>0</v>
      </c>
      <c r="E88" s="119">
        <v>2</v>
      </c>
      <c r="F88" s="119">
        <v>0</v>
      </c>
      <c r="G88" s="144">
        <v>0</v>
      </c>
      <c r="H88" s="144">
        <v>0</v>
      </c>
      <c r="I88" s="48">
        <v>5</v>
      </c>
      <c r="J88" s="49">
        <v>5</v>
      </c>
      <c r="K88" s="45">
        <f t="shared" si="7"/>
        <v>10</v>
      </c>
      <c r="L88" s="45">
        <f t="shared" si="8"/>
        <v>4</v>
      </c>
      <c r="M88" s="45">
        <f t="shared" si="9"/>
        <v>4</v>
      </c>
      <c r="N88" s="45">
        <f t="shared" si="10"/>
        <v>0</v>
      </c>
      <c r="O88" s="46">
        <f t="shared" si="11"/>
        <v>0</v>
      </c>
      <c r="P88" s="10" cm="1">
        <f t="array" ref="P88">SUMPRODUCT(B88:H88*$B$3:$H$3)</f>
        <v>22</v>
      </c>
    </row>
    <row r="89" spans="1:16" ht="15.75" customHeight="1" thickBot="1" x14ac:dyDescent="0.25">
      <c r="A89" s="42" t="str">
        <f t="shared" si="6"/>
        <v>1 x P'tite Faim</v>
      </c>
      <c r="B89" s="118">
        <v>0</v>
      </c>
      <c r="C89" s="118">
        <v>0</v>
      </c>
      <c r="D89" s="118" t="s">
        <v>397</v>
      </c>
      <c r="E89" s="118">
        <v>0</v>
      </c>
      <c r="F89" s="118">
        <v>0</v>
      </c>
      <c r="G89" s="143">
        <v>0</v>
      </c>
      <c r="H89" s="143">
        <v>0</v>
      </c>
      <c r="I89" s="43">
        <v>2</v>
      </c>
      <c r="J89" s="44">
        <v>0</v>
      </c>
      <c r="K89" s="45">
        <f t="shared" si="7"/>
        <v>2</v>
      </c>
      <c r="L89" s="45">
        <f t="shared" si="8"/>
        <v>1</v>
      </c>
      <c r="M89" s="45">
        <f t="shared" si="9"/>
        <v>0</v>
      </c>
      <c r="N89" s="45">
        <f t="shared" si="10"/>
        <v>0</v>
      </c>
      <c r="O89" s="46">
        <f t="shared" si="11"/>
        <v>0</v>
      </c>
      <c r="P89" s="10" cm="1">
        <f t="array" ref="P89">SUMPRODUCT(B89:H89*$B$3:$H$3)</f>
        <v>4.5</v>
      </c>
    </row>
    <row r="90" spans="1:16" ht="15.75" customHeight="1" thickBot="1" x14ac:dyDescent="0.25">
      <c r="A90" s="42" t="str">
        <f t="shared" si="6"/>
        <v>1 x P'tit Déj'</v>
      </c>
      <c r="B90" s="118">
        <v>0</v>
      </c>
      <c r="C90" s="118" t="s">
        <v>397</v>
      </c>
      <c r="D90" s="118">
        <v>0</v>
      </c>
      <c r="E90" s="118">
        <v>2</v>
      </c>
      <c r="F90" s="118">
        <v>0</v>
      </c>
      <c r="G90" s="143">
        <v>0</v>
      </c>
      <c r="H90" s="143">
        <v>0</v>
      </c>
      <c r="I90" s="43">
        <v>2</v>
      </c>
      <c r="J90" s="44">
        <v>2</v>
      </c>
      <c r="K90" s="45">
        <f t="shared" si="7"/>
        <v>4</v>
      </c>
      <c r="L90" s="45">
        <f t="shared" si="8"/>
        <v>2</v>
      </c>
      <c r="M90" s="45">
        <f t="shared" si="9"/>
        <v>0</v>
      </c>
      <c r="N90" s="45">
        <f t="shared" si="10"/>
        <v>0</v>
      </c>
      <c r="O90" s="46">
        <f t="shared" si="11"/>
        <v>12</v>
      </c>
      <c r="P90" s="10" cm="1">
        <f t="array" ref="P90">SUMPRODUCT(B90:H90*$B$3:$H$3)</f>
        <v>8.5</v>
      </c>
    </row>
    <row r="91" spans="1:16" ht="15.75" customHeight="1" thickBot="1" x14ac:dyDescent="0.25">
      <c r="A91" s="42" t="str">
        <f t="shared" si="6"/>
        <v>1 x Familiale</v>
      </c>
      <c r="B91" s="118" t="s">
        <v>397</v>
      </c>
      <c r="C91" s="118">
        <v>0</v>
      </c>
      <c r="D91" s="118">
        <v>0</v>
      </c>
      <c r="E91" s="118">
        <v>0</v>
      </c>
      <c r="F91" s="118">
        <v>0</v>
      </c>
      <c r="G91" s="143">
        <v>1</v>
      </c>
      <c r="H91" s="143">
        <v>0</v>
      </c>
      <c r="I91" s="43">
        <v>2</v>
      </c>
      <c r="J91" s="44">
        <v>2</v>
      </c>
      <c r="K91" s="45">
        <f t="shared" si="7"/>
        <v>4</v>
      </c>
      <c r="L91" s="45">
        <f t="shared" si="8"/>
        <v>2</v>
      </c>
      <c r="M91" s="45">
        <f t="shared" si="9"/>
        <v>2</v>
      </c>
      <c r="N91" s="45">
        <f t="shared" si="10"/>
        <v>1</v>
      </c>
      <c r="O91" s="46">
        <f t="shared" si="11"/>
        <v>0</v>
      </c>
      <c r="P91" s="10" cm="1">
        <f t="array" ref="P91">SUMPRODUCT(B91:H91*$B$3:$H$3)</f>
        <v>12</v>
      </c>
    </row>
    <row r="92" spans="1:16" ht="15.75" customHeight="1" thickBot="1" x14ac:dyDescent="0.25">
      <c r="A92" s="42" t="str">
        <f t="shared" si="6"/>
        <v>1 x Familiale</v>
      </c>
      <c r="B92" s="118" t="s">
        <v>397</v>
      </c>
      <c r="C92" s="118">
        <v>0</v>
      </c>
      <c r="D92" s="118">
        <v>0</v>
      </c>
      <c r="E92" s="118">
        <v>0</v>
      </c>
      <c r="F92" s="118">
        <v>0</v>
      </c>
      <c r="G92" s="143">
        <v>0</v>
      </c>
      <c r="H92" s="143">
        <v>0</v>
      </c>
      <c r="I92" s="43">
        <v>1</v>
      </c>
      <c r="J92" s="44">
        <v>3</v>
      </c>
      <c r="K92" s="45">
        <f t="shared" si="7"/>
        <v>4</v>
      </c>
      <c r="L92" s="45">
        <f t="shared" si="8"/>
        <v>2</v>
      </c>
      <c r="M92" s="45">
        <f t="shared" si="9"/>
        <v>2</v>
      </c>
      <c r="N92" s="45">
        <f t="shared" si="10"/>
        <v>0</v>
      </c>
      <c r="O92" s="46">
        <f t="shared" si="11"/>
        <v>0</v>
      </c>
      <c r="P92" s="10" cm="1">
        <f t="array" ref="P92">SUMPRODUCT(B92:H92*$B$3:$H$3)</f>
        <v>10</v>
      </c>
    </row>
    <row r="93" spans="1:16" ht="15.75" customHeight="1" thickBot="1" x14ac:dyDescent="0.25">
      <c r="A93" s="42" t="str">
        <f t="shared" si="6"/>
        <v>1 x P'tit Déj'</v>
      </c>
      <c r="B93" s="118">
        <v>0</v>
      </c>
      <c r="C93" s="118" t="s">
        <v>397</v>
      </c>
      <c r="D93" s="118">
        <v>0</v>
      </c>
      <c r="E93" s="118">
        <v>0</v>
      </c>
      <c r="F93" s="118">
        <v>0</v>
      </c>
      <c r="G93" s="143">
        <v>0</v>
      </c>
      <c r="H93" s="143">
        <v>0</v>
      </c>
      <c r="I93" s="43">
        <v>2</v>
      </c>
      <c r="J93" s="44">
        <v>0</v>
      </c>
      <c r="K93" s="45">
        <f t="shared" si="7"/>
        <v>2</v>
      </c>
      <c r="L93" s="45">
        <f t="shared" si="8"/>
        <v>2</v>
      </c>
      <c r="M93" s="45">
        <f t="shared" si="9"/>
        <v>0</v>
      </c>
      <c r="N93" s="45">
        <f t="shared" si="10"/>
        <v>0</v>
      </c>
      <c r="O93" s="46">
        <f t="shared" si="11"/>
        <v>12</v>
      </c>
      <c r="P93" s="10" cm="1">
        <f t="array" ref="P93">SUMPRODUCT(B93:H93*$B$3:$H$3)</f>
        <v>6.5</v>
      </c>
    </row>
    <row r="94" spans="1:16" ht="15.75" customHeight="1" thickBot="1" x14ac:dyDescent="0.25">
      <c r="A94" s="47" t="str">
        <f t="shared" si="6"/>
        <v>2 x P'tite Faim</v>
      </c>
      <c r="B94" s="119">
        <v>0</v>
      </c>
      <c r="C94" s="119">
        <v>0</v>
      </c>
      <c r="D94" s="119" t="s">
        <v>396</v>
      </c>
      <c r="E94" s="119">
        <v>0</v>
      </c>
      <c r="F94" s="119">
        <v>0</v>
      </c>
      <c r="G94" s="144">
        <v>0</v>
      </c>
      <c r="H94" s="144">
        <v>0</v>
      </c>
      <c r="I94" s="48">
        <v>3</v>
      </c>
      <c r="J94" s="49">
        <v>1</v>
      </c>
      <c r="K94" s="45">
        <f t="shared" si="7"/>
        <v>4</v>
      </c>
      <c r="L94" s="45">
        <f t="shared" si="8"/>
        <v>2</v>
      </c>
      <c r="M94" s="45">
        <f t="shared" si="9"/>
        <v>0</v>
      </c>
      <c r="N94" s="45">
        <f t="shared" si="10"/>
        <v>0</v>
      </c>
      <c r="O94" s="46">
        <f t="shared" si="11"/>
        <v>0</v>
      </c>
      <c r="P94" s="10" cm="1">
        <f t="array" ref="P94">SUMPRODUCT(B94:H94*$B$3:$H$3)</f>
        <v>9</v>
      </c>
    </row>
    <row r="95" spans="1:16" ht="15.75" customHeight="1" thickBot="1" x14ac:dyDescent="0.25">
      <c r="A95" s="47" t="str">
        <f t="shared" si="6"/>
        <v>1 x Familiale</v>
      </c>
      <c r="B95" s="119" t="s">
        <v>397</v>
      </c>
      <c r="C95" s="119">
        <v>0</v>
      </c>
      <c r="D95" s="119">
        <v>0</v>
      </c>
      <c r="E95" s="119">
        <v>0</v>
      </c>
      <c r="F95" s="119">
        <v>0</v>
      </c>
      <c r="G95" s="144">
        <v>0</v>
      </c>
      <c r="H95" s="144">
        <v>0</v>
      </c>
      <c r="I95" s="48">
        <v>2</v>
      </c>
      <c r="J95" s="49">
        <v>2</v>
      </c>
      <c r="K95" s="45">
        <f t="shared" si="7"/>
        <v>4</v>
      </c>
      <c r="L95" s="45">
        <f t="shared" si="8"/>
        <v>2</v>
      </c>
      <c r="M95" s="45">
        <f t="shared" si="9"/>
        <v>2</v>
      </c>
      <c r="N95" s="45">
        <f t="shared" si="10"/>
        <v>0</v>
      </c>
      <c r="O95" s="46">
        <f t="shared" si="11"/>
        <v>0</v>
      </c>
      <c r="P95" s="10" cm="1">
        <f t="array" ref="P95">SUMPRODUCT(B95:H95*$B$3:$H$3)</f>
        <v>10</v>
      </c>
    </row>
    <row r="96" spans="1:16" ht="15.75" customHeight="1" thickBot="1" x14ac:dyDescent="0.25">
      <c r="A96" s="42" t="str">
        <f t="shared" si="6"/>
        <v>1 x Familiale</v>
      </c>
      <c r="B96" s="118" t="s">
        <v>397</v>
      </c>
      <c r="C96" s="118">
        <v>0</v>
      </c>
      <c r="D96" s="118">
        <v>0</v>
      </c>
      <c r="E96" s="118">
        <v>0</v>
      </c>
      <c r="F96" s="118">
        <v>0</v>
      </c>
      <c r="G96" s="143">
        <v>0</v>
      </c>
      <c r="H96" s="143">
        <v>1</v>
      </c>
      <c r="I96" s="43">
        <v>2</v>
      </c>
      <c r="J96" s="44">
        <v>2</v>
      </c>
      <c r="K96" s="45">
        <f t="shared" si="7"/>
        <v>4</v>
      </c>
      <c r="L96" s="45">
        <f t="shared" si="8"/>
        <v>2</v>
      </c>
      <c r="M96" s="45">
        <f t="shared" si="9"/>
        <v>2</v>
      </c>
      <c r="N96" s="45">
        <f t="shared" si="10"/>
        <v>0</v>
      </c>
      <c r="O96" s="46">
        <f t="shared" si="11"/>
        <v>12</v>
      </c>
      <c r="P96" s="10" cm="1">
        <f t="array" ref="P96">SUMPRODUCT(B96:H96*$B$3:$H$3)</f>
        <v>12.5</v>
      </c>
    </row>
    <row r="97" spans="1:16" ht="15.75" customHeight="1" thickBot="1" x14ac:dyDescent="0.25">
      <c r="A97" s="42" t="str">
        <f t="shared" si="6"/>
        <v>1 x Familiale</v>
      </c>
      <c r="B97" s="118" t="s">
        <v>397</v>
      </c>
      <c r="C97" s="118">
        <v>0</v>
      </c>
      <c r="D97" s="118">
        <v>0</v>
      </c>
      <c r="E97" s="118">
        <v>0</v>
      </c>
      <c r="F97" s="118">
        <v>0</v>
      </c>
      <c r="G97" s="143">
        <v>0</v>
      </c>
      <c r="H97" s="143">
        <v>0</v>
      </c>
      <c r="I97" s="43">
        <v>2</v>
      </c>
      <c r="J97" s="44">
        <v>2</v>
      </c>
      <c r="K97" s="45">
        <f t="shared" si="7"/>
        <v>4</v>
      </c>
      <c r="L97" s="45">
        <f t="shared" si="8"/>
        <v>2</v>
      </c>
      <c r="M97" s="45">
        <f t="shared" si="9"/>
        <v>2</v>
      </c>
      <c r="N97" s="45">
        <f t="shared" si="10"/>
        <v>0</v>
      </c>
      <c r="O97" s="46">
        <f t="shared" si="11"/>
        <v>0</v>
      </c>
      <c r="P97" s="10" cm="1">
        <f t="array" ref="P97">SUMPRODUCT(B97:H97*$B$3:$H$3)</f>
        <v>10</v>
      </c>
    </row>
    <row r="98" spans="1:16" ht="15.75" customHeight="1" thickBot="1" x14ac:dyDescent="0.25">
      <c r="A98" s="47" t="str">
        <f t="shared" si="6"/>
        <v>1 x Familiale</v>
      </c>
      <c r="B98" s="119" t="s">
        <v>397</v>
      </c>
      <c r="C98" s="119">
        <v>0</v>
      </c>
      <c r="D98" s="119">
        <v>0</v>
      </c>
      <c r="E98" s="119">
        <v>0</v>
      </c>
      <c r="F98" s="119">
        <v>0</v>
      </c>
      <c r="G98" s="144">
        <v>0</v>
      </c>
      <c r="H98" s="144">
        <v>1</v>
      </c>
      <c r="I98" s="48">
        <v>2</v>
      </c>
      <c r="J98" s="49">
        <v>2</v>
      </c>
      <c r="K98" s="45">
        <f t="shared" si="7"/>
        <v>4</v>
      </c>
      <c r="L98" s="45">
        <f t="shared" si="8"/>
        <v>2</v>
      </c>
      <c r="M98" s="45">
        <f t="shared" si="9"/>
        <v>2</v>
      </c>
      <c r="N98" s="45">
        <f t="shared" si="10"/>
        <v>0</v>
      </c>
      <c r="O98" s="46">
        <f t="shared" si="11"/>
        <v>12</v>
      </c>
      <c r="P98" s="10" cm="1">
        <f t="array" ref="P98">SUMPRODUCT(B98:H98*$B$3:$H$3)</f>
        <v>12.5</v>
      </c>
    </row>
    <row r="99" spans="1:16" ht="15.75" customHeight="1" thickBot="1" x14ac:dyDescent="0.25">
      <c r="A99" s="42" t="str">
        <f t="shared" si="6"/>
        <v>1 x Familiale</v>
      </c>
      <c r="B99" s="118" t="s">
        <v>397</v>
      </c>
      <c r="C99" s="118">
        <v>0</v>
      </c>
      <c r="D99" s="118">
        <v>0</v>
      </c>
      <c r="E99" s="118">
        <v>1</v>
      </c>
      <c r="F99" s="118">
        <v>0</v>
      </c>
      <c r="G99" s="143">
        <v>0</v>
      </c>
      <c r="H99" s="143">
        <v>0</v>
      </c>
      <c r="I99" s="43">
        <v>5</v>
      </c>
      <c r="J99" s="44">
        <v>0</v>
      </c>
      <c r="K99" s="45">
        <f t="shared" si="7"/>
        <v>5</v>
      </c>
      <c r="L99" s="45">
        <f t="shared" si="8"/>
        <v>2</v>
      </c>
      <c r="M99" s="45">
        <f t="shared" si="9"/>
        <v>2</v>
      </c>
      <c r="N99" s="45">
        <f t="shared" si="10"/>
        <v>0</v>
      </c>
      <c r="O99" s="46">
        <f t="shared" si="11"/>
        <v>0</v>
      </c>
      <c r="P99" s="10" cm="1">
        <f t="array" ref="P99">SUMPRODUCT(B99:H99*$B$3:$H$3)</f>
        <v>11</v>
      </c>
    </row>
    <row r="100" spans="1:16" ht="15.75" customHeight="1" thickBot="1" x14ac:dyDescent="0.25">
      <c r="A100" s="47" t="str">
        <f t="shared" si="6"/>
        <v>1 x P'tit Déj'</v>
      </c>
      <c r="B100" s="119">
        <v>0</v>
      </c>
      <c r="C100" s="119" t="s">
        <v>397</v>
      </c>
      <c r="D100" s="119">
        <v>0</v>
      </c>
      <c r="E100" s="119">
        <v>0</v>
      </c>
      <c r="F100" s="119">
        <v>0</v>
      </c>
      <c r="G100" s="144">
        <v>0</v>
      </c>
      <c r="H100" s="144">
        <v>0</v>
      </c>
      <c r="I100" s="48">
        <v>2</v>
      </c>
      <c r="J100" s="49">
        <v>0</v>
      </c>
      <c r="K100" s="45">
        <f t="shared" si="7"/>
        <v>2</v>
      </c>
      <c r="L100" s="45">
        <f t="shared" si="8"/>
        <v>2</v>
      </c>
      <c r="M100" s="45">
        <f t="shared" si="9"/>
        <v>0</v>
      </c>
      <c r="N100" s="45">
        <f t="shared" si="10"/>
        <v>0</v>
      </c>
      <c r="O100" s="46">
        <f t="shared" si="11"/>
        <v>12</v>
      </c>
      <c r="P100" s="10" cm="1">
        <f t="array" ref="P100">SUMPRODUCT(B100:H100*$B$3:$H$3)</f>
        <v>6.5</v>
      </c>
    </row>
    <row r="101" spans="1:16" ht="15.75" customHeight="1" thickBot="1" x14ac:dyDescent="0.25">
      <c r="A101" s="42" t="str">
        <f t="shared" si="6"/>
        <v>2 x P'tite Faim</v>
      </c>
      <c r="B101" s="118">
        <v>0</v>
      </c>
      <c r="C101" s="118">
        <v>0</v>
      </c>
      <c r="D101" s="118" t="s">
        <v>396</v>
      </c>
      <c r="E101" s="118">
        <v>0</v>
      </c>
      <c r="F101" s="118">
        <v>0</v>
      </c>
      <c r="G101" s="143">
        <v>0</v>
      </c>
      <c r="H101" s="143">
        <v>0</v>
      </c>
      <c r="I101" s="43">
        <v>2</v>
      </c>
      <c r="J101" s="44">
        <v>2</v>
      </c>
      <c r="K101" s="45">
        <f t="shared" si="7"/>
        <v>4</v>
      </c>
      <c r="L101" s="45">
        <f t="shared" si="8"/>
        <v>2</v>
      </c>
      <c r="M101" s="45">
        <f t="shared" si="9"/>
        <v>0</v>
      </c>
      <c r="N101" s="45">
        <f t="shared" si="10"/>
        <v>0</v>
      </c>
      <c r="O101" s="46">
        <f t="shared" si="11"/>
        <v>0</v>
      </c>
      <c r="P101" s="10" cm="1">
        <f t="array" ref="P101">SUMPRODUCT(B101:H101*$B$3:$H$3)</f>
        <v>9</v>
      </c>
    </row>
    <row r="102" spans="1:16" ht="15.75" customHeight="1" thickBot="1" x14ac:dyDescent="0.25">
      <c r="A102" s="42" t="str">
        <f t="shared" si="6"/>
        <v>1 x P'tit Déj',1 x P'tite Faim</v>
      </c>
      <c r="B102" s="118">
        <v>0</v>
      </c>
      <c r="C102" s="118" t="s">
        <v>397</v>
      </c>
      <c r="D102" s="118" t="s">
        <v>397</v>
      </c>
      <c r="E102" s="118">
        <v>1</v>
      </c>
      <c r="F102" s="118">
        <v>0</v>
      </c>
      <c r="G102" s="143">
        <v>0</v>
      </c>
      <c r="H102" s="143">
        <v>1</v>
      </c>
      <c r="I102" s="43">
        <v>2</v>
      </c>
      <c r="J102" s="44">
        <v>3</v>
      </c>
      <c r="K102" s="45">
        <f t="shared" si="7"/>
        <v>5</v>
      </c>
      <c r="L102" s="45">
        <f t="shared" si="8"/>
        <v>3</v>
      </c>
      <c r="M102" s="45">
        <f t="shared" si="9"/>
        <v>0</v>
      </c>
      <c r="N102" s="45">
        <f t="shared" si="10"/>
        <v>0</v>
      </c>
      <c r="O102" s="46">
        <f t="shared" si="11"/>
        <v>24</v>
      </c>
      <c r="P102" s="10" cm="1">
        <f t="array" ref="P102">SUMPRODUCT(B102:H102*$B$3:$H$3)</f>
        <v>14.5</v>
      </c>
    </row>
    <row r="103" spans="1:16" ht="15.75" customHeight="1" thickBot="1" x14ac:dyDescent="0.25">
      <c r="A103" s="42" t="str">
        <f t="shared" si="6"/>
        <v>1 x P'tit Déj'</v>
      </c>
      <c r="B103" s="118">
        <v>0</v>
      </c>
      <c r="C103" s="118" t="s">
        <v>397</v>
      </c>
      <c r="D103" s="118">
        <v>0</v>
      </c>
      <c r="E103" s="118">
        <v>0</v>
      </c>
      <c r="F103" s="118">
        <v>0</v>
      </c>
      <c r="G103" s="143">
        <v>1</v>
      </c>
      <c r="H103" s="143">
        <v>0</v>
      </c>
      <c r="I103" s="43">
        <v>2</v>
      </c>
      <c r="J103" s="44">
        <v>0</v>
      </c>
      <c r="K103" s="45">
        <f t="shared" si="7"/>
        <v>2</v>
      </c>
      <c r="L103" s="45">
        <f t="shared" si="8"/>
        <v>2</v>
      </c>
      <c r="M103" s="45">
        <f t="shared" si="9"/>
        <v>0</v>
      </c>
      <c r="N103" s="45">
        <f t="shared" si="10"/>
        <v>1</v>
      </c>
      <c r="O103" s="46">
        <f t="shared" si="11"/>
        <v>12</v>
      </c>
      <c r="P103" s="10" cm="1">
        <f t="array" ref="P103">SUMPRODUCT(B103:H103*$B$3:$H$3)</f>
        <v>8.5</v>
      </c>
    </row>
    <row r="104" spans="1:16" ht="15.75" customHeight="1" thickBot="1" x14ac:dyDescent="0.25">
      <c r="A104" s="42" t="str">
        <f t="shared" si="6"/>
        <v>1 x Familiale</v>
      </c>
      <c r="B104" s="118" t="s">
        <v>397</v>
      </c>
      <c r="C104" s="118">
        <v>0</v>
      </c>
      <c r="D104" s="118">
        <v>0</v>
      </c>
      <c r="E104" s="118">
        <v>0</v>
      </c>
      <c r="F104" s="118">
        <v>0</v>
      </c>
      <c r="G104" s="143">
        <v>0</v>
      </c>
      <c r="H104" s="143">
        <v>0</v>
      </c>
      <c r="I104" s="43">
        <v>2</v>
      </c>
      <c r="J104" s="44">
        <v>2</v>
      </c>
      <c r="K104" s="45">
        <f t="shared" si="7"/>
        <v>4</v>
      </c>
      <c r="L104" s="45">
        <f t="shared" si="8"/>
        <v>2</v>
      </c>
      <c r="M104" s="45">
        <f t="shared" si="9"/>
        <v>2</v>
      </c>
      <c r="N104" s="45">
        <f t="shared" si="10"/>
        <v>0</v>
      </c>
      <c r="O104" s="46">
        <f t="shared" si="11"/>
        <v>0</v>
      </c>
      <c r="P104" s="10" cm="1">
        <f t="array" ref="P104">SUMPRODUCT(B104:H104*$B$3:$H$3)</f>
        <v>10</v>
      </c>
    </row>
    <row r="105" spans="1:16" ht="15.75" customHeight="1" thickBot="1" x14ac:dyDescent="0.25">
      <c r="A105" s="42" t="str">
        <f t="shared" si="6"/>
        <v>1 x P'tite Faim</v>
      </c>
      <c r="B105" s="118">
        <v>0</v>
      </c>
      <c r="C105" s="118">
        <v>0</v>
      </c>
      <c r="D105" s="118" t="s">
        <v>397</v>
      </c>
      <c r="E105" s="118">
        <v>0</v>
      </c>
      <c r="F105" s="118">
        <v>0</v>
      </c>
      <c r="G105" s="143">
        <v>0</v>
      </c>
      <c r="H105" s="143">
        <v>0</v>
      </c>
      <c r="I105" s="43">
        <v>1</v>
      </c>
      <c r="J105" s="44">
        <v>1</v>
      </c>
      <c r="K105" s="45">
        <f t="shared" si="7"/>
        <v>2</v>
      </c>
      <c r="L105" s="45">
        <f t="shared" si="8"/>
        <v>1</v>
      </c>
      <c r="M105" s="45">
        <f t="shared" si="9"/>
        <v>0</v>
      </c>
      <c r="N105" s="45">
        <f t="shared" si="10"/>
        <v>0</v>
      </c>
      <c r="O105" s="46">
        <f t="shared" si="11"/>
        <v>0</v>
      </c>
      <c r="P105" s="10" cm="1">
        <f t="array" ref="P105">SUMPRODUCT(B105:H105*$B$3:$H$3)</f>
        <v>4.5</v>
      </c>
    </row>
    <row r="106" spans="1:16" ht="15.75" customHeight="1" thickBot="1" x14ac:dyDescent="0.25">
      <c r="A106" s="42" t="str">
        <f t="shared" si="6"/>
        <v>2 x Familiale</v>
      </c>
      <c r="B106" s="118" t="s">
        <v>396</v>
      </c>
      <c r="C106" s="118">
        <v>0</v>
      </c>
      <c r="D106" s="118">
        <v>0</v>
      </c>
      <c r="E106" s="118">
        <v>1</v>
      </c>
      <c r="F106" s="118">
        <v>0</v>
      </c>
      <c r="G106" s="143">
        <v>0</v>
      </c>
      <c r="H106" s="143">
        <v>1</v>
      </c>
      <c r="I106" s="43">
        <v>0</v>
      </c>
      <c r="J106" s="44">
        <v>9</v>
      </c>
      <c r="K106" s="45">
        <f t="shared" si="7"/>
        <v>9</v>
      </c>
      <c r="L106" s="45">
        <f t="shared" si="8"/>
        <v>4</v>
      </c>
      <c r="M106" s="45">
        <f t="shared" si="9"/>
        <v>4</v>
      </c>
      <c r="N106" s="45">
        <f t="shared" si="10"/>
        <v>0</v>
      </c>
      <c r="O106" s="46">
        <f t="shared" si="11"/>
        <v>12</v>
      </c>
      <c r="P106" s="10" cm="1">
        <f t="array" ref="P106">SUMPRODUCT(B106:H106*$B$3:$H$3)</f>
        <v>23.5</v>
      </c>
    </row>
    <row r="107" spans="1:16" ht="15.75" customHeight="1" thickBot="1" x14ac:dyDescent="0.25">
      <c r="A107" s="42" t="str">
        <f t="shared" si="6"/>
        <v>1 x Familiale</v>
      </c>
      <c r="B107" s="118" t="s">
        <v>397</v>
      </c>
      <c r="C107" s="118">
        <v>0</v>
      </c>
      <c r="D107" s="118">
        <v>0</v>
      </c>
      <c r="E107" s="118">
        <v>0</v>
      </c>
      <c r="F107" s="118">
        <v>0</v>
      </c>
      <c r="G107" s="143">
        <v>0</v>
      </c>
      <c r="H107" s="143">
        <v>0</v>
      </c>
      <c r="I107" s="43">
        <v>4</v>
      </c>
      <c r="J107" s="44">
        <v>0</v>
      </c>
      <c r="K107" s="45">
        <f t="shared" si="7"/>
        <v>4</v>
      </c>
      <c r="L107" s="45">
        <f t="shared" si="8"/>
        <v>2</v>
      </c>
      <c r="M107" s="45">
        <f t="shared" si="9"/>
        <v>2</v>
      </c>
      <c r="N107" s="45">
        <f t="shared" si="10"/>
        <v>0</v>
      </c>
      <c r="O107" s="46">
        <f t="shared" si="11"/>
        <v>0</v>
      </c>
      <c r="P107" s="10" cm="1">
        <f t="array" ref="P107">SUMPRODUCT(B107:H107*$B$3:$H$3)</f>
        <v>10</v>
      </c>
    </row>
    <row r="108" spans="1:16" ht="15.75" customHeight="1" thickBot="1" x14ac:dyDescent="0.25">
      <c r="A108" s="42" t="str">
        <f t="shared" si="6"/>
        <v>1 x Familiale</v>
      </c>
      <c r="B108" s="118" t="s">
        <v>397</v>
      </c>
      <c r="C108" s="118">
        <v>0</v>
      </c>
      <c r="D108" s="118">
        <v>0</v>
      </c>
      <c r="E108" s="118">
        <v>0</v>
      </c>
      <c r="F108" s="118">
        <v>0</v>
      </c>
      <c r="G108" s="143">
        <v>0</v>
      </c>
      <c r="H108" s="143">
        <v>0</v>
      </c>
      <c r="I108" s="43">
        <v>2</v>
      </c>
      <c r="J108" s="44">
        <v>2</v>
      </c>
      <c r="K108" s="45">
        <f t="shared" si="7"/>
        <v>4</v>
      </c>
      <c r="L108" s="45">
        <f t="shared" si="8"/>
        <v>2</v>
      </c>
      <c r="M108" s="45">
        <f t="shared" si="9"/>
        <v>2</v>
      </c>
      <c r="N108" s="45">
        <f t="shared" si="10"/>
        <v>0</v>
      </c>
      <c r="O108" s="46">
        <f t="shared" si="11"/>
        <v>0</v>
      </c>
      <c r="P108" s="10" cm="1">
        <f t="array" ref="P108">SUMPRODUCT(B108:H108*$B$3:$H$3)</f>
        <v>10</v>
      </c>
    </row>
    <row r="109" spans="1:16" ht="15.75" customHeight="1" thickBot="1" x14ac:dyDescent="0.25">
      <c r="A109" s="42" t="str">
        <f t="shared" si="6"/>
        <v>1 x Familiale</v>
      </c>
      <c r="B109" s="118" t="s">
        <v>397</v>
      </c>
      <c r="C109" s="118">
        <v>0</v>
      </c>
      <c r="D109" s="118">
        <v>0</v>
      </c>
      <c r="E109" s="118">
        <v>0</v>
      </c>
      <c r="F109" s="118">
        <v>0</v>
      </c>
      <c r="G109" s="143">
        <v>0</v>
      </c>
      <c r="H109" s="143">
        <v>0</v>
      </c>
      <c r="I109" s="43">
        <v>4</v>
      </c>
      <c r="J109" s="44">
        <v>0</v>
      </c>
      <c r="K109" s="45">
        <f t="shared" si="7"/>
        <v>4</v>
      </c>
      <c r="L109" s="45">
        <f t="shared" si="8"/>
        <v>2</v>
      </c>
      <c r="M109" s="45">
        <f t="shared" si="9"/>
        <v>2</v>
      </c>
      <c r="N109" s="45">
        <f t="shared" si="10"/>
        <v>0</v>
      </c>
      <c r="O109" s="46">
        <f t="shared" si="11"/>
        <v>0</v>
      </c>
      <c r="P109" s="10" cm="1">
        <f t="array" ref="P109">SUMPRODUCT(B109:H109*$B$3:$H$3)</f>
        <v>10</v>
      </c>
    </row>
    <row r="110" spans="1:16" ht="15.75" customHeight="1" thickBot="1" x14ac:dyDescent="0.25">
      <c r="A110" s="42" t="str">
        <f t="shared" si="6"/>
        <v>1 x P'tite Faim</v>
      </c>
      <c r="B110" s="118">
        <v>0</v>
      </c>
      <c r="C110" s="118">
        <v>0</v>
      </c>
      <c r="D110" s="118" t="s">
        <v>397</v>
      </c>
      <c r="E110" s="118">
        <v>0</v>
      </c>
      <c r="F110" s="118">
        <v>0</v>
      </c>
      <c r="G110" s="143">
        <v>0</v>
      </c>
      <c r="H110" s="143">
        <v>0</v>
      </c>
      <c r="I110" s="43">
        <v>2</v>
      </c>
      <c r="J110" s="44">
        <v>0</v>
      </c>
      <c r="K110" s="45">
        <f t="shared" si="7"/>
        <v>2</v>
      </c>
      <c r="L110" s="45">
        <f t="shared" si="8"/>
        <v>1</v>
      </c>
      <c r="M110" s="45">
        <f t="shared" si="9"/>
        <v>0</v>
      </c>
      <c r="N110" s="45">
        <f t="shared" si="10"/>
        <v>0</v>
      </c>
      <c r="O110" s="46">
        <f t="shared" si="11"/>
        <v>0</v>
      </c>
      <c r="P110" s="10" cm="1">
        <f t="array" ref="P110">SUMPRODUCT(B110:H110*$B$3:$H$3)</f>
        <v>4.5</v>
      </c>
    </row>
    <row r="111" spans="1:16" ht="15.75" customHeight="1" thickBot="1" x14ac:dyDescent="0.25">
      <c r="A111" s="55" t="str">
        <f t="shared" si="6"/>
        <v>1 x P'tit Déj'</v>
      </c>
      <c r="B111" s="121">
        <v>0</v>
      </c>
      <c r="C111" s="121" t="s">
        <v>397</v>
      </c>
      <c r="D111" s="121">
        <v>0</v>
      </c>
      <c r="E111" s="121">
        <v>0</v>
      </c>
      <c r="F111" s="121">
        <v>0</v>
      </c>
      <c r="G111" s="146">
        <v>1</v>
      </c>
      <c r="H111" s="146">
        <v>0</v>
      </c>
      <c r="I111" s="56">
        <v>0</v>
      </c>
      <c r="J111" s="57">
        <v>2</v>
      </c>
      <c r="K111" s="53">
        <f t="shared" si="7"/>
        <v>2</v>
      </c>
      <c r="L111" s="53">
        <f t="shared" si="8"/>
        <v>2</v>
      </c>
      <c r="M111" s="53">
        <f t="shared" si="9"/>
        <v>0</v>
      </c>
      <c r="N111" s="53">
        <f t="shared" si="10"/>
        <v>1</v>
      </c>
      <c r="O111" s="54">
        <f t="shared" si="11"/>
        <v>12</v>
      </c>
      <c r="P111" s="10" cm="1">
        <f t="array" ref="P111">SUMPRODUCT(B111:H111*$B$3:$H$3)</f>
        <v>8.5</v>
      </c>
    </row>
    <row r="112" spans="1:16" ht="15.75" customHeight="1" thickBot="1" x14ac:dyDescent="0.25">
      <c r="A112" s="47" t="str">
        <f t="shared" si="6"/>
        <v>1 x Familiale</v>
      </c>
      <c r="B112" s="119" t="s">
        <v>397</v>
      </c>
      <c r="C112" s="119">
        <v>0</v>
      </c>
      <c r="D112" s="119">
        <v>0</v>
      </c>
      <c r="E112" s="119">
        <v>4</v>
      </c>
      <c r="F112" s="119">
        <v>0</v>
      </c>
      <c r="G112" s="144">
        <v>0</v>
      </c>
      <c r="H112" s="144">
        <v>0</v>
      </c>
      <c r="I112" s="48">
        <v>4</v>
      </c>
      <c r="J112" s="48">
        <v>4</v>
      </c>
      <c r="K112" s="53">
        <f t="shared" si="7"/>
        <v>8</v>
      </c>
      <c r="L112" s="53">
        <f t="shared" si="8"/>
        <v>2</v>
      </c>
      <c r="M112" s="53">
        <f t="shared" si="9"/>
        <v>2</v>
      </c>
      <c r="N112" s="53">
        <f t="shared" si="10"/>
        <v>0</v>
      </c>
      <c r="O112" s="54">
        <f t="shared" si="11"/>
        <v>0</v>
      </c>
      <c r="P112" s="10" cm="1">
        <f t="array" ref="P112">SUMPRODUCT(B112:H112*$B$3:$H$3)</f>
        <v>14</v>
      </c>
    </row>
    <row r="113" spans="1:16" ht="15.75" customHeight="1" thickBot="1" x14ac:dyDescent="0.25">
      <c r="A113" s="58" t="str">
        <f t="shared" si="6"/>
        <v>1 x Familiale</v>
      </c>
      <c r="B113" s="122" t="s">
        <v>397</v>
      </c>
      <c r="C113" s="122">
        <v>0</v>
      </c>
      <c r="D113" s="122">
        <v>0</v>
      </c>
      <c r="E113" s="122">
        <v>0</v>
      </c>
      <c r="F113" s="122">
        <v>0</v>
      </c>
      <c r="G113" s="147">
        <v>0</v>
      </c>
      <c r="H113" s="147">
        <v>0</v>
      </c>
      <c r="I113" s="59">
        <v>2</v>
      </c>
      <c r="J113" s="60">
        <v>2</v>
      </c>
      <c r="K113" s="53">
        <f t="shared" si="7"/>
        <v>4</v>
      </c>
      <c r="L113" s="53">
        <f t="shared" si="8"/>
        <v>2</v>
      </c>
      <c r="M113" s="53">
        <f t="shared" si="9"/>
        <v>2</v>
      </c>
      <c r="N113" s="53">
        <f t="shared" si="10"/>
        <v>0</v>
      </c>
      <c r="O113" s="54">
        <f t="shared" si="11"/>
        <v>0</v>
      </c>
      <c r="P113" s="10" cm="1">
        <f t="array" ref="P113">SUMPRODUCT(B113:H113*$B$3:$H$3)</f>
        <v>10</v>
      </c>
    </row>
    <row r="114" spans="1:16" ht="15.75" customHeight="1" thickBot="1" x14ac:dyDescent="0.25">
      <c r="A114" s="42" t="str">
        <f t="shared" si="6"/>
        <v>1 x Familiale</v>
      </c>
      <c r="B114" s="118" t="s">
        <v>397</v>
      </c>
      <c r="C114" s="118">
        <v>0</v>
      </c>
      <c r="D114" s="118">
        <v>0</v>
      </c>
      <c r="E114" s="118">
        <v>0</v>
      </c>
      <c r="F114" s="118">
        <v>0</v>
      </c>
      <c r="G114" s="143">
        <v>1</v>
      </c>
      <c r="H114" s="143">
        <v>0</v>
      </c>
      <c r="I114" s="43">
        <v>2</v>
      </c>
      <c r="J114" s="44">
        <v>2</v>
      </c>
      <c r="K114" s="53">
        <f t="shared" si="7"/>
        <v>4</v>
      </c>
      <c r="L114" s="53">
        <f t="shared" si="8"/>
        <v>2</v>
      </c>
      <c r="M114" s="53">
        <f t="shared" si="9"/>
        <v>2</v>
      </c>
      <c r="N114" s="53">
        <f t="shared" si="10"/>
        <v>1</v>
      </c>
      <c r="O114" s="54">
        <f t="shared" si="11"/>
        <v>0</v>
      </c>
      <c r="P114" s="10" cm="1">
        <f t="array" ref="P114">SUMPRODUCT(B114:H114*$B$3:$H$3)</f>
        <v>12</v>
      </c>
    </row>
    <row r="115" spans="1:16" ht="15.75" customHeight="1" thickBot="1" x14ac:dyDescent="0.25">
      <c r="A115" s="61" t="str">
        <f t="shared" si="6"/>
        <v>1 x Familiale</v>
      </c>
      <c r="B115" s="123" t="s">
        <v>397</v>
      </c>
      <c r="C115" s="123">
        <v>0</v>
      </c>
      <c r="D115" s="123">
        <v>0</v>
      </c>
      <c r="E115" s="123">
        <v>0</v>
      </c>
      <c r="F115" s="123">
        <v>0</v>
      </c>
      <c r="G115" s="148">
        <v>0</v>
      </c>
      <c r="H115" s="148">
        <v>0</v>
      </c>
      <c r="I115" s="62">
        <v>0</v>
      </c>
      <c r="J115" s="62">
        <v>4</v>
      </c>
      <c r="K115" s="63">
        <f t="shared" si="7"/>
        <v>4</v>
      </c>
      <c r="L115" s="63">
        <f t="shared" si="8"/>
        <v>2</v>
      </c>
      <c r="M115" s="63">
        <f t="shared" si="9"/>
        <v>2</v>
      </c>
      <c r="N115" s="63">
        <f t="shared" si="10"/>
        <v>0</v>
      </c>
      <c r="O115" s="64">
        <f t="shared" si="11"/>
        <v>0</v>
      </c>
      <c r="P115" s="10" cm="1">
        <f t="array" ref="P115">SUMPRODUCT(B115:H115*$B$3:$H$3)</f>
        <v>10</v>
      </c>
    </row>
    <row r="116" spans="1:16" ht="15.75" customHeight="1" thickBot="1" x14ac:dyDescent="0.25">
      <c r="A116" s="42" t="str">
        <f t="shared" si="6"/>
        <v>1 x P'tit Déj'</v>
      </c>
      <c r="B116" s="118">
        <v>0</v>
      </c>
      <c r="C116" s="118" t="s">
        <v>397</v>
      </c>
      <c r="D116" s="118">
        <v>0</v>
      </c>
      <c r="E116" s="118">
        <v>0</v>
      </c>
      <c r="F116" s="118">
        <v>0</v>
      </c>
      <c r="G116" s="143">
        <v>0</v>
      </c>
      <c r="H116" s="143">
        <v>0</v>
      </c>
      <c r="I116" s="43">
        <v>0</v>
      </c>
      <c r="J116" s="43">
        <v>2</v>
      </c>
      <c r="K116" s="53">
        <f t="shared" si="7"/>
        <v>2</v>
      </c>
      <c r="L116" s="53">
        <f t="shared" si="8"/>
        <v>2</v>
      </c>
      <c r="M116" s="53">
        <f t="shared" si="9"/>
        <v>0</v>
      </c>
      <c r="N116" s="53">
        <f t="shared" si="10"/>
        <v>0</v>
      </c>
      <c r="O116" s="54">
        <f t="shared" si="11"/>
        <v>12</v>
      </c>
      <c r="P116" s="10" cm="1">
        <f t="array" ref="P116">SUMPRODUCT(B116:H116*$B$3:$H$3)</f>
        <v>6.5</v>
      </c>
    </row>
    <row r="117" spans="1:16" ht="15.75" customHeight="1" thickBot="1" x14ac:dyDescent="0.25">
      <c r="A117" s="65" t="str">
        <f t="shared" si="6"/>
        <v>1 x Familiale</v>
      </c>
      <c r="B117" s="124" t="s">
        <v>397</v>
      </c>
      <c r="C117" s="124">
        <v>0</v>
      </c>
      <c r="D117" s="124">
        <v>0</v>
      </c>
      <c r="E117" s="124">
        <v>0</v>
      </c>
      <c r="F117" s="124">
        <v>0</v>
      </c>
      <c r="G117" s="149">
        <v>0</v>
      </c>
      <c r="H117" s="149">
        <v>0</v>
      </c>
      <c r="I117" s="66">
        <v>2</v>
      </c>
      <c r="J117" s="66">
        <v>2</v>
      </c>
      <c r="K117" s="67">
        <f t="shared" si="7"/>
        <v>4</v>
      </c>
      <c r="L117" s="67">
        <f t="shared" si="8"/>
        <v>2</v>
      </c>
      <c r="M117" s="67">
        <f t="shared" si="9"/>
        <v>2</v>
      </c>
      <c r="N117" s="67">
        <f t="shared" si="10"/>
        <v>0</v>
      </c>
      <c r="O117" s="68">
        <f t="shared" si="11"/>
        <v>0</v>
      </c>
      <c r="P117" s="10" cm="1">
        <f t="array" ref="P117">SUMPRODUCT(B117:H117*$B$3:$H$3)</f>
        <v>10</v>
      </c>
    </row>
    <row r="118" spans="1:16" ht="15.75" customHeight="1" thickBot="1" x14ac:dyDescent="0.25">
      <c r="A118" s="47" t="str">
        <f t="shared" si="6"/>
        <v>1 x Familiale</v>
      </c>
      <c r="B118" s="119" t="s">
        <v>397</v>
      </c>
      <c r="C118" s="119">
        <v>0</v>
      </c>
      <c r="D118" s="119">
        <v>0</v>
      </c>
      <c r="E118" s="119">
        <v>0</v>
      </c>
      <c r="F118" s="119">
        <v>0</v>
      </c>
      <c r="G118" s="144">
        <v>0</v>
      </c>
      <c r="H118" s="144">
        <v>0</v>
      </c>
      <c r="I118" s="48">
        <v>3</v>
      </c>
      <c r="J118" s="48">
        <v>1</v>
      </c>
      <c r="K118" s="53">
        <f t="shared" si="7"/>
        <v>4</v>
      </c>
      <c r="L118" s="53">
        <f t="shared" si="8"/>
        <v>2</v>
      </c>
      <c r="M118" s="53">
        <f t="shared" si="9"/>
        <v>2</v>
      </c>
      <c r="N118" s="53">
        <f t="shared" si="10"/>
        <v>0</v>
      </c>
      <c r="O118" s="54">
        <f t="shared" si="11"/>
        <v>0</v>
      </c>
      <c r="P118" s="10" cm="1">
        <f t="array" ref="P118">SUMPRODUCT(B118:H118*$B$3:$H$3)</f>
        <v>10</v>
      </c>
    </row>
    <row r="119" spans="1:16" ht="15.75" customHeight="1" thickBot="1" x14ac:dyDescent="0.25">
      <c r="A119" s="42" t="str">
        <f t="shared" si="6"/>
        <v>1 x Familiale</v>
      </c>
      <c r="B119" s="118" t="s">
        <v>397</v>
      </c>
      <c r="C119" s="118">
        <v>0</v>
      </c>
      <c r="D119" s="118">
        <v>0</v>
      </c>
      <c r="E119" s="118">
        <v>0</v>
      </c>
      <c r="F119" s="118">
        <v>0</v>
      </c>
      <c r="G119" s="143">
        <v>0</v>
      </c>
      <c r="H119" s="143">
        <v>0</v>
      </c>
      <c r="I119" s="43">
        <v>2</v>
      </c>
      <c r="J119" s="43">
        <v>2</v>
      </c>
      <c r="K119" s="53">
        <f t="shared" si="7"/>
        <v>4</v>
      </c>
      <c r="L119" s="53">
        <f t="shared" si="8"/>
        <v>2</v>
      </c>
      <c r="M119" s="53">
        <f t="shared" si="9"/>
        <v>2</v>
      </c>
      <c r="N119" s="53">
        <f t="shared" si="10"/>
        <v>0</v>
      </c>
      <c r="O119" s="54">
        <f t="shared" si="11"/>
        <v>0</v>
      </c>
      <c r="P119" s="10" cm="1">
        <f t="array" ref="P119">SUMPRODUCT(B119:H119*$B$3:$H$3)</f>
        <v>10</v>
      </c>
    </row>
    <row r="120" spans="1:16" ht="15.75" customHeight="1" thickBot="1" x14ac:dyDescent="0.25">
      <c r="A120" s="42" t="str">
        <f t="shared" si="6"/>
        <v>1 x Familiale</v>
      </c>
      <c r="B120" s="118" t="s">
        <v>397</v>
      </c>
      <c r="C120" s="118">
        <v>0</v>
      </c>
      <c r="D120" s="118">
        <v>0</v>
      </c>
      <c r="E120" s="118">
        <v>0</v>
      </c>
      <c r="F120" s="118">
        <v>0</v>
      </c>
      <c r="G120" s="143">
        <v>0</v>
      </c>
      <c r="H120" s="143">
        <v>0</v>
      </c>
      <c r="I120" s="43">
        <v>2</v>
      </c>
      <c r="J120" s="43">
        <v>2</v>
      </c>
      <c r="K120" s="53">
        <f t="shared" si="7"/>
        <v>4</v>
      </c>
      <c r="L120" s="53">
        <f t="shared" si="8"/>
        <v>2</v>
      </c>
      <c r="M120" s="53">
        <f t="shared" si="9"/>
        <v>2</v>
      </c>
      <c r="N120" s="53">
        <f t="shared" si="10"/>
        <v>0</v>
      </c>
      <c r="O120" s="54">
        <f t="shared" si="11"/>
        <v>0</v>
      </c>
      <c r="P120" s="10" cm="1">
        <f t="array" ref="P120">SUMPRODUCT(B120:H120*$B$3:$H$3)</f>
        <v>10</v>
      </c>
    </row>
    <row r="121" spans="1:16" ht="15.75" customHeight="1" thickBot="1" x14ac:dyDescent="0.25">
      <c r="A121" s="42" t="str">
        <f t="shared" si="6"/>
        <v>1 x P'tit Déj'</v>
      </c>
      <c r="B121" s="118">
        <v>0</v>
      </c>
      <c r="C121" s="118" t="s">
        <v>397</v>
      </c>
      <c r="D121" s="118">
        <v>0</v>
      </c>
      <c r="E121" s="118">
        <v>0</v>
      </c>
      <c r="F121" s="118">
        <v>0</v>
      </c>
      <c r="G121" s="143">
        <v>0</v>
      </c>
      <c r="H121" s="143">
        <v>0</v>
      </c>
      <c r="I121" s="43">
        <v>2</v>
      </c>
      <c r="J121" s="43">
        <v>0</v>
      </c>
      <c r="K121" s="53">
        <f t="shared" si="7"/>
        <v>2</v>
      </c>
      <c r="L121" s="53">
        <f t="shared" si="8"/>
        <v>2</v>
      </c>
      <c r="M121" s="53">
        <f t="shared" si="9"/>
        <v>0</v>
      </c>
      <c r="N121" s="53">
        <f t="shared" si="10"/>
        <v>0</v>
      </c>
      <c r="O121" s="54">
        <f t="shared" si="11"/>
        <v>12</v>
      </c>
      <c r="P121" s="10" cm="1">
        <f t="array" ref="P121">SUMPRODUCT(B121:H121*$B$3:$H$3)</f>
        <v>6.5</v>
      </c>
    </row>
    <row r="122" spans="1:16" ht="15.75" customHeight="1" thickBot="1" x14ac:dyDescent="0.25">
      <c r="A122" s="50" t="str">
        <f t="shared" si="6"/>
        <v>1 x P'tite Faim</v>
      </c>
      <c r="B122" s="120">
        <v>0</v>
      </c>
      <c r="C122" s="120">
        <v>0</v>
      </c>
      <c r="D122" s="120" t="s">
        <v>397</v>
      </c>
      <c r="E122" s="120">
        <v>0</v>
      </c>
      <c r="F122" s="120">
        <v>0</v>
      </c>
      <c r="G122" s="145">
        <v>0</v>
      </c>
      <c r="H122" s="145">
        <v>0</v>
      </c>
      <c r="I122" s="51">
        <v>2</v>
      </c>
      <c r="J122" s="51">
        <v>0</v>
      </c>
      <c r="K122" s="53">
        <f t="shared" si="7"/>
        <v>2</v>
      </c>
      <c r="L122" s="53">
        <f t="shared" si="8"/>
        <v>1</v>
      </c>
      <c r="M122" s="53">
        <f t="shared" si="9"/>
        <v>0</v>
      </c>
      <c r="N122" s="53">
        <f t="shared" si="10"/>
        <v>0</v>
      </c>
      <c r="O122" s="54">
        <f t="shared" si="11"/>
        <v>0</v>
      </c>
      <c r="P122" s="10" cm="1">
        <f t="array" ref="P122">SUMPRODUCT(B122:H122*$B$3:$H$3)</f>
        <v>4.5</v>
      </c>
    </row>
    <row r="123" spans="1:16" ht="15.75" customHeight="1" thickBot="1" x14ac:dyDescent="0.25">
      <c r="A123" s="42" t="str">
        <f t="shared" si="6"/>
        <v>2 x Familiale</v>
      </c>
      <c r="B123" s="118" t="s">
        <v>396</v>
      </c>
      <c r="C123" s="118">
        <v>0</v>
      </c>
      <c r="D123" s="118">
        <v>0</v>
      </c>
      <c r="E123" s="118">
        <v>0</v>
      </c>
      <c r="F123" s="118">
        <v>0</v>
      </c>
      <c r="G123" s="143">
        <v>0</v>
      </c>
      <c r="H123" s="143">
        <v>0</v>
      </c>
      <c r="I123" s="43">
        <v>4</v>
      </c>
      <c r="J123" s="43">
        <v>4</v>
      </c>
      <c r="K123" s="53">
        <f t="shared" si="7"/>
        <v>8</v>
      </c>
      <c r="L123" s="53">
        <f t="shared" si="8"/>
        <v>4</v>
      </c>
      <c r="M123" s="53">
        <f t="shared" si="9"/>
        <v>4</v>
      </c>
      <c r="N123" s="53">
        <f t="shared" si="10"/>
        <v>0</v>
      </c>
      <c r="O123" s="54">
        <f t="shared" si="11"/>
        <v>0</v>
      </c>
      <c r="P123" s="10" cm="1">
        <f t="array" ref="P123">SUMPRODUCT(B123:H123*$B$3:$H$3)</f>
        <v>20</v>
      </c>
    </row>
    <row r="124" spans="1:16" ht="15.75" customHeight="1" thickBot="1" x14ac:dyDescent="0.25">
      <c r="A124" s="69" t="str">
        <f t="shared" si="6"/>
        <v>1 x P'tit Déj'</v>
      </c>
      <c r="B124" s="125">
        <v>0</v>
      </c>
      <c r="C124" s="125" t="s">
        <v>397</v>
      </c>
      <c r="D124" s="125">
        <v>0</v>
      </c>
      <c r="E124" s="125">
        <v>0</v>
      </c>
      <c r="F124" s="125">
        <v>0</v>
      </c>
      <c r="G124" s="150">
        <v>0</v>
      </c>
      <c r="H124" s="150">
        <v>0</v>
      </c>
      <c r="I124" s="70">
        <v>2</v>
      </c>
      <c r="J124" s="70">
        <v>0</v>
      </c>
      <c r="K124" s="71">
        <f t="shared" si="7"/>
        <v>2</v>
      </c>
      <c r="L124" s="71">
        <f t="shared" si="8"/>
        <v>2</v>
      </c>
      <c r="M124" s="71">
        <f t="shared" si="9"/>
        <v>0</v>
      </c>
      <c r="N124" s="71">
        <f t="shared" si="10"/>
        <v>0</v>
      </c>
      <c r="O124" s="72">
        <f t="shared" si="11"/>
        <v>12</v>
      </c>
      <c r="P124" s="10" cm="1">
        <f t="array" ref="P124">SUMPRODUCT(B124:H124*$B$3:$H$3)</f>
        <v>6.5</v>
      </c>
    </row>
    <row r="125" spans="1:16" ht="15.75" customHeight="1" thickBot="1" x14ac:dyDescent="0.25">
      <c r="A125" s="1" t="str">
        <f t="shared" si="6"/>
        <v>2 x P'tite Faim</v>
      </c>
      <c r="B125" s="126">
        <v>0</v>
      </c>
      <c r="C125" s="126">
        <v>0</v>
      </c>
      <c r="D125" s="126" t="s">
        <v>396</v>
      </c>
      <c r="E125" s="126">
        <v>1</v>
      </c>
      <c r="F125" s="126">
        <v>0</v>
      </c>
      <c r="G125" s="151">
        <v>0</v>
      </c>
      <c r="H125" s="151">
        <v>0</v>
      </c>
      <c r="I125" s="3">
        <v>5</v>
      </c>
      <c r="J125" s="3">
        <v>0</v>
      </c>
      <c r="K125" s="71">
        <f t="shared" si="7"/>
        <v>5</v>
      </c>
      <c r="L125" s="71">
        <f t="shared" si="8"/>
        <v>2</v>
      </c>
      <c r="M125" s="71">
        <f t="shared" si="9"/>
        <v>0</v>
      </c>
      <c r="N125" s="71">
        <f t="shared" si="10"/>
        <v>0</v>
      </c>
      <c r="O125" s="72">
        <f t="shared" si="11"/>
        <v>0</v>
      </c>
      <c r="P125" s="10" cm="1">
        <f t="array" ref="P125">SUMPRODUCT(B125:H125*$B$3:$H$3)</f>
        <v>10</v>
      </c>
    </row>
    <row r="126" spans="1:16" ht="15.75" customHeight="1" thickBot="1" x14ac:dyDescent="0.25">
      <c r="A126" s="69" t="str">
        <f t="shared" si="6"/>
        <v>1 x P'tit Déj'</v>
      </c>
      <c r="B126" s="125">
        <v>0</v>
      </c>
      <c r="C126" s="125" t="s">
        <v>397</v>
      </c>
      <c r="D126" s="125">
        <v>0</v>
      </c>
      <c r="E126" s="125">
        <v>2</v>
      </c>
      <c r="F126" s="125">
        <v>0</v>
      </c>
      <c r="G126" s="150">
        <v>0</v>
      </c>
      <c r="H126" s="150">
        <v>0</v>
      </c>
      <c r="I126" s="70">
        <v>4</v>
      </c>
      <c r="J126" s="70">
        <v>0</v>
      </c>
      <c r="K126" s="71">
        <f t="shared" si="7"/>
        <v>4</v>
      </c>
      <c r="L126" s="71">
        <f t="shared" si="8"/>
        <v>2</v>
      </c>
      <c r="M126" s="71">
        <f t="shared" si="9"/>
        <v>0</v>
      </c>
      <c r="N126" s="71">
        <f t="shared" si="10"/>
        <v>0</v>
      </c>
      <c r="O126" s="72">
        <f t="shared" si="11"/>
        <v>12</v>
      </c>
      <c r="P126" s="10" cm="1">
        <f t="array" ref="P126">SUMPRODUCT(B126:H126*$B$3:$H$3)</f>
        <v>8.5</v>
      </c>
    </row>
    <row r="127" spans="1:16" ht="15.75" customHeight="1" thickBot="1" x14ac:dyDescent="0.25">
      <c r="A127" s="1" t="str">
        <f t="shared" si="6"/>
        <v>1 x P'tit Déj'</v>
      </c>
      <c r="B127" s="126">
        <v>0</v>
      </c>
      <c r="C127" s="126" t="s">
        <v>397</v>
      </c>
      <c r="D127" s="126">
        <v>0</v>
      </c>
      <c r="E127" s="126">
        <v>0</v>
      </c>
      <c r="F127" s="126">
        <v>0</v>
      </c>
      <c r="G127" s="151">
        <v>1</v>
      </c>
      <c r="H127" s="151">
        <v>0</v>
      </c>
      <c r="I127" s="3">
        <v>1</v>
      </c>
      <c r="J127" s="3">
        <v>1</v>
      </c>
      <c r="K127" s="71">
        <f t="shared" si="7"/>
        <v>2</v>
      </c>
      <c r="L127" s="71">
        <f t="shared" si="8"/>
        <v>2</v>
      </c>
      <c r="M127" s="71">
        <f t="shared" si="9"/>
        <v>0</v>
      </c>
      <c r="N127" s="71">
        <f t="shared" si="10"/>
        <v>1</v>
      </c>
      <c r="O127" s="72">
        <f t="shared" si="11"/>
        <v>12</v>
      </c>
      <c r="P127" s="10" cm="1">
        <f t="array" ref="P127">SUMPRODUCT(B127:H127*$B$3:$H$3)</f>
        <v>8.5</v>
      </c>
    </row>
    <row r="128" spans="1:16" ht="15.75" customHeight="1" thickBot="1" x14ac:dyDescent="0.25">
      <c r="A128" s="69" t="str">
        <f t="shared" si="6"/>
        <v>1 x P'tit Déj'</v>
      </c>
      <c r="B128" s="126">
        <v>0</v>
      </c>
      <c r="C128" s="126" t="s">
        <v>397</v>
      </c>
      <c r="D128" s="126">
        <v>0</v>
      </c>
      <c r="E128" s="126">
        <v>0</v>
      </c>
      <c r="F128" s="126">
        <v>0</v>
      </c>
      <c r="G128" s="151">
        <v>1</v>
      </c>
      <c r="H128" s="151">
        <v>0</v>
      </c>
      <c r="I128" s="3">
        <v>1</v>
      </c>
      <c r="J128" s="3">
        <v>1</v>
      </c>
      <c r="K128" s="71">
        <f t="shared" si="7"/>
        <v>2</v>
      </c>
      <c r="L128" s="71">
        <f t="shared" si="8"/>
        <v>2</v>
      </c>
      <c r="M128" s="71">
        <f t="shared" si="9"/>
        <v>0</v>
      </c>
      <c r="N128" s="71">
        <f t="shared" si="10"/>
        <v>1</v>
      </c>
      <c r="O128" s="72">
        <f t="shared" si="11"/>
        <v>12</v>
      </c>
      <c r="P128" s="10" cm="1">
        <f t="array" ref="P128">SUMPRODUCT(B128:H128*$B$3:$H$3)</f>
        <v>8.5</v>
      </c>
    </row>
    <row r="129" spans="1:16" ht="15.75" customHeight="1" thickBot="1" x14ac:dyDescent="0.25">
      <c r="A129" s="69" t="str">
        <f t="shared" si="6"/>
        <v>1 x P'tit Déj'</v>
      </c>
      <c r="B129" s="126">
        <v>0</v>
      </c>
      <c r="C129" s="126" t="s">
        <v>397</v>
      </c>
      <c r="D129" s="126">
        <v>0</v>
      </c>
      <c r="E129" s="126">
        <v>0</v>
      </c>
      <c r="F129" s="126">
        <v>0</v>
      </c>
      <c r="G129" s="151">
        <v>1</v>
      </c>
      <c r="H129" s="151">
        <v>0</v>
      </c>
      <c r="I129" s="3">
        <v>1</v>
      </c>
      <c r="J129" s="3">
        <v>1</v>
      </c>
      <c r="K129" s="71">
        <f t="shared" si="7"/>
        <v>2</v>
      </c>
      <c r="L129" s="71">
        <f t="shared" si="8"/>
        <v>2</v>
      </c>
      <c r="M129" s="71">
        <f t="shared" si="9"/>
        <v>0</v>
      </c>
      <c r="N129" s="71">
        <f t="shared" si="10"/>
        <v>1</v>
      </c>
      <c r="O129" s="72">
        <f t="shared" si="11"/>
        <v>12</v>
      </c>
      <c r="P129" s="10" cm="1">
        <f t="array" ref="P129">SUMPRODUCT(B129:H129*$B$3:$H$3)</f>
        <v>8.5</v>
      </c>
    </row>
    <row r="130" spans="1:16" ht="15.75" customHeight="1" thickBot="1" x14ac:dyDescent="0.25">
      <c r="A130" s="69" t="str">
        <f t="shared" si="6"/>
        <v>1 x P'tit Déj'</v>
      </c>
      <c r="B130" s="126">
        <v>0</v>
      </c>
      <c r="C130" s="126" t="s">
        <v>397</v>
      </c>
      <c r="D130" s="126">
        <v>0</v>
      </c>
      <c r="E130" s="126">
        <v>0</v>
      </c>
      <c r="F130" s="126">
        <v>0</v>
      </c>
      <c r="G130" s="151">
        <v>1</v>
      </c>
      <c r="H130" s="151">
        <v>0</v>
      </c>
      <c r="I130" s="3">
        <v>1</v>
      </c>
      <c r="J130" s="3">
        <v>1</v>
      </c>
      <c r="K130" s="71">
        <f t="shared" si="7"/>
        <v>2</v>
      </c>
      <c r="L130" s="71">
        <f t="shared" si="8"/>
        <v>2</v>
      </c>
      <c r="M130" s="71">
        <f t="shared" si="9"/>
        <v>0</v>
      </c>
      <c r="N130" s="71">
        <f t="shared" si="10"/>
        <v>1</v>
      </c>
      <c r="O130" s="72">
        <f t="shared" si="11"/>
        <v>12</v>
      </c>
      <c r="P130" s="10" cm="1">
        <f t="array" ref="P130">SUMPRODUCT(B130:H130*$B$3:$H$3)</f>
        <v>8.5</v>
      </c>
    </row>
    <row r="131" spans="1:16" ht="15.75" customHeight="1" thickBot="1" x14ac:dyDescent="0.25">
      <c r="A131" s="69" t="str">
        <f t="shared" si="6"/>
        <v>1 x P'tit Déj'</v>
      </c>
      <c r="B131" s="126">
        <v>0</v>
      </c>
      <c r="C131" s="126" t="s">
        <v>397</v>
      </c>
      <c r="D131" s="126">
        <v>0</v>
      </c>
      <c r="E131" s="126">
        <v>0</v>
      </c>
      <c r="F131" s="126">
        <v>0</v>
      </c>
      <c r="G131" s="151">
        <v>1</v>
      </c>
      <c r="H131" s="151">
        <v>0</v>
      </c>
      <c r="I131" s="3">
        <v>1</v>
      </c>
      <c r="J131" s="3">
        <v>1</v>
      </c>
      <c r="K131" s="71">
        <f t="shared" si="7"/>
        <v>2</v>
      </c>
      <c r="L131" s="71">
        <f t="shared" si="8"/>
        <v>2</v>
      </c>
      <c r="M131" s="71">
        <f t="shared" si="9"/>
        <v>0</v>
      </c>
      <c r="N131" s="71">
        <f t="shared" si="10"/>
        <v>1</v>
      </c>
      <c r="O131" s="72">
        <f t="shared" si="11"/>
        <v>12</v>
      </c>
      <c r="P131" s="10" cm="1">
        <f t="array" ref="P131">SUMPRODUCT(B131:H131*$B$3:$H$3)</f>
        <v>8.5</v>
      </c>
    </row>
    <row r="132" spans="1:16" ht="15.75" customHeight="1" thickBot="1" x14ac:dyDescent="0.25">
      <c r="A132" s="69" t="str">
        <f t="shared" si="6"/>
        <v>1 x P'tit Déj'</v>
      </c>
      <c r="B132" s="126">
        <v>0</v>
      </c>
      <c r="C132" s="126" t="s">
        <v>397</v>
      </c>
      <c r="D132" s="126">
        <v>0</v>
      </c>
      <c r="E132" s="126">
        <v>0</v>
      </c>
      <c r="F132" s="126">
        <v>0</v>
      </c>
      <c r="G132" s="151">
        <v>1</v>
      </c>
      <c r="H132" s="151">
        <v>0</v>
      </c>
      <c r="I132" s="3">
        <v>1</v>
      </c>
      <c r="J132" s="3">
        <v>1</v>
      </c>
      <c r="K132" s="71">
        <f t="shared" si="7"/>
        <v>2</v>
      </c>
      <c r="L132" s="71">
        <f t="shared" si="8"/>
        <v>2</v>
      </c>
      <c r="M132" s="71">
        <f t="shared" si="9"/>
        <v>0</v>
      </c>
      <c r="N132" s="71">
        <f t="shared" si="10"/>
        <v>1</v>
      </c>
      <c r="O132" s="72">
        <f t="shared" si="11"/>
        <v>12</v>
      </c>
      <c r="P132" s="10" cm="1">
        <f t="array" ref="P132">SUMPRODUCT(B132:H132*$B$3:$H$3)</f>
        <v>8.5</v>
      </c>
    </row>
    <row r="133" spans="1:16" ht="15.75" customHeight="1" thickBot="1" x14ac:dyDescent="0.25">
      <c r="A133" s="69" t="str">
        <f t="shared" ref="A133:A148" si="12">IF(B133&lt;&gt;0,B133&amp;"x "&amp;B$1,"")&amp;IF(AND(B133&lt;&gt;0,C133&lt;&gt;0),",","")&amp;IF(C133&lt;&gt;0,C133&amp;"x "&amp;C$1,"")&amp;IF(AND(D133&lt;&gt;0,OR(B133&lt;&gt;0,C133&lt;&gt;0)),",","")&amp;IF(D133&lt;&gt;0,D133&amp;"x "&amp;D$1,"")</f>
        <v>1 x P'tit Déj'</v>
      </c>
      <c r="B133" s="126">
        <v>0</v>
      </c>
      <c r="C133" s="126" t="s">
        <v>397</v>
      </c>
      <c r="D133" s="126">
        <v>0</v>
      </c>
      <c r="E133" s="126">
        <v>0</v>
      </c>
      <c r="F133" s="126">
        <v>0</v>
      </c>
      <c r="G133" s="151">
        <v>1</v>
      </c>
      <c r="H133" s="151">
        <v>0</v>
      </c>
      <c r="I133" s="3">
        <v>1</v>
      </c>
      <c r="J133" s="3">
        <v>1</v>
      </c>
      <c r="K133" s="71">
        <f t="shared" ref="K133:K148" si="13">4*B133+2*C133+2*D133+E133</f>
        <v>2</v>
      </c>
      <c r="L133" s="71">
        <f t="shared" ref="L133:L148" si="14">2*B133+2*C133+1*D133</f>
        <v>2</v>
      </c>
      <c r="M133" s="71">
        <f t="shared" ref="M133:M148" si="15">2*B133+F133</f>
        <v>0</v>
      </c>
      <c r="N133" s="71">
        <f t="shared" ref="N133:N148" si="16">G133</f>
        <v>1</v>
      </c>
      <c r="O133" s="72">
        <f t="shared" ref="O133:O148" si="17">12*(C133+H133)</f>
        <v>12</v>
      </c>
      <c r="P133" s="10" cm="1">
        <f t="array" ref="P133">SUMPRODUCT(B133:H133*$B$3:$H$3)</f>
        <v>8.5</v>
      </c>
    </row>
    <row r="134" spans="1:16" ht="15.75" customHeight="1" thickBot="1" x14ac:dyDescent="0.25">
      <c r="A134" s="73" t="str">
        <f t="shared" si="12"/>
        <v>1 x P'tit Déj'</v>
      </c>
      <c r="B134" s="127">
        <v>0</v>
      </c>
      <c r="C134" s="127" t="s">
        <v>397</v>
      </c>
      <c r="D134" s="127">
        <v>0</v>
      </c>
      <c r="E134" s="127">
        <v>0</v>
      </c>
      <c r="F134" s="127">
        <v>0</v>
      </c>
      <c r="G134" s="152">
        <v>1</v>
      </c>
      <c r="H134" s="152">
        <v>0</v>
      </c>
      <c r="I134" s="74">
        <v>1</v>
      </c>
      <c r="J134" s="74">
        <v>1</v>
      </c>
      <c r="K134" s="71">
        <f t="shared" si="13"/>
        <v>2</v>
      </c>
      <c r="L134" s="71">
        <f t="shared" si="14"/>
        <v>2</v>
      </c>
      <c r="M134" s="71">
        <f t="shared" si="15"/>
        <v>0</v>
      </c>
      <c r="N134" s="71">
        <f t="shared" si="16"/>
        <v>1</v>
      </c>
      <c r="O134" s="72">
        <f t="shared" si="17"/>
        <v>12</v>
      </c>
      <c r="P134" s="10" cm="1">
        <f t="array" ref="P134">SUMPRODUCT(B134:H134*$B$3:$H$3)</f>
        <v>8.5</v>
      </c>
    </row>
    <row r="135" spans="1:16" ht="15.75" customHeight="1" thickBot="1" x14ac:dyDescent="0.25">
      <c r="A135" s="75" t="str">
        <f t="shared" si="12"/>
        <v>1 x Familiale,1 x P'tite Faim</v>
      </c>
      <c r="B135" s="128" t="s">
        <v>397</v>
      </c>
      <c r="C135" s="128">
        <v>0</v>
      </c>
      <c r="D135" s="128" t="s">
        <v>397</v>
      </c>
      <c r="E135" s="128">
        <v>0</v>
      </c>
      <c r="F135" s="128">
        <v>0</v>
      </c>
      <c r="G135" s="153">
        <v>0</v>
      </c>
      <c r="H135" s="153">
        <v>0</v>
      </c>
      <c r="I135" s="76">
        <v>3</v>
      </c>
      <c r="J135" s="76">
        <v>3</v>
      </c>
      <c r="K135" s="77">
        <f t="shared" si="13"/>
        <v>6</v>
      </c>
      <c r="L135" s="77">
        <f t="shared" si="14"/>
        <v>3</v>
      </c>
      <c r="M135" s="77">
        <f t="shared" si="15"/>
        <v>2</v>
      </c>
      <c r="N135" s="77">
        <f t="shared" si="16"/>
        <v>0</v>
      </c>
      <c r="O135" s="78">
        <f t="shared" si="17"/>
        <v>0</v>
      </c>
      <c r="P135" s="10" cm="1">
        <f t="array" ref="P135">SUMPRODUCT(B135:H135*$B$3:$H$3)</f>
        <v>14.5</v>
      </c>
    </row>
    <row r="136" spans="1:16" ht="15.75" customHeight="1" thickBot="1" x14ac:dyDescent="0.25">
      <c r="A136" s="75" t="str">
        <f t="shared" si="12"/>
        <v>1 x P'tite Faim</v>
      </c>
      <c r="B136" s="128">
        <v>0</v>
      </c>
      <c r="C136" s="128">
        <v>0</v>
      </c>
      <c r="D136" s="128" t="s">
        <v>397</v>
      </c>
      <c r="E136" s="128">
        <v>0</v>
      </c>
      <c r="F136" s="128">
        <v>0</v>
      </c>
      <c r="G136" s="153">
        <v>0</v>
      </c>
      <c r="H136" s="153">
        <v>1</v>
      </c>
      <c r="I136" s="76">
        <v>1</v>
      </c>
      <c r="J136" s="76">
        <v>1</v>
      </c>
      <c r="K136" s="77">
        <f t="shared" si="13"/>
        <v>2</v>
      </c>
      <c r="L136" s="77">
        <f t="shared" si="14"/>
        <v>1</v>
      </c>
      <c r="M136" s="77">
        <f t="shared" si="15"/>
        <v>0</v>
      </c>
      <c r="N136" s="77">
        <f t="shared" si="16"/>
        <v>0</v>
      </c>
      <c r="O136" s="78">
        <f t="shared" si="17"/>
        <v>12</v>
      </c>
      <c r="P136" s="10" cm="1">
        <f t="array" ref="P136">SUMPRODUCT(B136:H136*$B$3:$H$3)</f>
        <v>7</v>
      </c>
    </row>
    <row r="137" spans="1:16" ht="15.75" customHeight="1" thickBot="1" x14ac:dyDescent="0.25">
      <c r="A137" s="79" t="str">
        <f t="shared" si="12"/>
        <v>1 x P'tite Faim</v>
      </c>
      <c r="B137" s="129">
        <v>0</v>
      </c>
      <c r="C137" s="129">
        <v>0</v>
      </c>
      <c r="D137" s="129" t="s">
        <v>397</v>
      </c>
      <c r="E137" s="129">
        <v>1</v>
      </c>
      <c r="F137" s="129">
        <v>0</v>
      </c>
      <c r="G137" s="154">
        <v>0</v>
      </c>
      <c r="H137" s="154">
        <v>0</v>
      </c>
      <c r="I137" s="80">
        <v>2</v>
      </c>
      <c r="J137" s="80">
        <v>1</v>
      </c>
      <c r="K137" s="77">
        <f t="shared" si="13"/>
        <v>3</v>
      </c>
      <c r="L137" s="77">
        <f t="shared" si="14"/>
        <v>1</v>
      </c>
      <c r="M137" s="77">
        <f t="shared" si="15"/>
        <v>0</v>
      </c>
      <c r="N137" s="77">
        <f t="shared" si="16"/>
        <v>0</v>
      </c>
      <c r="O137" s="78">
        <f t="shared" si="17"/>
        <v>0</v>
      </c>
      <c r="P137" s="10" cm="1">
        <f t="array" ref="P137">SUMPRODUCT(B137:H137*$B$3:$H$3)</f>
        <v>5.5</v>
      </c>
    </row>
    <row r="138" spans="1:16" ht="15.75" customHeight="1" thickBot="1" x14ac:dyDescent="0.25">
      <c r="A138" s="75" t="str">
        <f t="shared" si="12"/>
        <v>1 x Familiale</v>
      </c>
      <c r="B138" s="128" t="s">
        <v>397</v>
      </c>
      <c r="C138" s="128">
        <v>0</v>
      </c>
      <c r="D138" s="128">
        <v>0</v>
      </c>
      <c r="E138" s="128">
        <v>1</v>
      </c>
      <c r="F138" s="128">
        <v>0</v>
      </c>
      <c r="G138" s="153">
        <v>0</v>
      </c>
      <c r="H138" s="153">
        <v>0</v>
      </c>
      <c r="I138" s="76">
        <v>3</v>
      </c>
      <c r="J138" s="76">
        <v>2</v>
      </c>
      <c r="K138" s="77">
        <f t="shared" si="13"/>
        <v>5</v>
      </c>
      <c r="L138" s="77">
        <f t="shared" si="14"/>
        <v>2</v>
      </c>
      <c r="M138" s="77">
        <f t="shared" si="15"/>
        <v>2</v>
      </c>
      <c r="N138" s="77">
        <f t="shared" si="16"/>
        <v>0</v>
      </c>
      <c r="O138" s="78">
        <f t="shared" si="17"/>
        <v>0</v>
      </c>
      <c r="P138" s="10" cm="1">
        <f t="array" ref="P138">SUMPRODUCT(B138:H138*$B$3:$H$3)</f>
        <v>11</v>
      </c>
    </row>
    <row r="139" spans="1:16" ht="15.75" customHeight="1" thickBot="1" x14ac:dyDescent="0.25">
      <c r="A139" s="75" t="str">
        <f t="shared" si="12"/>
        <v>1 x Familiale</v>
      </c>
      <c r="B139" s="128" t="s">
        <v>397</v>
      </c>
      <c r="C139" s="128">
        <v>0</v>
      </c>
      <c r="D139" s="128">
        <v>0</v>
      </c>
      <c r="E139" s="128">
        <v>2</v>
      </c>
      <c r="F139" s="128">
        <v>0</v>
      </c>
      <c r="G139" s="153">
        <v>0</v>
      </c>
      <c r="H139" s="153">
        <v>1</v>
      </c>
      <c r="I139" s="76">
        <v>3</v>
      </c>
      <c r="J139" s="76">
        <v>3</v>
      </c>
      <c r="K139" s="77">
        <f t="shared" si="13"/>
        <v>6</v>
      </c>
      <c r="L139" s="77">
        <f t="shared" si="14"/>
        <v>2</v>
      </c>
      <c r="M139" s="77">
        <f t="shared" si="15"/>
        <v>2</v>
      </c>
      <c r="N139" s="77">
        <f t="shared" si="16"/>
        <v>0</v>
      </c>
      <c r="O139" s="78">
        <f t="shared" si="17"/>
        <v>12</v>
      </c>
      <c r="P139" s="10" cm="1">
        <f t="array" ref="P139">SUMPRODUCT(B139:H139*$B$3:$H$3)</f>
        <v>14.5</v>
      </c>
    </row>
    <row r="140" spans="1:16" ht="15.75" customHeight="1" thickBot="1" x14ac:dyDescent="0.25">
      <c r="A140" s="75" t="str">
        <f t="shared" si="12"/>
        <v>1 x Familiale</v>
      </c>
      <c r="B140" s="128" t="s">
        <v>397</v>
      </c>
      <c r="C140" s="128">
        <v>0</v>
      </c>
      <c r="D140" s="128">
        <v>0</v>
      </c>
      <c r="E140" s="128">
        <v>0</v>
      </c>
      <c r="F140" s="128">
        <v>0</v>
      </c>
      <c r="G140" s="153">
        <v>1</v>
      </c>
      <c r="H140" s="153">
        <v>1</v>
      </c>
      <c r="I140" s="76">
        <v>4</v>
      </c>
      <c r="J140" s="76">
        <v>0</v>
      </c>
      <c r="K140" s="77">
        <f t="shared" si="13"/>
        <v>4</v>
      </c>
      <c r="L140" s="77">
        <f t="shared" si="14"/>
        <v>2</v>
      </c>
      <c r="M140" s="77">
        <f t="shared" si="15"/>
        <v>2</v>
      </c>
      <c r="N140" s="77">
        <f t="shared" si="16"/>
        <v>1</v>
      </c>
      <c r="O140" s="78">
        <f t="shared" si="17"/>
        <v>12</v>
      </c>
      <c r="P140" s="10" cm="1">
        <f t="array" ref="P140">SUMPRODUCT(B140:H140*$B$3:$H$3)</f>
        <v>14.5</v>
      </c>
    </row>
    <row r="141" spans="1:16" ht="15.75" customHeight="1" thickBot="1" x14ac:dyDescent="0.25">
      <c r="A141" s="75" t="str">
        <f t="shared" si="12"/>
        <v>1 x P'tit Déj'</v>
      </c>
      <c r="B141" s="130">
        <v>0</v>
      </c>
      <c r="C141" s="130" t="s">
        <v>397</v>
      </c>
      <c r="D141" s="130">
        <v>0</v>
      </c>
      <c r="E141" s="130">
        <v>2</v>
      </c>
      <c r="F141" s="130">
        <v>0</v>
      </c>
      <c r="G141" s="155">
        <v>0</v>
      </c>
      <c r="H141" s="155">
        <v>0</v>
      </c>
      <c r="I141" s="81">
        <v>2</v>
      </c>
      <c r="J141" s="81">
        <v>2</v>
      </c>
      <c r="K141" s="77">
        <f t="shared" si="13"/>
        <v>4</v>
      </c>
      <c r="L141" s="77">
        <f t="shared" si="14"/>
        <v>2</v>
      </c>
      <c r="M141" s="77">
        <f t="shared" si="15"/>
        <v>0</v>
      </c>
      <c r="N141" s="77">
        <f t="shared" si="16"/>
        <v>0</v>
      </c>
      <c r="O141" s="78">
        <f t="shared" si="17"/>
        <v>12</v>
      </c>
      <c r="P141" s="10" cm="1">
        <f t="array" ref="P141">SUMPRODUCT(B141:H141*$B$3:$H$3)</f>
        <v>8.5</v>
      </c>
    </row>
    <row r="142" spans="1:16" ht="15.75" customHeight="1" thickBot="1" x14ac:dyDescent="0.25">
      <c r="A142" s="79" t="str">
        <f t="shared" si="12"/>
        <v>1 x Familiale</v>
      </c>
      <c r="B142" s="131" t="s">
        <v>397</v>
      </c>
      <c r="C142" s="131">
        <v>0</v>
      </c>
      <c r="D142" s="131">
        <v>0</v>
      </c>
      <c r="E142" s="131">
        <v>1</v>
      </c>
      <c r="F142" s="131">
        <v>0</v>
      </c>
      <c r="G142" s="156">
        <v>0</v>
      </c>
      <c r="H142" s="156">
        <v>0</v>
      </c>
      <c r="I142" s="82">
        <v>0</v>
      </c>
      <c r="J142" s="82">
        <v>5</v>
      </c>
      <c r="K142" s="77">
        <f t="shared" si="13"/>
        <v>5</v>
      </c>
      <c r="L142" s="77">
        <f t="shared" si="14"/>
        <v>2</v>
      </c>
      <c r="M142" s="77">
        <f t="shared" si="15"/>
        <v>2</v>
      </c>
      <c r="N142" s="77">
        <f t="shared" si="16"/>
        <v>0</v>
      </c>
      <c r="O142" s="78">
        <f t="shared" si="17"/>
        <v>0</v>
      </c>
      <c r="P142" s="10" cm="1">
        <f t="array" ref="P142">SUMPRODUCT(B142:H142*$B$3:$H$3)</f>
        <v>11</v>
      </c>
    </row>
    <row r="143" spans="1:16" ht="15.75" customHeight="1" thickBot="1" x14ac:dyDescent="0.25">
      <c r="A143" s="79" t="str">
        <f t="shared" si="12"/>
        <v>1 x P'tit Déj'</v>
      </c>
      <c r="B143" s="131">
        <v>0</v>
      </c>
      <c r="C143" s="131" t="s">
        <v>397</v>
      </c>
      <c r="D143" s="131">
        <v>0</v>
      </c>
      <c r="E143" s="131">
        <v>1</v>
      </c>
      <c r="F143" s="131">
        <v>0</v>
      </c>
      <c r="G143" s="156">
        <v>0</v>
      </c>
      <c r="H143" s="156">
        <v>1</v>
      </c>
      <c r="I143" s="82">
        <v>2</v>
      </c>
      <c r="J143" s="82">
        <v>1</v>
      </c>
      <c r="K143" s="77">
        <f t="shared" si="13"/>
        <v>3</v>
      </c>
      <c r="L143" s="77">
        <f t="shared" si="14"/>
        <v>2</v>
      </c>
      <c r="M143" s="77">
        <f t="shared" si="15"/>
        <v>0</v>
      </c>
      <c r="N143" s="77">
        <f t="shared" si="16"/>
        <v>0</v>
      </c>
      <c r="O143" s="78">
        <f t="shared" si="17"/>
        <v>24</v>
      </c>
      <c r="P143" s="10" cm="1">
        <f t="array" ref="P143">SUMPRODUCT(B143:H143*$B$3:$H$3)</f>
        <v>10</v>
      </c>
    </row>
    <row r="144" spans="1:16" ht="15.75" customHeight="1" thickBot="1" x14ac:dyDescent="0.25">
      <c r="A144" s="79" t="str">
        <f t="shared" si="12"/>
        <v>1 x Familiale</v>
      </c>
      <c r="B144" s="131" t="s">
        <v>397</v>
      </c>
      <c r="C144" s="131">
        <v>0</v>
      </c>
      <c r="D144" s="131">
        <v>0</v>
      </c>
      <c r="E144" s="131">
        <v>0</v>
      </c>
      <c r="F144" s="131">
        <v>0</v>
      </c>
      <c r="G144" s="156">
        <v>0</v>
      </c>
      <c r="H144" s="156">
        <v>0</v>
      </c>
      <c r="I144" s="82">
        <v>2</v>
      </c>
      <c r="J144" s="82">
        <v>2</v>
      </c>
      <c r="K144" s="77">
        <f t="shared" si="13"/>
        <v>4</v>
      </c>
      <c r="L144" s="77">
        <f t="shared" si="14"/>
        <v>2</v>
      </c>
      <c r="M144" s="77">
        <f t="shared" si="15"/>
        <v>2</v>
      </c>
      <c r="N144" s="77">
        <f t="shared" si="16"/>
        <v>0</v>
      </c>
      <c r="O144" s="78">
        <f t="shared" si="17"/>
        <v>0</v>
      </c>
      <c r="P144" s="10" cm="1">
        <f t="array" ref="P144">SUMPRODUCT(B144:H144*$B$3:$H$3)</f>
        <v>10</v>
      </c>
    </row>
    <row r="145" spans="1:16" ht="15.75" customHeight="1" thickBot="1" x14ac:dyDescent="0.25">
      <c r="A145" s="79" t="str">
        <f t="shared" si="12"/>
        <v>1 x P'tit Déj'</v>
      </c>
      <c r="B145" s="131">
        <v>0</v>
      </c>
      <c r="C145" s="131" t="s">
        <v>397</v>
      </c>
      <c r="D145" s="131">
        <v>0</v>
      </c>
      <c r="E145" s="131">
        <v>0</v>
      </c>
      <c r="F145" s="131">
        <v>0</v>
      </c>
      <c r="G145" s="156">
        <v>0</v>
      </c>
      <c r="H145" s="156">
        <v>0</v>
      </c>
      <c r="I145" s="82">
        <v>1</v>
      </c>
      <c r="J145" s="82">
        <v>1</v>
      </c>
      <c r="K145" s="77">
        <f t="shared" si="13"/>
        <v>2</v>
      </c>
      <c r="L145" s="77">
        <f t="shared" si="14"/>
        <v>2</v>
      </c>
      <c r="M145" s="77">
        <f t="shared" si="15"/>
        <v>0</v>
      </c>
      <c r="N145" s="77">
        <f t="shared" si="16"/>
        <v>0</v>
      </c>
      <c r="O145" s="78">
        <f t="shared" si="17"/>
        <v>12</v>
      </c>
      <c r="P145" s="10" cm="1">
        <f t="array" ref="P145">SUMPRODUCT(B145:H145*$B$3:$H$3)</f>
        <v>6.5</v>
      </c>
    </row>
    <row r="146" spans="1:16" ht="15.75" customHeight="1" thickBot="1" x14ac:dyDescent="0.25">
      <c r="A146" s="79" t="str">
        <f t="shared" si="12"/>
        <v>2 x Familiale</v>
      </c>
      <c r="B146" s="131" t="s">
        <v>396</v>
      </c>
      <c r="C146" s="131">
        <v>0</v>
      </c>
      <c r="D146" s="131">
        <v>0</v>
      </c>
      <c r="E146" s="131">
        <v>0</v>
      </c>
      <c r="F146" s="131">
        <v>0</v>
      </c>
      <c r="G146" s="156">
        <v>0</v>
      </c>
      <c r="H146" s="156">
        <v>0</v>
      </c>
      <c r="I146" s="82">
        <v>4</v>
      </c>
      <c r="J146" s="82">
        <v>4</v>
      </c>
      <c r="K146" s="77">
        <f t="shared" si="13"/>
        <v>8</v>
      </c>
      <c r="L146" s="77">
        <f t="shared" si="14"/>
        <v>4</v>
      </c>
      <c r="M146" s="77">
        <f t="shared" si="15"/>
        <v>4</v>
      </c>
      <c r="N146" s="77">
        <f t="shared" si="16"/>
        <v>0</v>
      </c>
      <c r="O146" s="78">
        <f t="shared" si="17"/>
        <v>0</v>
      </c>
      <c r="P146" s="10" cm="1">
        <f t="array" ref="P146">SUMPRODUCT(B146:H146*$B$3:$H$3)</f>
        <v>20</v>
      </c>
    </row>
    <row r="147" spans="1:16" ht="15.75" customHeight="1" thickBot="1" x14ac:dyDescent="0.25">
      <c r="A147" s="79" t="str">
        <f t="shared" si="12"/>
        <v>1 x P'tit Déj'</v>
      </c>
      <c r="B147" s="131">
        <v>0</v>
      </c>
      <c r="C147" s="131" t="s">
        <v>397</v>
      </c>
      <c r="D147" s="131">
        <v>0</v>
      </c>
      <c r="E147" s="131">
        <v>0</v>
      </c>
      <c r="F147" s="131">
        <v>0</v>
      </c>
      <c r="G147" s="156">
        <v>0</v>
      </c>
      <c r="H147" s="156">
        <v>0</v>
      </c>
      <c r="I147" s="82">
        <v>0</v>
      </c>
      <c r="J147" s="82">
        <v>2</v>
      </c>
      <c r="K147" s="77">
        <f t="shared" si="13"/>
        <v>2</v>
      </c>
      <c r="L147" s="77">
        <f t="shared" si="14"/>
        <v>2</v>
      </c>
      <c r="M147" s="77">
        <f t="shared" si="15"/>
        <v>0</v>
      </c>
      <c r="N147" s="77">
        <f t="shared" si="16"/>
        <v>0</v>
      </c>
      <c r="O147" s="78">
        <f t="shared" si="17"/>
        <v>12</v>
      </c>
      <c r="P147" s="10" cm="1">
        <f t="array" ref="P147">SUMPRODUCT(B147:H147*$B$3:$H$3)</f>
        <v>6.5</v>
      </c>
    </row>
    <row r="148" spans="1:16" ht="15.75" customHeight="1" x14ac:dyDescent="0.2">
      <c r="A148" s="75" t="str">
        <f t="shared" si="12"/>
        <v>1 x P'tit Déj'</v>
      </c>
      <c r="B148" s="132">
        <v>0</v>
      </c>
      <c r="C148" s="132" t="s">
        <v>397</v>
      </c>
      <c r="D148" s="132">
        <v>0</v>
      </c>
      <c r="E148" s="132">
        <v>0</v>
      </c>
      <c r="F148" s="132">
        <v>0</v>
      </c>
      <c r="G148" s="157">
        <v>0</v>
      </c>
      <c r="H148" s="157">
        <v>0</v>
      </c>
      <c r="I148" s="83">
        <v>1</v>
      </c>
      <c r="J148" s="83">
        <v>1</v>
      </c>
      <c r="K148" s="77">
        <f t="shared" si="13"/>
        <v>2</v>
      </c>
      <c r="L148" s="77">
        <f t="shared" si="14"/>
        <v>2</v>
      </c>
      <c r="M148" s="77">
        <f t="shared" si="15"/>
        <v>0</v>
      </c>
      <c r="N148" s="77">
        <f t="shared" si="16"/>
        <v>0</v>
      </c>
      <c r="O148" s="78">
        <f t="shared" si="17"/>
        <v>12</v>
      </c>
      <c r="P148" s="10" cm="1">
        <f t="array" ref="P148">SUMPRODUCT(B148:H148*$B$3:$H$3)</f>
        <v>6.5</v>
      </c>
    </row>
    <row r="149" spans="1:16" ht="15.75" customHeight="1" x14ac:dyDescent="0.2">
      <c r="A149" s="85"/>
      <c r="B149" s="85"/>
      <c r="C149" s="85"/>
      <c r="D149" s="85"/>
      <c r="E149" s="85"/>
      <c r="F149" s="85"/>
      <c r="G149" s="85"/>
      <c r="H149" s="85"/>
      <c r="I149" s="86"/>
      <c r="J149" s="86"/>
      <c r="K149" s="87"/>
      <c r="L149" s="87"/>
      <c r="M149" s="87"/>
      <c r="N149" s="87"/>
      <c r="O149" s="87"/>
      <c r="P149" s="4"/>
    </row>
    <row r="150" spans="1:16" ht="15.75" customHeight="1" x14ac:dyDescent="0.2">
      <c r="A150" s="84"/>
      <c r="B150" s="84"/>
      <c r="C150" s="84"/>
      <c r="D150" s="84"/>
      <c r="E150" s="89"/>
      <c r="F150" s="89"/>
      <c r="G150" s="89"/>
      <c r="H150" s="89"/>
      <c r="I150" s="87">
        <f t="shared" ref="I150:P150" si="18">SUM(I4:I149)</f>
        <v>307</v>
      </c>
      <c r="J150" s="87">
        <f t="shared" si="18"/>
        <v>281</v>
      </c>
      <c r="K150" s="87">
        <f t="shared" si="18"/>
        <v>592</v>
      </c>
      <c r="L150" s="87">
        <f t="shared" si="18"/>
        <v>289</v>
      </c>
      <c r="M150" s="87">
        <f t="shared" si="18"/>
        <v>173</v>
      </c>
      <c r="N150" s="87">
        <f t="shared" si="18"/>
        <v>23</v>
      </c>
      <c r="O150" s="87">
        <f t="shared" si="18"/>
        <v>804</v>
      </c>
      <c r="P150" s="90">
        <f t="shared" si="18"/>
        <v>1523.5</v>
      </c>
    </row>
    <row r="151" spans="1:16" ht="15.75" customHeight="1" x14ac:dyDescent="0.2">
      <c r="A151" s="84"/>
      <c r="B151" s="84"/>
      <c r="C151" s="84"/>
      <c r="D151" s="84"/>
      <c r="E151" s="89"/>
      <c r="F151" s="89"/>
      <c r="G151" s="89"/>
      <c r="H151" s="89"/>
      <c r="I151" s="89"/>
      <c r="J151" s="89"/>
      <c r="K151" s="87"/>
      <c r="L151" s="87"/>
      <c r="M151" s="87"/>
      <c r="N151" s="87"/>
      <c r="O151" s="87"/>
      <c r="P151" s="4"/>
    </row>
    <row r="152" spans="1:16" ht="15.75" customHeight="1" x14ac:dyDescent="0.2">
      <c r="A152" s="84"/>
      <c r="B152" s="84"/>
      <c r="C152" s="84"/>
      <c r="D152" s="84"/>
      <c r="E152" s="89"/>
      <c r="F152" s="89"/>
      <c r="G152" s="89"/>
      <c r="H152" s="89"/>
      <c r="I152" s="95">
        <f>I150+J150</f>
        <v>588</v>
      </c>
      <c r="J152" s="96"/>
      <c r="K152" s="87"/>
      <c r="L152" s="87"/>
      <c r="M152" s="87"/>
      <c r="N152" s="87"/>
      <c r="O152" s="87"/>
      <c r="P152" s="4"/>
    </row>
  </sheetData>
  <autoFilter ref="A2:P2" xr:uid="{00000000-0009-0000-0000-000000000000}"/>
  <mergeCells count="1">
    <mergeCell ref="I152:J152"/>
  </mergeCells>
  <pageMargins left="0.7" right="0.7" top="0.75" bottom="0.75" header="0" footer="0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outlinePr summaryBelow="0" summaryRight="0"/>
  </sheetPr>
  <dimension ref="A1:L569"/>
  <sheetViews>
    <sheetView workbookViewId="0"/>
  </sheetViews>
  <sheetFormatPr defaultColWidth="12.5703125" defaultRowHeight="15" customHeight="1" x14ac:dyDescent="0.2"/>
  <cols>
    <col min="1" max="12" width="14.42578125" customWidth="1"/>
  </cols>
  <sheetData>
    <row r="1" spans="1:12" ht="15.75" customHeight="1" x14ac:dyDescent="0.2">
      <c r="A1" s="91" t="s">
        <v>140</v>
      </c>
      <c r="B1" s="88" t="s">
        <v>141</v>
      </c>
    </row>
    <row r="2" spans="1:12" ht="15.75" customHeight="1" x14ac:dyDescent="0.2">
      <c r="A2" s="91" t="s">
        <v>142</v>
      </c>
      <c r="B2" s="88" t="e">
        <f ca="1">MATCH(B4,INDIRECT(B1&amp;"!2:2"),0)</f>
        <v>#REF!</v>
      </c>
    </row>
    <row r="3" spans="1:12" ht="15.75" customHeight="1" x14ac:dyDescent="0.2">
      <c r="A3" s="91" t="s">
        <v>143</v>
      </c>
      <c r="B3" s="88" t="e">
        <f ca="1">INDIRECT(B1&amp;"!R1C"&amp;B2, FALSE)</f>
        <v>#REF!</v>
      </c>
    </row>
    <row r="4" spans="1:12" ht="15.75" customHeight="1" x14ac:dyDescent="0.2">
      <c r="A4" s="91" t="s">
        <v>144</v>
      </c>
      <c r="B4" s="88">
        <v>530366850</v>
      </c>
    </row>
    <row r="5" spans="1:12" ht="15.75" customHeight="1" x14ac:dyDescent="0.2">
      <c r="A5" s="91" t="s">
        <v>145</v>
      </c>
      <c r="B5" s="88" t="s">
        <v>146</v>
      </c>
      <c r="C5" s="88" t="b">
        <f>IF(COUNTA($D$9:$D1000) = 0,FALSE,TRUE)</f>
        <v>0</v>
      </c>
    </row>
    <row r="6" spans="1:12" ht="15.75" customHeight="1" x14ac:dyDescent="0.2">
      <c r="A6" s="91" t="s">
        <v>147</v>
      </c>
      <c r="B6" s="88" t="s">
        <v>148</v>
      </c>
    </row>
    <row r="7" spans="1:12" ht="15.75" customHeight="1" x14ac:dyDescent="0.2">
      <c r="A7" s="91"/>
      <c r="L7" s="88">
        <f ca="1">COUNTA(L9:L1000)</f>
        <v>361</v>
      </c>
    </row>
    <row r="8" spans="1:12" ht="15.75" customHeight="1" x14ac:dyDescent="0.2">
      <c r="A8" s="91" t="s">
        <v>149</v>
      </c>
      <c r="B8" s="88" t="s">
        <v>150</v>
      </c>
      <c r="C8" s="88" t="s">
        <v>151</v>
      </c>
      <c r="D8" s="88" t="s">
        <v>152</v>
      </c>
      <c r="E8" s="88" t="s">
        <v>153</v>
      </c>
      <c r="F8" s="88" t="s">
        <v>154</v>
      </c>
      <c r="H8" s="88" t="s">
        <v>155</v>
      </c>
      <c r="I8" s="88" t="s">
        <v>156</v>
      </c>
      <c r="J8" s="88" t="s">
        <v>157</v>
      </c>
      <c r="K8" s="88" t="s">
        <v>158</v>
      </c>
      <c r="L8" s="88" t="s">
        <v>159</v>
      </c>
    </row>
    <row r="9" spans="1:12" ht="15.75" customHeight="1" x14ac:dyDescent="0.2">
      <c r="A9" s="91" t="s">
        <v>18</v>
      </c>
      <c r="B9" s="88">
        <v>0</v>
      </c>
      <c r="C9" s="88">
        <v>1</v>
      </c>
      <c r="H9" s="88" t="e">
        <f t="shared" ref="H9:H369" ca="1" si="0">COUNTIF(INDIRECT(B$1&amp;"!C"&amp;B$2&amp;":C"&amp;B$2,FALSE),IF(ISNUMBER(INDIRECT("A"&amp;ROW())),INDIRECT("A"&amp;ROW()),"*"&amp;INDIRECT("A"&amp;ROW())&amp;"*"))</f>
        <v>#REF!</v>
      </c>
      <c r="I9" s="88" t="e">
        <f t="shared" ref="I9:I369" ca="1" si="1">INDIRECT("H"&amp;ROW())-INDIRECT("B"&amp;ROW())</f>
        <v>#REF!</v>
      </c>
      <c r="J9" s="88" t="str">
        <f ca="1">IFERROR(__xludf.DUMMYFUNCTION("if(not(iserror(filter(D9:D1000,I9:I1000&lt;C9:C1000))),FILTER(filter(D9:D1000,I9:I1000&lt;C9:C1000),not(iserror(filter(D9:D1000,I9:I1000&lt;C9:C1000)))),B6)"),"")</f>
        <v/>
      </c>
      <c r="K9" s="88" t="str">
        <f ca="1">IFERROR(__xludf.DUMMYFUNCTION("if(not(iserror(filter(E9:E1000,I9:I1000&lt;C9:C1000))),FILTER(filter(E9:E1000,I9:I1000&lt;C9:C1000),not(iserror(filter(E9:E1000,I9:I1000&lt;C9:C1000)))),B6)"),"")</f>
        <v/>
      </c>
      <c r="L9" s="91" t="str">
        <f ca="1">IFERROR(__xludf.DUMMYFUNCTION("if(not(iserror(filter(A9:A1000,I9:I1000&lt;C9:C1000))),FILTER(filter(A9:A1000,I9:I1000&lt;C9:C1000),not(iserror(filter(A9:A1000,I9:I1000&lt;C9:C1000)))),B6)"),"07h00 85100 Les Sables d'Olonne (les Sables d'Olonne)-.")</f>
        <v>07h00 85100 Les Sables d'Olonne (les Sables d'Olonne)-.</v>
      </c>
    </row>
    <row r="10" spans="1:12" ht="15.75" customHeight="1" x14ac:dyDescent="0.2">
      <c r="A10" s="91" t="s">
        <v>160</v>
      </c>
      <c r="B10" s="88">
        <v>0</v>
      </c>
      <c r="C10" s="88">
        <v>1</v>
      </c>
      <c r="H10" s="88" t="e">
        <f t="shared" ca="1" si="0"/>
        <v>#REF!</v>
      </c>
      <c r="I10" s="88" t="e">
        <f t="shared" ca="1" si="1"/>
        <v>#REF!</v>
      </c>
      <c r="J10" s="88" t="str">
        <f ca="1">IFERROR(__xludf.DUMMYFUNCTION("""COMPUTED_VALUE"""),"")</f>
        <v/>
      </c>
      <c r="K10" s="88" t="str">
        <f ca="1">IFERROR(__xludf.DUMMYFUNCTION("""COMPUTED_VALUE"""),"")</f>
        <v/>
      </c>
      <c r="L10" s="91" t="str">
        <f ca="1">IFERROR(__xludf.DUMMYFUNCTION("""COMPUTED_VALUE"""),"07h00 85100 Les Sables d'Olonne (les Sables d'Olonne)")</f>
        <v>07h00 85100 Les Sables d'Olonne (les Sables d'Olonne)</v>
      </c>
    </row>
    <row r="11" spans="1:12" ht="15.75" customHeight="1" x14ac:dyDescent="0.2">
      <c r="A11" s="91" t="s">
        <v>8</v>
      </c>
      <c r="B11" s="88">
        <v>0</v>
      </c>
      <c r="C11" s="88">
        <v>1</v>
      </c>
      <c r="H11" s="88" t="e">
        <f t="shared" ca="1" si="0"/>
        <v>#REF!</v>
      </c>
      <c r="I11" s="88" t="e">
        <f t="shared" ca="1" si="1"/>
        <v>#REF!</v>
      </c>
      <c r="J11" s="88" t="str">
        <f ca="1">IFERROR(__xludf.DUMMYFUNCTION("""COMPUTED_VALUE"""),"")</f>
        <v/>
      </c>
      <c r="K11" s="88" t="str">
        <f ca="1">IFERROR(__xludf.DUMMYFUNCTION("""COMPUTED_VALUE"""),"")</f>
        <v/>
      </c>
      <c r="L11" s="91" t="str">
        <f ca="1">IFERROR(__xludf.DUMMYFUNCTION("""COMPUTED_VALUE"""),"07h00 85100 Les Sables d'Olonne ( la Chaume)")</f>
        <v>07h00 85100 Les Sables d'Olonne ( la Chaume)</v>
      </c>
    </row>
    <row r="12" spans="1:12" ht="15.75" customHeight="1" x14ac:dyDescent="0.2">
      <c r="A12" s="91" t="s">
        <v>71</v>
      </c>
      <c r="B12" s="88">
        <v>0</v>
      </c>
      <c r="C12" s="88">
        <v>1</v>
      </c>
      <c r="H12" s="88" t="e">
        <f t="shared" ca="1" si="0"/>
        <v>#REF!</v>
      </c>
      <c r="I12" s="88" t="e">
        <f t="shared" ca="1" si="1"/>
        <v>#REF!</v>
      </c>
      <c r="J12" s="88" t="str">
        <f ca="1">IFERROR(__xludf.DUMMYFUNCTION("""COMPUTED_VALUE"""),"")</f>
        <v/>
      </c>
      <c r="K12" s="88" t="str">
        <f ca="1">IFERROR(__xludf.DUMMYFUNCTION("""COMPUTED_VALUE"""),"")</f>
        <v/>
      </c>
      <c r="L12" s="91" t="str">
        <f ca="1">IFERROR(__xludf.DUMMYFUNCTION("""COMPUTED_VALUE"""),"07h00 85340 Les Sables d'Olonne (Olonne sur Mer)-.")</f>
        <v>07h00 85340 Les Sables d'Olonne (Olonne sur Mer)-.</v>
      </c>
    </row>
    <row r="13" spans="1:12" ht="15.75" customHeight="1" x14ac:dyDescent="0.2">
      <c r="A13" s="91" t="s">
        <v>70</v>
      </c>
      <c r="B13" s="88">
        <v>0</v>
      </c>
      <c r="C13" s="88">
        <v>1</v>
      </c>
      <c r="H13" s="88" t="e">
        <f t="shared" ca="1" si="0"/>
        <v>#REF!</v>
      </c>
      <c r="I13" s="88" t="e">
        <f t="shared" ca="1" si="1"/>
        <v>#REF!</v>
      </c>
      <c r="J13" s="88" t="str">
        <f ca="1">IFERROR(__xludf.DUMMYFUNCTION("""COMPUTED_VALUE"""),"")</f>
        <v/>
      </c>
      <c r="K13" s="88" t="str">
        <f ca="1">IFERROR(__xludf.DUMMYFUNCTION("""COMPUTED_VALUE"""),"")</f>
        <v/>
      </c>
      <c r="L13" s="91" t="str">
        <f ca="1">IFERROR(__xludf.DUMMYFUNCTION("""COMPUTED_VALUE"""),"07h00 85340 Les Sables d'Olonne (Olonne sur Mer)")</f>
        <v>07h00 85340 Les Sables d'Olonne (Olonne sur Mer)</v>
      </c>
    </row>
    <row r="14" spans="1:12" ht="15.75" customHeight="1" x14ac:dyDescent="0.2">
      <c r="A14" s="91" t="s">
        <v>39</v>
      </c>
      <c r="B14" s="88">
        <v>0</v>
      </c>
      <c r="C14" s="88">
        <v>1</v>
      </c>
      <c r="H14" s="88" t="e">
        <f t="shared" ca="1" si="0"/>
        <v>#REF!</v>
      </c>
      <c r="I14" s="88" t="e">
        <f t="shared" ca="1" si="1"/>
        <v>#REF!</v>
      </c>
      <c r="J14" s="88" t="str">
        <f ca="1">IFERROR(__xludf.DUMMYFUNCTION("""COMPUTED_VALUE"""),"")</f>
        <v/>
      </c>
      <c r="K14" s="88" t="str">
        <f ca="1">IFERROR(__xludf.DUMMYFUNCTION("""COMPUTED_VALUE"""),"")</f>
        <v/>
      </c>
      <c r="L14" s="91" t="str">
        <f ca="1">IFERROR(__xludf.DUMMYFUNCTION("""COMPUTED_VALUE"""),"07h00 85180 Les Sables d'Olonne (le Château d'Olonne)-.")</f>
        <v>07h00 85180 Les Sables d'Olonne (le Château d'Olonne)-.</v>
      </c>
    </row>
    <row r="15" spans="1:12" ht="15.75" customHeight="1" x14ac:dyDescent="0.2">
      <c r="A15" s="91" t="s">
        <v>161</v>
      </c>
      <c r="B15" s="88">
        <v>0</v>
      </c>
      <c r="C15" s="88">
        <v>1</v>
      </c>
      <c r="H15" s="88" t="e">
        <f t="shared" ca="1" si="0"/>
        <v>#REF!</v>
      </c>
      <c r="I15" s="88" t="e">
        <f t="shared" ca="1" si="1"/>
        <v>#REF!</v>
      </c>
      <c r="J15" s="88" t="str">
        <f ca="1">IFERROR(__xludf.DUMMYFUNCTION("""COMPUTED_VALUE"""),"")</f>
        <v/>
      </c>
      <c r="K15" s="88" t="str">
        <f ca="1">IFERROR(__xludf.DUMMYFUNCTION("""COMPUTED_VALUE"""),"")</f>
        <v/>
      </c>
      <c r="L15" s="91" t="str">
        <f ca="1">IFERROR(__xludf.DUMMYFUNCTION("""COMPUTED_VALUE"""),"07h00 85180 Les Sables d'Olonne (le Château d'Olonne)")</f>
        <v>07h00 85180 Les Sables d'Olonne (le Château d'Olonne)</v>
      </c>
    </row>
    <row r="16" spans="1:12" ht="15.75" customHeight="1" x14ac:dyDescent="0.2">
      <c r="A16" s="91" t="s">
        <v>162</v>
      </c>
      <c r="B16" s="88">
        <v>0</v>
      </c>
      <c r="C16" s="88">
        <v>1</v>
      </c>
      <c r="H16" s="88" t="e">
        <f t="shared" ca="1" si="0"/>
        <v>#REF!</v>
      </c>
      <c r="I16" s="88" t="e">
        <f t="shared" ca="1" si="1"/>
        <v>#REF!</v>
      </c>
      <c r="J16" s="88" t="str">
        <f ca="1">IFERROR(__xludf.DUMMYFUNCTION("""COMPUTED_VALUE"""),"")</f>
        <v/>
      </c>
      <c r="K16" s="88" t="str">
        <f ca="1">IFERROR(__xludf.DUMMYFUNCTION("""COMPUTED_VALUE"""),"")</f>
        <v/>
      </c>
      <c r="L16" s="91" t="str">
        <f ca="1">IFERROR(__xludf.DUMMYFUNCTION("""COMPUTED_VALUE"""),"07h00 85340 l'Île d'Olonne")</f>
        <v>07h00 85340 l'Île d'Olonne</v>
      </c>
    </row>
    <row r="17" spans="1:12" ht="15.75" customHeight="1" x14ac:dyDescent="0.2">
      <c r="A17" s="91" t="s">
        <v>19</v>
      </c>
      <c r="B17" s="88">
        <v>0</v>
      </c>
      <c r="C17" s="88">
        <v>1</v>
      </c>
      <c r="H17" s="88" t="e">
        <f t="shared" ca="1" si="0"/>
        <v>#REF!</v>
      </c>
      <c r="I17" s="88" t="e">
        <f t="shared" ca="1" si="1"/>
        <v>#REF!</v>
      </c>
      <c r="J17" s="88" t="str">
        <f ca="1">IFERROR(__xludf.DUMMYFUNCTION("""COMPUTED_VALUE"""),"")</f>
        <v/>
      </c>
      <c r="K17" s="88" t="str">
        <f ca="1">IFERROR(__xludf.DUMMYFUNCTION("""COMPUTED_VALUE"""),"")</f>
        <v/>
      </c>
      <c r="L17" s="91" t="str">
        <f ca="1">IFERROR(__xludf.DUMMYFUNCTION("""COMPUTED_VALUE"""),"07h05 85100 Les Sables d'Olonne (les Sables d'Olonne)-.")</f>
        <v>07h05 85100 Les Sables d'Olonne (les Sables d'Olonne)-.</v>
      </c>
    </row>
    <row r="18" spans="1:12" ht="15.75" customHeight="1" x14ac:dyDescent="0.2">
      <c r="A18" s="91" t="s">
        <v>163</v>
      </c>
      <c r="B18" s="88">
        <v>0</v>
      </c>
      <c r="C18" s="88">
        <v>1</v>
      </c>
      <c r="H18" s="88" t="e">
        <f t="shared" ca="1" si="0"/>
        <v>#REF!</v>
      </c>
      <c r="I18" s="88" t="e">
        <f t="shared" ca="1" si="1"/>
        <v>#REF!</v>
      </c>
      <c r="J18" s="88" t="str">
        <f ca="1">IFERROR(__xludf.DUMMYFUNCTION("""COMPUTED_VALUE"""),"")</f>
        <v/>
      </c>
      <c r="K18" s="88" t="str">
        <f ca="1">IFERROR(__xludf.DUMMYFUNCTION("""COMPUTED_VALUE"""),"")</f>
        <v/>
      </c>
      <c r="L18" s="91" t="str">
        <f ca="1">IFERROR(__xludf.DUMMYFUNCTION("""COMPUTED_VALUE"""),"07h05 85100 Les Sables d'Olonne (les Sables d'Olonne)")</f>
        <v>07h05 85100 Les Sables d'Olonne (les Sables d'Olonne)</v>
      </c>
    </row>
    <row r="19" spans="1:12" ht="15.75" customHeight="1" x14ac:dyDescent="0.2">
      <c r="A19" s="91" t="s">
        <v>164</v>
      </c>
      <c r="B19" s="88">
        <v>0</v>
      </c>
      <c r="C19" s="88">
        <v>1</v>
      </c>
      <c r="H19" s="88" t="e">
        <f t="shared" ca="1" si="0"/>
        <v>#REF!</v>
      </c>
      <c r="I19" s="88" t="e">
        <f t="shared" ca="1" si="1"/>
        <v>#REF!</v>
      </c>
      <c r="J19" s="88" t="str">
        <f ca="1">IFERROR(__xludf.DUMMYFUNCTION("""COMPUTED_VALUE"""),"")</f>
        <v/>
      </c>
      <c r="K19" s="88" t="str">
        <f ca="1">IFERROR(__xludf.DUMMYFUNCTION("""COMPUTED_VALUE"""),"")</f>
        <v/>
      </c>
      <c r="L19" s="91" t="str">
        <f ca="1">IFERROR(__xludf.DUMMYFUNCTION("""COMPUTED_VALUE"""),"07h05 85100 Les Sables d'Olonne ( la Chaume)")</f>
        <v>07h05 85100 Les Sables d'Olonne ( la Chaume)</v>
      </c>
    </row>
    <row r="20" spans="1:12" ht="15.75" customHeight="1" x14ac:dyDescent="0.2">
      <c r="A20" s="91" t="s">
        <v>72</v>
      </c>
      <c r="B20" s="88">
        <v>0</v>
      </c>
      <c r="C20" s="88">
        <v>1</v>
      </c>
      <c r="H20" s="88" t="e">
        <f t="shared" ca="1" si="0"/>
        <v>#REF!</v>
      </c>
      <c r="I20" s="88" t="e">
        <f t="shared" ca="1" si="1"/>
        <v>#REF!</v>
      </c>
      <c r="J20" s="88" t="str">
        <f ca="1">IFERROR(__xludf.DUMMYFUNCTION("""COMPUTED_VALUE"""),"")</f>
        <v/>
      </c>
      <c r="K20" s="88" t="str">
        <f ca="1">IFERROR(__xludf.DUMMYFUNCTION("""COMPUTED_VALUE"""),"")</f>
        <v/>
      </c>
      <c r="L20" s="91" t="str">
        <f ca="1">IFERROR(__xludf.DUMMYFUNCTION("""COMPUTED_VALUE"""),"07h05 85340 Les Sables d'Olonne (Olonne sur Mer)-.")</f>
        <v>07h05 85340 Les Sables d'Olonne (Olonne sur Mer)-.</v>
      </c>
    </row>
    <row r="21" spans="1:12" ht="15.75" customHeight="1" x14ac:dyDescent="0.2">
      <c r="A21" s="91" t="s">
        <v>165</v>
      </c>
      <c r="B21" s="88">
        <v>0</v>
      </c>
      <c r="C21" s="88">
        <v>1</v>
      </c>
      <c r="H21" s="88" t="e">
        <f t="shared" ca="1" si="0"/>
        <v>#REF!</v>
      </c>
      <c r="I21" s="88" t="e">
        <f t="shared" ca="1" si="1"/>
        <v>#REF!</v>
      </c>
      <c r="J21" s="88" t="str">
        <f ca="1">IFERROR(__xludf.DUMMYFUNCTION("""COMPUTED_VALUE"""),"")</f>
        <v/>
      </c>
      <c r="K21" s="88" t="str">
        <f ca="1">IFERROR(__xludf.DUMMYFUNCTION("""COMPUTED_VALUE"""),"")</f>
        <v/>
      </c>
      <c r="L21" s="91" t="str">
        <f ca="1">IFERROR(__xludf.DUMMYFUNCTION("""COMPUTED_VALUE"""),"07h05 85340 Les Sables d'Olonne (Olonne sur Mer)")</f>
        <v>07h05 85340 Les Sables d'Olonne (Olonne sur Mer)</v>
      </c>
    </row>
    <row r="22" spans="1:12" ht="15.75" customHeight="1" x14ac:dyDescent="0.2">
      <c r="A22" s="91" t="s">
        <v>40</v>
      </c>
      <c r="B22" s="88">
        <v>0</v>
      </c>
      <c r="C22" s="88">
        <v>1</v>
      </c>
      <c r="H22" s="88" t="e">
        <f t="shared" ca="1" si="0"/>
        <v>#REF!</v>
      </c>
      <c r="I22" s="88" t="e">
        <f t="shared" ca="1" si="1"/>
        <v>#REF!</v>
      </c>
      <c r="J22" s="88" t="str">
        <f ca="1">IFERROR(__xludf.DUMMYFUNCTION("""COMPUTED_VALUE"""),"")</f>
        <v/>
      </c>
      <c r="K22" s="88" t="str">
        <f ca="1">IFERROR(__xludf.DUMMYFUNCTION("""COMPUTED_VALUE"""),"")</f>
        <v/>
      </c>
      <c r="L22" s="91" t="str">
        <f ca="1">IFERROR(__xludf.DUMMYFUNCTION("""COMPUTED_VALUE"""),"07h05 85180 Les Sables d'Olonne (le Château d'Olonne)-.")</f>
        <v>07h05 85180 Les Sables d'Olonne (le Château d'Olonne)-.</v>
      </c>
    </row>
    <row r="23" spans="1:12" ht="15.75" customHeight="1" x14ac:dyDescent="0.2">
      <c r="A23" s="91" t="s">
        <v>166</v>
      </c>
      <c r="B23" s="88">
        <v>0</v>
      </c>
      <c r="C23" s="88">
        <v>1</v>
      </c>
      <c r="H23" s="88" t="e">
        <f t="shared" ca="1" si="0"/>
        <v>#REF!</v>
      </c>
      <c r="I23" s="88" t="e">
        <f t="shared" ca="1" si="1"/>
        <v>#REF!</v>
      </c>
      <c r="J23" s="88" t="str">
        <f ca="1">IFERROR(__xludf.DUMMYFUNCTION("""COMPUTED_VALUE"""),"")</f>
        <v/>
      </c>
      <c r="K23" s="88" t="str">
        <f ca="1">IFERROR(__xludf.DUMMYFUNCTION("""COMPUTED_VALUE"""),"")</f>
        <v/>
      </c>
      <c r="L23" s="91" t="str">
        <f ca="1">IFERROR(__xludf.DUMMYFUNCTION("""COMPUTED_VALUE"""),"07h05 85180 Les Sables d'Olonne (le Château d'Olonne)")</f>
        <v>07h05 85180 Les Sables d'Olonne (le Château d'Olonne)</v>
      </c>
    </row>
    <row r="24" spans="1:12" ht="15.75" customHeight="1" x14ac:dyDescent="0.2">
      <c r="A24" s="91" t="s">
        <v>126</v>
      </c>
      <c r="B24" s="88">
        <v>0</v>
      </c>
      <c r="C24" s="88">
        <v>1</v>
      </c>
      <c r="H24" s="88" t="e">
        <f t="shared" ca="1" si="0"/>
        <v>#REF!</v>
      </c>
      <c r="I24" s="88" t="e">
        <f t="shared" ca="1" si="1"/>
        <v>#REF!</v>
      </c>
      <c r="J24" s="88" t="str">
        <f ca="1">IFERROR(__xludf.DUMMYFUNCTION("""COMPUTED_VALUE"""),"")</f>
        <v/>
      </c>
      <c r="K24" s="88" t="str">
        <f ca="1">IFERROR(__xludf.DUMMYFUNCTION("""COMPUTED_VALUE"""),"")</f>
        <v/>
      </c>
      <c r="L24" s="91" t="str">
        <f ca="1">IFERROR(__xludf.DUMMYFUNCTION("""COMPUTED_VALUE"""),"07h05 85340 l'Île d'Olonne")</f>
        <v>07h05 85340 l'Île d'Olonne</v>
      </c>
    </row>
    <row r="25" spans="1:12" ht="15.75" customHeight="1" x14ac:dyDescent="0.2">
      <c r="A25" s="91" t="s">
        <v>167</v>
      </c>
      <c r="B25" s="88">
        <v>0</v>
      </c>
      <c r="C25" s="88">
        <v>1</v>
      </c>
      <c r="H25" s="88" t="e">
        <f t="shared" ca="1" si="0"/>
        <v>#REF!</v>
      </c>
      <c r="I25" s="88" t="e">
        <f t="shared" ca="1" si="1"/>
        <v>#REF!</v>
      </c>
      <c r="J25" s="88" t="str">
        <f ca="1">IFERROR(__xludf.DUMMYFUNCTION("""COMPUTED_VALUE"""),"")</f>
        <v/>
      </c>
      <c r="K25" s="88" t="str">
        <f ca="1">IFERROR(__xludf.DUMMYFUNCTION("""COMPUTED_VALUE"""),"")</f>
        <v/>
      </c>
      <c r="L25" s="91" t="str">
        <f ca="1">IFERROR(__xludf.DUMMYFUNCTION("""COMPUTED_VALUE"""),"07h10 85100 Les Sables d'Olonne (les Sables d'Olonne)-.")</f>
        <v>07h10 85100 Les Sables d'Olonne (les Sables d'Olonne)-.</v>
      </c>
    </row>
    <row r="26" spans="1:12" ht="15.75" customHeight="1" x14ac:dyDescent="0.2">
      <c r="A26" s="91" t="s">
        <v>168</v>
      </c>
      <c r="B26" s="88">
        <v>0</v>
      </c>
      <c r="C26" s="88">
        <v>1</v>
      </c>
      <c r="H26" s="88" t="e">
        <f t="shared" ca="1" si="0"/>
        <v>#REF!</v>
      </c>
      <c r="I26" s="88" t="e">
        <f t="shared" ca="1" si="1"/>
        <v>#REF!</v>
      </c>
      <c r="J26" s="88" t="str">
        <f ca="1">IFERROR(__xludf.DUMMYFUNCTION("""COMPUTED_VALUE"""),"")</f>
        <v/>
      </c>
      <c r="K26" s="88" t="str">
        <f ca="1">IFERROR(__xludf.DUMMYFUNCTION("""COMPUTED_VALUE"""),"")</f>
        <v/>
      </c>
      <c r="L26" s="91" t="str">
        <f ca="1">IFERROR(__xludf.DUMMYFUNCTION("""COMPUTED_VALUE"""),"07h10 85100 Les Sables d'Olonne (les Sables d'Olonne)")</f>
        <v>07h10 85100 Les Sables d'Olonne (les Sables d'Olonne)</v>
      </c>
    </row>
    <row r="27" spans="1:12" ht="15.75" customHeight="1" x14ac:dyDescent="0.2">
      <c r="A27" s="91" t="s">
        <v>169</v>
      </c>
      <c r="B27" s="88">
        <v>0</v>
      </c>
      <c r="C27" s="88">
        <v>1</v>
      </c>
      <c r="H27" s="88" t="e">
        <f t="shared" ca="1" si="0"/>
        <v>#REF!</v>
      </c>
      <c r="I27" s="88" t="e">
        <f t="shared" ca="1" si="1"/>
        <v>#REF!</v>
      </c>
      <c r="J27" s="88" t="str">
        <f ca="1">IFERROR(__xludf.DUMMYFUNCTION("""COMPUTED_VALUE"""),"")</f>
        <v/>
      </c>
      <c r="K27" s="88" t="str">
        <f ca="1">IFERROR(__xludf.DUMMYFUNCTION("""COMPUTED_VALUE"""),"")</f>
        <v/>
      </c>
      <c r="L27" s="91" t="str">
        <f ca="1">IFERROR(__xludf.DUMMYFUNCTION("""COMPUTED_VALUE"""),"07h10 85100 Les Sables d'Olonne ( la Chaume)")</f>
        <v>07h10 85100 Les Sables d'Olonne ( la Chaume)</v>
      </c>
    </row>
    <row r="28" spans="1:12" ht="15.75" customHeight="1" x14ac:dyDescent="0.2">
      <c r="A28" s="91" t="s">
        <v>73</v>
      </c>
      <c r="B28" s="88">
        <v>0</v>
      </c>
      <c r="C28" s="88">
        <v>1</v>
      </c>
      <c r="H28" s="88" t="e">
        <f t="shared" ca="1" si="0"/>
        <v>#REF!</v>
      </c>
      <c r="I28" s="88" t="e">
        <f t="shared" ca="1" si="1"/>
        <v>#REF!</v>
      </c>
      <c r="J28" s="88" t="str">
        <f ca="1">IFERROR(__xludf.DUMMYFUNCTION("""COMPUTED_VALUE"""),"")</f>
        <v/>
      </c>
      <c r="K28" s="88" t="str">
        <f ca="1">IFERROR(__xludf.DUMMYFUNCTION("""COMPUTED_VALUE"""),"")</f>
        <v/>
      </c>
      <c r="L28" s="91" t="str">
        <f ca="1">IFERROR(__xludf.DUMMYFUNCTION("""COMPUTED_VALUE"""),"07h10 85340 Les Sables d'Olonne (Olonne sur Mer)-.")</f>
        <v>07h10 85340 Les Sables d'Olonne (Olonne sur Mer)-.</v>
      </c>
    </row>
    <row r="29" spans="1:12" ht="15.75" customHeight="1" x14ac:dyDescent="0.2">
      <c r="A29" s="91" t="s">
        <v>170</v>
      </c>
      <c r="B29" s="88">
        <v>0</v>
      </c>
      <c r="C29" s="88">
        <v>1</v>
      </c>
      <c r="H29" s="88" t="e">
        <f t="shared" ca="1" si="0"/>
        <v>#REF!</v>
      </c>
      <c r="I29" s="88" t="e">
        <f t="shared" ca="1" si="1"/>
        <v>#REF!</v>
      </c>
      <c r="J29" s="88" t="str">
        <f ca="1">IFERROR(__xludf.DUMMYFUNCTION("""COMPUTED_VALUE"""),"")</f>
        <v/>
      </c>
      <c r="K29" s="88" t="str">
        <f ca="1">IFERROR(__xludf.DUMMYFUNCTION("""COMPUTED_VALUE"""),"")</f>
        <v/>
      </c>
      <c r="L29" s="91" t="str">
        <f ca="1">IFERROR(__xludf.DUMMYFUNCTION("""COMPUTED_VALUE"""),"07h10 85340 Les Sables d'Olonne (Olonne sur Mer)")</f>
        <v>07h10 85340 Les Sables d'Olonne (Olonne sur Mer)</v>
      </c>
    </row>
    <row r="30" spans="1:12" ht="15.75" customHeight="1" x14ac:dyDescent="0.2">
      <c r="A30" s="91" t="s">
        <v>171</v>
      </c>
      <c r="B30" s="88">
        <v>0</v>
      </c>
      <c r="C30" s="88">
        <v>1</v>
      </c>
      <c r="H30" s="88" t="e">
        <f t="shared" ca="1" si="0"/>
        <v>#REF!</v>
      </c>
      <c r="I30" s="88" t="e">
        <f t="shared" ca="1" si="1"/>
        <v>#REF!</v>
      </c>
      <c r="J30" s="88" t="str">
        <f ca="1">IFERROR(__xludf.DUMMYFUNCTION("""COMPUTED_VALUE"""),"")</f>
        <v/>
      </c>
      <c r="K30" s="88" t="str">
        <f ca="1">IFERROR(__xludf.DUMMYFUNCTION("""COMPUTED_VALUE"""),"")</f>
        <v/>
      </c>
      <c r="L30" s="91" t="str">
        <f ca="1">IFERROR(__xludf.DUMMYFUNCTION("""COMPUTED_VALUE"""),"07h10 85180 Les Sables d'Olonne (le Château d'Olonne)-.")</f>
        <v>07h10 85180 Les Sables d'Olonne (le Château d'Olonne)-.</v>
      </c>
    </row>
    <row r="31" spans="1:12" ht="15.75" customHeight="1" x14ac:dyDescent="0.2">
      <c r="A31" s="91" t="s">
        <v>172</v>
      </c>
      <c r="B31" s="88">
        <v>0</v>
      </c>
      <c r="C31" s="88">
        <v>1</v>
      </c>
      <c r="H31" s="88" t="e">
        <f t="shared" ca="1" si="0"/>
        <v>#REF!</v>
      </c>
      <c r="I31" s="88" t="e">
        <f t="shared" ca="1" si="1"/>
        <v>#REF!</v>
      </c>
      <c r="J31" s="88" t="str">
        <f ca="1">IFERROR(__xludf.DUMMYFUNCTION("""COMPUTED_VALUE"""),"")</f>
        <v/>
      </c>
      <c r="K31" s="88" t="str">
        <f ca="1">IFERROR(__xludf.DUMMYFUNCTION("""COMPUTED_VALUE"""),"")</f>
        <v/>
      </c>
      <c r="L31" s="91" t="str">
        <f ca="1">IFERROR(__xludf.DUMMYFUNCTION("""COMPUTED_VALUE"""),"07h10 85180 Les Sables d'Olonne (le Château d'Olonne)")</f>
        <v>07h10 85180 Les Sables d'Olonne (le Château d'Olonne)</v>
      </c>
    </row>
    <row r="32" spans="1:12" ht="15.75" customHeight="1" x14ac:dyDescent="0.2">
      <c r="A32" s="91" t="s">
        <v>127</v>
      </c>
      <c r="B32" s="88">
        <v>0</v>
      </c>
      <c r="C32" s="88">
        <v>1</v>
      </c>
      <c r="H32" s="88" t="e">
        <f t="shared" ca="1" si="0"/>
        <v>#REF!</v>
      </c>
      <c r="I32" s="88" t="e">
        <f t="shared" ca="1" si="1"/>
        <v>#REF!</v>
      </c>
      <c r="J32" s="88" t="str">
        <f ca="1">IFERROR(__xludf.DUMMYFUNCTION("""COMPUTED_VALUE"""),"")</f>
        <v/>
      </c>
      <c r="K32" s="88" t="str">
        <f ca="1">IFERROR(__xludf.DUMMYFUNCTION("""COMPUTED_VALUE"""),"")</f>
        <v/>
      </c>
      <c r="L32" s="91" t="str">
        <f ca="1">IFERROR(__xludf.DUMMYFUNCTION("""COMPUTED_VALUE"""),"07h10 85340 l'Île d'Olonne")</f>
        <v>07h10 85340 l'Île d'Olonne</v>
      </c>
    </row>
    <row r="33" spans="1:12" ht="15.75" customHeight="1" x14ac:dyDescent="0.2">
      <c r="A33" s="91" t="s">
        <v>173</v>
      </c>
      <c r="B33" s="88">
        <v>0</v>
      </c>
      <c r="C33" s="88">
        <v>1</v>
      </c>
      <c r="H33" s="88" t="e">
        <f t="shared" ca="1" si="0"/>
        <v>#REF!</v>
      </c>
      <c r="I33" s="88" t="e">
        <f t="shared" ca="1" si="1"/>
        <v>#REF!</v>
      </c>
      <c r="J33" s="88" t="str">
        <f ca="1">IFERROR(__xludf.DUMMYFUNCTION("""COMPUTED_VALUE"""),"")</f>
        <v/>
      </c>
      <c r="K33" s="88" t="str">
        <f ca="1">IFERROR(__xludf.DUMMYFUNCTION("""COMPUTED_VALUE"""),"")</f>
        <v/>
      </c>
      <c r="L33" s="91" t="str">
        <f ca="1">IFERROR(__xludf.DUMMYFUNCTION("""COMPUTED_VALUE"""),"07h15 85100 Les Sables d'Olonne (les Sables d'Olonne)-.")</f>
        <v>07h15 85100 Les Sables d'Olonne (les Sables d'Olonne)-.</v>
      </c>
    </row>
    <row r="34" spans="1:12" ht="15.75" customHeight="1" x14ac:dyDescent="0.2">
      <c r="A34" s="91" t="s">
        <v>174</v>
      </c>
      <c r="B34" s="88">
        <v>0</v>
      </c>
      <c r="C34" s="88">
        <v>1</v>
      </c>
      <c r="H34" s="88" t="e">
        <f t="shared" ca="1" si="0"/>
        <v>#REF!</v>
      </c>
      <c r="I34" s="88" t="e">
        <f t="shared" ca="1" si="1"/>
        <v>#REF!</v>
      </c>
      <c r="J34" s="88" t="str">
        <f ca="1">IFERROR(__xludf.DUMMYFUNCTION("""COMPUTED_VALUE"""),"")</f>
        <v/>
      </c>
      <c r="K34" s="88" t="str">
        <f ca="1">IFERROR(__xludf.DUMMYFUNCTION("""COMPUTED_VALUE"""),"")</f>
        <v/>
      </c>
      <c r="L34" s="91" t="str">
        <f ca="1">IFERROR(__xludf.DUMMYFUNCTION("""COMPUTED_VALUE"""),"07h15 85100 Les Sables d'Olonne (les Sables d'Olonne)")</f>
        <v>07h15 85100 Les Sables d'Olonne (les Sables d'Olonne)</v>
      </c>
    </row>
    <row r="35" spans="1:12" ht="15.75" customHeight="1" x14ac:dyDescent="0.2">
      <c r="A35" s="91" t="s">
        <v>175</v>
      </c>
      <c r="B35" s="88">
        <v>0</v>
      </c>
      <c r="C35" s="88">
        <v>1</v>
      </c>
      <c r="H35" s="88" t="e">
        <f t="shared" ca="1" si="0"/>
        <v>#REF!</v>
      </c>
      <c r="I35" s="88" t="e">
        <f t="shared" ca="1" si="1"/>
        <v>#REF!</v>
      </c>
      <c r="J35" s="88" t="str">
        <f ca="1">IFERROR(__xludf.DUMMYFUNCTION("""COMPUTED_VALUE"""),"")</f>
        <v/>
      </c>
      <c r="K35" s="88" t="str">
        <f ca="1">IFERROR(__xludf.DUMMYFUNCTION("""COMPUTED_VALUE"""),"")</f>
        <v/>
      </c>
      <c r="L35" s="91" t="str">
        <f ca="1">IFERROR(__xludf.DUMMYFUNCTION("""COMPUTED_VALUE"""),"07h15 85100 Les Sables d'Olonne ( la Chaume)")</f>
        <v>07h15 85100 Les Sables d'Olonne ( la Chaume)</v>
      </c>
    </row>
    <row r="36" spans="1:12" ht="15.75" customHeight="1" x14ac:dyDescent="0.2">
      <c r="A36" s="91" t="s">
        <v>74</v>
      </c>
      <c r="B36" s="88">
        <v>0</v>
      </c>
      <c r="C36" s="88">
        <v>1</v>
      </c>
      <c r="H36" s="88" t="e">
        <f t="shared" ca="1" si="0"/>
        <v>#REF!</v>
      </c>
      <c r="I36" s="88" t="e">
        <f t="shared" ca="1" si="1"/>
        <v>#REF!</v>
      </c>
      <c r="J36" s="88" t="str">
        <f ca="1">IFERROR(__xludf.DUMMYFUNCTION("""COMPUTED_VALUE"""),"")</f>
        <v/>
      </c>
      <c r="K36" s="88" t="str">
        <f ca="1">IFERROR(__xludf.DUMMYFUNCTION("""COMPUTED_VALUE"""),"")</f>
        <v/>
      </c>
      <c r="L36" s="91" t="str">
        <f ca="1">IFERROR(__xludf.DUMMYFUNCTION("""COMPUTED_VALUE"""),"07h15 85340 Les Sables d'Olonne (Olonne sur Mer)-.")</f>
        <v>07h15 85340 Les Sables d'Olonne (Olonne sur Mer)-.</v>
      </c>
    </row>
    <row r="37" spans="1:12" ht="15.75" customHeight="1" x14ac:dyDescent="0.2">
      <c r="A37" s="91" t="s">
        <v>176</v>
      </c>
      <c r="B37" s="88">
        <v>0</v>
      </c>
      <c r="C37" s="88">
        <v>1</v>
      </c>
      <c r="H37" s="88" t="e">
        <f t="shared" ca="1" si="0"/>
        <v>#REF!</v>
      </c>
      <c r="I37" s="88" t="e">
        <f t="shared" ca="1" si="1"/>
        <v>#REF!</v>
      </c>
      <c r="J37" s="88" t="str">
        <f ca="1">IFERROR(__xludf.DUMMYFUNCTION("""COMPUTED_VALUE"""),"")</f>
        <v/>
      </c>
      <c r="K37" s="88" t="str">
        <f ca="1">IFERROR(__xludf.DUMMYFUNCTION("""COMPUTED_VALUE"""),"")</f>
        <v/>
      </c>
      <c r="L37" s="91" t="str">
        <f ca="1">IFERROR(__xludf.DUMMYFUNCTION("""COMPUTED_VALUE"""),"07h15 85340 Les Sables d'Olonne (Olonne sur Mer)")</f>
        <v>07h15 85340 Les Sables d'Olonne (Olonne sur Mer)</v>
      </c>
    </row>
    <row r="38" spans="1:12" ht="15.75" customHeight="1" x14ac:dyDescent="0.2">
      <c r="A38" s="91" t="s">
        <v>177</v>
      </c>
      <c r="B38" s="88">
        <v>0</v>
      </c>
      <c r="C38" s="88">
        <v>1</v>
      </c>
      <c r="H38" s="88" t="e">
        <f t="shared" ca="1" si="0"/>
        <v>#REF!</v>
      </c>
      <c r="I38" s="88" t="e">
        <f t="shared" ca="1" si="1"/>
        <v>#REF!</v>
      </c>
      <c r="J38" s="88" t="str">
        <f ca="1">IFERROR(__xludf.DUMMYFUNCTION("""COMPUTED_VALUE"""),"")</f>
        <v/>
      </c>
      <c r="K38" s="88" t="str">
        <f ca="1">IFERROR(__xludf.DUMMYFUNCTION("""COMPUTED_VALUE"""),"")</f>
        <v/>
      </c>
      <c r="L38" s="91" t="str">
        <f ca="1">IFERROR(__xludf.DUMMYFUNCTION("""COMPUTED_VALUE"""),"07h15 85180 Les Sables d'Olonne (le Château d'Olonne)-.")</f>
        <v>07h15 85180 Les Sables d'Olonne (le Château d'Olonne)-.</v>
      </c>
    </row>
    <row r="39" spans="1:12" ht="15.75" customHeight="1" x14ac:dyDescent="0.2">
      <c r="A39" s="91" t="s">
        <v>178</v>
      </c>
      <c r="B39" s="88">
        <v>0</v>
      </c>
      <c r="C39" s="88">
        <v>1</v>
      </c>
      <c r="H39" s="88" t="e">
        <f t="shared" ca="1" si="0"/>
        <v>#REF!</v>
      </c>
      <c r="I39" s="88" t="e">
        <f t="shared" ca="1" si="1"/>
        <v>#REF!</v>
      </c>
      <c r="J39" s="88" t="str">
        <f ca="1">IFERROR(__xludf.DUMMYFUNCTION("""COMPUTED_VALUE"""),"")</f>
        <v/>
      </c>
      <c r="K39" s="88" t="str">
        <f ca="1">IFERROR(__xludf.DUMMYFUNCTION("""COMPUTED_VALUE"""),"")</f>
        <v/>
      </c>
      <c r="L39" s="91" t="str">
        <f ca="1">IFERROR(__xludf.DUMMYFUNCTION("""COMPUTED_VALUE"""),"07h15 85180 Les Sables d'Olonne (le Château d'Olonne)")</f>
        <v>07h15 85180 Les Sables d'Olonne (le Château d'Olonne)</v>
      </c>
    </row>
    <row r="40" spans="1:12" ht="15.75" customHeight="1" x14ac:dyDescent="0.2">
      <c r="A40" s="91" t="s">
        <v>179</v>
      </c>
      <c r="B40" s="88">
        <v>0</v>
      </c>
      <c r="C40" s="88">
        <v>1</v>
      </c>
      <c r="H40" s="88" t="e">
        <f t="shared" ca="1" si="0"/>
        <v>#REF!</v>
      </c>
      <c r="I40" s="88" t="e">
        <f t="shared" ca="1" si="1"/>
        <v>#REF!</v>
      </c>
      <c r="J40" s="88" t="str">
        <f ca="1">IFERROR(__xludf.DUMMYFUNCTION("""COMPUTED_VALUE"""),"")</f>
        <v/>
      </c>
      <c r="K40" s="88" t="str">
        <f ca="1">IFERROR(__xludf.DUMMYFUNCTION("""COMPUTED_VALUE"""),"")</f>
        <v/>
      </c>
      <c r="L40" s="91" t="str">
        <f ca="1">IFERROR(__xludf.DUMMYFUNCTION("""COMPUTED_VALUE"""),"07h15 85340 l'Île d'Olonne")</f>
        <v>07h15 85340 l'Île d'Olonne</v>
      </c>
    </row>
    <row r="41" spans="1:12" ht="15.75" customHeight="1" x14ac:dyDescent="0.2">
      <c r="A41" s="91" t="s">
        <v>20</v>
      </c>
      <c r="B41" s="88">
        <v>0</v>
      </c>
      <c r="C41" s="88">
        <v>1</v>
      </c>
      <c r="H41" s="88" t="e">
        <f t="shared" ca="1" si="0"/>
        <v>#REF!</v>
      </c>
      <c r="I41" s="88" t="e">
        <f t="shared" ca="1" si="1"/>
        <v>#REF!</v>
      </c>
      <c r="J41" s="88" t="str">
        <f ca="1">IFERROR(__xludf.DUMMYFUNCTION("""COMPUTED_VALUE"""),"")</f>
        <v/>
      </c>
      <c r="K41" s="88" t="str">
        <f ca="1">IFERROR(__xludf.DUMMYFUNCTION("""COMPUTED_VALUE"""),"")</f>
        <v/>
      </c>
      <c r="L41" s="91" t="str">
        <f ca="1">IFERROR(__xludf.DUMMYFUNCTION("""COMPUTED_VALUE"""),"07h20 85100 Les Sables d'Olonne (les Sables d'Olonne)-.")</f>
        <v>07h20 85100 Les Sables d'Olonne (les Sables d'Olonne)-.</v>
      </c>
    </row>
    <row r="42" spans="1:12" ht="15.75" customHeight="1" x14ac:dyDescent="0.2">
      <c r="A42" s="91" t="s">
        <v>180</v>
      </c>
      <c r="B42" s="88">
        <v>0</v>
      </c>
      <c r="C42" s="88">
        <v>1</v>
      </c>
      <c r="H42" s="88" t="e">
        <f t="shared" ca="1" si="0"/>
        <v>#REF!</v>
      </c>
      <c r="I42" s="88" t="e">
        <f t="shared" ca="1" si="1"/>
        <v>#REF!</v>
      </c>
      <c r="J42" s="88" t="str">
        <f ca="1">IFERROR(__xludf.DUMMYFUNCTION("""COMPUTED_VALUE"""),"")</f>
        <v/>
      </c>
      <c r="K42" s="88" t="str">
        <f ca="1">IFERROR(__xludf.DUMMYFUNCTION("""COMPUTED_VALUE"""),"")</f>
        <v/>
      </c>
      <c r="L42" s="91" t="str">
        <f ca="1">IFERROR(__xludf.DUMMYFUNCTION("""COMPUTED_VALUE"""),"07h20 85100 Les Sables d'Olonne (les Sables d'Olonne)")</f>
        <v>07h20 85100 Les Sables d'Olonne (les Sables d'Olonne)</v>
      </c>
    </row>
    <row r="43" spans="1:12" ht="15.75" customHeight="1" x14ac:dyDescent="0.2">
      <c r="A43" s="91" t="s">
        <v>181</v>
      </c>
      <c r="B43" s="88">
        <v>0</v>
      </c>
      <c r="C43" s="88">
        <v>1</v>
      </c>
      <c r="H43" s="88" t="e">
        <f t="shared" ca="1" si="0"/>
        <v>#REF!</v>
      </c>
      <c r="I43" s="88" t="e">
        <f t="shared" ca="1" si="1"/>
        <v>#REF!</v>
      </c>
      <c r="J43" s="88" t="str">
        <f ca="1">IFERROR(__xludf.DUMMYFUNCTION("""COMPUTED_VALUE"""),"")</f>
        <v/>
      </c>
      <c r="K43" s="88" t="str">
        <f ca="1">IFERROR(__xludf.DUMMYFUNCTION("""COMPUTED_VALUE"""),"")</f>
        <v/>
      </c>
      <c r="L43" s="91" t="str">
        <f ca="1">IFERROR(__xludf.DUMMYFUNCTION("""COMPUTED_VALUE"""),"07h20 85100 Les Sables d'Olonne ( la Chaume)")</f>
        <v>07h20 85100 Les Sables d'Olonne ( la Chaume)</v>
      </c>
    </row>
    <row r="44" spans="1:12" ht="15.75" customHeight="1" x14ac:dyDescent="0.2">
      <c r="A44" s="91" t="s">
        <v>75</v>
      </c>
      <c r="B44" s="88">
        <v>0</v>
      </c>
      <c r="C44" s="88">
        <v>1</v>
      </c>
      <c r="H44" s="88" t="e">
        <f t="shared" ca="1" si="0"/>
        <v>#REF!</v>
      </c>
      <c r="I44" s="88" t="e">
        <f t="shared" ca="1" si="1"/>
        <v>#REF!</v>
      </c>
      <c r="J44" s="88" t="str">
        <f ca="1">IFERROR(__xludf.DUMMYFUNCTION("""COMPUTED_VALUE"""),"")</f>
        <v/>
      </c>
      <c r="K44" s="88" t="str">
        <f ca="1">IFERROR(__xludf.DUMMYFUNCTION("""COMPUTED_VALUE"""),"")</f>
        <v/>
      </c>
      <c r="L44" s="91" t="str">
        <f ca="1">IFERROR(__xludf.DUMMYFUNCTION("""COMPUTED_VALUE"""),"07h20 85340 Les Sables d'Olonne (Olonne sur Mer)-.")</f>
        <v>07h20 85340 Les Sables d'Olonne (Olonne sur Mer)-.</v>
      </c>
    </row>
    <row r="45" spans="1:12" ht="15.75" customHeight="1" x14ac:dyDescent="0.2">
      <c r="A45" s="91" t="s">
        <v>182</v>
      </c>
      <c r="B45" s="88">
        <v>0</v>
      </c>
      <c r="C45" s="88">
        <v>1</v>
      </c>
      <c r="H45" s="88" t="e">
        <f t="shared" ca="1" si="0"/>
        <v>#REF!</v>
      </c>
      <c r="I45" s="88" t="e">
        <f t="shared" ca="1" si="1"/>
        <v>#REF!</v>
      </c>
      <c r="J45" s="88" t="str">
        <f ca="1">IFERROR(__xludf.DUMMYFUNCTION("""COMPUTED_VALUE"""),"")</f>
        <v/>
      </c>
      <c r="K45" s="88" t="str">
        <f ca="1">IFERROR(__xludf.DUMMYFUNCTION("""COMPUTED_VALUE"""),"")</f>
        <v/>
      </c>
      <c r="L45" s="91" t="str">
        <f ca="1">IFERROR(__xludf.DUMMYFUNCTION("""COMPUTED_VALUE"""),"07h20 85340 Les Sables d'Olonne (Olonne sur Mer)")</f>
        <v>07h20 85340 Les Sables d'Olonne (Olonne sur Mer)</v>
      </c>
    </row>
    <row r="46" spans="1:12" ht="15.75" customHeight="1" x14ac:dyDescent="0.2">
      <c r="A46" s="91" t="s">
        <v>183</v>
      </c>
      <c r="B46" s="88">
        <v>0</v>
      </c>
      <c r="C46" s="88">
        <v>1</v>
      </c>
      <c r="H46" s="88" t="e">
        <f t="shared" ca="1" si="0"/>
        <v>#REF!</v>
      </c>
      <c r="I46" s="88" t="e">
        <f t="shared" ca="1" si="1"/>
        <v>#REF!</v>
      </c>
      <c r="J46" s="88" t="str">
        <f ca="1">IFERROR(__xludf.DUMMYFUNCTION("""COMPUTED_VALUE"""),"")</f>
        <v/>
      </c>
      <c r="K46" s="88" t="str">
        <f ca="1">IFERROR(__xludf.DUMMYFUNCTION("""COMPUTED_VALUE"""),"")</f>
        <v/>
      </c>
      <c r="L46" s="91" t="str">
        <f ca="1">IFERROR(__xludf.DUMMYFUNCTION("""COMPUTED_VALUE"""),"07h20 85180 Les Sables d'Olonne (le Château d'Olonne)-.")</f>
        <v>07h20 85180 Les Sables d'Olonne (le Château d'Olonne)-.</v>
      </c>
    </row>
    <row r="47" spans="1:12" ht="15.75" customHeight="1" x14ac:dyDescent="0.2">
      <c r="A47" s="91" t="s">
        <v>184</v>
      </c>
      <c r="B47" s="88">
        <v>0</v>
      </c>
      <c r="C47" s="88">
        <v>1</v>
      </c>
      <c r="H47" s="88" t="e">
        <f t="shared" ca="1" si="0"/>
        <v>#REF!</v>
      </c>
      <c r="I47" s="88" t="e">
        <f t="shared" ca="1" si="1"/>
        <v>#REF!</v>
      </c>
      <c r="J47" s="88" t="str">
        <f ca="1">IFERROR(__xludf.DUMMYFUNCTION("""COMPUTED_VALUE"""),"")</f>
        <v/>
      </c>
      <c r="K47" s="88" t="str">
        <f ca="1">IFERROR(__xludf.DUMMYFUNCTION("""COMPUTED_VALUE"""),"")</f>
        <v/>
      </c>
      <c r="L47" s="91" t="str">
        <f ca="1">IFERROR(__xludf.DUMMYFUNCTION("""COMPUTED_VALUE"""),"07h20 85180 Les Sables d'Olonne (le Château d'Olonne)")</f>
        <v>07h20 85180 Les Sables d'Olonne (le Château d'Olonne)</v>
      </c>
    </row>
    <row r="48" spans="1:12" ht="15.75" customHeight="1" x14ac:dyDescent="0.2">
      <c r="A48" s="91" t="s">
        <v>185</v>
      </c>
      <c r="B48" s="88">
        <v>0</v>
      </c>
      <c r="C48" s="88">
        <v>1</v>
      </c>
      <c r="H48" s="88" t="e">
        <f t="shared" ca="1" si="0"/>
        <v>#REF!</v>
      </c>
      <c r="I48" s="88" t="e">
        <f t="shared" ca="1" si="1"/>
        <v>#REF!</v>
      </c>
      <c r="J48" s="88" t="str">
        <f ca="1">IFERROR(__xludf.DUMMYFUNCTION("""COMPUTED_VALUE"""),"")</f>
        <v/>
      </c>
      <c r="K48" s="88" t="str">
        <f ca="1">IFERROR(__xludf.DUMMYFUNCTION("""COMPUTED_VALUE"""),"")</f>
        <v/>
      </c>
      <c r="L48" s="91" t="str">
        <f ca="1">IFERROR(__xludf.DUMMYFUNCTION("""COMPUTED_VALUE"""),"07h20 85340 l'Île d'Olonne")</f>
        <v>07h20 85340 l'Île d'Olonne</v>
      </c>
    </row>
    <row r="49" spans="1:12" ht="15.75" customHeight="1" x14ac:dyDescent="0.2">
      <c r="A49" s="91" t="s">
        <v>186</v>
      </c>
      <c r="B49" s="88">
        <v>0</v>
      </c>
      <c r="C49" s="88">
        <v>1</v>
      </c>
      <c r="H49" s="88" t="e">
        <f t="shared" ca="1" si="0"/>
        <v>#REF!</v>
      </c>
      <c r="I49" s="88" t="e">
        <f t="shared" ca="1" si="1"/>
        <v>#REF!</v>
      </c>
      <c r="J49" s="88" t="str">
        <f ca="1">IFERROR(__xludf.DUMMYFUNCTION("""COMPUTED_VALUE"""),"")</f>
        <v/>
      </c>
      <c r="K49" s="88" t="str">
        <f ca="1">IFERROR(__xludf.DUMMYFUNCTION("""COMPUTED_VALUE"""),"")</f>
        <v/>
      </c>
      <c r="L49" s="91" t="str">
        <f ca="1">IFERROR(__xludf.DUMMYFUNCTION("""COMPUTED_VALUE"""),"07h25 85100 Les Sables d'Olonne (les Sables d'Olonne)-.")</f>
        <v>07h25 85100 Les Sables d'Olonne (les Sables d'Olonne)-.</v>
      </c>
    </row>
    <row r="50" spans="1:12" ht="15.75" customHeight="1" x14ac:dyDescent="0.2">
      <c r="A50" s="91" t="s">
        <v>187</v>
      </c>
      <c r="B50" s="88">
        <v>0</v>
      </c>
      <c r="C50" s="88">
        <v>1</v>
      </c>
      <c r="H50" s="88" t="e">
        <f t="shared" ca="1" si="0"/>
        <v>#REF!</v>
      </c>
      <c r="I50" s="88" t="e">
        <f t="shared" ca="1" si="1"/>
        <v>#REF!</v>
      </c>
      <c r="J50" s="88" t="str">
        <f ca="1">IFERROR(__xludf.DUMMYFUNCTION("""COMPUTED_VALUE"""),"")</f>
        <v/>
      </c>
      <c r="K50" s="88" t="str">
        <f ca="1">IFERROR(__xludf.DUMMYFUNCTION("""COMPUTED_VALUE"""),"")</f>
        <v/>
      </c>
      <c r="L50" s="91" t="str">
        <f ca="1">IFERROR(__xludf.DUMMYFUNCTION("""COMPUTED_VALUE"""),"07h25 85100 Les Sables d'Olonne (les Sables d'Olonne)")</f>
        <v>07h25 85100 Les Sables d'Olonne (les Sables d'Olonne)</v>
      </c>
    </row>
    <row r="51" spans="1:12" ht="15.75" customHeight="1" x14ac:dyDescent="0.2">
      <c r="A51" s="91" t="s">
        <v>9</v>
      </c>
      <c r="B51" s="88">
        <v>0</v>
      </c>
      <c r="C51" s="88">
        <v>1</v>
      </c>
      <c r="H51" s="88" t="e">
        <f t="shared" ca="1" si="0"/>
        <v>#REF!</v>
      </c>
      <c r="I51" s="88" t="e">
        <f t="shared" ca="1" si="1"/>
        <v>#REF!</v>
      </c>
      <c r="J51" s="88" t="str">
        <f ca="1">IFERROR(__xludf.DUMMYFUNCTION("""COMPUTED_VALUE"""),"")</f>
        <v/>
      </c>
      <c r="K51" s="88" t="str">
        <f ca="1">IFERROR(__xludf.DUMMYFUNCTION("""COMPUTED_VALUE"""),"")</f>
        <v/>
      </c>
      <c r="L51" s="91" t="str">
        <f ca="1">IFERROR(__xludf.DUMMYFUNCTION("""COMPUTED_VALUE"""),"07h25 85100 Les Sables d'Olonne ( la Chaume)")</f>
        <v>07h25 85100 Les Sables d'Olonne ( la Chaume)</v>
      </c>
    </row>
    <row r="52" spans="1:12" ht="15.75" customHeight="1" x14ac:dyDescent="0.2">
      <c r="A52" s="91" t="s">
        <v>76</v>
      </c>
      <c r="B52" s="88">
        <v>0</v>
      </c>
      <c r="C52" s="88">
        <v>1</v>
      </c>
      <c r="H52" s="88" t="e">
        <f t="shared" ca="1" si="0"/>
        <v>#REF!</v>
      </c>
      <c r="I52" s="88" t="e">
        <f t="shared" ca="1" si="1"/>
        <v>#REF!</v>
      </c>
      <c r="J52" s="88" t="str">
        <f ca="1">IFERROR(__xludf.DUMMYFUNCTION("""COMPUTED_VALUE"""),"")</f>
        <v/>
      </c>
      <c r="K52" s="88" t="str">
        <f ca="1">IFERROR(__xludf.DUMMYFUNCTION("""COMPUTED_VALUE"""),"")</f>
        <v/>
      </c>
      <c r="L52" s="91" t="str">
        <f ca="1">IFERROR(__xludf.DUMMYFUNCTION("""COMPUTED_VALUE"""),"07h25 85340 Les Sables d'Olonne (Olonne sur Mer)-.")</f>
        <v>07h25 85340 Les Sables d'Olonne (Olonne sur Mer)-.</v>
      </c>
    </row>
    <row r="53" spans="1:12" ht="15.75" customHeight="1" x14ac:dyDescent="0.2">
      <c r="A53" s="91" t="s">
        <v>139</v>
      </c>
      <c r="B53" s="88">
        <v>0</v>
      </c>
      <c r="C53" s="88">
        <v>1</v>
      </c>
      <c r="H53" s="88" t="e">
        <f t="shared" ca="1" si="0"/>
        <v>#REF!</v>
      </c>
      <c r="I53" s="88" t="e">
        <f t="shared" ca="1" si="1"/>
        <v>#REF!</v>
      </c>
      <c r="J53" s="88" t="str">
        <f ca="1">IFERROR(__xludf.DUMMYFUNCTION("""COMPUTED_VALUE"""),"")</f>
        <v/>
      </c>
      <c r="K53" s="88" t="str">
        <f ca="1">IFERROR(__xludf.DUMMYFUNCTION("""COMPUTED_VALUE"""),"")</f>
        <v/>
      </c>
      <c r="L53" s="91" t="str">
        <f ca="1">IFERROR(__xludf.DUMMYFUNCTION("""COMPUTED_VALUE"""),"07h25 85340 Les Sables d'Olonne (Olonne sur Mer)")</f>
        <v>07h25 85340 Les Sables d'Olonne (Olonne sur Mer)</v>
      </c>
    </row>
    <row r="54" spans="1:12" ht="15.75" customHeight="1" x14ac:dyDescent="0.2">
      <c r="A54" s="91" t="s">
        <v>188</v>
      </c>
      <c r="B54" s="88">
        <v>0</v>
      </c>
      <c r="C54" s="88">
        <v>1</v>
      </c>
      <c r="H54" s="88" t="e">
        <f t="shared" ca="1" si="0"/>
        <v>#REF!</v>
      </c>
      <c r="I54" s="88" t="e">
        <f t="shared" ca="1" si="1"/>
        <v>#REF!</v>
      </c>
      <c r="J54" s="88" t="str">
        <f ca="1">IFERROR(__xludf.DUMMYFUNCTION("""COMPUTED_VALUE"""),"")</f>
        <v/>
      </c>
      <c r="K54" s="88" t="str">
        <f ca="1">IFERROR(__xludf.DUMMYFUNCTION("""COMPUTED_VALUE"""),"")</f>
        <v/>
      </c>
      <c r="L54" s="91" t="str">
        <f ca="1">IFERROR(__xludf.DUMMYFUNCTION("""COMPUTED_VALUE"""),"07h25 85180 Les Sables d'Olonne (le Château d'Olonne)-.")</f>
        <v>07h25 85180 Les Sables d'Olonne (le Château d'Olonne)-.</v>
      </c>
    </row>
    <row r="55" spans="1:12" ht="15.75" customHeight="1" x14ac:dyDescent="0.2">
      <c r="A55" s="91" t="s">
        <v>189</v>
      </c>
      <c r="B55" s="88">
        <v>0</v>
      </c>
      <c r="C55" s="88">
        <v>1</v>
      </c>
      <c r="H55" s="88" t="e">
        <f t="shared" ca="1" si="0"/>
        <v>#REF!</v>
      </c>
      <c r="I55" s="88" t="e">
        <f t="shared" ca="1" si="1"/>
        <v>#REF!</v>
      </c>
      <c r="J55" s="88" t="str">
        <f ca="1">IFERROR(__xludf.DUMMYFUNCTION("""COMPUTED_VALUE"""),"")</f>
        <v/>
      </c>
      <c r="K55" s="88" t="str">
        <f ca="1">IFERROR(__xludf.DUMMYFUNCTION("""COMPUTED_VALUE"""),"")</f>
        <v/>
      </c>
      <c r="L55" s="91" t="str">
        <f ca="1">IFERROR(__xludf.DUMMYFUNCTION("""COMPUTED_VALUE"""),"07h25 85180 Les Sables d'Olonne (le Château d'Olonne)")</f>
        <v>07h25 85180 Les Sables d'Olonne (le Château d'Olonne)</v>
      </c>
    </row>
    <row r="56" spans="1:12" ht="15.75" customHeight="1" x14ac:dyDescent="0.2">
      <c r="A56" s="91" t="s">
        <v>190</v>
      </c>
      <c r="B56" s="88">
        <v>0</v>
      </c>
      <c r="C56" s="88">
        <v>1</v>
      </c>
      <c r="H56" s="88" t="e">
        <f t="shared" ca="1" si="0"/>
        <v>#REF!</v>
      </c>
      <c r="I56" s="88" t="e">
        <f t="shared" ca="1" si="1"/>
        <v>#REF!</v>
      </c>
      <c r="J56" s="88" t="str">
        <f ca="1">IFERROR(__xludf.DUMMYFUNCTION("""COMPUTED_VALUE"""),"")</f>
        <v/>
      </c>
      <c r="K56" s="88" t="str">
        <f ca="1">IFERROR(__xludf.DUMMYFUNCTION("""COMPUTED_VALUE"""),"")</f>
        <v/>
      </c>
      <c r="L56" s="91" t="str">
        <f ca="1">IFERROR(__xludf.DUMMYFUNCTION("""COMPUTED_VALUE"""),"07h25 85340 l'Île d'Olonne")</f>
        <v>07h25 85340 l'Île d'Olonne</v>
      </c>
    </row>
    <row r="57" spans="1:12" ht="15.75" customHeight="1" x14ac:dyDescent="0.2">
      <c r="A57" s="91" t="s">
        <v>191</v>
      </c>
      <c r="B57" s="88">
        <v>0</v>
      </c>
      <c r="C57" s="88">
        <v>1</v>
      </c>
      <c r="H57" s="88" t="e">
        <f t="shared" ca="1" si="0"/>
        <v>#REF!</v>
      </c>
      <c r="I57" s="88" t="e">
        <f t="shared" ca="1" si="1"/>
        <v>#REF!</v>
      </c>
      <c r="J57" s="88" t="str">
        <f ca="1">IFERROR(__xludf.DUMMYFUNCTION("""COMPUTED_VALUE"""),"")</f>
        <v/>
      </c>
      <c r="K57" s="88" t="str">
        <f ca="1">IFERROR(__xludf.DUMMYFUNCTION("""COMPUTED_VALUE"""),"")</f>
        <v/>
      </c>
      <c r="L57" s="91" t="str">
        <f ca="1">IFERROR(__xludf.DUMMYFUNCTION("""COMPUTED_VALUE"""),"07h30 85100 Les Sables d'Olonne (les Sables d'Olonne)-.")</f>
        <v>07h30 85100 Les Sables d'Olonne (les Sables d'Olonne)-.</v>
      </c>
    </row>
    <row r="58" spans="1:12" ht="15.75" customHeight="1" x14ac:dyDescent="0.2">
      <c r="A58" s="91" t="s">
        <v>21</v>
      </c>
      <c r="B58" s="88">
        <v>0</v>
      </c>
      <c r="C58" s="88">
        <v>1</v>
      </c>
      <c r="H58" s="88" t="e">
        <f t="shared" ca="1" si="0"/>
        <v>#REF!</v>
      </c>
      <c r="I58" s="88" t="e">
        <f t="shared" ca="1" si="1"/>
        <v>#REF!</v>
      </c>
      <c r="J58" s="88" t="str">
        <f ca="1">IFERROR(__xludf.DUMMYFUNCTION("""COMPUTED_VALUE"""),"")</f>
        <v/>
      </c>
      <c r="K58" s="88" t="str">
        <f ca="1">IFERROR(__xludf.DUMMYFUNCTION("""COMPUTED_VALUE"""),"")</f>
        <v/>
      </c>
      <c r="L58" s="91" t="str">
        <f ca="1">IFERROR(__xludf.DUMMYFUNCTION("""COMPUTED_VALUE"""),"07h30 85100 Les Sables d'Olonne (les Sables d'Olonne)")</f>
        <v>07h30 85100 Les Sables d'Olonne (les Sables d'Olonne)</v>
      </c>
    </row>
    <row r="59" spans="1:12" ht="15.75" customHeight="1" x14ac:dyDescent="0.2">
      <c r="A59" s="91" t="s">
        <v>192</v>
      </c>
      <c r="B59" s="88">
        <v>0</v>
      </c>
      <c r="C59" s="88">
        <v>1</v>
      </c>
      <c r="H59" s="88" t="e">
        <f t="shared" ca="1" si="0"/>
        <v>#REF!</v>
      </c>
      <c r="I59" s="88" t="e">
        <f t="shared" ca="1" si="1"/>
        <v>#REF!</v>
      </c>
      <c r="J59" s="88" t="str">
        <f ca="1">IFERROR(__xludf.DUMMYFUNCTION("""COMPUTED_VALUE"""),"")</f>
        <v/>
      </c>
      <c r="K59" s="88" t="str">
        <f ca="1">IFERROR(__xludf.DUMMYFUNCTION("""COMPUTED_VALUE"""),"")</f>
        <v/>
      </c>
      <c r="L59" s="91" t="str">
        <f ca="1">IFERROR(__xludf.DUMMYFUNCTION("""COMPUTED_VALUE"""),"07h30 85100 Les Sables d'Olonne ( la Chaume)")</f>
        <v>07h30 85100 Les Sables d'Olonne ( la Chaume)</v>
      </c>
    </row>
    <row r="60" spans="1:12" ht="15.75" customHeight="1" x14ac:dyDescent="0.2">
      <c r="A60" s="91" t="s">
        <v>193</v>
      </c>
      <c r="B60" s="88">
        <v>0</v>
      </c>
      <c r="C60" s="88">
        <v>1</v>
      </c>
      <c r="H60" s="88" t="e">
        <f t="shared" ca="1" si="0"/>
        <v>#REF!</v>
      </c>
      <c r="I60" s="88" t="e">
        <f t="shared" ca="1" si="1"/>
        <v>#REF!</v>
      </c>
      <c r="J60" s="88" t="str">
        <f ca="1">IFERROR(__xludf.DUMMYFUNCTION("""COMPUTED_VALUE"""),"")</f>
        <v/>
      </c>
      <c r="K60" s="88" t="str">
        <f ca="1">IFERROR(__xludf.DUMMYFUNCTION("""COMPUTED_VALUE"""),"")</f>
        <v/>
      </c>
      <c r="L60" s="91" t="str">
        <f ca="1">IFERROR(__xludf.DUMMYFUNCTION("""COMPUTED_VALUE"""),"07h30 85340 Les Sables d'Olonne (Olonne sur Mer)-.")</f>
        <v>07h30 85340 Les Sables d'Olonne (Olonne sur Mer)-.</v>
      </c>
    </row>
    <row r="61" spans="1:12" ht="15.75" customHeight="1" x14ac:dyDescent="0.2">
      <c r="A61" s="91" t="s">
        <v>194</v>
      </c>
      <c r="B61" s="88">
        <v>0</v>
      </c>
      <c r="C61" s="88">
        <v>1</v>
      </c>
      <c r="H61" s="88" t="e">
        <f t="shared" ca="1" si="0"/>
        <v>#REF!</v>
      </c>
      <c r="I61" s="88" t="e">
        <f t="shared" ca="1" si="1"/>
        <v>#REF!</v>
      </c>
      <c r="J61" s="88" t="str">
        <f ca="1">IFERROR(__xludf.DUMMYFUNCTION("""COMPUTED_VALUE"""),"")</f>
        <v/>
      </c>
      <c r="K61" s="88" t="str">
        <f ca="1">IFERROR(__xludf.DUMMYFUNCTION("""COMPUTED_VALUE"""),"")</f>
        <v/>
      </c>
      <c r="L61" s="91" t="str">
        <f ca="1">IFERROR(__xludf.DUMMYFUNCTION("""COMPUTED_VALUE"""),"07h30 85340 Les Sables d'Olonne (Olonne sur Mer)")</f>
        <v>07h30 85340 Les Sables d'Olonne (Olonne sur Mer)</v>
      </c>
    </row>
    <row r="62" spans="1:12" ht="15.75" customHeight="1" x14ac:dyDescent="0.2">
      <c r="A62" s="91" t="s">
        <v>41</v>
      </c>
      <c r="B62" s="88">
        <v>0</v>
      </c>
      <c r="C62" s="88">
        <v>1</v>
      </c>
      <c r="H62" s="88" t="e">
        <f t="shared" ca="1" si="0"/>
        <v>#REF!</v>
      </c>
      <c r="I62" s="88" t="e">
        <f t="shared" ca="1" si="1"/>
        <v>#REF!</v>
      </c>
      <c r="J62" s="88" t="str">
        <f ca="1">IFERROR(__xludf.DUMMYFUNCTION("""COMPUTED_VALUE"""),"")</f>
        <v/>
      </c>
      <c r="K62" s="88" t="str">
        <f ca="1">IFERROR(__xludf.DUMMYFUNCTION("""COMPUTED_VALUE"""),"")</f>
        <v/>
      </c>
      <c r="L62" s="91" t="str">
        <f ca="1">IFERROR(__xludf.DUMMYFUNCTION("""COMPUTED_VALUE"""),"07h30 85180 Les Sables d'Olonne (le Château d'Olonne)-.")</f>
        <v>07h30 85180 Les Sables d'Olonne (le Château d'Olonne)-.</v>
      </c>
    </row>
    <row r="63" spans="1:12" ht="15.75" customHeight="1" x14ac:dyDescent="0.2">
      <c r="A63" s="91" t="s">
        <v>195</v>
      </c>
      <c r="B63" s="88">
        <v>0</v>
      </c>
      <c r="C63" s="88">
        <v>1</v>
      </c>
      <c r="H63" s="88" t="e">
        <f t="shared" ca="1" si="0"/>
        <v>#REF!</v>
      </c>
      <c r="I63" s="88" t="e">
        <f t="shared" ca="1" si="1"/>
        <v>#REF!</v>
      </c>
      <c r="J63" s="88" t="str">
        <f ca="1">IFERROR(__xludf.DUMMYFUNCTION("""COMPUTED_VALUE"""),"")</f>
        <v/>
      </c>
      <c r="K63" s="88" t="str">
        <f ca="1">IFERROR(__xludf.DUMMYFUNCTION("""COMPUTED_VALUE"""),"")</f>
        <v/>
      </c>
      <c r="L63" s="91" t="str">
        <f ca="1">IFERROR(__xludf.DUMMYFUNCTION("""COMPUTED_VALUE"""),"07h30 85180 Les Sables d'Olonne (le Château d'Olonne)")</f>
        <v>07h30 85180 Les Sables d'Olonne (le Château d'Olonne)</v>
      </c>
    </row>
    <row r="64" spans="1:12" ht="15.75" customHeight="1" x14ac:dyDescent="0.2">
      <c r="A64" s="91" t="s">
        <v>128</v>
      </c>
      <c r="B64" s="88">
        <v>0</v>
      </c>
      <c r="C64" s="88">
        <v>1</v>
      </c>
      <c r="H64" s="88" t="e">
        <f t="shared" ca="1" si="0"/>
        <v>#REF!</v>
      </c>
      <c r="I64" s="88" t="e">
        <f t="shared" ca="1" si="1"/>
        <v>#REF!</v>
      </c>
      <c r="J64" s="88" t="str">
        <f ca="1">IFERROR(__xludf.DUMMYFUNCTION("""COMPUTED_VALUE"""),"")</f>
        <v/>
      </c>
      <c r="K64" s="88" t="str">
        <f ca="1">IFERROR(__xludf.DUMMYFUNCTION("""COMPUTED_VALUE"""),"")</f>
        <v/>
      </c>
      <c r="L64" s="91" t="str">
        <f ca="1">IFERROR(__xludf.DUMMYFUNCTION("""COMPUTED_VALUE"""),"07h30 85340 l'Île d'Olonne")</f>
        <v>07h30 85340 l'Île d'Olonne</v>
      </c>
    </row>
    <row r="65" spans="1:12" ht="15.75" customHeight="1" x14ac:dyDescent="0.2">
      <c r="A65" s="91" t="s">
        <v>196</v>
      </c>
      <c r="B65" s="88">
        <v>0</v>
      </c>
      <c r="C65" s="88">
        <v>1</v>
      </c>
      <c r="H65" s="88" t="e">
        <f t="shared" ca="1" si="0"/>
        <v>#REF!</v>
      </c>
      <c r="I65" s="88" t="e">
        <f t="shared" ca="1" si="1"/>
        <v>#REF!</v>
      </c>
      <c r="J65" s="88" t="str">
        <f ca="1">IFERROR(__xludf.DUMMYFUNCTION("""COMPUTED_VALUE"""),"")</f>
        <v/>
      </c>
      <c r="K65" s="88" t="str">
        <f ca="1">IFERROR(__xludf.DUMMYFUNCTION("""COMPUTED_VALUE"""),"")</f>
        <v/>
      </c>
      <c r="L65" s="91" t="str">
        <f ca="1">IFERROR(__xludf.DUMMYFUNCTION("""COMPUTED_VALUE"""),"07h35 85100 Les Sables d'Olonne (les Sables d'Olonne)-.")</f>
        <v>07h35 85100 Les Sables d'Olonne (les Sables d'Olonne)-.</v>
      </c>
    </row>
    <row r="66" spans="1:12" ht="15.75" customHeight="1" x14ac:dyDescent="0.2">
      <c r="A66" s="91" t="s">
        <v>197</v>
      </c>
      <c r="B66" s="88">
        <v>0</v>
      </c>
      <c r="C66" s="88">
        <v>1</v>
      </c>
      <c r="H66" s="88" t="e">
        <f t="shared" ca="1" si="0"/>
        <v>#REF!</v>
      </c>
      <c r="I66" s="88" t="e">
        <f t="shared" ca="1" si="1"/>
        <v>#REF!</v>
      </c>
      <c r="J66" s="88" t="str">
        <f ca="1">IFERROR(__xludf.DUMMYFUNCTION("""COMPUTED_VALUE"""),"")</f>
        <v/>
      </c>
      <c r="K66" s="88" t="str">
        <f ca="1">IFERROR(__xludf.DUMMYFUNCTION("""COMPUTED_VALUE"""),"")</f>
        <v/>
      </c>
      <c r="L66" s="91" t="str">
        <f ca="1">IFERROR(__xludf.DUMMYFUNCTION("""COMPUTED_VALUE"""),"07h35 85100 Les Sables d'Olonne (les Sables d'Olonne)")</f>
        <v>07h35 85100 Les Sables d'Olonne (les Sables d'Olonne)</v>
      </c>
    </row>
    <row r="67" spans="1:12" ht="15.75" customHeight="1" x14ac:dyDescent="0.2">
      <c r="A67" s="91" t="s">
        <v>198</v>
      </c>
      <c r="B67" s="88">
        <v>0</v>
      </c>
      <c r="C67" s="88">
        <v>1</v>
      </c>
      <c r="H67" s="88" t="e">
        <f t="shared" ca="1" si="0"/>
        <v>#REF!</v>
      </c>
      <c r="I67" s="88" t="e">
        <f t="shared" ca="1" si="1"/>
        <v>#REF!</v>
      </c>
      <c r="J67" s="88" t="str">
        <f ca="1">IFERROR(__xludf.DUMMYFUNCTION("""COMPUTED_VALUE"""),"")</f>
        <v/>
      </c>
      <c r="K67" s="88" t="str">
        <f ca="1">IFERROR(__xludf.DUMMYFUNCTION("""COMPUTED_VALUE"""),"")</f>
        <v/>
      </c>
      <c r="L67" s="91" t="str">
        <f ca="1">IFERROR(__xludf.DUMMYFUNCTION("""COMPUTED_VALUE"""),"07h35 85100 Les Sables d'Olonne ( la Chaume)")</f>
        <v>07h35 85100 Les Sables d'Olonne ( la Chaume)</v>
      </c>
    </row>
    <row r="68" spans="1:12" ht="15.75" customHeight="1" x14ac:dyDescent="0.2">
      <c r="A68" s="91" t="s">
        <v>199</v>
      </c>
      <c r="B68" s="88">
        <v>0</v>
      </c>
      <c r="C68" s="88">
        <v>1</v>
      </c>
      <c r="H68" s="88" t="e">
        <f t="shared" ca="1" si="0"/>
        <v>#REF!</v>
      </c>
      <c r="I68" s="88" t="e">
        <f t="shared" ca="1" si="1"/>
        <v>#REF!</v>
      </c>
      <c r="J68" s="88" t="str">
        <f ca="1">IFERROR(__xludf.DUMMYFUNCTION("""COMPUTED_VALUE"""),"")</f>
        <v/>
      </c>
      <c r="K68" s="88" t="str">
        <f ca="1">IFERROR(__xludf.DUMMYFUNCTION("""COMPUTED_VALUE"""),"")</f>
        <v/>
      </c>
      <c r="L68" s="91" t="str">
        <f ca="1">IFERROR(__xludf.DUMMYFUNCTION("""COMPUTED_VALUE"""),"07h35 85340 Les Sables d'Olonne (Olonne sur Mer)-.")</f>
        <v>07h35 85340 Les Sables d'Olonne (Olonne sur Mer)-.</v>
      </c>
    </row>
    <row r="69" spans="1:12" ht="15.75" customHeight="1" x14ac:dyDescent="0.2">
      <c r="A69" s="91" t="s">
        <v>77</v>
      </c>
      <c r="B69" s="88">
        <v>0</v>
      </c>
      <c r="C69" s="88">
        <v>1</v>
      </c>
      <c r="H69" s="88" t="e">
        <f t="shared" ca="1" si="0"/>
        <v>#REF!</v>
      </c>
      <c r="I69" s="88" t="e">
        <f t="shared" ca="1" si="1"/>
        <v>#REF!</v>
      </c>
      <c r="J69" s="88" t="str">
        <f ca="1">IFERROR(__xludf.DUMMYFUNCTION("""COMPUTED_VALUE"""),"")</f>
        <v/>
      </c>
      <c r="K69" s="88" t="str">
        <f ca="1">IFERROR(__xludf.DUMMYFUNCTION("""COMPUTED_VALUE"""),"")</f>
        <v/>
      </c>
      <c r="L69" s="91" t="str">
        <f ca="1">IFERROR(__xludf.DUMMYFUNCTION("""COMPUTED_VALUE"""),"07h35 85340 Les Sables d'Olonne (Olonne sur Mer)")</f>
        <v>07h35 85340 Les Sables d'Olonne (Olonne sur Mer)</v>
      </c>
    </row>
    <row r="70" spans="1:12" ht="15.75" customHeight="1" x14ac:dyDescent="0.2">
      <c r="A70" s="91" t="s">
        <v>200</v>
      </c>
      <c r="B70" s="88">
        <v>0</v>
      </c>
      <c r="C70" s="88">
        <v>1</v>
      </c>
      <c r="H70" s="88" t="e">
        <f t="shared" ca="1" si="0"/>
        <v>#REF!</v>
      </c>
      <c r="I70" s="88" t="e">
        <f t="shared" ca="1" si="1"/>
        <v>#REF!</v>
      </c>
      <c r="J70" s="88" t="str">
        <f ca="1">IFERROR(__xludf.DUMMYFUNCTION("""COMPUTED_VALUE"""),"")</f>
        <v/>
      </c>
      <c r="K70" s="88" t="str">
        <f ca="1">IFERROR(__xludf.DUMMYFUNCTION("""COMPUTED_VALUE"""),"")</f>
        <v/>
      </c>
      <c r="L70" s="91" t="str">
        <f ca="1">IFERROR(__xludf.DUMMYFUNCTION("""COMPUTED_VALUE"""),"07h35 85180 Les Sables d'Olonne (le Château d'Olonne)-.")</f>
        <v>07h35 85180 Les Sables d'Olonne (le Château d'Olonne)-.</v>
      </c>
    </row>
    <row r="71" spans="1:12" ht="15.75" customHeight="1" x14ac:dyDescent="0.2">
      <c r="A71" s="91" t="s">
        <v>201</v>
      </c>
      <c r="B71" s="88">
        <v>0</v>
      </c>
      <c r="C71" s="88">
        <v>1</v>
      </c>
      <c r="H71" s="88" t="e">
        <f t="shared" ca="1" si="0"/>
        <v>#REF!</v>
      </c>
      <c r="I71" s="88" t="e">
        <f t="shared" ca="1" si="1"/>
        <v>#REF!</v>
      </c>
      <c r="J71" s="88" t="str">
        <f ca="1">IFERROR(__xludf.DUMMYFUNCTION("""COMPUTED_VALUE"""),"")</f>
        <v/>
      </c>
      <c r="K71" s="88" t="str">
        <f ca="1">IFERROR(__xludf.DUMMYFUNCTION("""COMPUTED_VALUE"""),"")</f>
        <v/>
      </c>
      <c r="L71" s="91" t="str">
        <f ca="1">IFERROR(__xludf.DUMMYFUNCTION("""COMPUTED_VALUE"""),"07h35 85180 Les Sables d'Olonne (le Château d'Olonne)")</f>
        <v>07h35 85180 Les Sables d'Olonne (le Château d'Olonne)</v>
      </c>
    </row>
    <row r="72" spans="1:12" ht="15.75" customHeight="1" x14ac:dyDescent="0.2">
      <c r="A72" s="91" t="s">
        <v>202</v>
      </c>
      <c r="B72" s="88">
        <v>0</v>
      </c>
      <c r="C72" s="88">
        <v>1</v>
      </c>
      <c r="H72" s="88" t="e">
        <f t="shared" ca="1" si="0"/>
        <v>#REF!</v>
      </c>
      <c r="I72" s="88" t="e">
        <f t="shared" ca="1" si="1"/>
        <v>#REF!</v>
      </c>
      <c r="J72" s="88" t="str">
        <f ca="1">IFERROR(__xludf.DUMMYFUNCTION("""COMPUTED_VALUE"""),"")</f>
        <v/>
      </c>
      <c r="K72" s="88" t="str">
        <f ca="1">IFERROR(__xludf.DUMMYFUNCTION("""COMPUTED_VALUE"""),"")</f>
        <v/>
      </c>
      <c r="L72" s="91" t="str">
        <f ca="1">IFERROR(__xludf.DUMMYFUNCTION("""COMPUTED_VALUE"""),"07h35 85340 l'Île d'Olonne")</f>
        <v>07h35 85340 l'Île d'Olonne</v>
      </c>
    </row>
    <row r="73" spans="1:12" ht="15.75" customHeight="1" x14ac:dyDescent="0.2">
      <c r="A73" s="91" t="s">
        <v>203</v>
      </c>
      <c r="B73" s="88">
        <v>0</v>
      </c>
      <c r="C73" s="88">
        <v>1</v>
      </c>
      <c r="H73" s="88" t="e">
        <f t="shared" ca="1" si="0"/>
        <v>#REF!</v>
      </c>
      <c r="I73" s="88" t="e">
        <f t="shared" ca="1" si="1"/>
        <v>#REF!</v>
      </c>
      <c r="J73" s="88" t="str">
        <f ca="1">IFERROR(__xludf.DUMMYFUNCTION("""COMPUTED_VALUE"""),"")</f>
        <v/>
      </c>
      <c r="K73" s="88" t="str">
        <f ca="1">IFERROR(__xludf.DUMMYFUNCTION("""COMPUTED_VALUE"""),"")</f>
        <v/>
      </c>
      <c r="L73" s="91" t="str">
        <f ca="1">IFERROR(__xludf.DUMMYFUNCTION("""COMPUTED_VALUE"""),"07h40 85100 Les Sables d'Olonne (les Sables d'Olonne)-.")</f>
        <v>07h40 85100 Les Sables d'Olonne (les Sables d'Olonne)-.</v>
      </c>
    </row>
    <row r="74" spans="1:12" ht="15.75" customHeight="1" x14ac:dyDescent="0.2">
      <c r="A74" s="91" t="s">
        <v>204</v>
      </c>
      <c r="B74" s="88">
        <v>0</v>
      </c>
      <c r="C74" s="88">
        <v>1</v>
      </c>
      <c r="H74" s="88" t="e">
        <f t="shared" ca="1" si="0"/>
        <v>#REF!</v>
      </c>
      <c r="I74" s="88" t="e">
        <f t="shared" ca="1" si="1"/>
        <v>#REF!</v>
      </c>
      <c r="J74" s="88" t="str">
        <f ca="1">IFERROR(__xludf.DUMMYFUNCTION("""COMPUTED_VALUE"""),"")</f>
        <v/>
      </c>
      <c r="K74" s="88" t="str">
        <f ca="1">IFERROR(__xludf.DUMMYFUNCTION("""COMPUTED_VALUE"""),"")</f>
        <v/>
      </c>
      <c r="L74" s="91" t="str">
        <f ca="1">IFERROR(__xludf.DUMMYFUNCTION("""COMPUTED_VALUE"""),"07h40 85100 Les Sables d'Olonne (les Sables d'Olonne)")</f>
        <v>07h40 85100 Les Sables d'Olonne (les Sables d'Olonne)</v>
      </c>
    </row>
    <row r="75" spans="1:12" ht="15.75" customHeight="1" x14ac:dyDescent="0.2">
      <c r="A75" s="91" t="s">
        <v>205</v>
      </c>
      <c r="B75" s="88">
        <v>0</v>
      </c>
      <c r="C75" s="88">
        <v>1</v>
      </c>
      <c r="H75" s="88" t="e">
        <f t="shared" ca="1" si="0"/>
        <v>#REF!</v>
      </c>
      <c r="I75" s="88" t="e">
        <f t="shared" ca="1" si="1"/>
        <v>#REF!</v>
      </c>
      <c r="J75" s="88" t="str">
        <f ca="1">IFERROR(__xludf.DUMMYFUNCTION("""COMPUTED_VALUE"""),"")</f>
        <v/>
      </c>
      <c r="K75" s="88" t="str">
        <f ca="1">IFERROR(__xludf.DUMMYFUNCTION("""COMPUTED_VALUE"""),"")</f>
        <v/>
      </c>
      <c r="L75" s="91" t="str">
        <f ca="1">IFERROR(__xludf.DUMMYFUNCTION("""COMPUTED_VALUE"""),"07h40 85100 Les Sables d'Olonne ( la Chaume)")</f>
        <v>07h40 85100 Les Sables d'Olonne ( la Chaume)</v>
      </c>
    </row>
    <row r="76" spans="1:12" ht="15.75" customHeight="1" x14ac:dyDescent="0.2">
      <c r="A76" s="91" t="s">
        <v>206</v>
      </c>
      <c r="B76" s="88">
        <v>0</v>
      </c>
      <c r="C76" s="88">
        <v>1</v>
      </c>
      <c r="H76" s="88" t="e">
        <f t="shared" ca="1" si="0"/>
        <v>#REF!</v>
      </c>
      <c r="I76" s="88" t="e">
        <f t="shared" ca="1" si="1"/>
        <v>#REF!</v>
      </c>
      <c r="J76" s="88" t="str">
        <f ca="1">IFERROR(__xludf.DUMMYFUNCTION("""COMPUTED_VALUE"""),"")</f>
        <v/>
      </c>
      <c r="K76" s="88" t="str">
        <f ca="1">IFERROR(__xludf.DUMMYFUNCTION("""COMPUTED_VALUE"""),"")</f>
        <v/>
      </c>
      <c r="L76" s="91" t="str">
        <f ca="1">IFERROR(__xludf.DUMMYFUNCTION("""COMPUTED_VALUE"""),"07h40 85340 Les Sables d'Olonne (Olonne sur Mer)-.")</f>
        <v>07h40 85340 Les Sables d'Olonne (Olonne sur Mer)-.</v>
      </c>
    </row>
    <row r="77" spans="1:12" ht="15.75" customHeight="1" x14ac:dyDescent="0.2">
      <c r="A77" s="91" t="s">
        <v>207</v>
      </c>
      <c r="B77" s="88">
        <v>0</v>
      </c>
      <c r="C77" s="88">
        <v>1</v>
      </c>
      <c r="H77" s="88" t="e">
        <f t="shared" ca="1" si="0"/>
        <v>#REF!</v>
      </c>
      <c r="I77" s="88" t="e">
        <f t="shared" ca="1" si="1"/>
        <v>#REF!</v>
      </c>
      <c r="J77" s="88" t="str">
        <f ca="1">IFERROR(__xludf.DUMMYFUNCTION("""COMPUTED_VALUE"""),"")</f>
        <v/>
      </c>
      <c r="K77" s="88" t="str">
        <f ca="1">IFERROR(__xludf.DUMMYFUNCTION("""COMPUTED_VALUE"""),"")</f>
        <v/>
      </c>
      <c r="L77" s="91" t="str">
        <f ca="1">IFERROR(__xludf.DUMMYFUNCTION("""COMPUTED_VALUE"""),"07h40 85340 Les Sables d'Olonne (Olonne sur Mer)")</f>
        <v>07h40 85340 Les Sables d'Olonne (Olonne sur Mer)</v>
      </c>
    </row>
    <row r="78" spans="1:12" ht="15.75" customHeight="1" x14ac:dyDescent="0.2">
      <c r="A78" s="91" t="s">
        <v>208</v>
      </c>
      <c r="B78" s="88">
        <v>0</v>
      </c>
      <c r="C78" s="88">
        <v>1</v>
      </c>
      <c r="H78" s="88" t="e">
        <f t="shared" ca="1" si="0"/>
        <v>#REF!</v>
      </c>
      <c r="I78" s="88" t="e">
        <f t="shared" ca="1" si="1"/>
        <v>#REF!</v>
      </c>
      <c r="J78" s="88" t="str">
        <f ca="1">IFERROR(__xludf.DUMMYFUNCTION("""COMPUTED_VALUE"""),"")</f>
        <v/>
      </c>
      <c r="K78" s="88" t="str">
        <f ca="1">IFERROR(__xludf.DUMMYFUNCTION("""COMPUTED_VALUE"""),"")</f>
        <v/>
      </c>
      <c r="L78" s="91" t="str">
        <f ca="1">IFERROR(__xludf.DUMMYFUNCTION("""COMPUTED_VALUE"""),"07h40 85180 Les Sables d'Olonne (le Château d'Olonne)-.")</f>
        <v>07h40 85180 Les Sables d'Olonne (le Château d'Olonne)-.</v>
      </c>
    </row>
    <row r="79" spans="1:12" ht="15.75" customHeight="1" x14ac:dyDescent="0.2">
      <c r="A79" s="91" t="s">
        <v>209</v>
      </c>
      <c r="B79" s="88">
        <v>0</v>
      </c>
      <c r="C79" s="88">
        <v>1</v>
      </c>
      <c r="H79" s="88" t="e">
        <f t="shared" ca="1" si="0"/>
        <v>#REF!</v>
      </c>
      <c r="I79" s="88" t="e">
        <f t="shared" ca="1" si="1"/>
        <v>#REF!</v>
      </c>
      <c r="J79" s="88" t="str">
        <f ca="1">IFERROR(__xludf.DUMMYFUNCTION("""COMPUTED_VALUE"""),"")</f>
        <v/>
      </c>
      <c r="K79" s="88" t="str">
        <f ca="1">IFERROR(__xludf.DUMMYFUNCTION("""COMPUTED_VALUE"""),"")</f>
        <v/>
      </c>
      <c r="L79" s="91" t="str">
        <f ca="1">IFERROR(__xludf.DUMMYFUNCTION("""COMPUTED_VALUE"""),"07h40 85180 Les Sables d'Olonne (le Château d'Olonne)")</f>
        <v>07h40 85180 Les Sables d'Olonne (le Château d'Olonne)</v>
      </c>
    </row>
    <row r="80" spans="1:12" ht="15.75" customHeight="1" x14ac:dyDescent="0.2">
      <c r="A80" s="91" t="s">
        <v>210</v>
      </c>
      <c r="B80" s="88">
        <v>0</v>
      </c>
      <c r="C80" s="88">
        <v>1</v>
      </c>
      <c r="H80" s="88" t="e">
        <f t="shared" ca="1" si="0"/>
        <v>#REF!</v>
      </c>
      <c r="I80" s="88" t="e">
        <f t="shared" ca="1" si="1"/>
        <v>#REF!</v>
      </c>
      <c r="J80" s="88" t="str">
        <f ca="1">IFERROR(__xludf.DUMMYFUNCTION("""COMPUTED_VALUE"""),"")</f>
        <v/>
      </c>
      <c r="K80" s="88" t="str">
        <f ca="1">IFERROR(__xludf.DUMMYFUNCTION("""COMPUTED_VALUE"""),"")</f>
        <v/>
      </c>
      <c r="L80" s="91" t="str">
        <f ca="1">IFERROR(__xludf.DUMMYFUNCTION("""COMPUTED_VALUE"""),"07h40 85340 l'Île d'Olonne")</f>
        <v>07h40 85340 l'Île d'Olonne</v>
      </c>
    </row>
    <row r="81" spans="1:12" ht="15.75" customHeight="1" x14ac:dyDescent="0.2">
      <c r="A81" s="91" t="s">
        <v>211</v>
      </c>
      <c r="B81" s="88">
        <v>0</v>
      </c>
      <c r="C81" s="88">
        <v>1</v>
      </c>
      <c r="H81" s="88" t="e">
        <f t="shared" ca="1" si="0"/>
        <v>#REF!</v>
      </c>
      <c r="I81" s="88" t="e">
        <f t="shared" ca="1" si="1"/>
        <v>#REF!</v>
      </c>
      <c r="J81" s="88" t="str">
        <f ca="1">IFERROR(__xludf.DUMMYFUNCTION("""COMPUTED_VALUE"""),"")</f>
        <v/>
      </c>
      <c r="K81" s="88" t="str">
        <f ca="1">IFERROR(__xludf.DUMMYFUNCTION("""COMPUTED_VALUE"""),"")</f>
        <v/>
      </c>
      <c r="L81" s="91" t="str">
        <f ca="1">IFERROR(__xludf.DUMMYFUNCTION("""COMPUTED_VALUE"""),"07h45 85100 Les Sables d'Olonne (les Sables d'Olonne)-.")</f>
        <v>07h45 85100 Les Sables d'Olonne (les Sables d'Olonne)-.</v>
      </c>
    </row>
    <row r="82" spans="1:12" ht="15.75" customHeight="1" x14ac:dyDescent="0.2">
      <c r="A82" s="91" t="s">
        <v>212</v>
      </c>
      <c r="B82" s="88">
        <v>0</v>
      </c>
      <c r="C82" s="88">
        <v>1</v>
      </c>
      <c r="H82" s="88" t="e">
        <f t="shared" ca="1" si="0"/>
        <v>#REF!</v>
      </c>
      <c r="I82" s="88" t="e">
        <f t="shared" ca="1" si="1"/>
        <v>#REF!</v>
      </c>
      <c r="J82" s="88" t="str">
        <f ca="1">IFERROR(__xludf.DUMMYFUNCTION("""COMPUTED_VALUE"""),"")</f>
        <v/>
      </c>
      <c r="K82" s="88" t="str">
        <f ca="1">IFERROR(__xludf.DUMMYFUNCTION("""COMPUTED_VALUE"""),"")</f>
        <v/>
      </c>
      <c r="L82" s="91" t="str">
        <f ca="1">IFERROR(__xludf.DUMMYFUNCTION("""COMPUTED_VALUE"""),"07h45 85100 Les Sables d'Olonne (les Sables d'Olonne)")</f>
        <v>07h45 85100 Les Sables d'Olonne (les Sables d'Olonne)</v>
      </c>
    </row>
    <row r="83" spans="1:12" ht="15.75" customHeight="1" x14ac:dyDescent="0.2">
      <c r="A83" s="91" t="s">
        <v>213</v>
      </c>
      <c r="B83" s="88">
        <v>0</v>
      </c>
      <c r="C83" s="88">
        <v>1</v>
      </c>
      <c r="H83" s="88" t="e">
        <f t="shared" ca="1" si="0"/>
        <v>#REF!</v>
      </c>
      <c r="I83" s="88" t="e">
        <f t="shared" ca="1" si="1"/>
        <v>#REF!</v>
      </c>
      <c r="J83" s="88" t="str">
        <f ca="1">IFERROR(__xludf.DUMMYFUNCTION("""COMPUTED_VALUE"""),"")</f>
        <v/>
      </c>
      <c r="K83" s="88" t="str">
        <f ca="1">IFERROR(__xludf.DUMMYFUNCTION("""COMPUTED_VALUE"""),"")</f>
        <v/>
      </c>
      <c r="L83" s="91" t="str">
        <f ca="1">IFERROR(__xludf.DUMMYFUNCTION("""COMPUTED_VALUE"""),"07h45 85100 Les Sables d'Olonne ( la Chaume)")</f>
        <v>07h45 85100 Les Sables d'Olonne ( la Chaume)</v>
      </c>
    </row>
    <row r="84" spans="1:12" ht="15.75" customHeight="1" x14ac:dyDescent="0.2">
      <c r="A84" s="91" t="s">
        <v>214</v>
      </c>
      <c r="B84" s="88">
        <v>0</v>
      </c>
      <c r="C84" s="88">
        <v>1</v>
      </c>
      <c r="H84" s="88" t="e">
        <f t="shared" ca="1" si="0"/>
        <v>#REF!</v>
      </c>
      <c r="I84" s="88" t="e">
        <f t="shared" ca="1" si="1"/>
        <v>#REF!</v>
      </c>
      <c r="J84" s="88" t="str">
        <f ca="1">IFERROR(__xludf.DUMMYFUNCTION("""COMPUTED_VALUE"""),"")</f>
        <v/>
      </c>
      <c r="K84" s="88" t="str">
        <f ca="1">IFERROR(__xludf.DUMMYFUNCTION("""COMPUTED_VALUE"""),"")</f>
        <v/>
      </c>
      <c r="L84" s="91" t="str">
        <f ca="1">IFERROR(__xludf.DUMMYFUNCTION("""COMPUTED_VALUE"""),"07h45 85340 Les Sables d'Olonne (Olonne sur Mer)-.")</f>
        <v>07h45 85340 Les Sables d'Olonne (Olonne sur Mer)-.</v>
      </c>
    </row>
    <row r="85" spans="1:12" ht="15.75" customHeight="1" x14ac:dyDescent="0.2">
      <c r="A85" s="91" t="s">
        <v>78</v>
      </c>
      <c r="B85" s="88">
        <v>0</v>
      </c>
      <c r="C85" s="88">
        <v>1</v>
      </c>
      <c r="H85" s="88" t="e">
        <f t="shared" ca="1" si="0"/>
        <v>#REF!</v>
      </c>
      <c r="I85" s="88" t="e">
        <f t="shared" ca="1" si="1"/>
        <v>#REF!</v>
      </c>
      <c r="J85" s="88" t="str">
        <f ca="1">IFERROR(__xludf.DUMMYFUNCTION("""COMPUTED_VALUE"""),"")</f>
        <v/>
      </c>
      <c r="K85" s="88" t="str">
        <f ca="1">IFERROR(__xludf.DUMMYFUNCTION("""COMPUTED_VALUE"""),"")</f>
        <v/>
      </c>
      <c r="L85" s="91" t="str">
        <f ca="1">IFERROR(__xludf.DUMMYFUNCTION("""COMPUTED_VALUE"""),"07h45 85340 Les Sables d'Olonne (Olonne sur Mer)")</f>
        <v>07h45 85340 Les Sables d'Olonne (Olonne sur Mer)</v>
      </c>
    </row>
    <row r="86" spans="1:12" ht="15.75" customHeight="1" x14ac:dyDescent="0.2">
      <c r="A86" s="91" t="s">
        <v>215</v>
      </c>
      <c r="B86" s="88">
        <v>0</v>
      </c>
      <c r="C86" s="88">
        <v>1</v>
      </c>
      <c r="H86" s="88" t="e">
        <f t="shared" ca="1" si="0"/>
        <v>#REF!</v>
      </c>
      <c r="I86" s="88" t="e">
        <f t="shared" ca="1" si="1"/>
        <v>#REF!</v>
      </c>
      <c r="J86" s="88" t="str">
        <f ca="1">IFERROR(__xludf.DUMMYFUNCTION("""COMPUTED_VALUE"""),"")</f>
        <v/>
      </c>
      <c r="K86" s="88" t="str">
        <f ca="1">IFERROR(__xludf.DUMMYFUNCTION("""COMPUTED_VALUE"""),"")</f>
        <v/>
      </c>
      <c r="L86" s="91" t="str">
        <f ca="1">IFERROR(__xludf.DUMMYFUNCTION("""COMPUTED_VALUE"""),"07h45 85180 Les Sables d'Olonne (le Château d'Olonne)-.")</f>
        <v>07h45 85180 Les Sables d'Olonne (le Château d'Olonne)-.</v>
      </c>
    </row>
    <row r="87" spans="1:12" ht="15.75" customHeight="1" x14ac:dyDescent="0.2">
      <c r="A87" s="91" t="s">
        <v>216</v>
      </c>
      <c r="B87" s="88">
        <v>0</v>
      </c>
      <c r="C87" s="88">
        <v>1</v>
      </c>
      <c r="H87" s="88" t="e">
        <f t="shared" ca="1" si="0"/>
        <v>#REF!</v>
      </c>
      <c r="I87" s="88" t="e">
        <f t="shared" ca="1" si="1"/>
        <v>#REF!</v>
      </c>
      <c r="J87" s="88" t="str">
        <f ca="1">IFERROR(__xludf.DUMMYFUNCTION("""COMPUTED_VALUE"""),"")</f>
        <v/>
      </c>
      <c r="K87" s="88" t="str">
        <f ca="1">IFERROR(__xludf.DUMMYFUNCTION("""COMPUTED_VALUE"""),"")</f>
        <v/>
      </c>
      <c r="L87" s="91" t="str">
        <f ca="1">IFERROR(__xludf.DUMMYFUNCTION("""COMPUTED_VALUE"""),"07h45 85180 Les Sables d'Olonne (le Château d'Olonne)")</f>
        <v>07h45 85180 Les Sables d'Olonne (le Château d'Olonne)</v>
      </c>
    </row>
    <row r="88" spans="1:12" ht="15.75" customHeight="1" x14ac:dyDescent="0.2">
      <c r="A88" s="91" t="s">
        <v>129</v>
      </c>
      <c r="B88" s="88">
        <v>0</v>
      </c>
      <c r="C88" s="88">
        <v>1</v>
      </c>
      <c r="H88" s="88" t="e">
        <f t="shared" ca="1" si="0"/>
        <v>#REF!</v>
      </c>
      <c r="I88" s="88" t="e">
        <f t="shared" ca="1" si="1"/>
        <v>#REF!</v>
      </c>
      <c r="J88" s="88" t="str">
        <f ca="1">IFERROR(__xludf.DUMMYFUNCTION("""COMPUTED_VALUE"""),"")</f>
        <v/>
      </c>
      <c r="K88" s="88" t="str">
        <f ca="1">IFERROR(__xludf.DUMMYFUNCTION("""COMPUTED_VALUE"""),"")</f>
        <v/>
      </c>
      <c r="L88" s="91" t="str">
        <f ca="1">IFERROR(__xludf.DUMMYFUNCTION("""COMPUTED_VALUE"""),"07h45 85340 l'Île d'Olonne")</f>
        <v>07h45 85340 l'Île d'Olonne</v>
      </c>
    </row>
    <row r="89" spans="1:12" ht="15.75" customHeight="1" x14ac:dyDescent="0.2">
      <c r="A89" s="91" t="s">
        <v>217</v>
      </c>
      <c r="B89" s="88">
        <v>0</v>
      </c>
      <c r="C89" s="88">
        <v>1</v>
      </c>
      <c r="H89" s="88" t="e">
        <f t="shared" ca="1" si="0"/>
        <v>#REF!</v>
      </c>
      <c r="I89" s="88" t="e">
        <f t="shared" ca="1" si="1"/>
        <v>#REF!</v>
      </c>
      <c r="J89" s="88" t="str">
        <f ca="1">IFERROR(__xludf.DUMMYFUNCTION("""COMPUTED_VALUE"""),"")</f>
        <v/>
      </c>
      <c r="K89" s="88" t="str">
        <f ca="1">IFERROR(__xludf.DUMMYFUNCTION("""COMPUTED_VALUE"""),"")</f>
        <v/>
      </c>
      <c r="L89" s="91" t="str">
        <f ca="1">IFERROR(__xludf.DUMMYFUNCTION("""COMPUTED_VALUE"""),"07h50 85100 Les Sables d'Olonne (les Sables d'Olonne)-.")</f>
        <v>07h50 85100 Les Sables d'Olonne (les Sables d'Olonne)-.</v>
      </c>
    </row>
    <row r="90" spans="1:12" ht="15.75" customHeight="1" x14ac:dyDescent="0.2">
      <c r="A90" s="91" t="s">
        <v>218</v>
      </c>
      <c r="B90" s="88">
        <v>0</v>
      </c>
      <c r="C90" s="88">
        <v>1</v>
      </c>
      <c r="H90" s="88" t="e">
        <f t="shared" ca="1" si="0"/>
        <v>#REF!</v>
      </c>
      <c r="I90" s="88" t="e">
        <f t="shared" ca="1" si="1"/>
        <v>#REF!</v>
      </c>
      <c r="J90" s="88" t="str">
        <f ca="1">IFERROR(__xludf.DUMMYFUNCTION("""COMPUTED_VALUE"""),"")</f>
        <v/>
      </c>
      <c r="K90" s="88" t="str">
        <f ca="1">IFERROR(__xludf.DUMMYFUNCTION("""COMPUTED_VALUE"""),"")</f>
        <v/>
      </c>
      <c r="L90" s="91" t="str">
        <f ca="1">IFERROR(__xludf.DUMMYFUNCTION("""COMPUTED_VALUE"""),"07h50 85100 Les Sables d'Olonne (les Sables d'Olonne)")</f>
        <v>07h50 85100 Les Sables d'Olonne (les Sables d'Olonne)</v>
      </c>
    </row>
    <row r="91" spans="1:12" ht="15.75" customHeight="1" x14ac:dyDescent="0.2">
      <c r="A91" s="91" t="s">
        <v>219</v>
      </c>
      <c r="B91" s="88">
        <v>0</v>
      </c>
      <c r="C91" s="88">
        <v>1</v>
      </c>
      <c r="H91" s="88" t="e">
        <f t="shared" ca="1" si="0"/>
        <v>#REF!</v>
      </c>
      <c r="I91" s="88" t="e">
        <f t="shared" ca="1" si="1"/>
        <v>#REF!</v>
      </c>
      <c r="J91" s="88" t="str">
        <f ca="1">IFERROR(__xludf.DUMMYFUNCTION("""COMPUTED_VALUE"""),"")</f>
        <v/>
      </c>
      <c r="K91" s="88" t="str">
        <f ca="1">IFERROR(__xludf.DUMMYFUNCTION("""COMPUTED_VALUE"""),"")</f>
        <v/>
      </c>
      <c r="L91" s="91" t="str">
        <f ca="1">IFERROR(__xludf.DUMMYFUNCTION("""COMPUTED_VALUE"""),"07h50 85100 Les Sables d'Olonne ( la Chaume)")</f>
        <v>07h50 85100 Les Sables d'Olonne ( la Chaume)</v>
      </c>
    </row>
    <row r="92" spans="1:12" ht="15.75" customHeight="1" x14ac:dyDescent="0.2">
      <c r="A92" s="91" t="s">
        <v>80</v>
      </c>
      <c r="B92" s="88">
        <v>0</v>
      </c>
      <c r="C92" s="88">
        <v>1</v>
      </c>
      <c r="H92" s="88" t="e">
        <f t="shared" ca="1" si="0"/>
        <v>#REF!</v>
      </c>
      <c r="I92" s="88" t="e">
        <f t="shared" ca="1" si="1"/>
        <v>#REF!</v>
      </c>
      <c r="J92" s="88" t="str">
        <f ca="1">IFERROR(__xludf.DUMMYFUNCTION("""COMPUTED_VALUE"""),"")</f>
        <v/>
      </c>
      <c r="K92" s="88" t="str">
        <f ca="1">IFERROR(__xludf.DUMMYFUNCTION("""COMPUTED_VALUE"""),"")</f>
        <v/>
      </c>
      <c r="L92" s="91" t="str">
        <f ca="1">IFERROR(__xludf.DUMMYFUNCTION("""COMPUTED_VALUE"""),"07h50 85340 Les Sables d'Olonne (Olonne sur Mer)-.")</f>
        <v>07h50 85340 Les Sables d'Olonne (Olonne sur Mer)-.</v>
      </c>
    </row>
    <row r="93" spans="1:12" ht="15.75" customHeight="1" x14ac:dyDescent="0.2">
      <c r="A93" s="91" t="s">
        <v>79</v>
      </c>
      <c r="B93" s="88">
        <v>0</v>
      </c>
      <c r="C93" s="88">
        <v>1</v>
      </c>
      <c r="H93" s="88" t="e">
        <f t="shared" ca="1" si="0"/>
        <v>#REF!</v>
      </c>
      <c r="I93" s="88" t="e">
        <f t="shared" ca="1" si="1"/>
        <v>#REF!</v>
      </c>
      <c r="J93" s="88" t="str">
        <f ca="1">IFERROR(__xludf.DUMMYFUNCTION("""COMPUTED_VALUE"""),"")</f>
        <v/>
      </c>
      <c r="K93" s="88" t="str">
        <f ca="1">IFERROR(__xludf.DUMMYFUNCTION("""COMPUTED_VALUE"""),"")</f>
        <v/>
      </c>
      <c r="L93" s="91" t="str">
        <f ca="1">IFERROR(__xludf.DUMMYFUNCTION("""COMPUTED_VALUE"""),"07h50 85340 Les Sables d'Olonne (Olonne sur Mer)")</f>
        <v>07h50 85340 Les Sables d'Olonne (Olonne sur Mer)</v>
      </c>
    </row>
    <row r="94" spans="1:12" ht="15.75" customHeight="1" x14ac:dyDescent="0.2">
      <c r="A94" s="91" t="s">
        <v>220</v>
      </c>
      <c r="B94" s="88">
        <v>0</v>
      </c>
      <c r="C94" s="88">
        <v>1</v>
      </c>
      <c r="H94" s="88" t="e">
        <f t="shared" ca="1" si="0"/>
        <v>#REF!</v>
      </c>
      <c r="I94" s="88" t="e">
        <f t="shared" ca="1" si="1"/>
        <v>#REF!</v>
      </c>
      <c r="J94" s="88" t="str">
        <f ca="1">IFERROR(__xludf.DUMMYFUNCTION("""COMPUTED_VALUE"""),"")</f>
        <v/>
      </c>
      <c r="K94" s="88" t="str">
        <f ca="1">IFERROR(__xludf.DUMMYFUNCTION("""COMPUTED_VALUE"""),"")</f>
        <v/>
      </c>
      <c r="L94" s="91" t="str">
        <f ca="1">IFERROR(__xludf.DUMMYFUNCTION("""COMPUTED_VALUE"""),"07h50 85180 Les Sables d'Olonne (le Château d'Olonne)-.")</f>
        <v>07h50 85180 Les Sables d'Olonne (le Château d'Olonne)-.</v>
      </c>
    </row>
    <row r="95" spans="1:12" ht="15.75" customHeight="1" x14ac:dyDescent="0.2">
      <c r="A95" s="91" t="s">
        <v>42</v>
      </c>
      <c r="B95" s="88">
        <v>0</v>
      </c>
      <c r="C95" s="88">
        <v>1</v>
      </c>
      <c r="H95" s="88" t="e">
        <f t="shared" ca="1" si="0"/>
        <v>#REF!</v>
      </c>
      <c r="I95" s="88" t="e">
        <f t="shared" ca="1" si="1"/>
        <v>#REF!</v>
      </c>
      <c r="J95" s="88" t="str">
        <f ca="1">IFERROR(__xludf.DUMMYFUNCTION("""COMPUTED_VALUE"""),"")</f>
        <v/>
      </c>
      <c r="K95" s="88" t="str">
        <f ca="1">IFERROR(__xludf.DUMMYFUNCTION("""COMPUTED_VALUE"""),"")</f>
        <v/>
      </c>
      <c r="L95" s="91" t="str">
        <f ca="1">IFERROR(__xludf.DUMMYFUNCTION("""COMPUTED_VALUE"""),"07h50 85180 Les Sables d'Olonne (le Château d'Olonne)")</f>
        <v>07h50 85180 Les Sables d'Olonne (le Château d'Olonne)</v>
      </c>
    </row>
    <row r="96" spans="1:12" ht="15.75" customHeight="1" x14ac:dyDescent="0.2">
      <c r="A96" s="91" t="s">
        <v>130</v>
      </c>
      <c r="B96" s="88">
        <v>0</v>
      </c>
      <c r="C96" s="88">
        <v>1</v>
      </c>
      <c r="H96" s="88" t="e">
        <f t="shared" ca="1" si="0"/>
        <v>#REF!</v>
      </c>
      <c r="I96" s="88" t="e">
        <f t="shared" ca="1" si="1"/>
        <v>#REF!</v>
      </c>
      <c r="J96" s="88" t="str">
        <f ca="1">IFERROR(__xludf.DUMMYFUNCTION("""COMPUTED_VALUE"""),"")</f>
        <v/>
      </c>
      <c r="K96" s="88" t="str">
        <f ca="1">IFERROR(__xludf.DUMMYFUNCTION("""COMPUTED_VALUE"""),"")</f>
        <v/>
      </c>
      <c r="L96" s="91" t="str">
        <f ca="1">IFERROR(__xludf.DUMMYFUNCTION("""COMPUTED_VALUE"""),"07h50 85340 l'Île d'Olonne")</f>
        <v>07h50 85340 l'Île d'Olonne</v>
      </c>
    </row>
    <row r="97" spans="1:12" ht="15.75" customHeight="1" x14ac:dyDescent="0.2">
      <c r="A97" s="91" t="s">
        <v>221</v>
      </c>
      <c r="B97" s="88">
        <v>0</v>
      </c>
      <c r="C97" s="88">
        <v>1</v>
      </c>
      <c r="H97" s="88" t="e">
        <f t="shared" ca="1" si="0"/>
        <v>#REF!</v>
      </c>
      <c r="I97" s="88" t="e">
        <f t="shared" ca="1" si="1"/>
        <v>#REF!</v>
      </c>
      <c r="J97" s="88" t="str">
        <f ca="1">IFERROR(__xludf.DUMMYFUNCTION("""COMPUTED_VALUE"""),"")</f>
        <v/>
      </c>
      <c r="K97" s="88" t="str">
        <f ca="1">IFERROR(__xludf.DUMMYFUNCTION("""COMPUTED_VALUE"""),"")</f>
        <v/>
      </c>
      <c r="L97" s="91" t="str">
        <f ca="1">IFERROR(__xludf.DUMMYFUNCTION("""COMPUTED_VALUE"""),"07h55 85100 Les Sables d'Olonne (les Sables d'Olonne)-.")</f>
        <v>07h55 85100 Les Sables d'Olonne (les Sables d'Olonne)-.</v>
      </c>
    </row>
    <row r="98" spans="1:12" ht="15.75" customHeight="1" x14ac:dyDescent="0.2">
      <c r="A98" s="91" t="s">
        <v>222</v>
      </c>
      <c r="B98" s="88">
        <v>0</v>
      </c>
      <c r="C98" s="88">
        <v>1</v>
      </c>
      <c r="H98" s="88" t="e">
        <f t="shared" ca="1" si="0"/>
        <v>#REF!</v>
      </c>
      <c r="I98" s="88" t="e">
        <f t="shared" ca="1" si="1"/>
        <v>#REF!</v>
      </c>
      <c r="J98" s="88" t="str">
        <f ca="1">IFERROR(__xludf.DUMMYFUNCTION("""COMPUTED_VALUE"""),"")</f>
        <v/>
      </c>
      <c r="K98" s="88" t="str">
        <f ca="1">IFERROR(__xludf.DUMMYFUNCTION("""COMPUTED_VALUE"""),"")</f>
        <v/>
      </c>
      <c r="L98" s="91" t="str">
        <f ca="1">IFERROR(__xludf.DUMMYFUNCTION("""COMPUTED_VALUE"""),"07h55 85100 Les Sables d'Olonne (les Sables d'Olonne)")</f>
        <v>07h55 85100 Les Sables d'Olonne (les Sables d'Olonne)</v>
      </c>
    </row>
    <row r="99" spans="1:12" ht="15.75" customHeight="1" x14ac:dyDescent="0.2">
      <c r="A99" s="91" t="s">
        <v>10</v>
      </c>
      <c r="B99" s="88">
        <v>0</v>
      </c>
      <c r="C99" s="88">
        <v>1</v>
      </c>
      <c r="H99" s="88" t="e">
        <f t="shared" ca="1" si="0"/>
        <v>#REF!</v>
      </c>
      <c r="I99" s="88" t="e">
        <f t="shared" ca="1" si="1"/>
        <v>#REF!</v>
      </c>
      <c r="J99" s="88" t="str">
        <f ca="1">IFERROR(__xludf.DUMMYFUNCTION("""COMPUTED_VALUE"""),"")</f>
        <v/>
      </c>
      <c r="K99" s="88" t="str">
        <f ca="1">IFERROR(__xludf.DUMMYFUNCTION("""COMPUTED_VALUE"""),"")</f>
        <v/>
      </c>
      <c r="L99" s="91" t="str">
        <f ca="1">IFERROR(__xludf.DUMMYFUNCTION("""COMPUTED_VALUE"""),"07h55 85100 Les Sables d'Olonne ( la Chaume)")</f>
        <v>07h55 85100 Les Sables d'Olonne ( la Chaume)</v>
      </c>
    </row>
    <row r="100" spans="1:12" ht="15.75" customHeight="1" x14ac:dyDescent="0.2">
      <c r="A100" s="91" t="s">
        <v>82</v>
      </c>
      <c r="B100" s="88">
        <v>0</v>
      </c>
      <c r="C100" s="88">
        <v>1</v>
      </c>
      <c r="H100" s="88" t="e">
        <f t="shared" ca="1" si="0"/>
        <v>#REF!</v>
      </c>
      <c r="I100" s="88" t="e">
        <f t="shared" ca="1" si="1"/>
        <v>#REF!</v>
      </c>
      <c r="J100" s="88" t="str">
        <f ca="1">IFERROR(__xludf.DUMMYFUNCTION("""COMPUTED_VALUE"""),"")</f>
        <v/>
      </c>
      <c r="K100" s="88" t="str">
        <f ca="1">IFERROR(__xludf.DUMMYFUNCTION("""COMPUTED_VALUE"""),"")</f>
        <v/>
      </c>
      <c r="L100" s="91" t="str">
        <f ca="1">IFERROR(__xludf.DUMMYFUNCTION("""COMPUTED_VALUE"""),"07h55 85340 Les Sables d'Olonne (Olonne sur Mer)-.")</f>
        <v>07h55 85340 Les Sables d'Olonne (Olonne sur Mer)-.</v>
      </c>
    </row>
    <row r="101" spans="1:12" ht="15.75" customHeight="1" x14ac:dyDescent="0.2">
      <c r="A101" s="91" t="s">
        <v>81</v>
      </c>
      <c r="B101" s="88">
        <v>0</v>
      </c>
      <c r="C101" s="88">
        <v>1</v>
      </c>
      <c r="H101" s="88" t="e">
        <f t="shared" ca="1" si="0"/>
        <v>#REF!</v>
      </c>
      <c r="I101" s="88" t="e">
        <f t="shared" ca="1" si="1"/>
        <v>#REF!</v>
      </c>
      <c r="J101" s="88" t="str">
        <f ca="1">IFERROR(__xludf.DUMMYFUNCTION("""COMPUTED_VALUE"""),"")</f>
        <v/>
      </c>
      <c r="K101" s="88" t="str">
        <f ca="1">IFERROR(__xludf.DUMMYFUNCTION("""COMPUTED_VALUE"""),"")</f>
        <v/>
      </c>
      <c r="L101" s="91" t="str">
        <f ca="1">IFERROR(__xludf.DUMMYFUNCTION("""COMPUTED_VALUE"""),"07h55 85340 Les Sables d'Olonne (Olonne sur Mer)")</f>
        <v>07h55 85340 Les Sables d'Olonne (Olonne sur Mer)</v>
      </c>
    </row>
    <row r="102" spans="1:12" ht="15.75" customHeight="1" x14ac:dyDescent="0.2">
      <c r="A102" s="91" t="s">
        <v>223</v>
      </c>
      <c r="B102" s="88">
        <v>0</v>
      </c>
      <c r="C102" s="88">
        <v>1</v>
      </c>
      <c r="H102" s="88" t="e">
        <f t="shared" ca="1" si="0"/>
        <v>#REF!</v>
      </c>
      <c r="I102" s="88" t="e">
        <f t="shared" ca="1" si="1"/>
        <v>#REF!</v>
      </c>
      <c r="J102" s="88" t="str">
        <f ca="1">IFERROR(__xludf.DUMMYFUNCTION("""COMPUTED_VALUE"""),"")</f>
        <v/>
      </c>
      <c r="K102" s="88" t="str">
        <f ca="1">IFERROR(__xludf.DUMMYFUNCTION("""COMPUTED_VALUE"""),"")</f>
        <v/>
      </c>
      <c r="L102" s="91" t="str">
        <f ca="1">IFERROR(__xludf.DUMMYFUNCTION("""COMPUTED_VALUE"""),"07h55 85180 Les Sables d'Olonne (le Château d'Olonne)-.")</f>
        <v>07h55 85180 Les Sables d'Olonne (le Château d'Olonne)-.</v>
      </c>
    </row>
    <row r="103" spans="1:12" ht="15.75" customHeight="1" x14ac:dyDescent="0.2">
      <c r="A103" s="91" t="s">
        <v>43</v>
      </c>
      <c r="B103" s="88">
        <v>0</v>
      </c>
      <c r="C103" s="88">
        <v>1</v>
      </c>
      <c r="H103" s="88" t="e">
        <f t="shared" ca="1" si="0"/>
        <v>#REF!</v>
      </c>
      <c r="I103" s="88" t="e">
        <f t="shared" ca="1" si="1"/>
        <v>#REF!</v>
      </c>
      <c r="J103" s="88" t="str">
        <f ca="1">IFERROR(__xludf.DUMMYFUNCTION("""COMPUTED_VALUE"""),"")</f>
        <v/>
      </c>
      <c r="K103" s="88" t="str">
        <f ca="1">IFERROR(__xludf.DUMMYFUNCTION("""COMPUTED_VALUE"""),"")</f>
        <v/>
      </c>
      <c r="L103" s="91" t="str">
        <f ca="1">IFERROR(__xludf.DUMMYFUNCTION("""COMPUTED_VALUE"""),"07h55 85180 Les Sables d'Olonne (le Château d'Olonne)")</f>
        <v>07h55 85180 Les Sables d'Olonne (le Château d'Olonne)</v>
      </c>
    </row>
    <row r="104" spans="1:12" ht="15.75" customHeight="1" x14ac:dyDescent="0.2">
      <c r="A104" s="91" t="s">
        <v>131</v>
      </c>
      <c r="B104" s="88">
        <v>0</v>
      </c>
      <c r="C104" s="88">
        <v>1</v>
      </c>
      <c r="H104" s="88" t="e">
        <f t="shared" ca="1" si="0"/>
        <v>#REF!</v>
      </c>
      <c r="I104" s="88" t="e">
        <f t="shared" ca="1" si="1"/>
        <v>#REF!</v>
      </c>
      <c r="J104" s="88" t="str">
        <f ca="1">IFERROR(__xludf.DUMMYFUNCTION("""COMPUTED_VALUE"""),"")</f>
        <v/>
      </c>
      <c r="K104" s="88" t="str">
        <f ca="1">IFERROR(__xludf.DUMMYFUNCTION("""COMPUTED_VALUE"""),"")</f>
        <v/>
      </c>
      <c r="L104" s="91" t="str">
        <f ca="1">IFERROR(__xludf.DUMMYFUNCTION("""COMPUTED_VALUE"""),"07h55 85340 l'Île d'Olonne")</f>
        <v>07h55 85340 l'Île d'Olonne</v>
      </c>
    </row>
    <row r="105" spans="1:12" ht="15.75" customHeight="1" x14ac:dyDescent="0.2">
      <c r="A105" s="91" t="s">
        <v>224</v>
      </c>
      <c r="B105" s="88">
        <v>0</v>
      </c>
      <c r="C105" s="88">
        <v>1</v>
      </c>
      <c r="H105" s="88" t="e">
        <f t="shared" ca="1" si="0"/>
        <v>#REF!</v>
      </c>
      <c r="I105" s="88" t="e">
        <f t="shared" ca="1" si="1"/>
        <v>#REF!</v>
      </c>
      <c r="J105" s="88" t="str">
        <f ca="1">IFERROR(__xludf.DUMMYFUNCTION("""COMPUTED_VALUE"""),"")</f>
        <v/>
      </c>
      <c r="K105" s="88" t="str">
        <f ca="1">IFERROR(__xludf.DUMMYFUNCTION("""COMPUTED_VALUE"""),"")</f>
        <v/>
      </c>
      <c r="L105" s="91" t="str">
        <f ca="1">IFERROR(__xludf.DUMMYFUNCTION("""COMPUTED_VALUE"""),"08h00 85100 Les Sables d'Olonne (les Sables d'Olonne)-.")</f>
        <v>08h00 85100 Les Sables d'Olonne (les Sables d'Olonne)-.</v>
      </c>
    </row>
    <row r="106" spans="1:12" ht="15.75" customHeight="1" x14ac:dyDescent="0.2">
      <c r="A106" s="91" t="s">
        <v>225</v>
      </c>
      <c r="B106" s="88">
        <v>0</v>
      </c>
      <c r="C106" s="88">
        <v>1</v>
      </c>
      <c r="H106" s="88" t="e">
        <f t="shared" ca="1" si="0"/>
        <v>#REF!</v>
      </c>
      <c r="I106" s="88" t="e">
        <f t="shared" ca="1" si="1"/>
        <v>#REF!</v>
      </c>
      <c r="J106" s="88" t="str">
        <f ca="1">IFERROR(__xludf.DUMMYFUNCTION("""COMPUTED_VALUE"""),"")</f>
        <v/>
      </c>
      <c r="K106" s="88" t="str">
        <f ca="1">IFERROR(__xludf.DUMMYFUNCTION("""COMPUTED_VALUE"""),"")</f>
        <v/>
      </c>
      <c r="L106" s="91" t="str">
        <f ca="1">IFERROR(__xludf.DUMMYFUNCTION("""COMPUTED_VALUE"""),"08h00 85100 Les Sables d'Olonne (les Sables d'Olonne)")</f>
        <v>08h00 85100 Les Sables d'Olonne (les Sables d'Olonne)</v>
      </c>
    </row>
    <row r="107" spans="1:12" ht="15.75" customHeight="1" x14ac:dyDescent="0.2">
      <c r="A107" s="91" t="s">
        <v>11</v>
      </c>
      <c r="B107" s="88">
        <v>0</v>
      </c>
      <c r="C107" s="88">
        <v>1</v>
      </c>
      <c r="H107" s="88" t="e">
        <f t="shared" ca="1" si="0"/>
        <v>#REF!</v>
      </c>
      <c r="I107" s="88" t="e">
        <f t="shared" ca="1" si="1"/>
        <v>#REF!</v>
      </c>
      <c r="J107" s="88" t="str">
        <f ca="1">IFERROR(__xludf.DUMMYFUNCTION("""COMPUTED_VALUE"""),"")</f>
        <v/>
      </c>
      <c r="K107" s="88" t="str">
        <f ca="1">IFERROR(__xludf.DUMMYFUNCTION("""COMPUTED_VALUE"""),"")</f>
        <v/>
      </c>
      <c r="L107" s="91" t="str">
        <f ca="1">IFERROR(__xludf.DUMMYFUNCTION("""COMPUTED_VALUE"""),"08h00 85100 Les Sables d'Olonne ( la Chaume)")</f>
        <v>08h00 85100 Les Sables d'Olonne ( la Chaume)</v>
      </c>
    </row>
    <row r="108" spans="1:12" ht="15.75" customHeight="1" x14ac:dyDescent="0.2">
      <c r="A108" s="91" t="s">
        <v>84</v>
      </c>
      <c r="B108" s="88">
        <v>0</v>
      </c>
      <c r="C108" s="88">
        <v>1</v>
      </c>
      <c r="H108" s="88" t="e">
        <f t="shared" ca="1" si="0"/>
        <v>#REF!</v>
      </c>
      <c r="I108" s="88" t="e">
        <f t="shared" ca="1" si="1"/>
        <v>#REF!</v>
      </c>
      <c r="J108" s="88" t="str">
        <f ca="1">IFERROR(__xludf.DUMMYFUNCTION("""COMPUTED_VALUE"""),"")</f>
        <v/>
      </c>
      <c r="K108" s="88" t="str">
        <f ca="1">IFERROR(__xludf.DUMMYFUNCTION("""COMPUTED_VALUE"""),"")</f>
        <v/>
      </c>
      <c r="L108" s="91" t="str">
        <f ca="1">IFERROR(__xludf.DUMMYFUNCTION("""COMPUTED_VALUE"""),"08h00 85340 Les Sables d'Olonne (Olonne sur Mer)-.")</f>
        <v>08h00 85340 Les Sables d'Olonne (Olonne sur Mer)-.</v>
      </c>
    </row>
    <row r="109" spans="1:12" ht="15.75" customHeight="1" x14ac:dyDescent="0.2">
      <c r="A109" s="91" t="s">
        <v>83</v>
      </c>
      <c r="B109" s="88">
        <v>0</v>
      </c>
      <c r="C109" s="88">
        <v>1</v>
      </c>
      <c r="H109" s="88" t="e">
        <f t="shared" ca="1" si="0"/>
        <v>#REF!</v>
      </c>
      <c r="I109" s="88" t="e">
        <f t="shared" ca="1" si="1"/>
        <v>#REF!</v>
      </c>
      <c r="J109" s="88" t="str">
        <f ca="1">IFERROR(__xludf.DUMMYFUNCTION("""COMPUTED_VALUE"""),"")</f>
        <v/>
      </c>
      <c r="K109" s="88" t="str">
        <f ca="1">IFERROR(__xludf.DUMMYFUNCTION("""COMPUTED_VALUE"""),"")</f>
        <v/>
      </c>
      <c r="L109" s="91" t="str">
        <f ca="1">IFERROR(__xludf.DUMMYFUNCTION("""COMPUTED_VALUE"""),"08h00 85340 Les Sables d'Olonne (Olonne sur Mer)")</f>
        <v>08h00 85340 Les Sables d'Olonne (Olonne sur Mer)</v>
      </c>
    </row>
    <row r="110" spans="1:12" ht="15.75" customHeight="1" x14ac:dyDescent="0.2">
      <c r="A110" s="91" t="s">
        <v>44</v>
      </c>
      <c r="B110" s="88">
        <v>0</v>
      </c>
      <c r="C110" s="88">
        <v>1</v>
      </c>
      <c r="H110" s="88" t="e">
        <f t="shared" ca="1" si="0"/>
        <v>#REF!</v>
      </c>
      <c r="I110" s="88" t="e">
        <f t="shared" ca="1" si="1"/>
        <v>#REF!</v>
      </c>
      <c r="J110" s="88" t="str">
        <f ca="1">IFERROR(__xludf.DUMMYFUNCTION("""COMPUTED_VALUE"""),"")</f>
        <v/>
      </c>
      <c r="K110" s="88" t="str">
        <f ca="1">IFERROR(__xludf.DUMMYFUNCTION("""COMPUTED_VALUE"""),"")</f>
        <v/>
      </c>
      <c r="L110" s="91" t="str">
        <f ca="1">IFERROR(__xludf.DUMMYFUNCTION("""COMPUTED_VALUE"""),"08h00 85180 Les Sables d'Olonne (le Château d'Olonne)-.")</f>
        <v>08h00 85180 Les Sables d'Olonne (le Château d'Olonne)-.</v>
      </c>
    </row>
    <row r="111" spans="1:12" ht="15.75" customHeight="1" x14ac:dyDescent="0.2">
      <c r="A111" s="91" t="s">
        <v>226</v>
      </c>
      <c r="B111" s="88">
        <v>0</v>
      </c>
      <c r="C111" s="88">
        <v>1</v>
      </c>
      <c r="H111" s="88" t="e">
        <f t="shared" ca="1" si="0"/>
        <v>#REF!</v>
      </c>
      <c r="I111" s="88" t="e">
        <f t="shared" ca="1" si="1"/>
        <v>#REF!</v>
      </c>
      <c r="J111" s="88" t="str">
        <f ca="1">IFERROR(__xludf.DUMMYFUNCTION("""COMPUTED_VALUE"""),"")</f>
        <v/>
      </c>
      <c r="K111" s="88" t="str">
        <f ca="1">IFERROR(__xludf.DUMMYFUNCTION("""COMPUTED_VALUE"""),"")</f>
        <v/>
      </c>
      <c r="L111" s="91" t="str">
        <f ca="1">IFERROR(__xludf.DUMMYFUNCTION("""COMPUTED_VALUE"""),"08h00 85180 Les Sables d'Olonne (le Château d'Olonne)")</f>
        <v>08h00 85180 Les Sables d'Olonne (le Château d'Olonne)</v>
      </c>
    </row>
    <row r="112" spans="1:12" ht="15.75" customHeight="1" x14ac:dyDescent="0.2">
      <c r="A112" s="91" t="s">
        <v>132</v>
      </c>
      <c r="B112" s="88">
        <v>0</v>
      </c>
      <c r="C112" s="88">
        <v>1</v>
      </c>
      <c r="H112" s="88" t="e">
        <f t="shared" ca="1" si="0"/>
        <v>#REF!</v>
      </c>
      <c r="I112" s="88" t="e">
        <f t="shared" ca="1" si="1"/>
        <v>#REF!</v>
      </c>
      <c r="J112" s="88" t="str">
        <f ca="1">IFERROR(__xludf.DUMMYFUNCTION("""COMPUTED_VALUE"""),"")</f>
        <v/>
      </c>
      <c r="K112" s="88" t="str">
        <f ca="1">IFERROR(__xludf.DUMMYFUNCTION("""COMPUTED_VALUE"""),"")</f>
        <v/>
      </c>
      <c r="L112" s="91" t="str">
        <f ca="1">IFERROR(__xludf.DUMMYFUNCTION("""COMPUTED_VALUE"""),"08h00 85340 l'Île d'Olonne")</f>
        <v>08h00 85340 l'Île d'Olonne</v>
      </c>
    </row>
    <row r="113" spans="1:12" ht="15.75" customHeight="1" x14ac:dyDescent="0.2">
      <c r="A113" s="91" t="s">
        <v>227</v>
      </c>
      <c r="B113" s="88">
        <v>0</v>
      </c>
      <c r="C113" s="88">
        <v>1</v>
      </c>
      <c r="H113" s="88" t="e">
        <f t="shared" ca="1" si="0"/>
        <v>#REF!</v>
      </c>
      <c r="I113" s="88" t="e">
        <f t="shared" ca="1" si="1"/>
        <v>#REF!</v>
      </c>
      <c r="J113" s="88" t="str">
        <f ca="1">IFERROR(__xludf.DUMMYFUNCTION("""COMPUTED_VALUE"""),"")</f>
        <v/>
      </c>
      <c r="K113" s="88" t="str">
        <f ca="1">IFERROR(__xludf.DUMMYFUNCTION("""COMPUTED_VALUE"""),"")</f>
        <v/>
      </c>
      <c r="L113" s="91" t="str">
        <f ca="1">IFERROR(__xludf.DUMMYFUNCTION("""COMPUTED_VALUE"""),"08h05 85100 Les Sables d'Olonne (les Sables d'Olonne)-.")</f>
        <v>08h05 85100 Les Sables d'Olonne (les Sables d'Olonne)-.</v>
      </c>
    </row>
    <row r="114" spans="1:12" ht="15.75" customHeight="1" x14ac:dyDescent="0.2">
      <c r="A114" s="91" t="s">
        <v>228</v>
      </c>
      <c r="B114" s="88">
        <v>0</v>
      </c>
      <c r="C114" s="88">
        <v>1</v>
      </c>
      <c r="H114" s="88" t="e">
        <f t="shared" ca="1" si="0"/>
        <v>#REF!</v>
      </c>
      <c r="I114" s="88" t="e">
        <f t="shared" ca="1" si="1"/>
        <v>#REF!</v>
      </c>
      <c r="J114" s="88" t="str">
        <f ca="1">IFERROR(__xludf.DUMMYFUNCTION("""COMPUTED_VALUE"""),"")</f>
        <v/>
      </c>
      <c r="K114" s="88" t="str">
        <f ca="1">IFERROR(__xludf.DUMMYFUNCTION("""COMPUTED_VALUE"""),"")</f>
        <v/>
      </c>
      <c r="L114" s="91" t="str">
        <f ca="1">IFERROR(__xludf.DUMMYFUNCTION("""COMPUTED_VALUE"""),"08h05 85100 Les Sables d'Olonne (les Sables d'Olonne)")</f>
        <v>08h05 85100 Les Sables d'Olonne (les Sables d'Olonne)</v>
      </c>
    </row>
    <row r="115" spans="1:12" ht="15.75" customHeight="1" x14ac:dyDescent="0.2">
      <c r="A115" s="91" t="s">
        <v>12</v>
      </c>
      <c r="B115" s="88">
        <v>0</v>
      </c>
      <c r="C115" s="88">
        <v>1</v>
      </c>
      <c r="H115" s="88" t="e">
        <f t="shared" ca="1" si="0"/>
        <v>#REF!</v>
      </c>
      <c r="I115" s="88" t="e">
        <f t="shared" ca="1" si="1"/>
        <v>#REF!</v>
      </c>
      <c r="J115" s="88" t="str">
        <f ca="1">IFERROR(__xludf.DUMMYFUNCTION("""COMPUTED_VALUE"""),"")</f>
        <v/>
      </c>
      <c r="K115" s="88" t="str">
        <f ca="1">IFERROR(__xludf.DUMMYFUNCTION("""COMPUTED_VALUE"""),"")</f>
        <v/>
      </c>
      <c r="L115" s="91" t="str">
        <f ca="1">IFERROR(__xludf.DUMMYFUNCTION("""COMPUTED_VALUE"""),"08h05 85100 Les Sables d'Olonne ( la Chaume)")</f>
        <v>08h05 85100 Les Sables d'Olonne ( la Chaume)</v>
      </c>
    </row>
    <row r="116" spans="1:12" ht="15.75" customHeight="1" x14ac:dyDescent="0.2">
      <c r="A116" s="91" t="s">
        <v>86</v>
      </c>
      <c r="B116" s="88">
        <v>0</v>
      </c>
      <c r="C116" s="88">
        <v>1</v>
      </c>
      <c r="H116" s="88" t="e">
        <f t="shared" ca="1" si="0"/>
        <v>#REF!</v>
      </c>
      <c r="I116" s="88" t="e">
        <f t="shared" ca="1" si="1"/>
        <v>#REF!</v>
      </c>
      <c r="J116" s="88" t="str">
        <f ca="1">IFERROR(__xludf.DUMMYFUNCTION("""COMPUTED_VALUE"""),"")</f>
        <v/>
      </c>
      <c r="K116" s="88" t="str">
        <f ca="1">IFERROR(__xludf.DUMMYFUNCTION("""COMPUTED_VALUE"""),"")</f>
        <v/>
      </c>
      <c r="L116" s="91" t="str">
        <f ca="1">IFERROR(__xludf.DUMMYFUNCTION("""COMPUTED_VALUE"""),"08h05 85340 Les Sables d'Olonne (Olonne sur Mer)-.")</f>
        <v>08h05 85340 Les Sables d'Olonne (Olonne sur Mer)-.</v>
      </c>
    </row>
    <row r="117" spans="1:12" ht="15.75" customHeight="1" x14ac:dyDescent="0.2">
      <c r="A117" s="91" t="s">
        <v>85</v>
      </c>
      <c r="B117" s="88">
        <v>0</v>
      </c>
      <c r="C117" s="88">
        <v>1</v>
      </c>
      <c r="H117" s="88" t="e">
        <f t="shared" ca="1" si="0"/>
        <v>#REF!</v>
      </c>
      <c r="I117" s="88" t="e">
        <f t="shared" ca="1" si="1"/>
        <v>#REF!</v>
      </c>
      <c r="J117" s="88" t="str">
        <f ca="1">IFERROR(__xludf.DUMMYFUNCTION("""COMPUTED_VALUE"""),"")</f>
        <v/>
      </c>
      <c r="K117" s="88" t="str">
        <f ca="1">IFERROR(__xludf.DUMMYFUNCTION("""COMPUTED_VALUE"""),"")</f>
        <v/>
      </c>
      <c r="L117" s="91" t="str">
        <f ca="1">IFERROR(__xludf.DUMMYFUNCTION("""COMPUTED_VALUE"""),"08h05 85340 Les Sables d'Olonne (Olonne sur Mer)")</f>
        <v>08h05 85340 Les Sables d'Olonne (Olonne sur Mer)</v>
      </c>
    </row>
    <row r="118" spans="1:12" ht="15.75" customHeight="1" x14ac:dyDescent="0.2">
      <c r="A118" s="91" t="s">
        <v>229</v>
      </c>
      <c r="B118" s="88">
        <v>0</v>
      </c>
      <c r="C118" s="88">
        <v>1</v>
      </c>
      <c r="H118" s="88" t="e">
        <f t="shared" ca="1" si="0"/>
        <v>#REF!</v>
      </c>
      <c r="I118" s="88" t="e">
        <f t="shared" ca="1" si="1"/>
        <v>#REF!</v>
      </c>
      <c r="J118" s="88" t="str">
        <f ca="1">IFERROR(__xludf.DUMMYFUNCTION("""COMPUTED_VALUE"""),"")</f>
        <v/>
      </c>
      <c r="K118" s="88" t="str">
        <f ca="1">IFERROR(__xludf.DUMMYFUNCTION("""COMPUTED_VALUE"""),"")</f>
        <v/>
      </c>
      <c r="L118" s="91" t="str">
        <f ca="1">IFERROR(__xludf.DUMMYFUNCTION("""COMPUTED_VALUE"""),"08h05 85180 Les Sables d'Olonne (le Château d'Olonne)-.")</f>
        <v>08h05 85180 Les Sables d'Olonne (le Château d'Olonne)-.</v>
      </c>
    </row>
    <row r="119" spans="1:12" ht="15.75" customHeight="1" x14ac:dyDescent="0.2">
      <c r="A119" s="91" t="s">
        <v>45</v>
      </c>
      <c r="B119" s="88">
        <v>0</v>
      </c>
      <c r="C119" s="88">
        <v>1</v>
      </c>
      <c r="H119" s="88" t="e">
        <f t="shared" ca="1" si="0"/>
        <v>#REF!</v>
      </c>
      <c r="I119" s="88" t="e">
        <f t="shared" ca="1" si="1"/>
        <v>#REF!</v>
      </c>
      <c r="J119" s="88" t="str">
        <f ca="1">IFERROR(__xludf.DUMMYFUNCTION("""COMPUTED_VALUE"""),"")</f>
        <v/>
      </c>
      <c r="K119" s="88" t="str">
        <f ca="1">IFERROR(__xludf.DUMMYFUNCTION("""COMPUTED_VALUE"""),"")</f>
        <v/>
      </c>
      <c r="L119" s="91" t="str">
        <f ca="1">IFERROR(__xludf.DUMMYFUNCTION("""COMPUTED_VALUE"""),"08h05 85180 Les Sables d'Olonne (le Château d'Olonne)")</f>
        <v>08h05 85180 Les Sables d'Olonne (le Château d'Olonne)</v>
      </c>
    </row>
    <row r="120" spans="1:12" ht="15.75" customHeight="1" x14ac:dyDescent="0.2">
      <c r="A120" s="91" t="s">
        <v>133</v>
      </c>
      <c r="B120" s="88">
        <v>0</v>
      </c>
      <c r="C120" s="88">
        <v>1</v>
      </c>
      <c r="H120" s="88" t="e">
        <f t="shared" ca="1" si="0"/>
        <v>#REF!</v>
      </c>
      <c r="I120" s="88" t="e">
        <f t="shared" ca="1" si="1"/>
        <v>#REF!</v>
      </c>
      <c r="J120" s="88" t="str">
        <f ca="1">IFERROR(__xludf.DUMMYFUNCTION("""COMPUTED_VALUE"""),"")</f>
        <v/>
      </c>
      <c r="K120" s="88" t="str">
        <f ca="1">IFERROR(__xludf.DUMMYFUNCTION("""COMPUTED_VALUE"""),"")</f>
        <v/>
      </c>
      <c r="L120" s="91" t="str">
        <f ca="1">IFERROR(__xludf.DUMMYFUNCTION("""COMPUTED_VALUE"""),"08h05 85340 l'Île d'Olonne")</f>
        <v>08h05 85340 l'Île d'Olonne</v>
      </c>
    </row>
    <row r="121" spans="1:12" ht="15.75" customHeight="1" x14ac:dyDescent="0.2">
      <c r="A121" s="91" t="s">
        <v>230</v>
      </c>
      <c r="B121" s="88">
        <v>0</v>
      </c>
      <c r="C121" s="88">
        <v>1</v>
      </c>
      <c r="H121" s="88" t="e">
        <f t="shared" ca="1" si="0"/>
        <v>#REF!</v>
      </c>
      <c r="I121" s="88" t="e">
        <f t="shared" ca="1" si="1"/>
        <v>#REF!</v>
      </c>
      <c r="J121" s="88" t="str">
        <f ca="1">IFERROR(__xludf.DUMMYFUNCTION("""COMPUTED_VALUE"""),"")</f>
        <v/>
      </c>
      <c r="K121" s="88" t="str">
        <f ca="1">IFERROR(__xludf.DUMMYFUNCTION("""COMPUTED_VALUE"""),"")</f>
        <v/>
      </c>
      <c r="L121" s="91" t="str">
        <f ca="1">IFERROR(__xludf.DUMMYFUNCTION("""COMPUTED_VALUE"""),"08h10 85100 Les Sables d'Olonne (les Sables d'Olonne)-.")</f>
        <v>08h10 85100 Les Sables d'Olonne (les Sables d'Olonne)-.</v>
      </c>
    </row>
    <row r="122" spans="1:12" ht="15.75" customHeight="1" x14ac:dyDescent="0.2">
      <c r="A122" s="91" t="s">
        <v>231</v>
      </c>
      <c r="B122" s="88">
        <v>0</v>
      </c>
      <c r="C122" s="88">
        <v>1</v>
      </c>
      <c r="H122" s="88" t="e">
        <f t="shared" ca="1" si="0"/>
        <v>#REF!</v>
      </c>
      <c r="I122" s="88" t="e">
        <f t="shared" ca="1" si="1"/>
        <v>#REF!</v>
      </c>
      <c r="J122" s="88" t="str">
        <f ca="1">IFERROR(__xludf.DUMMYFUNCTION("""COMPUTED_VALUE"""),"")</f>
        <v/>
      </c>
      <c r="K122" s="88" t="str">
        <f ca="1">IFERROR(__xludf.DUMMYFUNCTION("""COMPUTED_VALUE"""),"")</f>
        <v/>
      </c>
      <c r="L122" s="91" t="str">
        <f ca="1">IFERROR(__xludf.DUMMYFUNCTION("""COMPUTED_VALUE"""),"08h10 85100 Les Sables d'Olonne (les Sables d'Olonne)")</f>
        <v>08h10 85100 Les Sables d'Olonne (les Sables d'Olonne)</v>
      </c>
    </row>
    <row r="123" spans="1:12" ht="15.75" customHeight="1" x14ac:dyDescent="0.2">
      <c r="A123" s="91" t="s">
        <v>232</v>
      </c>
      <c r="B123" s="88">
        <v>0</v>
      </c>
      <c r="C123" s="88">
        <v>1</v>
      </c>
      <c r="H123" s="88" t="e">
        <f t="shared" ca="1" si="0"/>
        <v>#REF!</v>
      </c>
      <c r="I123" s="88" t="e">
        <f t="shared" ca="1" si="1"/>
        <v>#REF!</v>
      </c>
      <c r="J123" s="88" t="str">
        <f ca="1">IFERROR(__xludf.DUMMYFUNCTION("""COMPUTED_VALUE"""),"")</f>
        <v/>
      </c>
      <c r="K123" s="88" t="str">
        <f ca="1">IFERROR(__xludf.DUMMYFUNCTION("""COMPUTED_VALUE"""),"")</f>
        <v/>
      </c>
      <c r="L123" s="91" t="str">
        <f ca="1">IFERROR(__xludf.DUMMYFUNCTION("""COMPUTED_VALUE"""),"08h10 85100 Les Sables d'Olonne ( la Chaume)")</f>
        <v>08h10 85100 Les Sables d'Olonne ( la Chaume)</v>
      </c>
    </row>
    <row r="124" spans="1:12" ht="15.75" customHeight="1" x14ac:dyDescent="0.2">
      <c r="A124" s="91" t="s">
        <v>87</v>
      </c>
      <c r="B124" s="88">
        <v>0</v>
      </c>
      <c r="C124" s="88">
        <v>1</v>
      </c>
      <c r="H124" s="88" t="e">
        <f t="shared" ca="1" si="0"/>
        <v>#REF!</v>
      </c>
      <c r="I124" s="88" t="e">
        <f t="shared" ca="1" si="1"/>
        <v>#REF!</v>
      </c>
      <c r="J124" s="88" t="str">
        <f ca="1">IFERROR(__xludf.DUMMYFUNCTION("""COMPUTED_VALUE"""),"")</f>
        <v/>
      </c>
      <c r="K124" s="88" t="str">
        <f ca="1">IFERROR(__xludf.DUMMYFUNCTION("""COMPUTED_VALUE"""),"")</f>
        <v/>
      </c>
      <c r="L124" s="91" t="str">
        <f ca="1">IFERROR(__xludf.DUMMYFUNCTION("""COMPUTED_VALUE"""),"08h10 85340 Les Sables d'Olonne (Olonne sur Mer)-.")</f>
        <v>08h10 85340 Les Sables d'Olonne (Olonne sur Mer)-.</v>
      </c>
    </row>
    <row r="125" spans="1:12" ht="15.75" customHeight="1" x14ac:dyDescent="0.2">
      <c r="A125" s="91" t="s">
        <v>233</v>
      </c>
      <c r="B125" s="88">
        <v>0</v>
      </c>
      <c r="C125" s="88">
        <v>1</v>
      </c>
      <c r="H125" s="88" t="e">
        <f t="shared" ca="1" si="0"/>
        <v>#REF!</v>
      </c>
      <c r="I125" s="88" t="e">
        <f t="shared" ca="1" si="1"/>
        <v>#REF!</v>
      </c>
      <c r="J125" s="88" t="str">
        <f ca="1">IFERROR(__xludf.DUMMYFUNCTION("""COMPUTED_VALUE"""),"")</f>
        <v/>
      </c>
      <c r="K125" s="88" t="str">
        <f ca="1">IFERROR(__xludf.DUMMYFUNCTION("""COMPUTED_VALUE"""),"")</f>
        <v/>
      </c>
      <c r="L125" s="91" t="str">
        <f ca="1">IFERROR(__xludf.DUMMYFUNCTION("""COMPUTED_VALUE"""),"08h10 85340 Les Sables d'Olonne (Olonne sur Mer)")</f>
        <v>08h10 85340 Les Sables d'Olonne (Olonne sur Mer)</v>
      </c>
    </row>
    <row r="126" spans="1:12" ht="15.75" customHeight="1" x14ac:dyDescent="0.2">
      <c r="A126" s="91" t="s">
        <v>47</v>
      </c>
      <c r="B126" s="88">
        <v>0</v>
      </c>
      <c r="C126" s="88">
        <v>1</v>
      </c>
      <c r="H126" s="88" t="e">
        <f t="shared" ca="1" si="0"/>
        <v>#REF!</v>
      </c>
      <c r="I126" s="88" t="e">
        <f t="shared" ca="1" si="1"/>
        <v>#REF!</v>
      </c>
      <c r="J126" s="88" t="str">
        <f ca="1">IFERROR(__xludf.DUMMYFUNCTION("""COMPUTED_VALUE"""),"")</f>
        <v/>
      </c>
      <c r="K126" s="88" t="str">
        <f ca="1">IFERROR(__xludf.DUMMYFUNCTION("""COMPUTED_VALUE"""),"")</f>
        <v/>
      </c>
      <c r="L126" s="91" t="str">
        <f ca="1">IFERROR(__xludf.DUMMYFUNCTION("""COMPUTED_VALUE"""),"08h10 85180 Les Sables d'Olonne (le Château d'Olonne)-.")</f>
        <v>08h10 85180 Les Sables d'Olonne (le Château d'Olonne)-.</v>
      </c>
    </row>
    <row r="127" spans="1:12" ht="15.75" customHeight="1" x14ac:dyDescent="0.2">
      <c r="A127" s="91" t="s">
        <v>46</v>
      </c>
      <c r="B127" s="88">
        <v>0</v>
      </c>
      <c r="C127" s="88">
        <v>1</v>
      </c>
      <c r="H127" s="88" t="e">
        <f t="shared" ca="1" si="0"/>
        <v>#REF!</v>
      </c>
      <c r="I127" s="88" t="e">
        <f t="shared" ca="1" si="1"/>
        <v>#REF!</v>
      </c>
      <c r="J127" s="88" t="str">
        <f ca="1">IFERROR(__xludf.DUMMYFUNCTION("""COMPUTED_VALUE"""),"")</f>
        <v/>
      </c>
      <c r="K127" s="88" t="str">
        <f ca="1">IFERROR(__xludf.DUMMYFUNCTION("""COMPUTED_VALUE"""),"")</f>
        <v/>
      </c>
      <c r="L127" s="91" t="str">
        <f ca="1">IFERROR(__xludf.DUMMYFUNCTION("""COMPUTED_VALUE"""),"08h10 85180 Les Sables d'Olonne (le Château d'Olonne)")</f>
        <v>08h10 85180 Les Sables d'Olonne (le Château d'Olonne)</v>
      </c>
    </row>
    <row r="128" spans="1:12" ht="15.75" customHeight="1" x14ac:dyDescent="0.2">
      <c r="A128" s="91" t="s">
        <v>134</v>
      </c>
      <c r="B128" s="88">
        <v>0</v>
      </c>
      <c r="C128" s="88">
        <v>1</v>
      </c>
      <c r="H128" s="88" t="e">
        <f t="shared" ca="1" si="0"/>
        <v>#REF!</v>
      </c>
      <c r="I128" s="88" t="e">
        <f t="shared" ca="1" si="1"/>
        <v>#REF!</v>
      </c>
      <c r="J128" s="88" t="str">
        <f ca="1">IFERROR(__xludf.DUMMYFUNCTION("""COMPUTED_VALUE"""),"")</f>
        <v/>
      </c>
      <c r="K128" s="88" t="str">
        <f ca="1">IFERROR(__xludf.DUMMYFUNCTION("""COMPUTED_VALUE"""),"")</f>
        <v/>
      </c>
      <c r="L128" s="91" t="str">
        <f ca="1">IFERROR(__xludf.DUMMYFUNCTION("""COMPUTED_VALUE"""),"08h10 85340 l'Île d'Olonne")</f>
        <v>08h10 85340 l'Île d'Olonne</v>
      </c>
    </row>
    <row r="129" spans="1:12" ht="15.75" customHeight="1" x14ac:dyDescent="0.2">
      <c r="A129" s="91" t="s">
        <v>22</v>
      </c>
      <c r="B129" s="88">
        <v>0</v>
      </c>
      <c r="C129" s="88">
        <v>1</v>
      </c>
      <c r="H129" s="88" t="e">
        <f t="shared" ca="1" si="0"/>
        <v>#REF!</v>
      </c>
      <c r="I129" s="88" t="e">
        <f t="shared" ca="1" si="1"/>
        <v>#REF!</v>
      </c>
      <c r="J129" s="88" t="str">
        <f ca="1">IFERROR(__xludf.DUMMYFUNCTION("""COMPUTED_VALUE"""),"")</f>
        <v/>
      </c>
      <c r="K129" s="88" t="str">
        <f ca="1">IFERROR(__xludf.DUMMYFUNCTION("""COMPUTED_VALUE"""),"")</f>
        <v/>
      </c>
      <c r="L129" s="91" t="str">
        <f ca="1">IFERROR(__xludf.DUMMYFUNCTION("""COMPUTED_VALUE"""),"08h15 85100 Les Sables d'Olonne (les Sables d'Olonne)-.")</f>
        <v>08h15 85100 Les Sables d'Olonne (les Sables d'Olonne)-.</v>
      </c>
    </row>
    <row r="130" spans="1:12" ht="15.75" customHeight="1" x14ac:dyDescent="0.2">
      <c r="A130" s="91" t="s">
        <v>234</v>
      </c>
      <c r="B130" s="88">
        <v>0</v>
      </c>
      <c r="C130" s="88">
        <v>1</v>
      </c>
      <c r="H130" s="88" t="e">
        <f t="shared" ca="1" si="0"/>
        <v>#REF!</v>
      </c>
      <c r="I130" s="88" t="e">
        <f t="shared" ca="1" si="1"/>
        <v>#REF!</v>
      </c>
      <c r="J130" s="88" t="str">
        <f ca="1">IFERROR(__xludf.DUMMYFUNCTION("""COMPUTED_VALUE"""),"")</f>
        <v/>
      </c>
      <c r="K130" s="88" t="str">
        <f ca="1">IFERROR(__xludf.DUMMYFUNCTION("""COMPUTED_VALUE"""),"")</f>
        <v/>
      </c>
      <c r="L130" s="91" t="str">
        <f ca="1">IFERROR(__xludf.DUMMYFUNCTION("""COMPUTED_VALUE"""),"08h15 85100 Les Sables d'Olonne (les Sables d'Olonne)")</f>
        <v>08h15 85100 Les Sables d'Olonne (les Sables d'Olonne)</v>
      </c>
    </row>
    <row r="131" spans="1:12" ht="15.75" customHeight="1" x14ac:dyDescent="0.2">
      <c r="A131" s="91" t="s">
        <v>13</v>
      </c>
      <c r="B131" s="88">
        <v>0</v>
      </c>
      <c r="C131" s="88">
        <v>1</v>
      </c>
      <c r="H131" s="88" t="e">
        <f t="shared" ca="1" si="0"/>
        <v>#REF!</v>
      </c>
      <c r="I131" s="88" t="e">
        <f t="shared" ca="1" si="1"/>
        <v>#REF!</v>
      </c>
      <c r="J131" s="88" t="str">
        <f ca="1">IFERROR(__xludf.DUMMYFUNCTION("""COMPUTED_VALUE"""),"")</f>
        <v/>
      </c>
      <c r="K131" s="88" t="str">
        <f ca="1">IFERROR(__xludf.DUMMYFUNCTION("""COMPUTED_VALUE"""),"")</f>
        <v/>
      </c>
      <c r="L131" s="91" t="str">
        <f ca="1">IFERROR(__xludf.DUMMYFUNCTION("""COMPUTED_VALUE"""),"08h15 85100 Les Sables d'Olonne ( la Chaume)")</f>
        <v>08h15 85100 Les Sables d'Olonne ( la Chaume)</v>
      </c>
    </row>
    <row r="132" spans="1:12" ht="15.75" customHeight="1" x14ac:dyDescent="0.2">
      <c r="A132" s="91" t="s">
        <v>89</v>
      </c>
      <c r="B132" s="88">
        <v>0</v>
      </c>
      <c r="C132" s="88">
        <v>1</v>
      </c>
      <c r="H132" s="88" t="e">
        <f t="shared" ca="1" si="0"/>
        <v>#REF!</v>
      </c>
      <c r="I132" s="88" t="e">
        <f t="shared" ca="1" si="1"/>
        <v>#REF!</v>
      </c>
      <c r="J132" s="88" t="str">
        <f ca="1">IFERROR(__xludf.DUMMYFUNCTION("""COMPUTED_VALUE"""),"")</f>
        <v/>
      </c>
      <c r="K132" s="88" t="str">
        <f ca="1">IFERROR(__xludf.DUMMYFUNCTION("""COMPUTED_VALUE"""),"")</f>
        <v/>
      </c>
      <c r="L132" s="91" t="str">
        <f ca="1">IFERROR(__xludf.DUMMYFUNCTION("""COMPUTED_VALUE"""),"08h15 85340 Les Sables d'Olonne (Olonne sur Mer)-.")</f>
        <v>08h15 85340 Les Sables d'Olonne (Olonne sur Mer)-.</v>
      </c>
    </row>
    <row r="133" spans="1:12" ht="15.75" customHeight="1" x14ac:dyDescent="0.2">
      <c r="A133" s="91" t="s">
        <v>88</v>
      </c>
      <c r="B133" s="88">
        <v>0</v>
      </c>
      <c r="C133" s="88">
        <v>1</v>
      </c>
      <c r="H133" s="88" t="e">
        <f t="shared" ca="1" si="0"/>
        <v>#REF!</v>
      </c>
      <c r="I133" s="88" t="e">
        <f t="shared" ca="1" si="1"/>
        <v>#REF!</v>
      </c>
      <c r="J133" s="88" t="str">
        <f ca="1">IFERROR(__xludf.DUMMYFUNCTION("""COMPUTED_VALUE"""),"")</f>
        <v/>
      </c>
      <c r="K133" s="88" t="str">
        <f ca="1">IFERROR(__xludf.DUMMYFUNCTION("""COMPUTED_VALUE"""),"")</f>
        <v/>
      </c>
      <c r="L133" s="91" t="str">
        <f ca="1">IFERROR(__xludf.DUMMYFUNCTION("""COMPUTED_VALUE"""),"08h15 85340 Les Sables d'Olonne (Olonne sur Mer)")</f>
        <v>08h15 85340 Les Sables d'Olonne (Olonne sur Mer)</v>
      </c>
    </row>
    <row r="134" spans="1:12" ht="15.75" customHeight="1" x14ac:dyDescent="0.2">
      <c r="A134" s="91" t="s">
        <v>48</v>
      </c>
      <c r="B134" s="88">
        <v>0</v>
      </c>
      <c r="C134" s="88">
        <v>1</v>
      </c>
      <c r="H134" s="88" t="e">
        <f t="shared" ca="1" si="0"/>
        <v>#REF!</v>
      </c>
      <c r="I134" s="88" t="e">
        <f t="shared" ca="1" si="1"/>
        <v>#REF!</v>
      </c>
      <c r="J134" s="88" t="str">
        <f ca="1">IFERROR(__xludf.DUMMYFUNCTION("""COMPUTED_VALUE"""),"")</f>
        <v/>
      </c>
      <c r="K134" s="88" t="str">
        <f ca="1">IFERROR(__xludf.DUMMYFUNCTION("""COMPUTED_VALUE"""),"")</f>
        <v/>
      </c>
      <c r="L134" s="91" t="str">
        <f ca="1">IFERROR(__xludf.DUMMYFUNCTION("""COMPUTED_VALUE"""),"08h15 85180 Les Sables d'Olonne (le Château d'Olonne)-.")</f>
        <v>08h15 85180 Les Sables d'Olonne (le Château d'Olonne)-.</v>
      </c>
    </row>
    <row r="135" spans="1:12" ht="15.75" customHeight="1" x14ac:dyDescent="0.2">
      <c r="A135" s="91" t="s">
        <v>235</v>
      </c>
      <c r="B135" s="88">
        <v>0</v>
      </c>
      <c r="C135" s="88">
        <v>1</v>
      </c>
      <c r="H135" s="88" t="e">
        <f t="shared" ca="1" si="0"/>
        <v>#REF!</v>
      </c>
      <c r="I135" s="88" t="e">
        <f t="shared" ca="1" si="1"/>
        <v>#REF!</v>
      </c>
      <c r="J135" s="88" t="str">
        <f ca="1">IFERROR(__xludf.DUMMYFUNCTION("""COMPUTED_VALUE"""),"")</f>
        <v/>
      </c>
      <c r="K135" s="88" t="str">
        <f ca="1">IFERROR(__xludf.DUMMYFUNCTION("""COMPUTED_VALUE"""),"")</f>
        <v/>
      </c>
      <c r="L135" s="91" t="str">
        <f ca="1">IFERROR(__xludf.DUMMYFUNCTION("""COMPUTED_VALUE"""),"08h15 85180 Les Sables d'Olonne (le Château d'Olonne)")</f>
        <v>08h15 85180 Les Sables d'Olonne (le Château d'Olonne)</v>
      </c>
    </row>
    <row r="136" spans="1:12" ht="15.75" customHeight="1" x14ac:dyDescent="0.2">
      <c r="A136" s="91" t="s">
        <v>135</v>
      </c>
      <c r="B136" s="88">
        <v>0</v>
      </c>
      <c r="C136" s="88">
        <v>1</v>
      </c>
      <c r="H136" s="88" t="e">
        <f t="shared" ca="1" si="0"/>
        <v>#REF!</v>
      </c>
      <c r="I136" s="88" t="e">
        <f t="shared" ca="1" si="1"/>
        <v>#REF!</v>
      </c>
      <c r="J136" s="88" t="str">
        <f ca="1">IFERROR(__xludf.DUMMYFUNCTION("""COMPUTED_VALUE"""),"")</f>
        <v/>
      </c>
      <c r="K136" s="88" t="str">
        <f ca="1">IFERROR(__xludf.DUMMYFUNCTION("""COMPUTED_VALUE"""),"")</f>
        <v/>
      </c>
      <c r="L136" s="91" t="str">
        <f ca="1">IFERROR(__xludf.DUMMYFUNCTION("""COMPUTED_VALUE"""),"08h15 85340 l'Île d'Olonne")</f>
        <v>08h15 85340 l'Île d'Olonne</v>
      </c>
    </row>
    <row r="137" spans="1:12" ht="15.75" customHeight="1" x14ac:dyDescent="0.2">
      <c r="A137" s="91" t="s">
        <v>236</v>
      </c>
      <c r="B137" s="88">
        <v>0</v>
      </c>
      <c r="C137" s="88">
        <v>1</v>
      </c>
      <c r="H137" s="88" t="e">
        <f t="shared" ca="1" si="0"/>
        <v>#REF!</v>
      </c>
      <c r="I137" s="88" t="e">
        <f t="shared" ca="1" si="1"/>
        <v>#REF!</v>
      </c>
      <c r="J137" s="88" t="str">
        <f ca="1">IFERROR(__xludf.DUMMYFUNCTION("""COMPUTED_VALUE"""),"")</f>
        <v/>
      </c>
      <c r="K137" s="88" t="str">
        <f ca="1">IFERROR(__xludf.DUMMYFUNCTION("""COMPUTED_VALUE"""),"")</f>
        <v/>
      </c>
      <c r="L137" s="91" t="str">
        <f ca="1">IFERROR(__xludf.DUMMYFUNCTION("""COMPUTED_VALUE"""),"08h20 85100 Les Sables d'Olonne (les Sables d'Olonne)-.")</f>
        <v>08h20 85100 Les Sables d'Olonne (les Sables d'Olonne)-.</v>
      </c>
    </row>
    <row r="138" spans="1:12" ht="15.75" customHeight="1" x14ac:dyDescent="0.2">
      <c r="A138" s="91" t="s">
        <v>237</v>
      </c>
      <c r="B138" s="88">
        <v>0</v>
      </c>
      <c r="C138" s="88">
        <v>1</v>
      </c>
      <c r="H138" s="88" t="e">
        <f t="shared" ca="1" si="0"/>
        <v>#REF!</v>
      </c>
      <c r="I138" s="88" t="e">
        <f t="shared" ca="1" si="1"/>
        <v>#REF!</v>
      </c>
      <c r="J138" s="88" t="str">
        <f ca="1">IFERROR(__xludf.DUMMYFUNCTION("""COMPUTED_VALUE"""),"")</f>
        <v/>
      </c>
      <c r="K138" s="88" t="str">
        <f ca="1">IFERROR(__xludf.DUMMYFUNCTION("""COMPUTED_VALUE"""),"")</f>
        <v/>
      </c>
      <c r="L138" s="91" t="str">
        <f ca="1">IFERROR(__xludf.DUMMYFUNCTION("""COMPUTED_VALUE"""),"08h20 85100 Les Sables d'Olonne (les Sables d'Olonne)")</f>
        <v>08h20 85100 Les Sables d'Olonne (les Sables d'Olonne)</v>
      </c>
    </row>
    <row r="139" spans="1:12" ht="15.75" customHeight="1" x14ac:dyDescent="0.2">
      <c r="A139" s="91" t="s">
        <v>238</v>
      </c>
      <c r="B139" s="88">
        <v>0</v>
      </c>
      <c r="C139" s="88">
        <v>1</v>
      </c>
      <c r="H139" s="88" t="e">
        <f t="shared" ca="1" si="0"/>
        <v>#REF!</v>
      </c>
      <c r="I139" s="88" t="e">
        <f t="shared" ca="1" si="1"/>
        <v>#REF!</v>
      </c>
      <c r="J139" s="88" t="str">
        <f ca="1">IFERROR(__xludf.DUMMYFUNCTION("""COMPUTED_VALUE"""),"")</f>
        <v/>
      </c>
      <c r="K139" s="88" t="str">
        <f ca="1">IFERROR(__xludf.DUMMYFUNCTION("""COMPUTED_VALUE"""),"")</f>
        <v/>
      </c>
      <c r="L139" s="91" t="str">
        <f ca="1">IFERROR(__xludf.DUMMYFUNCTION("""COMPUTED_VALUE"""),"08h20 85100 Les Sables d'Olonne ( la Chaume)")</f>
        <v>08h20 85100 Les Sables d'Olonne ( la Chaume)</v>
      </c>
    </row>
    <row r="140" spans="1:12" ht="15.75" customHeight="1" x14ac:dyDescent="0.2">
      <c r="A140" s="91" t="s">
        <v>90</v>
      </c>
      <c r="B140" s="88">
        <v>0</v>
      </c>
      <c r="C140" s="88">
        <v>1</v>
      </c>
      <c r="H140" s="88" t="e">
        <f t="shared" ca="1" si="0"/>
        <v>#REF!</v>
      </c>
      <c r="I140" s="88" t="e">
        <f t="shared" ca="1" si="1"/>
        <v>#REF!</v>
      </c>
      <c r="J140" s="88" t="str">
        <f ca="1">IFERROR(__xludf.DUMMYFUNCTION("""COMPUTED_VALUE"""),"")</f>
        <v/>
      </c>
      <c r="K140" s="88" t="str">
        <f ca="1">IFERROR(__xludf.DUMMYFUNCTION("""COMPUTED_VALUE"""),"")</f>
        <v/>
      </c>
      <c r="L140" s="91" t="str">
        <f ca="1">IFERROR(__xludf.DUMMYFUNCTION("""COMPUTED_VALUE"""),"08h20 85340 Les Sables d'Olonne (Olonne sur Mer)-.")</f>
        <v>08h20 85340 Les Sables d'Olonne (Olonne sur Mer)-.</v>
      </c>
    </row>
    <row r="141" spans="1:12" ht="15.75" customHeight="1" x14ac:dyDescent="0.2">
      <c r="A141" s="91" t="s">
        <v>239</v>
      </c>
      <c r="B141" s="88">
        <v>0</v>
      </c>
      <c r="C141" s="88">
        <v>1</v>
      </c>
      <c r="H141" s="88" t="e">
        <f t="shared" ca="1" si="0"/>
        <v>#REF!</v>
      </c>
      <c r="I141" s="88" t="e">
        <f t="shared" ca="1" si="1"/>
        <v>#REF!</v>
      </c>
      <c r="J141" s="88" t="str">
        <f ca="1">IFERROR(__xludf.DUMMYFUNCTION("""COMPUTED_VALUE"""),"")</f>
        <v/>
      </c>
      <c r="K141" s="88" t="str">
        <f ca="1">IFERROR(__xludf.DUMMYFUNCTION("""COMPUTED_VALUE"""),"")</f>
        <v/>
      </c>
      <c r="L141" s="91" t="str">
        <f ca="1">IFERROR(__xludf.DUMMYFUNCTION("""COMPUTED_VALUE"""),"08h20 85340 Les Sables d'Olonne (Olonne sur Mer)")</f>
        <v>08h20 85340 Les Sables d'Olonne (Olonne sur Mer)</v>
      </c>
    </row>
    <row r="142" spans="1:12" ht="15.75" customHeight="1" x14ac:dyDescent="0.2">
      <c r="A142" s="91" t="s">
        <v>240</v>
      </c>
      <c r="B142" s="88">
        <v>0</v>
      </c>
      <c r="C142" s="88">
        <v>1</v>
      </c>
      <c r="H142" s="88" t="e">
        <f t="shared" ca="1" si="0"/>
        <v>#REF!</v>
      </c>
      <c r="I142" s="88" t="e">
        <f t="shared" ca="1" si="1"/>
        <v>#REF!</v>
      </c>
      <c r="J142" s="88" t="str">
        <f ca="1">IFERROR(__xludf.DUMMYFUNCTION("""COMPUTED_VALUE"""),"")</f>
        <v/>
      </c>
      <c r="K142" s="88" t="str">
        <f ca="1">IFERROR(__xludf.DUMMYFUNCTION("""COMPUTED_VALUE"""),"")</f>
        <v/>
      </c>
      <c r="L142" s="91" t="str">
        <f ca="1">IFERROR(__xludf.DUMMYFUNCTION("""COMPUTED_VALUE"""),"08h20 85180 Les Sables d'Olonne (le Château d'Olonne)-.")</f>
        <v>08h20 85180 Les Sables d'Olonne (le Château d'Olonne)-.</v>
      </c>
    </row>
    <row r="143" spans="1:12" ht="15.75" customHeight="1" x14ac:dyDescent="0.2">
      <c r="A143" s="91" t="s">
        <v>241</v>
      </c>
      <c r="B143" s="88">
        <v>0</v>
      </c>
      <c r="C143" s="88">
        <v>1</v>
      </c>
      <c r="H143" s="88" t="e">
        <f t="shared" ca="1" si="0"/>
        <v>#REF!</v>
      </c>
      <c r="I143" s="88" t="e">
        <f t="shared" ca="1" si="1"/>
        <v>#REF!</v>
      </c>
      <c r="J143" s="88" t="str">
        <f ca="1">IFERROR(__xludf.DUMMYFUNCTION("""COMPUTED_VALUE"""),"")</f>
        <v/>
      </c>
      <c r="K143" s="88" t="str">
        <f ca="1">IFERROR(__xludf.DUMMYFUNCTION("""COMPUTED_VALUE"""),"")</f>
        <v/>
      </c>
      <c r="L143" s="91" t="str">
        <f ca="1">IFERROR(__xludf.DUMMYFUNCTION("""COMPUTED_VALUE"""),"08h20 85180 Les Sables d'Olonne (le Château d'Olonne)")</f>
        <v>08h20 85180 Les Sables d'Olonne (le Château d'Olonne)</v>
      </c>
    </row>
    <row r="144" spans="1:12" ht="15.75" customHeight="1" x14ac:dyDescent="0.2">
      <c r="A144" s="91" t="s">
        <v>136</v>
      </c>
      <c r="B144" s="88">
        <v>0</v>
      </c>
      <c r="C144" s="88">
        <v>1</v>
      </c>
      <c r="H144" s="88" t="e">
        <f t="shared" ca="1" si="0"/>
        <v>#REF!</v>
      </c>
      <c r="I144" s="88" t="e">
        <f t="shared" ca="1" si="1"/>
        <v>#REF!</v>
      </c>
      <c r="J144" s="88" t="str">
        <f ca="1">IFERROR(__xludf.DUMMYFUNCTION("""COMPUTED_VALUE"""),"")</f>
        <v/>
      </c>
      <c r="K144" s="88" t="str">
        <f ca="1">IFERROR(__xludf.DUMMYFUNCTION("""COMPUTED_VALUE"""),"")</f>
        <v/>
      </c>
      <c r="L144" s="91" t="str">
        <f ca="1">IFERROR(__xludf.DUMMYFUNCTION("""COMPUTED_VALUE"""),"08h20 85340 l'Île d'Olonne")</f>
        <v>08h20 85340 l'Île d'Olonne</v>
      </c>
    </row>
    <row r="145" spans="1:12" ht="15.75" customHeight="1" x14ac:dyDescent="0.2">
      <c r="A145" s="91" t="s">
        <v>242</v>
      </c>
      <c r="B145" s="88">
        <v>0</v>
      </c>
      <c r="C145" s="88">
        <v>1</v>
      </c>
      <c r="H145" s="88" t="e">
        <f t="shared" ca="1" si="0"/>
        <v>#REF!</v>
      </c>
      <c r="I145" s="88" t="e">
        <f t="shared" ca="1" si="1"/>
        <v>#REF!</v>
      </c>
      <c r="J145" s="88" t="str">
        <f ca="1">IFERROR(__xludf.DUMMYFUNCTION("""COMPUTED_VALUE"""),"")</f>
        <v/>
      </c>
      <c r="K145" s="88" t="str">
        <f ca="1">IFERROR(__xludf.DUMMYFUNCTION("""COMPUTED_VALUE"""),"")</f>
        <v/>
      </c>
      <c r="L145" s="91" t="str">
        <f ca="1">IFERROR(__xludf.DUMMYFUNCTION("""COMPUTED_VALUE"""),"08h25 85100 Les Sables d'Olonne (les Sables d'Olonne)-.")</f>
        <v>08h25 85100 Les Sables d'Olonne (les Sables d'Olonne)-.</v>
      </c>
    </row>
    <row r="146" spans="1:12" ht="15.75" customHeight="1" x14ac:dyDescent="0.2">
      <c r="A146" s="91" t="s">
        <v>243</v>
      </c>
      <c r="B146" s="88">
        <v>0</v>
      </c>
      <c r="C146" s="88">
        <v>1</v>
      </c>
      <c r="H146" s="88" t="e">
        <f t="shared" ca="1" si="0"/>
        <v>#REF!</v>
      </c>
      <c r="I146" s="88" t="e">
        <f t="shared" ca="1" si="1"/>
        <v>#REF!</v>
      </c>
      <c r="J146" s="88" t="str">
        <f ca="1">IFERROR(__xludf.DUMMYFUNCTION("""COMPUTED_VALUE"""),"")</f>
        <v/>
      </c>
      <c r="K146" s="88" t="str">
        <f ca="1">IFERROR(__xludf.DUMMYFUNCTION("""COMPUTED_VALUE"""),"")</f>
        <v/>
      </c>
      <c r="L146" s="91" t="str">
        <f ca="1">IFERROR(__xludf.DUMMYFUNCTION("""COMPUTED_VALUE"""),"08h25 85100 Les Sables d'Olonne (les Sables d'Olonne)")</f>
        <v>08h25 85100 Les Sables d'Olonne (les Sables d'Olonne)</v>
      </c>
    </row>
    <row r="147" spans="1:12" ht="15.75" customHeight="1" x14ac:dyDescent="0.2">
      <c r="A147" s="91" t="s">
        <v>14</v>
      </c>
      <c r="B147" s="88">
        <v>0</v>
      </c>
      <c r="C147" s="88">
        <v>1</v>
      </c>
      <c r="H147" s="88" t="e">
        <f t="shared" ca="1" si="0"/>
        <v>#REF!</v>
      </c>
      <c r="I147" s="88" t="e">
        <f t="shared" ca="1" si="1"/>
        <v>#REF!</v>
      </c>
      <c r="J147" s="88" t="str">
        <f ca="1">IFERROR(__xludf.DUMMYFUNCTION("""COMPUTED_VALUE"""),"")</f>
        <v/>
      </c>
      <c r="K147" s="88" t="str">
        <f ca="1">IFERROR(__xludf.DUMMYFUNCTION("""COMPUTED_VALUE"""),"")</f>
        <v/>
      </c>
      <c r="L147" s="91" t="str">
        <f ca="1">IFERROR(__xludf.DUMMYFUNCTION("""COMPUTED_VALUE"""),"08h25 85100 Les Sables d'Olonne ( la Chaume)")</f>
        <v>08h25 85100 Les Sables d'Olonne ( la Chaume)</v>
      </c>
    </row>
    <row r="148" spans="1:12" ht="15.75" customHeight="1" x14ac:dyDescent="0.2">
      <c r="A148" s="91" t="s">
        <v>92</v>
      </c>
      <c r="B148" s="88">
        <v>0</v>
      </c>
      <c r="C148" s="88">
        <v>1</v>
      </c>
      <c r="H148" s="88" t="e">
        <f t="shared" ca="1" si="0"/>
        <v>#REF!</v>
      </c>
      <c r="I148" s="88" t="e">
        <f t="shared" ca="1" si="1"/>
        <v>#REF!</v>
      </c>
      <c r="J148" s="88" t="str">
        <f ca="1">IFERROR(__xludf.DUMMYFUNCTION("""COMPUTED_VALUE"""),"")</f>
        <v/>
      </c>
      <c r="K148" s="88" t="str">
        <f ca="1">IFERROR(__xludf.DUMMYFUNCTION("""COMPUTED_VALUE"""),"")</f>
        <v/>
      </c>
      <c r="L148" s="91" t="str">
        <f ca="1">IFERROR(__xludf.DUMMYFUNCTION("""COMPUTED_VALUE"""),"08h25 85340 Les Sables d'Olonne (Olonne sur Mer)-.")</f>
        <v>08h25 85340 Les Sables d'Olonne (Olonne sur Mer)-.</v>
      </c>
    </row>
    <row r="149" spans="1:12" ht="15.75" customHeight="1" x14ac:dyDescent="0.2">
      <c r="A149" s="91" t="s">
        <v>91</v>
      </c>
      <c r="B149" s="88">
        <v>0</v>
      </c>
      <c r="C149" s="88">
        <v>1</v>
      </c>
      <c r="H149" s="88" t="e">
        <f t="shared" ca="1" si="0"/>
        <v>#REF!</v>
      </c>
      <c r="I149" s="88" t="e">
        <f t="shared" ca="1" si="1"/>
        <v>#REF!</v>
      </c>
      <c r="J149" s="88" t="str">
        <f ca="1">IFERROR(__xludf.DUMMYFUNCTION("""COMPUTED_VALUE"""),"")</f>
        <v/>
      </c>
      <c r="K149" s="88" t="str">
        <f ca="1">IFERROR(__xludf.DUMMYFUNCTION("""COMPUTED_VALUE"""),"")</f>
        <v/>
      </c>
      <c r="L149" s="91" t="str">
        <f ca="1">IFERROR(__xludf.DUMMYFUNCTION("""COMPUTED_VALUE"""),"08h25 85340 Les Sables d'Olonne (Olonne sur Mer)")</f>
        <v>08h25 85340 Les Sables d'Olonne (Olonne sur Mer)</v>
      </c>
    </row>
    <row r="150" spans="1:12" ht="15.75" customHeight="1" x14ac:dyDescent="0.2">
      <c r="A150" s="91" t="s">
        <v>50</v>
      </c>
      <c r="B150" s="88">
        <v>0</v>
      </c>
      <c r="C150" s="88">
        <v>1</v>
      </c>
      <c r="H150" s="88" t="e">
        <f t="shared" ca="1" si="0"/>
        <v>#REF!</v>
      </c>
      <c r="I150" s="88" t="e">
        <f t="shared" ca="1" si="1"/>
        <v>#REF!</v>
      </c>
      <c r="J150" s="88" t="str">
        <f ca="1">IFERROR(__xludf.DUMMYFUNCTION("""COMPUTED_VALUE"""),"")</f>
        <v/>
      </c>
      <c r="K150" s="88" t="str">
        <f ca="1">IFERROR(__xludf.DUMMYFUNCTION("""COMPUTED_VALUE"""),"")</f>
        <v/>
      </c>
      <c r="L150" s="91" t="str">
        <f ca="1">IFERROR(__xludf.DUMMYFUNCTION("""COMPUTED_VALUE"""),"08h25 85180 Les Sables d'Olonne (le Château d'Olonne)-.")</f>
        <v>08h25 85180 Les Sables d'Olonne (le Château d'Olonne)-.</v>
      </c>
    </row>
    <row r="151" spans="1:12" ht="15.75" customHeight="1" x14ac:dyDescent="0.2">
      <c r="A151" s="91" t="s">
        <v>49</v>
      </c>
      <c r="B151" s="88">
        <v>0</v>
      </c>
      <c r="C151" s="88">
        <v>1</v>
      </c>
      <c r="H151" s="88" t="e">
        <f t="shared" ca="1" si="0"/>
        <v>#REF!</v>
      </c>
      <c r="I151" s="88" t="e">
        <f t="shared" ca="1" si="1"/>
        <v>#REF!</v>
      </c>
      <c r="J151" s="88" t="str">
        <f ca="1">IFERROR(__xludf.DUMMYFUNCTION("""COMPUTED_VALUE"""),"")</f>
        <v/>
      </c>
      <c r="K151" s="88" t="str">
        <f ca="1">IFERROR(__xludf.DUMMYFUNCTION("""COMPUTED_VALUE"""),"")</f>
        <v/>
      </c>
      <c r="L151" s="91" t="str">
        <f ca="1">IFERROR(__xludf.DUMMYFUNCTION("""COMPUTED_VALUE"""),"08h25 85180 Les Sables d'Olonne (le Château d'Olonne)")</f>
        <v>08h25 85180 Les Sables d'Olonne (le Château d'Olonne)</v>
      </c>
    </row>
    <row r="152" spans="1:12" ht="15.75" customHeight="1" x14ac:dyDescent="0.2">
      <c r="A152" s="91" t="s">
        <v>137</v>
      </c>
      <c r="B152" s="88">
        <v>0</v>
      </c>
      <c r="C152" s="88">
        <v>1</v>
      </c>
      <c r="H152" s="88" t="e">
        <f t="shared" ca="1" si="0"/>
        <v>#REF!</v>
      </c>
      <c r="I152" s="88" t="e">
        <f t="shared" ca="1" si="1"/>
        <v>#REF!</v>
      </c>
      <c r="J152" s="88" t="str">
        <f ca="1">IFERROR(__xludf.DUMMYFUNCTION("""COMPUTED_VALUE"""),"")</f>
        <v/>
      </c>
      <c r="K152" s="88" t="str">
        <f ca="1">IFERROR(__xludf.DUMMYFUNCTION("""COMPUTED_VALUE"""),"")</f>
        <v/>
      </c>
      <c r="L152" s="91" t="str">
        <f ca="1">IFERROR(__xludf.DUMMYFUNCTION("""COMPUTED_VALUE"""),"08h25 85340 l'Île d'Olonne")</f>
        <v>08h25 85340 l'Île d'Olonne</v>
      </c>
    </row>
    <row r="153" spans="1:12" ht="15.75" customHeight="1" x14ac:dyDescent="0.2">
      <c r="A153" s="91" t="s">
        <v>24</v>
      </c>
      <c r="B153" s="88">
        <v>0</v>
      </c>
      <c r="C153" s="88">
        <v>1</v>
      </c>
      <c r="H153" s="88" t="e">
        <f t="shared" ca="1" si="0"/>
        <v>#REF!</v>
      </c>
      <c r="I153" s="88" t="e">
        <f t="shared" ca="1" si="1"/>
        <v>#REF!</v>
      </c>
      <c r="J153" s="88" t="str">
        <f ca="1">IFERROR(__xludf.DUMMYFUNCTION("""COMPUTED_VALUE"""),"")</f>
        <v/>
      </c>
      <c r="K153" s="88" t="str">
        <f ca="1">IFERROR(__xludf.DUMMYFUNCTION("""COMPUTED_VALUE"""),"")</f>
        <v/>
      </c>
      <c r="L153" s="91" t="str">
        <f ca="1">IFERROR(__xludf.DUMMYFUNCTION("""COMPUTED_VALUE"""),"08h30 85100 Les Sables d'Olonne (les Sables d'Olonne)-.")</f>
        <v>08h30 85100 Les Sables d'Olonne (les Sables d'Olonne)-.</v>
      </c>
    </row>
    <row r="154" spans="1:12" ht="15.75" customHeight="1" x14ac:dyDescent="0.2">
      <c r="A154" s="91" t="s">
        <v>23</v>
      </c>
      <c r="B154" s="88">
        <v>0</v>
      </c>
      <c r="C154" s="88">
        <v>1</v>
      </c>
      <c r="H154" s="88" t="e">
        <f t="shared" ca="1" si="0"/>
        <v>#REF!</v>
      </c>
      <c r="I154" s="88" t="e">
        <f t="shared" ca="1" si="1"/>
        <v>#REF!</v>
      </c>
      <c r="J154" s="88" t="str">
        <f ca="1">IFERROR(__xludf.DUMMYFUNCTION("""COMPUTED_VALUE"""),"")</f>
        <v/>
      </c>
      <c r="K154" s="88" t="str">
        <f ca="1">IFERROR(__xludf.DUMMYFUNCTION("""COMPUTED_VALUE"""),"")</f>
        <v/>
      </c>
      <c r="L154" s="91" t="str">
        <f ca="1">IFERROR(__xludf.DUMMYFUNCTION("""COMPUTED_VALUE"""),"08h30 85100 Les Sables d'Olonne (les Sables d'Olonne)")</f>
        <v>08h30 85100 Les Sables d'Olonne (les Sables d'Olonne)</v>
      </c>
    </row>
    <row r="155" spans="1:12" ht="15.75" customHeight="1" x14ac:dyDescent="0.2">
      <c r="A155" s="91" t="s">
        <v>15</v>
      </c>
      <c r="B155" s="88">
        <v>0</v>
      </c>
      <c r="C155" s="88">
        <v>1</v>
      </c>
      <c r="H155" s="88" t="e">
        <f t="shared" ca="1" si="0"/>
        <v>#REF!</v>
      </c>
      <c r="I155" s="88" t="e">
        <f t="shared" ca="1" si="1"/>
        <v>#REF!</v>
      </c>
      <c r="J155" s="88" t="str">
        <f ca="1">IFERROR(__xludf.DUMMYFUNCTION("""COMPUTED_VALUE"""),"")</f>
        <v/>
      </c>
      <c r="K155" s="88" t="str">
        <f ca="1">IFERROR(__xludf.DUMMYFUNCTION("""COMPUTED_VALUE"""),"")</f>
        <v/>
      </c>
      <c r="L155" s="91" t="str">
        <f ca="1">IFERROR(__xludf.DUMMYFUNCTION("""COMPUTED_VALUE"""),"08h30 85100 Les Sables d'Olonne ( la Chaume)")</f>
        <v>08h30 85100 Les Sables d'Olonne ( la Chaume)</v>
      </c>
    </row>
    <row r="156" spans="1:12" ht="15.75" customHeight="1" x14ac:dyDescent="0.2">
      <c r="A156" s="91" t="s">
        <v>93</v>
      </c>
      <c r="B156" s="88">
        <v>0</v>
      </c>
      <c r="C156" s="88">
        <v>1</v>
      </c>
      <c r="H156" s="88" t="e">
        <f t="shared" ca="1" si="0"/>
        <v>#REF!</v>
      </c>
      <c r="I156" s="88" t="e">
        <f t="shared" ca="1" si="1"/>
        <v>#REF!</v>
      </c>
      <c r="J156" s="88" t="str">
        <f ca="1">IFERROR(__xludf.DUMMYFUNCTION("""COMPUTED_VALUE"""),"")</f>
        <v/>
      </c>
      <c r="K156" s="88" t="str">
        <f ca="1">IFERROR(__xludf.DUMMYFUNCTION("""COMPUTED_VALUE"""),"")</f>
        <v/>
      </c>
      <c r="L156" s="91" t="str">
        <f ca="1">IFERROR(__xludf.DUMMYFUNCTION("""COMPUTED_VALUE"""),"08h30 85340 Les Sables d'Olonne (Olonne sur Mer)-.")</f>
        <v>08h30 85340 Les Sables d'Olonne (Olonne sur Mer)-.</v>
      </c>
    </row>
    <row r="157" spans="1:12" ht="15.75" customHeight="1" x14ac:dyDescent="0.2">
      <c r="A157" s="91" t="s">
        <v>244</v>
      </c>
      <c r="B157" s="88">
        <v>0</v>
      </c>
      <c r="C157" s="88">
        <v>1</v>
      </c>
      <c r="H157" s="88" t="e">
        <f t="shared" ca="1" si="0"/>
        <v>#REF!</v>
      </c>
      <c r="I157" s="88" t="e">
        <f t="shared" ca="1" si="1"/>
        <v>#REF!</v>
      </c>
      <c r="J157" s="88" t="str">
        <f ca="1">IFERROR(__xludf.DUMMYFUNCTION("""COMPUTED_VALUE"""),"")</f>
        <v/>
      </c>
      <c r="K157" s="88" t="str">
        <f ca="1">IFERROR(__xludf.DUMMYFUNCTION("""COMPUTED_VALUE"""),"")</f>
        <v/>
      </c>
      <c r="L157" s="91" t="str">
        <f ca="1">IFERROR(__xludf.DUMMYFUNCTION("""COMPUTED_VALUE"""),"08h30 85340 Les Sables d'Olonne (Olonne sur Mer)")</f>
        <v>08h30 85340 Les Sables d'Olonne (Olonne sur Mer)</v>
      </c>
    </row>
    <row r="158" spans="1:12" ht="15.75" customHeight="1" x14ac:dyDescent="0.2">
      <c r="A158" s="91" t="s">
        <v>51</v>
      </c>
      <c r="B158" s="88">
        <v>0</v>
      </c>
      <c r="C158" s="88">
        <v>1</v>
      </c>
      <c r="H158" s="88" t="e">
        <f t="shared" ca="1" si="0"/>
        <v>#REF!</v>
      </c>
      <c r="I158" s="88" t="e">
        <f t="shared" ca="1" si="1"/>
        <v>#REF!</v>
      </c>
      <c r="J158" s="88" t="str">
        <f ca="1">IFERROR(__xludf.DUMMYFUNCTION("""COMPUTED_VALUE"""),"")</f>
        <v/>
      </c>
      <c r="K158" s="88" t="str">
        <f ca="1">IFERROR(__xludf.DUMMYFUNCTION("""COMPUTED_VALUE"""),"")</f>
        <v/>
      </c>
      <c r="L158" s="91" t="str">
        <f ca="1">IFERROR(__xludf.DUMMYFUNCTION("""COMPUTED_VALUE"""),"08h30 85180 Les Sables d'Olonne (le Château d'Olonne)-.")</f>
        <v>08h30 85180 Les Sables d'Olonne (le Château d'Olonne)-.</v>
      </c>
    </row>
    <row r="159" spans="1:12" ht="15.75" customHeight="1" x14ac:dyDescent="0.2">
      <c r="A159" s="91" t="s">
        <v>245</v>
      </c>
      <c r="B159" s="88">
        <v>0</v>
      </c>
      <c r="C159" s="88">
        <v>1</v>
      </c>
      <c r="H159" s="88" t="e">
        <f t="shared" ca="1" si="0"/>
        <v>#REF!</v>
      </c>
      <c r="I159" s="88" t="e">
        <f t="shared" ca="1" si="1"/>
        <v>#REF!</v>
      </c>
      <c r="J159" s="88" t="str">
        <f ca="1">IFERROR(__xludf.DUMMYFUNCTION("""COMPUTED_VALUE"""),"")</f>
        <v/>
      </c>
      <c r="K159" s="88" t="str">
        <f ca="1">IFERROR(__xludf.DUMMYFUNCTION("""COMPUTED_VALUE"""),"")</f>
        <v/>
      </c>
      <c r="L159" s="91" t="str">
        <f ca="1">IFERROR(__xludf.DUMMYFUNCTION("""COMPUTED_VALUE"""),"08h30 85180 Les Sables d'Olonne (le Château d'Olonne)")</f>
        <v>08h30 85180 Les Sables d'Olonne (le Château d'Olonne)</v>
      </c>
    </row>
    <row r="160" spans="1:12" ht="15.75" customHeight="1" x14ac:dyDescent="0.2">
      <c r="A160" s="91" t="s">
        <v>138</v>
      </c>
      <c r="B160" s="88">
        <v>0</v>
      </c>
      <c r="C160" s="88">
        <v>1</v>
      </c>
      <c r="H160" s="88" t="e">
        <f t="shared" ca="1" si="0"/>
        <v>#REF!</v>
      </c>
      <c r="I160" s="88" t="e">
        <f t="shared" ca="1" si="1"/>
        <v>#REF!</v>
      </c>
      <c r="J160" s="88" t="str">
        <f ca="1">IFERROR(__xludf.DUMMYFUNCTION("""COMPUTED_VALUE"""),"")</f>
        <v/>
      </c>
      <c r="K160" s="88" t="str">
        <f ca="1">IFERROR(__xludf.DUMMYFUNCTION("""COMPUTED_VALUE"""),"")</f>
        <v/>
      </c>
      <c r="L160" s="91" t="str">
        <f ca="1">IFERROR(__xludf.DUMMYFUNCTION("""COMPUTED_VALUE"""),"08h30 85340 l'Île d'Olonne")</f>
        <v>08h30 85340 l'Île d'Olonne</v>
      </c>
    </row>
    <row r="161" spans="1:12" ht="15.75" customHeight="1" x14ac:dyDescent="0.2">
      <c r="A161" s="91" t="s">
        <v>246</v>
      </c>
      <c r="B161" s="88">
        <v>0</v>
      </c>
      <c r="C161" s="88">
        <v>1</v>
      </c>
      <c r="H161" s="88" t="e">
        <f t="shared" ca="1" si="0"/>
        <v>#REF!</v>
      </c>
      <c r="I161" s="88" t="e">
        <f t="shared" ca="1" si="1"/>
        <v>#REF!</v>
      </c>
      <c r="J161" s="88" t="str">
        <f ca="1">IFERROR(__xludf.DUMMYFUNCTION("""COMPUTED_VALUE"""),"")</f>
        <v/>
      </c>
      <c r="K161" s="88" t="str">
        <f ca="1">IFERROR(__xludf.DUMMYFUNCTION("""COMPUTED_VALUE"""),"")</f>
        <v/>
      </c>
      <c r="L161" s="91" t="str">
        <f ca="1">IFERROR(__xludf.DUMMYFUNCTION("""COMPUTED_VALUE"""),"08h35 85100 Les Sables d'Olonne (les Sables d'Olonne)-.")</f>
        <v>08h35 85100 Les Sables d'Olonne (les Sables d'Olonne)-.</v>
      </c>
    </row>
    <row r="162" spans="1:12" ht="15.75" customHeight="1" x14ac:dyDescent="0.2">
      <c r="A162" s="91" t="s">
        <v>247</v>
      </c>
      <c r="B162" s="88">
        <v>0</v>
      </c>
      <c r="C162" s="88">
        <v>1</v>
      </c>
      <c r="H162" s="88" t="e">
        <f t="shared" ca="1" si="0"/>
        <v>#REF!</v>
      </c>
      <c r="I162" s="88" t="e">
        <f t="shared" ca="1" si="1"/>
        <v>#REF!</v>
      </c>
      <c r="J162" s="88" t="str">
        <f ca="1">IFERROR(__xludf.DUMMYFUNCTION("""COMPUTED_VALUE"""),"")</f>
        <v/>
      </c>
      <c r="K162" s="88" t="str">
        <f ca="1">IFERROR(__xludf.DUMMYFUNCTION("""COMPUTED_VALUE"""),"")</f>
        <v/>
      </c>
      <c r="L162" s="91" t="str">
        <f ca="1">IFERROR(__xludf.DUMMYFUNCTION("""COMPUTED_VALUE"""),"08h35 85100 Les Sables d'Olonne (les Sables d'Olonne)")</f>
        <v>08h35 85100 Les Sables d'Olonne (les Sables d'Olonne)</v>
      </c>
    </row>
    <row r="163" spans="1:12" ht="15.75" customHeight="1" x14ac:dyDescent="0.2">
      <c r="A163" s="91" t="s">
        <v>248</v>
      </c>
      <c r="B163" s="88">
        <v>0</v>
      </c>
      <c r="C163" s="88">
        <v>1</v>
      </c>
      <c r="H163" s="88" t="e">
        <f t="shared" ca="1" si="0"/>
        <v>#REF!</v>
      </c>
      <c r="I163" s="88" t="e">
        <f t="shared" ca="1" si="1"/>
        <v>#REF!</v>
      </c>
      <c r="J163" s="88" t="str">
        <f ca="1">IFERROR(__xludf.DUMMYFUNCTION("""COMPUTED_VALUE"""),"")</f>
        <v/>
      </c>
      <c r="K163" s="88" t="str">
        <f ca="1">IFERROR(__xludf.DUMMYFUNCTION("""COMPUTED_VALUE"""),"")</f>
        <v/>
      </c>
      <c r="L163" s="91" t="str">
        <f ca="1">IFERROR(__xludf.DUMMYFUNCTION("""COMPUTED_VALUE"""),"08h35 85100 Les Sables d'Olonne ( la Chaume)")</f>
        <v>08h35 85100 Les Sables d'Olonne ( la Chaume)</v>
      </c>
    </row>
    <row r="164" spans="1:12" ht="15.75" customHeight="1" x14ac:dyDescent="0.2">
      <c r="A164" s="91" t="s">
        <v>94</v>
      </c>
      <c r="B164" s="88">
        <v>0</v>
      </c>
      <c r="C164" s="88">
        <v>1</v>
      </c>
      <c r="H164" s="88" t="e">
        <f t="shared" ca="1" si="0"/>
        <v>#REF!</v>
      </c>
      <c r="I164" s="88" t="e">
        <f t="shared" ca="1" si="1"/>
        <v>#REF!</v>
      </c>
      <c r="J164" s="88" t="str">
        <f ca="1">IFERROR(__xludf.DUMMYFUNCTION("""COMPUTED_VALUE"""),"")</f>
        <v/>
      </c>
      <c r="K164" s="88" t="str">
        <f ca="1">IFERROR(__xludf.DUMMYFUNCTION("""COMPUTED_VALUE"""),"")</f>
        <v/>
      </c>
      <c r="L164" s="91" t="str">
        <f ca="1">IFERROR(__xludf.DUMMYFUNCTION("""COMPUTED_VALUE"""),"08h35 85340 Les Sables d'Olonne (Olonne sur Mer)-.")</f>
        <v>08h35 85340 Les Sables d'Olonne (Olonne sur Mer)-.</v>
      </c>
    </row>
    <row r="165" spans="1:12" ht="15.75" customHeight="1" x14ac:dyDescent="0.2">
      <c r="A165" s="91" t="s">
        <v>249</v>
      </c>
      <c r="B165" s="88">
        <v>0</v>
      </c>
      <c r="C165" s="88">
        <v>1</v>
      </c>
      <c r="H165" s="88" t="e">
        <f t="shared" ca="1" si="0"/>
        <v>#REF!</v>
      </c>
      <c r="I165" s="88" t="e">
        <f t="shared" ca="1" si="1"/>
        <v>#REF!</v>
      </c>
      <c r="J165" s="88" t="str">
        <f ca="1">IFERROR(__xludf.DUMMYFUNCTION("""COMPUTED_VALUE"""),"")</f>
        <v/>
      </c>
      <c r="K165" s="88" t="str">
        <f ca="1">IFERROR(__xludf.DUMMYFUNCTION("""COMPUTED_VALUE"""),"")</f>
        <v/>
      </c>
      <c r="L165" s="91" t="str">
        <f ca="1">IFERROR(__xludf.DUMMYFUNCTION("""COMPUTED_VALUE"""),"08h35 85340 Les Sables d'Olonne (Olonne sur Mer)")</f>
        <v>08h35 85340 Les Sables d'Olonne (Olonne sur Mer)</v>
      </c>
    </row>
    <row r="166" spans="1:12" ht="15.75" customHeight="1" x14ac:dyDescent="0.2">
      <c r="A166" s="91" t="s">
        <v>52</v>
      </c>
      <c r="B166" s="88">
        <v>0</v>
      </c>
      <c r="C166" s="88">
        <v>1</v>
      </c>
      <c r="H166" s="88" t="e">
        <f t="shared" ca="1" si="0"/>
        <v>#REF!</v>
      </c>
      <c r="I166" s="88" t="e">
        <f t="shared" ca="1" si="1"/>
        <v>#REF!</v>
      </c>
      <c r="J166" s="88" t="str">
        <f ca="1">IFERROR(__xludf.DUMMYFUNCTION("""COMPUTED_VALUE"""),"")</f>
        <v/>
      </c>
      <c r="K166" s="88" t="str">
        <f ca="1">IFERROR(__xludf.DUMMYFUNCTION("""COMPUTED_VALUE"""),"")</f>
        <v/>
      </c>
      <c r="L166" s="91" t="str">
        <f ca="1">IFERROR(__xludf.DUMMYFUNCTION("""COMPUTED_VALUE"""),"08h35 85180 Les Sables d'Olonne (le Château d'Olonne)-.")</f>
        <v>08h35 85180 Les Sables d'Olonne (le Château d'Olonne)-.</v>
      </c>
    </row>
    <row r="167" spans="1:12" ht="15.75" customHeight="1" x14ac:dyDescent="0.2">
      <c r="A167" s="91" t="s">
        <v>250</v>
      </c>
      <c r="B167" s="88">
        <v>0</v>
      </c>
      <c r="C167" s="88">
        <v>1</v>
      </c>
      <c r="H167" s="88" t="e">
        <f t="shared" ca="1" si="0"/>
        <v>#REF!</v>
      </c>
      <c r="I167" s="88" t="e">
        <f t="shared" ca="1" si="1"/>
        <v>#REF!</v>
      </c>
      <c r="J167" s="88" t="str">
        <f ca="1">IFERROR(__xludf.DUMMYFUNCTION("""COMPUTED_VALUE"""),"")</f>
        <v/>
      </c>
      <c r="K167" s="88" t="str">
        <f ca="1">IFERROR(__xludf.DUMMYFUNCTION("""COMPUTED_VALUE"""),"")</f>
        <v/>
      </c>
      <c r="L167" s="91" t="str">
        <f ca="1">IFERROR(__xludf.DUMMYFUNCTION("""COMPUTED_VALUE"""),"08h35 85180 Les Sables d'Olonne (le Château d'Olonne)")</f>
        <v>08h35 85180 Les Sables d'Olonne (le Château d'Olonne)</v>
      </c>
    </row>
    <row r="168" spans="1:12" ht="15.75" customHeight="1" x14ac:dyDescent="0.2">
      <c r="A168" s="91" t="s">
        <v>30</v>
      </c>
      <c r="B168" s="88">
        <v>0</v>
      </c>
      <c r="C168" s="88">
        <v>1</v>
      </c>
      <c r="H168" s="88" t="e">
        <f t="shared" ca="1" si="0"/>
        <v>#REF!</v>
      </c>
      <c r="I168" s="88" t="e">
        <f t="shared" ca="1" si="1"/>
        <v>#REF!</v>
      </c>
      <c r="J168" s="88" t="str">
        <f ca="1">IFERROR(__xludf.DUMMYFUNCTION("""COMPUTED_VALUE"""),"")</f>
        <v/>
      </c>
      <c r="K168" s="88" t="str">
        <f ca="1">IFERROR(__xludf.DUMMYFUNCTION("""COMPUTED_VALUE"""),"")</f>
        <v/>
      </c>
      <c r="L168" s="91" t="str">
        <f ca="1">IFERROR(__xludf.DUMMYFUNCTION("""COMPUTED_VALUE"""),"08h35 85150 Saint-Mathurin")</f>
        <v>08h35 85150 Saint-Mathurin</v>
      </c>
    </row>
    <row r="169" spans="1:12" ht="15.75" customHeight="1" x14ac:dyDescent="0.2">
      <c r="A169" s="91" t="s">
        <v>251</v>
      </c>
      <c r="B169" s="88">
        <v>0</v>
      </c>
      <c r="C169" s="88">
        <v>1</v>
      </c>
      <c r="H169" s="88" t="e">
        <f t="shared" ca="1" si="0"/>
        <v>#REF!</v>
      </c>
      <c r="I169" s="88" t="e">
        <f t="shared" ca="1" si="1"/>
        <v>#REF!</v>
      </c>
      <c r="J169" s="88" t="str">
        <f ca="1">IFERROR(__xludf.DUMMYFUNCTION("""COMPUTED_VALUE"""),"")</f>
        <v/>
      </c>
      <c r="K169" s="88" t="str">
        <f ca="1">IFERROR(__xludf.DUMMYFUNCTION("""COMPUTED_VALUE"""),"")</f>
        <v/>
      </c>
      <c r="L169" s="91" t="str">
        <f ca="1">IFERROR(__xludf.DUMMYFUNCTION("""COMPUTED_VALUE"""),"08h40 85100 Les Sables d'Olonne (les Sables d'Olonne)-.")</f>
        <v>08h40 85100 Les Sables d'Olonne (les Sables d'Olonne)-.</v>
      </c>
    </row>
    <row r="170" spans="1:12" ht="15.75" customHeight="1" x14ac:dyDescent="0.2">
      <c r="A170" s="91" t="s">
        <v>252</v>
      </c>
      <c r="B170" s="88">
        <v>0</v>
      </c>
      <c r="C170" s="88">
        <v>1</v>
      </c>
      <c r="H170" s="88" t="e">
        <f t="shared" ca="1" si="0"/>
        <v>#REF!</v>
      </c>
      <c r="I170" s="88" t="e">
        <f t="shared" ca="1" si="1"/>
        <v>#REF!</v>
      </c>
      <c r="J170" s="88" t="str">
        <f ca="1">IFERROR(__xludf.DUMMYFUNCTION("""COMPUTED_VALUE"""),"")</f>
        <v/>
      </c>
      <c r="K170" s="88" t="str">
        <f ca="1">IFERROR(__xludf.DUMMYFUNCTION("""COMPUTED_VALUE"""),"")</f>
        <v/>
      </c>
      <c r="L170" s="91" t="str">
        <f ca="1">IFERROR(__xludf.DUMMYFUNCTION("""COMPUTED_VALUE"""),"08h40 85100 Les Sables d'Olonne (les Sables d'Olonne)")</f>
        <v>08h40 85100 Les Sables d'Olonne (les Sables d'Olonne)</v>
      </c>
    </row>
    <row r="171" spans="1:12" ht="15.75" customHeight="1" x14ac:dyDescent="0.2">
      <c r="A171" s="91" t="s">
        <v>253</v>
      </c>
      <c r="B171" s="88">
        <v>0</v>
      </c>
      <c r="C171" s="88">
        <v>1</v>
      </c>
      <c r="H171" s="88" t="e">
        <f t="shared" ca="1" si="0"/>
        <v>#REF!</v>
      </c>
      <c r="I171" s="88" t="e">
        <f t="shared" ca="1" si="1"/>
        <v>#REF!</v>
      </c>
      <c r="J171" s="88" t="str">
        <f ca="1">IFERROR(__xludf.DUMMYFUNCTION("""COMPUTED_VALUE"""),"")</f>
        <v/>
      </c>
      <c r="K171" s="88" t="str">
        <f ca="1">IFERROR(__xludf.DUMMYFUNCTION("""COMPUTED_VALUE"""),"")</f>
        <v/>
      </c>
      <c r="L171" s="91" t="str">
        <f ca="1">IFERROR(__xludf.DUMMYFUNCTION("""COMPUTED_VALUE"""),"08h40 85100 Les Sables d'Olonne ( la Chaume)")</f>
        <v>08h40 85100 Les Sables d'Olonne ( la Chaume)</v>
      </c>
    </row>
    <row r="172" spans="1:12" ht="15.75" customHeight="1" x14ac:dyDescent="0.2">
      <c r="A172" s="91" t="s">
        <v>96</v>
      </c>
      <c r="B172" s="88">
        <v>0</v>
      </c>
      <c r="C172" s="88">
        <v>1</v>
      </c>
      <c r="H172" s="88" t="e">
        <f t="shared" ca="1" si="0"/>
        <v>#REF!</v>
      </c>
      <c r="I172" s="88" t="e">
        <f t="shared" ca="1" si="1"/>
        <v>#REF!</v>
      </c>
      <c r="J172" s="88" t="str">
        <f ca="1">IFERROR(__xludf.DUMMYFUNCTION("""COMPUTED_VALUE"""),"")</f>
        <v/>
      </c>
      <c r="K172" s="88" t="str">
        <f ca="1">IFERROR(__xludf.DUMMYFUNCTION("""COMPUTED_VALUE"""),"")</f>
        <v/>
      </c>
      <c r="L172" s="91" t="str">
        <f ca="1">IFERROR(__xludf.DUMMYFUNCTION("""COMPUTED_VALUE"""),"08h40 85340 Les Sables d'Olonne (Olonne sur Mer)-.")</f>
        <v>08h40 85340 Les Sables d'Olonne (Olonne sur Mer)-.</v>
      </c>
    </row>
    <row r="173" spans="1:12" ht="15.75" customHeight="1" x14ac:dyDescent="0.2">
      <c r="A173" s="91" t="s">
        <v>95</v>
      </c>
      <c r="B173" s="88">
        <v>0</v>
      </c>
      <c r="C173" s="88">
        <v>1</v>
      </c>
      <c r="H173" s="88" t="e">
        <f t="shared" ca="1" si="0"/>
        <v>#REF!</v>
      </c>
      <c r="I173" s="88" t="e">
        <f t="shared" ca="1" si="1"/>
        <v>#REF!</v>
      </c>
      <c r="J173" s="88" t="str">
        <f ca="1">IFERROR(__xludf.DUMMYFUNCTION("""COMPUTED_VALUE"""),"")</f>
        <v/>
      </c>
      <c r="K173" s="88" t="str">
        <f ca="1">IFERROR(__xludf.DUMMYFUNCTION("""COMPUTED_VALUE"""),"")</f>
        <v/>
      </c>
      <c r="L173" s="91" t="str">
        <f ca="1">IFERROR(__xludf.DUMMYFUNCTION("""COMPUTED_VALUE"""),"08h40 85340 Les Sables d'Olonne (Olonne sur Mer)")</f>
        <v>08h40 85340 Les Sables d'Olonne (Olonne sur Mer)</v>
      </c>
    </row>
    <row r="174" spans="1:12" ht="15.75" customHeight="1" x14ac:dyDescent="0.2">
      <c r="A174" s="91" t="s">
        <v>254</v>
      </c>
      <c r="B174" s="88">
        <v>0</v>
      </c>
      <c r="C174" s="88">
        <v>1</v>
      </c>
      <c r="H174" s="88" t="e">
        <f t="shared" ca="1" si="0"/>
        <v>#REF!</v>
      </c>
      <c r="I174" s="88" t="e">
        <f t="shared" ca="1" si="1"/>
        <v>#REF!</v>
      </c>
      <c r="J174" s="88" t="str">
        <f ca="1">IFERROR(__xludf.DUMMYFUNCTION("""COMPUTED_VALUE"""),"")</f>
        <v/>
      </c>
      <c r="K174" s="88" t="str">
        <f ca="1">IFERROR(__xludf.DUMMYFUNCTION("""COMPUTED_VALUE"""),"")</f>
        <v/>
      </c>
      <c r="L174" s="91" t="str">
        <f ca="1">IFERROR(__xludf.DUMMYFUNCTION("""COMPUTED_VALUE"""),"08h40 85180 Les Sables d'Olonne (le Château d'Olonne)-.")</f>
        <v>08h40 85180 Les Sables d'Olonne (le Château d'Olonne)-.</v>
      </c>
    </row>
    <row r="175" spans="1:12" ht="15.75" customHeight="1" x14ac:dyDescent="0.2">
      <c r="A175" s="91" t="s">
        <v>255</v>
      </c>
      <c r="B175" s="88">
        <v>0</v>
      </c>
      <c r="C175" s="88">
        <v>1</v>
      </c>
      <c r="H175" s="88" t="e">
        <f t="shared" ca="1" si="0"/>
        <v>#REF!</v>
      </c>
      <c r="I175" s="88" t="e">
        <f t="shared" ca="1" si="1"/>
        <v>#REF!</v>
      </c>
      <c r="J175" s="88" t="str">
        <f ca="1">IFERROR(__xludf.DUMMYFUNCTION("""COMPUTED_VALUE"""),"")</f>
        <v/>
      </c>
      <c r="K175" s="88" t="str">
        <f ca="1">IFERROR(__xludf.DUMMYFUNCTION("""COMPUTED_VALUE"""),"")</f>
        <v/>
      </c>
      <c r="L175" s="91" t="str">
        <f ca="1">IFERROR(__xludf.DUMMYFUNCTION("""COMPUTED_VALUE"""),"08h40 85180 Les Sables d'Olonne (le Château d'Olonne)")</f>
        <v>08h40 85180 Les Sables d'Olonne (le Château d'Olonne)</v>
      </c>
    </row>
    <row r="176" spans="1:12" ht="15.75" customHeight="1" x14ac:dyDescent="0.2">
      <c r="A176" s="91" t="s">
        <v>31</v>
      </c>
      <c r="B176" s="88">
        <v>0</v>
      </c>
      <c r="C176" s="88">
        <v>1</v>
      </c>
      <c r="H176" s="88" t="e">
        <f t="shared" ca="1" si="0"/>
        <v>#REF!</v>
      </c>
      <c r="I176" s="88" t="e">
        <f t="shared" ca="1" si="1"/>
        <v>#REF!</v>
      </c>
      <c r="J176" s="88" t="str">
        <f ca="1">IFERROR(__xludf.DUMMYFUNCTION("""COMPUTED_VALUE"""),"")</f>
        <v/>
      </c>
      <c r="K176" s="88" t="str">
        <f ca="1">IFERROR(__xludf.DUMMYFUNCTION("""COMPUTED_VALUE"""),"")</f>
        <v/>
      </c>
      <c r="L176" s="91" t="str">
        <f ca="1">IFERROR(__xludf.DUMMYFUNCTION("""COMPUTED_VALUE"""),"08h40 85150 Saint-Mathurin")</f>
        <v>08h40 85150 Saint-Mathurin</v>
      </c>
    </row>
    <row r="177" spans="1:12" ht="15.75" customHeight="1" x14ac:dyDescent="0.2">
      <c r="A177" s="91" t="s">
        <v>256</v>
      </c>
      <c r="B177" s="88">
        <v>0</v>
      </c>
      <c r="C177" s="88">
        <v>1</v>
      </c>
      <c r="H177" s="88" t="e">
        <f t="shared" ca="1" si="0"/>
        <v>#REF!</v>
      </c>
      <c r="I177" s="88" t="e">
        <f t="shared" ca="1" si="1"/>
        <v>#REF!</v>
      </c>
      <c r="J177" s="88" t="str">
        <f ca="1">IFERROR(__xludf.DUMMYFUNCTION("""COMPUTED_VALUE"""),"")</f>
        <v/>
      </c>
      <c r="K177" s="88" t="str">
        <f ca="1">IFERROR(__xludf.DUMMYFUNCTION("""COMPUTED_VALUE"""),"")</f>
        <v/>
      </c>
      <c r="L177" s="91" t="str">
        <f ca="1">IFERROR(__xludf.DUMMYFUNCTION("""COMPUTED_VALUE"""),"08h45 85100 Les Sables d'Olonne (les Sables d'Olonne)-.")</f>
        <v>08h45 85100 Les Sables d'Olonne (les Sables d'Olonne)-.</v>
      </c>
    </row>
    <row r="178" spans="1:12" ht="15.75" customHeight="1" x14ac:dyDescent="0.2">
      <c r="A178" s="91" t="s">
        <v>257</v>
      </c>
      <c r="B178" s="88">
        <v>0</v>
      </c>
      <c r="C178" s="88">
        <v>1</v>
      </c>
      <c r="H178" s="88" t="e">
        <f t="shared" ca="1" si="0"/>
        <v>#REF!</v>
      </c>
      <c r="I178" s="88" t="e">
        <f t="shared" ca="1" si="1"/>
        <v>#REF!</v>
      </c>
      <c r="J178" s="88" t="str">
        <f ca="1">IFERROR(__xludf.DUMMYFUNCTION("""COMPUTED_VALUE"""),"")</f>
        <v/>
      </c>
      <c r="K178" s="88" t="str">
        <f ca="1">IFERROR(__xludf.DUMMYFUNCTION("""COMPUTED_VALUE"""),"")</f>
        <v/>
      </c>
      <c r="L178" s="91" t="str">
        <f ca="1">IFERROR(__xludf.DUMMYFUNCTION("""COMPUTED_VALUE"""),"08h45 85100 Les Sables d'Olonne (les Sables d'Olonne)")</f>
        <v>08h45 85100 Les Sables d'Olonne (les Sables d'Olonne)</v>
      </c>
    </row>
    <row r="179" spans="1:12" ht="15.75" customHeight="1" x14ac:dyDescent="0.2">
      <c r="A179" s="91" t="s">
        <v>258</v>
      </c>
      <c r="B179" s="88">
        <v>0</v>
      </c>
      <c r="C179" s="88">
        <v>1</v>
      </c>
      <c r="H179" s="88" t="e">
        <f t="shared" ca="1" si="0"/>
        <v>#REF!</v>
      </c>
      <c r="I179" s="88" t="e">
        <f t="shared" ca="1" si="1"/>
        <v>#REF!</v>
      </c>
      <c r="J179" s="88" t="str">
        <f ca="1">IFERROR(__xludf.DUMMYFUNCTION("""COMPUTED_VALUE"""),"")</f>
        <v/>
      </c>
      <c r="K179" s="88" t="str">
        <f ca="1">IFERROR(__xludf.DUMMYFUNCTION("""COMPUTED_VALUE"""),"")</f>
        <v/>
      </c>
      <c r="L179" s="91" t="str">
        <f ca="1">IFERROR(__xludf.DUMMYFUNCTION("""COMPUTED_VALUE"""),"08h45 85100 Les Sables d'Olonne ( la Chaume)")</f>
        <v>08h45 85100 Les Sables d'Olonne ( la Chaume)</v>
      </c>
    </row>
    <row r="180" spans="1:12" ht="15.75" customHeight="1" x14ac:dyDescent="0.2">
      <c r="A180" s="91" t="s">
        <v>97</v>
      </c>
      <c r="B180" s="88">
        <v>0</v>
      </c>
      <c r="C180" s="88">
        <v>1</v>
      </c>
      <c r="H180" s="88" t="e">
        <f t="shared" ca="1" si="0"/>
        <v>#REF!</v>
      </c>
      <c r="I180" s="88" t="e">
        <f t="shared" ca="1" si="1"/>
        <v>#REF!</v>
      </c>
      <c r="J180" s="88" t="str">
        <f ca="1">IFERROR(__xludf.DUMMYFUNCTION("""COMPUTED_VALUE"""),"")</f>
        <v/>
      </c>
      <c r="K180" s="88" t="str">
        <f ca="1">IFERROR(__xludf.DUMMYFUNCTION("""COMPUTED_VALUE"""),"")</f>
        <v/>
      </c>
      <c r="L180" s="91" t="str">
        <f ca="1">IFERROR(__xludf.DUMMYFUNCTION("""COMPUTED_VALUE"""),"08h45 85340 Les Sables d'Olonne (Olonne sur Mer)-.")</f>
        <v>08h45 85340 Les Sables d'Olonne (Olonne sur Mer)-.</v>
      </c>
    </row>
    <row r="181" spans="1:12" ht="15.75" customHeight="1" x14ac:dyDescent="0.2">
      <c r="A181" s="91" t="s">
        <v>259</v>
      </c>
      <c r="B181" s="88">
        <v>0</v>
      </c>
      <c r="C181" s="88">
        <v>1</v>
      </c>
      <c r="H181" s="88" t="e">
        <f t="shared" ca="1" si="0"/>
        <v>#REF!</v>
      </c>
      <c r="I181" s="88" t="e">
        <f t="shared" ca="1" si="1"/>
        <v>#REF!</v>
      </c>
      <c r="J181" s="88" t="str">
        <f ca="1">IFERROR(__xludf.DUMMYFUNCTION("""COMPUTED_VALUE"""),"")</f>
        <v/>
      </c>
      <c r="K181" s="88" t="str">
        <f ca="1">IFERROR(__xludf.DUMMYFUNCTION("""COMPUTED_VALUE"""),"")</f>
        <v/>
      </c>
      <c r="L181" s="91" t="str">
        <f ca="1">IFERROR(__xludf.DUMMYFUNCTION("""COMPUTED_VALUE"""),"08h45 85340 Les Sables d'Olonne (Olonne sur Mer)")</f>
        <v>08h45 85340 Les Sables d'Olonne (Olonne sur Mer)</v>
      </c>
    </row>
    <row r="182" spans="1:12" ht="15.75" customHeight="1" x14ac:dyDescent="0.2">
      <c r="A182" s="91" t="s">
        <v>53</v>
      </c>
      <c r="B182" s="88">
        <v>0</v>
      </c>
      <c r="C182" s="88">
        <v>1</v>
      </c>
      <c r="H182" s="88" t="e">
        <f t="shared" ca="1" si="0"/>
        <v>#REF!</v>
      </c>
      <c r="I182" s="88" t="e">
        <f t="shared" ca="1" si="1"/>
        <v>#REF!</v>
      </c>
      <c r="J182" s="88" t="str">
        <f ca="1">IFERROR(__xludf.DUMMYFUNCTION("""COMPUTED_VALUE"""),"")</f>
        <v/>
      </c>
      <c r="K182" s="88" t="str">
        <f ca="1">IFERROR(__xludf.DUMMYFUNCTION("""COMPUTED_VALUE"""),"")</f>
        <v/>
      </c>
      <c r="L182" s="91" t="str">
        <f ca="1">IFERROR(__xludf.DUMMYFUNCTION("""COMPUTED_VALUE"""),"08h45 85180 Les Sables d'Olonne (le Château d'Olonne)-.")</f>
        <v>08h45 85180 Les Sables d'Olonne (le Château d'Olonne)-.</v>
      </c>
    </row>
    <row r="183" spans="1:12" ht="15.75" customHeight="1" x14ac:dyDescent="0.2">
      <c r="A183" s="91" t="s">
        <v>260</v>
      </c>
      <c r="B183" s="88">
        <v>0</v>
      </c>
      <c r="C183" s="88">
        <v>1</v>
      </c>
      <c r="H183" s="88" t="e">
        <f t="shared" ca="1" si="0"/>
        <v>#REF!</v>
      </c>
      <c r="I183" s="88" t="e">
        <f t="shared" ca="1" si="1"/>
        <v>#REF!</v>
      </c>
      <c r="J183" s="88" t="str">
        <f ca="1">IFERROR(__xludf.DUMMYFUNCTION("""COMPUTED_VALUE"""),"")</f>
        <v/>
      </c>
      <c r="K183" s="88" t="str">
        <f ca="1">IFERROR(__xludf.DUMMYFUNCTION("""COMPUTED_VALUE"""),"")</f>
        <v/>
      </c>
      <c r="L183" s="91" t="str">
        <f ca="1">IFERROR(__xludf.DUMMYFUNCTION("""COMPUTED_VALUE"""),"08h45 85180 Les Sables d'Olonne (le Château d'Olonne)")</f>
        <v>08h45 85180 Les Sables d'Olonne (le Château d'Olonne)</v>
      </c>
    </row>
    <row r="184" spans="1:12" ht="15.75" customHeight="1" x14ac:dyDescent="0.2">
      <c r="A184" s="91" t="s">
        <v>32</v>
      </c>
      <c r="B184" s="88">
        <v>0</v>
      </c>
      <c r="C184" s="88">
        <v>1</v>
      </c>
      <c r="H184" s="88" t="e">
        <f t="shared" ca="1" si="0"/>
        <v>#REF!</v>
      </c>
      <c r="I184" s="88" t="e">
        <f t="shared" ca="1" si="1"/>
        <v>#REF!</v>
      </c>
      <c r="J184" s="88" t="str">
        <f ca="1">IFERROR(__xludf.DUMMYFUNCTION("""COMPUTED_VALUE"""),"")</f>
        <v/>
      </c>
      <c r="K184" s="88" t="str">
        <f ca="1">IFERROR(__xludf.DUMMYFUNCTION("""COMPUTED_VALUE"""),"")</f>
        <v/>
      </c>
      <c r="L184" s="91" t="str">
        <f ca="1">IFERROR(__xludf.DUMMYFUNCTION("""COMPUTED_VALUE"""),"08h45 85150 Saint-Mathurin")</f>
        <v>08h45 85150 Saint-Mathurin</v>
      </c>
    </row>
    <row r="185" spans="1:12" ht="15.75" customHeight="1" x14ac:dyDescent="0.2">
      <c r="A185" s="91" t="s">
        <v>261</v>
      </c>
      <c r="B185" s="88">
        <v>0</v>
      </c>
      <c r="C185" s="88">
        <v>1</v>
      </c>
      <c r="H185" s="88" t="e">
        <f t="shared" ca="1" si="0"/>
        <v>#REF!</v>
      </c>
      <c r="I185" s="88" t="e">
        <f t="shared" ca="1" si="1"/>
        <v>#REF!</v>
      </c>
      <c r="J185" s="88" t="str">
        <f ca="1">IFERROR(__xludf.DUMMYFUNCTION("""COMPUTED_VALUE"""),"")</f>
        <v/>
      </c>
      <c r="K185" s="88" t="str">
        <f ca="1">IFERROR(__xludf.DUMMYFUNCTION("""COMPUTED_VALUE"""),"")</f>
        <v/>
      </c>
      <c r="L185" s="91" t="str">
        <f ca="1">IFERROR(__xludf.DUMMYFUNCTION("""COMPUTED_VALUE"""),"08h50 85100 Les Sables d'Olonne (les Sables d'Olonne)-.")</f>
        <v>08h50 85100 Les Sables d'Olonne (les Sables d'Olonne)-.</v>
      </c>
    </row>
    <row r="186" spans="1:12" ht="15.75" customHeight="1" x14ac:dyDescent="0.2">
      <c r="A186" s="91" t="s">
        <v>262</v>
      </c>
      <c r="B186" s="88">
        <v>0</v>
      </c>
      <c r="C186" s="88">
        <v>1</v>
      </c>
      <c r="H186" s="88" t="e">
        <f t="shared" ca="1" si="0"/>
        <v>#REF!</v>
      </c>
      <c r="I186" s="88" t="e">
        <f t="shared" ca="1" si="1"/>
        <v>#REF!</v>
      </c>
      <c r="J186" s="88" t="str">
        <f ca="1">IFERROR(__xludf.DUMMYFUNCTION("""COMPUTED_VALUE"""),"")</f>
        <v/>
      </c>
      <c r="K186" s="88" t="str">
        <f ca="1">IFERROR(__xludf.DUMMYFUNCTION("""COMPUTED_VALUE"""),"")</f>
        <v/>
      </c>
      <c r="L186" s="91" t="str">
        <f ca="1">IFERROR(__xludf.DUMMYFUNCTION("""COMPUTED_VALUE"""),"08h50 85100 Les Sables d'Olonne (les Sables d'Olonne)")</f>
        <v>08h50 85100 Les Sables d'Olonne (les Sables d'Olonne)</v>
      </c>
    </row>
    <row r="187" spans="1:12" ht="15.75" customHeight="1" x14ac:dyDescent="0.2">
      <c r="A187" s="91" t="s">
        <v>263</v>
      </c>
      <c r="B187" s="88">
        <v>0</v>
      </c>
      <c r="C187" s="88">
        <v>1</v>
      </c>
      <c r="H187" s="88" t="e">
        <f t="shared" ca="1" si="0"/>
        <v>#REF!</v>
      </c>
      <c r="I187" s="88" t="e">
        <f t="shared" ca="1" si="1"/>
        <v>#REF!</v>
      </c>
      <c r="J187" s="88" t="str">
        <f ca="1">IFERROR(__xludf.DUMMYFUNCTION("""COMPUTED_VALUE"""),"")</f>
        <v/>
      </c>
      <c r="K187" s="88" t="str">
        <f ca="1">IFERROR(__xludf.DUMMYFUNCTION("""COMPUTED_VALUE"""),"")</f>
        <v/>
      </c>
      <c r="L187" s="91" t="str">
        <f ca="1">IFERROR(__xludf.DUMMYFUNCTION("""COMPUTED_VALUE"""),"08h50 85100 Les Sables d'Olonne ( la Chaume)")</f>
        <v>08h50 85100 Les Sables d'Olonne ( la Chaume)</v>
      </c>
    </row>
    <row r="188" spans="1:12" ht="15.75" customHeight="1" x14ac:dyDescent="0.2">
      <c r="A188" s="91" t="s">
        <v>99</v>
      </c>
      <c r="B188" s="88">
        <v>0</v>
      </c>
      <c r="C188" s="88">
        <v>1</v>
      </c>
      <c r="H188" s="88" t="e">
        <f t="shared" ca="1" si="0"/>
        <v>#REF!</v>
      </c>
      <c r="I188" s="88" t="e">
        <f t="shared" ca="1" si="1"/>
        <v>#REF!</v>
      </c>
      <c r="J188" s="88" t="str">
        <f ca="1">IFERROR(__xludf.DUMMYFUNCTION("""COMPUTED_VALUE"""),"")</f>
        <v/>
      </c>
      <c r="K188" s="88" t="str">
        <f ca="1">IFERROR(__xludf.DUMMYFUNCTION("""COMPUTED_VALUE"""),"")</f>
        <v/>
      </c>
      <c r="L188" s="91" t="str">
        <f ca="1">IFERROR(__xludf.DUMMYFUNCTION("""COMPUTED_VALUE"""),"08h50 85340 Les Sables d'Olonne (Olonne sur Mer)-.")</f>
        <v>08h50 85340 Les Sables d'Olonne (Olonne sur Mer)-.</v>
      </c>
    </row>
    <row r="189" spans="1:12" ht="15.75" customHeight="1" x14ac:dyDescent="0.2">
      <c r="A189" s="91" t="s">
        <v>98</v>
      </c>
      <c r="B189" s="88">
        <v>0</v>
      </c>
      <c r="C189" s="88">
        <v>1</v>
      </c>
      <c r="H189" s="88" t="e">
        <f t="shared" ca="1" si="0"/>
        <v>#REF!</v>
      </c>
      <c r="I189" s="88" t="e">
        <f t="shared" ca="1" si="1"/>
        <v>#REF!</v>
      </c>
      <c r="J189" s="88" t="str">
        <f ca="1">IFERROR(__xludf.DUMMYFUNCTION("""COMPUTED_VALUE"""),"")</f>
        <v/>
      </c>
      <c r="K189" s="88" t="str">
        <f ca="1">IFERROR(__xludf.DUMMYFUNCTION("""COMPUTED_VALUE"""),"")</f>
        <v/>
      </c>
      <c r="L189" s="91" t="str">
        <f ca="1">IFERROR(__xludf.DUMMYFUNCTION("""COMPUTED_VALUE"""),"08h50 85340 Les Sables d'Olonne (Olonne sur Mer)")</f>
        <v>08h50 85340 Les Sables d'Olonne (Olonne sur Mer)</v>
      </c>
    </row>
    <row r="190" spans="1:12" ht="15.75" customHeight="1" x14ac:dyDescent="0.2">
      <c r="A190" s="91" t="s">
        <v>54</v>
      </c>
      <c r="B190" s="88">
        <v>0</v>
      </c>
      <c r="C190" s="88">
        <v>1</v>
      </c>
      <c r="H190" s="88" t="e">
        <f t="shared" ca="1" si="0"/>
        <v>#REF!</v>
      </c>
      <c r="I190" s="88" t="e">
        <f t="shared" ca="1" si="1"/>
        <v>#REF!</v>
      </c>
      <c r="J190" s="88" t="str">
        <f ca="1">IFERROR(__xludf.DUMMYFUNCTION("""COMPUTED_VALUE"""),"")</f>
        <v/>
      </c>
      <c r="K190" s="88" t="str">
        <f ca="1">IFERROR(__xludf.DUMMYFUNCTION("""COMPUTED_VALUE"""),"")</f>
        <v/>
      </c>
      <c r="L190" s="91" t="str">
        <f ca="1">IFERROR(__xludf.DUMMYFUNCTION("""COMPUTED_VALUE"""),"08h50 85180 Les Sables d'Olonne (le Château d'Olonne)-.")</f>
        <v>08h50 85180 Les Sables d'Olonne (le Château d'Olonne)-.</v>
      </c>
    </row>
    <row r="191" spans="1:12" ht="15.75" customHeight="1" x14ac:dyDescent="0.2">
      <c r="A191" s="91" t="s">
        <v>264</v>
      </c>
      <c r="B191" s="88">
        <v>0</v>
      </c>
      <c r="C191" s="88">
        <v>1</v>
      </c>
      <c r="H191" s="88" t="e">
        <f t="shared" ca="1" si="0"/>
        <v>#REF!</v>
      </c>
      <c r="I191" s="88" t="e">
        <f t="shared" ca="1" si="1"/>
        <v>#REF!</v>
      </c>
      <c r="J191" s="88" t="str">
        <f ca="1">IFERROR(__xludf.DUMMYFUNCTION("""COMPUTED_VALUE"""),"")</f>
        <v/>
      </c>
      <c r="K191" s="88" t="str">
        <f ca="1">IFERROR(__xludf.DUMMYFUNCTION("""COMPUTED_VALUE"""),"")</f>
        <v/>
      </c>
      <c r="L191" s="91" t="str">
        <f ca="1">IFERROR(__xludf.DUMMYFUNCTION("""COMPUTED_VALUE"""),"08h50 85180 Les Sables d'Olonne (le Château d'Olonne)")</f>
        <v>08h50 85180 Les Sables d'Olonne (le Château d'Olonne)</v>
      </c>
    </row>
    <row r="192" spans="1:12" ht="15.75" customHeight="1" x14ac:dyDescent="0.2">
      <c r="A192" s="91" t="s">
        <v>33</v>
      </c>
      <c r="B192" s="88">
        <v>0</v>
      </c>
      <c r="C192" s="88">
        <v>1</v>
      </c>
      <c r="H192" s="88" t="e">
        <f t="shared" ca="1" si="0"/>
        <v>#REF!</v>
      </c>
      <c r="I192" s="88" t="e">
        <f t="shared" ca="1" si="1"/>
        <v>#REF!</v>
      </c>
      <c r="J192" s="88" t="str">
        <f ca="1">IFERROR(__xludf.DUMMYFUNCTION("""COMPUTED_VALUE"""),"")</f>
        <v/>
      </c>
      <c r="K192" s="88" t="str">
        <f ca="1">IFERROR(__xludf.DUMMYFUNCTION("""COMPUTED_VALUE"""),"")</f>
        <v/>
      </c>
      <c r="L192" s="91" t="str">
        <f ca="1">IFERROR(__xludf.DUMMYFUNCTION("""COMPUTED_VALUE"""),"08h50 85150 Saint-Mathurin")</f>
        <v>08h50 85150 Saint-Mathurin</v>
      </c>
    </row>
    <row r="193" spans="1:12" ht="15.75" customHeight="1" x14ac:dyDescent="0.2">
      <c r="A193" s="91" t="s">
        <v>25</v>
      </c>
      <c r="B193" s="88">
        <v>0</v>
      </c>
      <c r="C193" s="88">
        <v>1</v>
      </c>
      <c r="H193" s="88" t="e">
        <f t="shared" ca="1" si="0"/>
        <v>#REF!</v>
      </c>
      <c r="I193" s="88" t="e">
        <f t="shared" ca="1" si="1"/>
        <v>#REF!</v>
      </c>
      <c r="J193" s="88" t="str">
        <f ca="1">IFERROR(__xludf.DUMMYFUNCTION("""COMPUTED_VALUE"""),"")</f>
        <v/>
      </c>
      <c r="K193" s="88" t="str">
        <f ca="1">IFERROR(__xludf.DUMMYFUNCTION("""COMPUTED_VALUE"""),"")</f>
        <v/>
      </c>
      <c r="L193" s="91" t="str">
        <f ca="1">IFERROR(__xludf.DUMMYFUNCTION("""COMPUTED_VALUE"""),"08h55 85100 Les Sables d'Olonne (les Sables d'Olonne)-.")</f>
        <v>08h55 85100 Les Sables d'Olonne (les Sables d'Olonne)-.</v>
      </c>
    </row>
    <row r="194" spans="1:12" ht="15.75" customHeight="1" x14ac:dyDescent="0.2">
      <c r="A194" s="91" t="s">
        <v>265</v>
      </c>
      <c r="B194" s="88">
        <v>0</v>
      </c>
      <c r="C194" s="88">
        <v>1</v>
      </c>
      <c r="H194" s="88" t="e">
        <f t="shared" ca="1" si="0"/>
        <v>#REF!</v>
      </c>
      <c r="I194" s="88" t="e">
        <f t="shared" ca="1" si="1"/>
        <v>#REF!</v>
      </c>
      <c r="J194" s="88" t="str">
        <f ca="1">IFERROR(__xludf.DUMMYFUNCTION("""COMPUTED_VALUE"""),"")</f>
        <v/>
      </c>
      <c r="K194" s="88" t="str">
        <f ca="1">IFERROR(__xludf.DUMMYFUNCTION("""COMPUTED_VALUE"""),"")</f>
        <v/>
      </c>
      <c r="L194" s="91" t="str">
        <f ca="1">IFERROR(__xludf.DUMMYFUNCTION("""COMPUTED_VALUE"""),"08h55 85100 Les Sables d'Olonne (les Sables d'Olonne)")</f>
        <v>08h55 85100 Les Sables d'Olonne (les Sables d'Olonne)</v>
      </c>
    </row>
    <row r="195" spans="1:12" ht="15.75" customHeight="1" x14ac:dyDescent="0.2">
      <c r="A195" s="91" t="s">
        <v>16</v>
      </c>
      <c r="B195" s="88">
        <v>0</v>
      </c>
      <c r="C195" s="88">
        <v>1</v>
      </c>
      <c r="H195" s="88" t="e">
        <f t="shared" ca="1" si="0"/>
        <v>#REF!</v>
      </c>
      <c r="I195" s="88" t="e">
        <f t="shared" ca="1" si="1"/>
        <v>#REF!</v>
      </c>
      <c r="J195" s="88" t="str">
        <f ca="1">IFERROR(__xludf.DUMMYFUNCTION("""COMPUTED_VALUE"""),"")</f>
        <v/>
      </c>
      <c r="K195" s="88" t="str">
        <f ca="1">IFERROR(__xludf.DUMMYFUNCTION("""COMPUTED_VALUE"""),"")</f>
        <v/>
      </c>
      <c r="L195" s="91" t="str">
        <f ca="1">IFERROR(__xludf.DUMMYFUNCTION("""COMPUTED_VALUE"""),"08h55 85100 Les Sables d'Olonne ( la Chaume)")</f>
        <v>08h55 85100 Les Sables d'Olonne ( la Chaume)</v>
      </c>
    </row>
    <row r="196" spans="1:12" ht="15.75" customHeight="1" x14ac:dyDescent="0.2">
      <c r="A196" s="91" t="s">
        <v>101</v>
      </c>
      <c r="B196" s="88">
        <v>0</v>
      </c>
      <c r="C196" s="88">
        <v>1</v>
      </c>
      <c r="H196" s="88" t="e">
        <f t="shared" ca="1" si="0"/>
        <v>#REF!</v>
      </c>
      <c r="I196" s="88" t="e">
        <f t="shared" ca="1" si="1"/>
        <v>#REF!</v>
      </c>
      <c r="J196" s="88" t="str">
        <f ca="1">IFERROR(__xludf.DUMMYFUNCTION("""COMPUTED_VALUE"""),"")</f>
        <v/>
      </c>
      <c r="K196" s="88" t="str">
        <f ca="1">IFERROR(__xludf.DUMMYFUNCTION("""COMPUTED_VALUE"""),"")</f>
        <v/>
      </c>
      <c r="L196" s="91" t="str">
        <f ca="1">IFERROR(__xludf.DUMMYFUNCTION("""COMPUTED_VALUE"""),"08h55 85340 Les Sables d'Olonne (Olonne sur Mer)-.")</f>
        <v>08h55 85340 Les Sables d'Olonne (Olonne sur Mer)-.</v>
      </c>
    </row>
    <row r="197" spans="1:12" ht="15.75" customHeight="1" x14ac:dyDescent="0.2">
      <c r="A197" s="91" t="s">
        <v>100</v>
      </c>
      <c r="B197" s="88">
        <v>0</v>
      </c>
      <c r="C197" s="88">
        <v>1</v>
      </c>
      <c r="H197" s="88" t="e">
        <f t="shared" ca="1" si="0"/>
        <v>#REF!</v>
      </c>
      <c r="I197" s="88" t="e">
        <f t="shared" ca="1" si="1"/>
        <v>#REF!</v>
      </c>
      <c r="J197" s="88" t="str">
        <f ca="1">IFERROR(__xludf.DUMMYFUNCTION("""COMPUTED_VALUE"""),"")</f>
        <v/>
      </c>
      <c r="K197" s="88" t="str">
        <f ca="1">IFERROR(__xludf.DUMMYFUNCTION("""COMPUTED_VALUE"""),"")</f>
        <v/>
      </c>
      <c r="L197" s="91" t="str">
        <f ca="1">IFERROR(__xludf.DUMMYFUNCTION("""COMPUTED_VALUE"""),"08h55 85340 Les Sables d'Olonne (Olonne sur Mer)")</f>
        <v>08h55 85340 Les Sables d'Olonne (Olonne sur Mer)</v>
      </c>
    </row>
    <row r="198" spans="1:12" ht="15.75" customHeight="1" x14ac:dyDescent="0.2">
      <c r="A198" s="91" t="s">
        <v>56</v>
      </c>
      <c r="B198" s="88">
        <v>0</v>
      </c>
      <c r="C198" s="88">
        <v>1</v>
      </c>
      <c r="H198" s="88" t="e">
        <f t="shared" ca="1" si="0"/>
        <v>#REF!</v>
      </c>
      <c r="I198" s="88" t="e">
        <f t="shared" ca="1" si="1"/>
        <v>#REF!</v>
      </c>
      <c r="J198" s="88" t="str">
        <f ca="1">IFERROR(__xludf.DUMMYFUNCTION("""COMPUTED_VALUE"""),"")</f>
        <v/>
      </c>
      <c r="K198" s="88" t="str">
        <f ca="1">IFERROR(__xludf.DUMMYFUNCTION("""COMPUTED_VALUE"""),"")</f>
        <v/>
      </c>
      <c r="L198" s="91" t="str">
        <f ca="1">IFERROR(__xludf.DUMMYFUNCTION("""COMPUTED_VALUE"""),"08h55 85180 Les Sables d'Olonne (le Château d'Olonne)-.")</f>
        <v>08h55 85180 Les Sables d'Olonne (le Château d'Olonne)-.</v>
      </c>
    </row>
    <row r="199" spans="1:12" ht="15.75" customHeight="1" x14ac:dyDescent="0.2">
      <c r="A199" s="91" t="s">
        <v>55</v>
      </c>
      <c r="B199" s="88">
        <v>0</v>
      </c>
      <c r="C199" s="88">
        <v>1</v>
      </c>
      <c r="H199" s="88" t="e">
        <f t="shared" ca="1" si="0"/>
        <v>#REF!</v>
      </c>
      <c r="I199" s="88" t="e">
        <f t="shared" ca="1" si="1"/>
        <v>#REF!</v>
      </c>
      <c r="J199" s="88" t="str">
        <f ca="1">IFERROR(__xludf.DUMMYFUNCTION("""COMPUTED_VALUE"""),"")</f>
        <v/>
      </c>
      <c r="K199" s="88" t="str">
        <f ca="1">IFERROR(__xludf.DUMMYFUNCTION("""COMPUTED_VALUE"""),"")</f>
        <v/>
      </c>
      <c r="L199" s="91" t="str">
        <f ca="1">IFERROR(__xludf.DUMMYFUNCTION("""COMPUTED_VALUE"""),"08h55 85180 Les Sables d'Olonne (le Château d'Olonne)")</f>
        <v>08h55 85180 Les Sables d'Olonne (le Château d'Olonne)</v>
      </c>
    </row>
    <row r="200" spans="1:12" ht="15.75" customHeight="1" x14ac:dyDescent="0.2">
      <c r="A200" s="91" t="s">
        <v>34</v>
      </c>
      <c r="B200" s="88">
        <v>0</v>
      </c>
      <c r="C200" s="88">
        <v>1</v>
      </c>
      <c r="H200" s="88" t="e">
        <f t="shared" ca="1" si="0"/>
        <v>#REF!</v>
      </c>
      <c r="I200" s="88" t="e">
        <f t="shared" ca="1" si="1"/>
        <v>#REF!</v>
      </c>
      <c r="J200" s="88" t="str">
        <f ca="1">IFERROR(__xludf.DUMMYFUNCTION("""COMPUTED_VALUE"""),"")</f>
        <v/>
      </c>
      <c r="K200" s="88" t="str">
        <f ca="1">IFERROR(__xludf.DUMMYFUNCTION("""COMPUTED_VALUE"""),"")</f>
        <v/>
      </c>
      <c r="L200" s="91" t="str">
        <f ca="1">IFERROR(__xludf.DUMMYFUNCTION("""COMPUTED_VALUE"""),"08h55 85150 Saint-Mathurin")</f>
        <v>08h55 85150 Saint-Mathurin</v>
      </c>
    </row>
    <row r="201" spans="1:12" ht="15.75" customHeight="1" x14ac:dyDescent="0.2">
      <c r="A201" s="91" t="s">
        <v>26</v>
      </c>
      <c r="B201" s="88">
        <v>0</v>
      </c>
      <c r="C201" s="88">
        <v>1</v>
      </c>
      <c r="H201" s="88" t="e">
        <f t="shared" ca="1" si="0"/>
        <v>#REF!</v>
      </c>
      <c r="I201" s="88" t="e">
        <f t="shared" ca="1" si="1"/>
        <v>#REF!</v>
      </c>
      <c r="J201" s="88" t="str">
        <f ca="1">IFERROR(__xludf.DUMMYFUNCTION("""COMPUTED_VALUE"""),"")</f>
        <v/>
      </c>
      <c r="K201" s="88" t="str">
        <f ca="1">IFERROR(__xludf.DUMMYFUNCTION("""COMPUTED_VALUE"""),"")</f>
        <v/>
      </c>
      <c r="L201" s="91" t="str">
        <f ca="1">IFERROR(__xludf.DUMMYFUNCTION("""COMPUTED_VALUE"""),"09h00 85100 Les Sables d'Olonne (les Sables d'Olonne)-.")</f>
        <v>09h00 85100 Les Sables d'Olonne (les Sables d'Olonne)-.</v>
      </c>
    </row>
    <row r="202" spans="1:12" ht="15.75" customHeight="1" x14ac:dyDescent="0.2">
      <c r="A202" s="91" t="s">
        <v>266</v>
      </c>
      <c r="B202" s="88">
        <v>0</v>
      </c>
      <c r="C202" s="88">
        <v>1</v>
      </c>
      <c r="H202" s="88" t="e">
        <f t="shared" ca="1" si="0"/>
        <v>#REF!</v>
      </c>
      <c r="I202" s="88" t="e">
        <f t="shared" ca="1" si="1"/>
        <v>#REF!</v>
      </c>
      <c r="J202" s="88" t="str">
        <f ca="1">IFERROR(__xludf.DUMMYFUNCTION("""COMPUTED_VALUE"""),"")</f>
        <v/>
      </c>
      <c r="K202" s="88" t="str">
        <f ca="1">IFERROR(__xludf.DUMMYFUNCTION("""COMPUTED_VALUE"""),"")</f>
        <v/>
      </c>
      <c r="L202" s="91" t="str">
        <f ca="1">IFERROR(__xludf.DUMMYFUNCTION("""COMPUTED_VALUE"""),"09h00 85100 Les Sables d'Olonne (les Sables d'Olonne)")</f>
        <v>09h00 85100 Les Sables d'Olonne (les Sables d'Olonne)</v>
      </c>
    </row>
    <row r="203" spans="1:12" ht="15.75" customHeight="1" x14ac:dyDescent="0.2">
      <c r="A203" s="91" t="s">
        <v>17</v>
      </c>
      <c r="B203" s="88">
        <v>0</v>
      </c>
      <c r="C203" s="88">
        <v>1</v>
      </c>
      <c r="H203" s="88" t="e">
        <f t="shared" ca="1" si="0"/>
        <v>#REF!</v>
      </c>
      <c r="I203" s="88" t="e">
        <f t="shared" ca="1" si="1"/>
        <v>#REF!</v>
      </c>
      <c r="J203" s="88" t="str">
        <f ca="1">IFERROR(__xludf.DUMMYFUNCTION("""COMPUTED_VALUE"""),"")</f>
        <v/>
      </c>
      <c r="K203" s="88" t="str">
        <f ca="1">IFERROR(__xludf.DUMMYFUNCTION("""COMPUTED_VALUE"""),"")</f>
        <v/>
      </c>
      <c r="L203" s="91" t="str">
        <f ca="1">IFERROR(__xludf.DUMMYFUNCTION("""COMPUTED_VALUE"""),"09h00 85100 Les Sables d'Olonne ( la Chaume)")</f>
        <v>09h00 85100 Les Sables d'Olonne ( la Chaume)</v>
      </c>
    </row>
    <row r="204" spans="1:12" ht="15.75" customHeight="1" x14ac:dyDescent="0.2">
      <c r="A204" s="91" t="s">
        <v>102</v>
      </c>
      <c r="B204" s="88">
        <v>0</v>
      </c>
      <c r="C204" s="88">
        <v>1</v>
      </c>
      <c r="H204" s="88" t="e">
        <f t="shared" ca="1" si="0"/>
        <v>#REF!</v>
      </c>
      <c r="I204" s="88" t="e">
        <f t="shared" ca="1" si="1"/>
        <v>#REF!</v>
      </c>
      <c r="J204" s="88" t="str">
        <f ca="1">IFERROR(__xludf.DUMMYFUNCTION("""COMPUTED_VALUE"""),"")</f>
        <v/>
      </c>
      <c r="K204" s="88" t="str">
        <f ca="1">IFERROR(__xludf.DUMMYFUNCTION("""COMPUTED_VALUE"""),"")</f>
        <v/>
      </c>
      <c r="L204" s="91" t="str">
        <f ca="1">IFERROR(__xludf.DUMMYFUNCTION("""COMPUTED_VALUE"""),"09h00 85340 Les Sables d'Olonne (Olonne sur Mer)-.")</f>
        <v>09h00 85340 Les Sables d'Olonne (Olonne sur Mer)-.</v>
      </c>
    </row>
    <row r="205" spans="1:12" ht="15.75" customHeight="1" x14ac:dyDescent="0.2">
      <c r="A205" s="91" t="s">
        <v>267</v>
      </c>
      <c r="B205" s="88">
        <v>0</v>
      </c>
      <c r="C205" s="88">
        <v>1</v>
      </c>
      <c r="H205" s="88" t="e">
        <f t="shared" ca="1" si="0"/>
        <v>#REF!</v>
      </c>
      <c r="I205" s="88" t="e">
        <f t="shared" ca="1" si="1"/>
        <v>#REF!</v>
      </c>
      <c r="J205" s="88" t="str">
        <f ca="1">IFERROR(__xludf.DUMMYFUNCTION("""COMPUTED_VALUE"""),"")</f>
        <v/>
      </c>
      <c r="K205" s="88" t="str">
        <f ca="1">IFERROR(__xludf.DUMMYFUNCTION("""COMPUTED_VALUE"""),"")</f>
        <v/>
      </c>
      <c r="L205" s="91" t="str">
        <f ca="1">IFERROR(__xludf.DUMMYFUNCTION("""COMPUTED_VALUE"""),"09h00 85340 Les Sables d'Olonne (Olonne sur Mer)")</f>
        <v>09h00 85340 Les Sables d'Olonne (Olonne sur Mer)</v>
      </c>
    </row>
    <row r="206" spans="1:12" ht="15.75" customHeight="1" x14ac:dyDescent="0.2">
      <c r="A206" s="91" t="s">
        <v>58</v>
      </c>
      <c r="B206" s="88">
        <v>0</v>
      </c>
      <c r="C206" s="88">
        <v>1</v>
      </c>
      <c r="H206" s="88" t="e">
        <f t="shared" ca="1" si="0"/>
        <v>#REF!</v>
      </c>
      <c r="I206" s="88" t="e">
        <f t="shared" ca="1" si="1"/>
        <v>#REF!</v>
      </c>
      <c r="J206" s="88" t="str">
        <f ca="1">IFERROR(__xludf.DUMMYFUNCTION("""COMPUTED_VALUE"""),"")</f>
        <v/>
      </c>
      <c r="K206" s="88" t="str">
        <f ca="1">IFERROR(__xludf.DUMMYFUNCTION("""COMPUTED_VALUE"""),"")</f>
        <v/>
      </c>
      <c r="L206" s="91" t="str">
        <f ca="1">IFERROR(__xludf.DUMMYFUNCTION("""COMPUTED_VALUE"""),"09h00 85180 Les Sables d'Olonne (le Château d'Olonne)-.")</f>
        <v>09h00 85180 Les Sables d'Olonne (le Château d'Olonne)-.</v>
      </c>
    </row>
    <row r="207" spans="1:12" ht="15.75" customHeight="1" x14ac:dyDescent="0.2">
      <c r="A207" s="91" t="s">
        <v>57</v>
      </c>
      <c r="B207" s="88">
        <v>0</v>
      </c>
      <c r="C207" s="88">
        <v>1</v>
      </c>
      <c r="H207" s="88" t="e">
        <f t="shared" ca="1" si="0"/>
        <v>#REF!</v>
      </c>
      <c r="I207" s="88" t="e">
        <f t="shared" ca="1" si="1"/>
        <v>#REF!</v>
      </c>
      <c r="J207" s="88" t="str">
        <f ca="1">IFERROR(__xludf.DUMMYFUNCTION("""COMPUTED_VALUE"""),"")</f>
        <v/>
      </c>
      <c r="K207" s="88" t="str">
        <f ca="1">IFERROR(__xludf.DUMMYFUNCTION("""COMPUTED_VALUE"""),"")</f>
        <v/>
      </c>
      <c r="L207" s="91" t="str">
        <f ca="1">IFERROR(__xludf.DUMMYFUNCTION("""COMPUTED_VALUE"""),"09h00 85180 Les Sables d'Olonne (le Château d'Olonne)")</f>
        <v>09h00 85180 Les Sables d'Olonne (le Château d'Olonne)</v>
      </c>
    </row>
    <row r="208" spans="1:12" ht="15.75" customHeight="1" x14ac:dyDescent="0.2">
      <c r="A208" s="91" t="s">
        <v>35</v>
      </c>
      <c r="B208" s="88">
        <v>0</v>
      </c>
      <c r="C208" s="88">
        <v>1</v>
      </c>
      <c r="H208" s="88" t="e">
        <f t="shared" ca="1" si="0"/>
        <v>#REF!</v>
      </c>
      <c r="I208" s="88" t="e">
        <f t="shared" ca="1" si="1"/>
        <v>#REF!</v>
      </c>
      <c r="J208" s="88" t="str">
        <f ca="1">IFERROR(__xludf.DUMMYFUNCTION("""COMPUTED_VALUE"""),"")</f>
        <v/>
      </c>
      <c r="K208" s="88" t="str">
        <f ca="1">IFERROR(__xludf.DUMMYFUNCTION("""COMPUTED_VALUE"""),"")</f>
        <v/>
      </c>
      <c r="L208" s="91" t="str">
        <f ca="1">IFERROR(__xludf.DUMMYFUNCTION("""COMPUTED_VALUE"""),"09h00 85150 Saint-Mathurin")</f>
        <v>09h00 85150 Saint-Mathurin</v>
      </c>
    </row>
    <row r="209" spans="1:12" ht="15.75" customHeight="1" x14ac:dyDescent="0.2">
      <c r="A209" s="91" t="s">
        <v>27</v>
      </c>
      <c r="B209" s="88">
        <v>0</v>
      </c>
      <c r="C209" s="88">
        <v>1</v>
      </c>
      <c r="H209" s="88" t="e">
        <f t="shared" ca="1" si="0"/>
        <v>#REF!</v>
      </c>
      <c r="I209" s="88" t="e">
        <f t="shared" ca="1" si="1"/>
        <v>#REF!</v>
      </c>
      <c r="J209" s="88" t="str">
        <f ca="1">IFERROR(__xludf.DUMMYFUNCTION("""COMPUTED_VALUE"""),"")</f>
        <v/>
      </c>
      <c r="K209" s="88" t="str">
        <f ca="1">IFERROR(__xludf.DUMMYFUNCTION("""COMPUTED_VALUE"""),"")</f>
        <v/>
      </c>
      <c r="L209" s="91" t="str">
        <f ca="1">IFERROR(__xludf.DUMMYFUNCTION("""COMPUTED_VALUE"""),"09h05 85100 Les Sables d'Olonne (les Sables d'Olonne)-.")</f>
        <v>09h05 85100 Les Sables d'Olonne (les Sables d'Olonne)-.</v>
      </c>
    </row>
    <row r="210" spans="1:12" ht="15.75" customHeight="1" x14ac:dyDescent="0.2">
      <c r="A210" s="91" t="s">
        <v>268</v>
      </c>
      <c r="B210" s="88">
        <v>0</v>
      </c>
      <c r="C210" s="88">
        <v>1</v>
      </c>
      <c r="H210" s="88" t="e">
        <f t="shared" ca="1" si="0"/>
        <v>#REF!</v>
      </c>
      <c r="I210" s="88" t="e">
        <f t="shared" ca="1" si="1"/>
        <v>#REF!</v>
      </c>
      <c r="J210" s="88" t="str">
        <f ca="1">IFERROR(__xludf.DUMMYFUNCTION("""COMPUTED_VALUE"""),"")</f>
        <v/>
      </c>
      <c r="K210" s="88" t="str">
        <f ca="1">IFERROR(__xludf.DUMMYFUNCTION("""COMPUTED_VALUE"""),"")</f>
        <v/>
      </c>
      <c r="L210" s="91" t="str">
        <f ca="1">IFERROR(__xludf.DUMMYFUNCTION("""COMPUTED_VALUE"""),"09h05 85100 Les Sables d'Olonne (les Sables d'Olonne)")</f>
        <v>09h05 85100 Les Sables d'Olonne (les Sables d'Olonne)</v>
      </c>
    </row>
    <row r="211" spans="1:12" ht="15.75" customHeight="1" x14ac:dyDescent="0.2">
      <c r="A211" s="91" t="s">
        <v>269</v>
      </c>
      <c r="B211" s="88">
        <v>0</v>
      </c>
      <c r="C211" s="88">
        <v>1</v>
      </c>
      <c r="H211" s="88" t="e">
        <f t="shared" ca="1" si="0"/>
        <v>#REF!</v>
      </c>
      <c r="I211" s="88" t="e">
        <f t="shared" ca="1" si="1"/>
        <v>#REF!</v>
      </c>
      <c r="J211" s="88" t="str">
        <f ca="1">IFERROR(__xludf.DUMMYFUNCTION("""COMPUTED_VALUE"""),"")</f>
        <v/>
      </c>
      <c r="K211" s="88" t="str">
        <f ca="1">IFERROR(__xludf.DUMMYFUNCTION("""COMPUTED_VALUE"""),"")</f>
        <v/>
      </c>
      <c r="L211" s="91" t="str">
        <f ca="1">IFERROR(__xludf.DUMMYFUNCTION("""COMPUTED_VALUE"""),"09h05 85100 Les Sables d'Olonne ( la Chaume)")</f>
        <v>09h05 85100 Les Sables d'Olonne ( la Chaume)</v>
      </c>
    </row>
    <row r="212" spans="1:12" ht="15.75" customHeight="1" x14ac:dyDescent="0.2">
      <c r="A212" s="91" t="s">
        <v>104</v>
      </c>
      <c r="B212" s="88">
        <v>0</v>
      </c>
      <c r="C212" s="88">
        <v>1</v>
      </c>
      <c r="H212" s="88" t="e">
        <f t="shared" ca="1" si="0"/>
        <v>#REF!</v>
      </c>
      <c r="I212" s="88" t="e">
        <f t="shared" ca="1" si="1"/>
        <v>#REF!</v>
      </c>
      <c r="J212" s="88" t="str">
        <f ca="1">IFERROR(__xludf.DUMMYFUNCTION("""COMPUTED_VALUE"""),"")</f>
        <v/>
      </c>
      <c r="K212" s="88" t="str">
        <f ca="1">IFERROR(__xludf.DUMMYFUNCTION("""COMPUTED_VALUE"""),"")</f>
        <v/>
      </c>
      <c r="L212" s="91" t="str">
        <f ca="1">IFERROR(__xludf.DUMMYFUNCTION("""COMPUTED_VALUE"""),"09h05 85340 Les Sables d'Olonne (Olonne sur Mer)-.")</f>
        <v>09h05 85340 Les Sables d'Olonne (Olonne sur Mer)-.</v>
      </c>
    </row>
    <row r="213" spans="1:12" ht="15.75" customHeight="1" x14ac:dyDescent="0.2">
      <c r="A213" s="91" t="s">
        <v>103</v>
      </c>
      <c r="B213" s="88">
        <v>0</v>
      </c>
      <c r="C213" s="88">
        <v>1</v>
      </c>
      <c r="H213" s="88" t="e">
        <f t="shared" ca="1" si="0"/>
        <v>#REF!</v>
      </c>
      <c r="I213" s="88" t="e">
        <f t="shared" ca="1" si="1"/>
        <v>#REF!</v>
      </c>
      <c r="J213" s="88" t="str">
        <f ca="1">IFERROR(__xludf.DUMMYFUNCTION("""COMPUTED_VALUE"""),"")</f>
        <v/>
      </c>
      <c r="K213" s="88" t="str">
        <f ca="1">IFERROR(__xludf.DUMMYFUNCTION("""COMPUTED_VALUE"""),"")</f>
        <v/>
      </c>
      <c r="L213" s="91" t="str">
        <f ca="1">IFERROR(__xludf.DUMMYFUNCTION("""COMPUTED_VALUE"""),"09h05 85340 Les Sables d'Olonne (Olonne sur Mer)")</f>
        <v>09h05 85340 Les Sables d'Olonne (Olonne sur Mer)</v>
      </c>
    </row>
    <row r="214" spans="1:12" ht="15.75" customHeight="1" x14ac:dyDescent="0.2">
      <c r="A214" s="91" t="s">
        <v>59</v>
      </c>
      <c r="B214" s="88">
        <v>0</v>
      </c>
      <c r="C214" s="88">
        <v>1</v>
      </c>
      <c r="H214" s="88" t="e">
        <f t="shared" ca="1" si="0"/>
        <v>#REF!</v>
      </c>
      <c r="I214" s="88" t="e">
        <f t="shared" ca="1" si="1"/>
        <v>#REF!</v>
      </c>
      <c r="J214" s="88" t="str">
        <f ca="1">IFERROR(__xludf.DUMMYFUNCTION("""COMPUTED_VALUE"""),"")</f>
        <v/>
      </c>
      <c r="K214" s="88" t="str">
        <f ca="1">IFERROR(__xludf.DUMMYFUNCTION("""COMPUTED_VALUE"""),"")</f>
        <v/>
      </c>
      <c r="L214" s="91" t="str">
        <f ca="1">IFERROR(__xludf.DUMMYFUNCTION("""COMPUTED_VALUE"""),"09h05 85180 Les Sables d'Olonne (le Château d'Olonne)-.")</f>
        <v>09h05 85180 Les Sables d'Olonne (le Château d'Olonne)-.</v>
      </c>
    </row>
    <row r="215" spans="1:12" ht="15.75" customHeight="1" x14ac:dyDescent="0.2">
      <c r="A215" s="91" t="s">
        <v>270</v>
      </c>
      <c r="B215" s="88">
        <v>0</v>
      </c>
      <c r="C215" s="88">
        <v>1</v>
      </c>
      <c r="H215" s="88" t="e">
        <f t="shared" ca="1" si="0"/>
        <v>#REF!</v>
      </c>
      <c r="I215" s="88" t="e">
        <f t="shared" ca="1" si="1"/>
        <v>#REF!</v>
      </c>
      <c r="J215" s="88" t="str">
        <f ca="1">IFERROR(__xludf.DUMMYFUNCTION("""COMPUTED_VALUE"""),"")</f>
        <v/>
      </c>
      <c r="K215" s="88" t="str">
        <f ca="1">IFERROR(__xludf.DUMMYFUNCTION("""COMPUTED_VALUE"""),"")</f>
        <v/>
      </c>
      <c r="L215" s="91" t="str">
        <f ca="1">IFERROR(__xludf.DUMMYFUNCTION("""COMPUTED_VALUE"""),"09h05 85180 Les Sables d'Olonne (le Château d'Olonne)")</f>
        <v>09h05 85180 Les Sables d'Olonne (le Château d'Olonne)</v>
      </c>
    </row>
    <row r="216" spans="1:12" ht="15.75" customHeight="1" x14ac:dyDescent="0.2">
      <c r="A216" s="91" t="s">
        <v>36</v>
      </c>
      <c r="B216" s="88">
        <v>0</v>
      </c>
      <c r="C216" s="88">
        <v>1</v>
      </c>
      <c r="H216" s="88" t="e">
        <f t="shared" ca="1" si="0"/>
        <v>#REF!</v>
      </c>
      <c r="I216" s="88" t="e">
        <f t="shared" ca="1" si="1"/>
        <v>#REF!</v>
      </c>
      <c r="J216" s="88" t="str">
        <f ca="1">IFERROR(__xludf.DUMMYFUNCTION("""COMPUTED_VALUE"""),"")</f>
        <v/>
      </c>
      <c r="K216" s="88" t="str">
        <f ca="1">IFERROR(__xludf.DUMMYFUNCTION("""COMPUTED_VALUE"""),"")</f>
        <v/>
      </c>
      <c r="L216" s="91" t="str">
        <f ca="1">IFERROR(__xludf.DUMMYFUNCTION("""COMPUTED_VALUE"""),"09h05 85150 Saint-Mathurin")</f>
        <v>09h05 85150 Saint-Mathurin</v>
      </c>
    </row>
    <row r="217" spans="1:12" ht="15.75" customHeight="1" x14ac:dyDescent="0.2">
      <c r="A217" s="91" t="s">
        <v>28</v>
      </c>
      <c r="B217" s="88">
        <v>0</v>
      </c>
      <c r="C217" s="88">
        <v>1</v>
      </c>
      <c r="H217" s="88" t="e">
        <f t="shared" ca="1" si="0"/>
        <v>#REF!</v>
      </c>
      <c r="I217" s="88" t="e">
        <f t="shared" ca="1" si="1"/>
        <v>#REF!</v>
      </c>
      <c r="J217" s="88" t="str">
        <f ca="1">IFERROR(__xludf.DUMMYFUNCTION("""COMPUTED_VALUE"""),"")</f>
        <v/>
      </c>
      <c r="K217" s="88" t="str">
        <f ca="1">IFERROR(__xludf.DUMMYFUNCTION("""COMPUTED_VALUE"""),"")</f>
        <v/>
      </c>
      <c r="L217" s="91" t="str">
        <f ca="1">IFERROR(__xludf.DUMMYFUNCTION("""COMPUTED_VALUE"""),"09h10 85100 Les Sables d'Olonne (les Sables d'Olonne)-.")</f>
        <v>09h10 85100 Les Sables d'Olonne (les Sables d'Olonne)-.</v>
      </c>
    </row>
    <row r="218" spans="1:12" ht="15.75" customHeight="1" x14ac:dyDescent="0.2">
      <c r="A218" s="91" t="s">
        <v>271</v>
      </c>
      <c r="B218" s="88">
        <v>0</v>
      </c>
      <c r="C218" s="88">
        <v>1</v>
      </c>
      <c r="H218" s="88" t="e">
        <f t="shared" ca="1" si="0"/>
        <v>#REF!</v>
      </c>
      <c r="I218" s="88" t="e">
        <f t="shared" ca="1" si="1"/>
        <v>#REF!</v>
      </c>
      <c r="J218" s="88" t="str">
        <f ca="1">IFERROR(__xludf.DUMMYFUNCTION("""COMPUTED_VALUE"""),"")</f>
        <v/>
      </c>
      <c r="K218" s="88" t="str">
        <f ca="1">IFERROR(__xludf.DUMMYFUNCTION("""COMPUTED_VALUE"""),"")</f>
        <v/>
      </c>
      <c r="L218" s="91" t="str">
        <f ca="1">IFERROR(__xludf.DUMMYFUNCTION("""COMPUTED_VALUE"""),"09h10 85100 Les Sables d'Olonne (les Sables d'Olonne)")</f>
        <v>09h10 85100 Les Sables d'Olonne (les Sables d'Olonne)</v>
      </c>
    </row>
    <row r="219" spans="1:12" ht="15.75" customHeight="1" x14ac:dyDescent="0.2">
      <c r="A219" s="91" t="s">
        <v>272</v>
      </c>
      <c r="B219" s="88">
        <v>0</v>
      </c>
      <c r="C219" s="88">
        <v>1</v>
      </c>
      <c r="H219" s="88" t="e">
        <f t="shared" ca="1" si="0"/>
        <v>#REF!</v>
      </c>
      <c r="I219" s="88" t="e">
        <f t="shared" ca="1" si="1"/>
        <v>#REF!</v>
      </c>
      <c r="J219" s="88" t="str">
        <f ca="1">IFERROR(__xludf.DUMMYFUNCTION("""COMPUTED_VALUE"""),"")</f>
        <v/>
      </c>
      <c r="K219" s="88" t="str">
        <f ca="1">IFERROR(__xludf.DUMMYFUNCTION("""COMPUTED_VALUE"""),"")</f>
        <v/>
      </c>
      <c r="L219" s="91" t="str">
        <f ca="1">IFERROR(__xludf.DUMMYFUNCTION("""COMPUTED_VALUE"""),"09h10 85100 Les Sables d'Olonne ( la Chaume)")</f>
        <v>09h10 85100 Les Sables d'Olonne ( la Chaume)</v>
      </c>
    </row>
    <row r="220" spans="1:12" ht="15.75" customHeight="1" x14ac:dyDescent="0.2">
      <c r="A220" s="91" t="s">
        <v>105</v>
      </c>
      <c r="B220" s="88">
        <v>0</v>
      </c>
      <c r="C220" s="88">
        <v>1</v>
      </c>
      <c r="H220" s="88" t="e">
        <f t="shared" ca="1" si="0"/>
        <v>#REF!</v>
      </c>
      <c r="I220" s="88" t="e">
        <f t="shared" ca="1" si="1"/>
        <v>#REF!</v>
      </c>
      <c r="J220" s="88" t="str">
        <f ca="1">IFERROR(__xludf.DUMMYFUNCTION("""COMPUTED_VALUE"""),"")</f>
        <v/>
      </c>
      <c r="K220" s="88" t="str">
        <f ca="1">IFERROR(__xludf.DUMMYFUNCTION("""COMPUTED_VALUE"""),"")</f>
        <v/>
      </c>
      <c r="L220" s="91" t="str">
        <f ca="1">IFERROR(__xludf.DUMMYFUNCTION("""COMPUTED_VALUE"""),"09h10 85340 Les Sables d'Olonne (Olonne sur Mer)-.")</f>
        <v>09h10 85340 Les Sables d'Olonne (Olonne sur Mer)-.</v>
      </c>
    </row>
    <row r="221" spans="1:12" ht="15.75" customHeight="1" x14ac:dyDescent="0.2">
      <c r="A221" s="91" t="s">
        <v>273</v>
      </c>
      <c r="B221" s="88">
        <v>0</v>
      </c>
      <c r="C221" s="88">
        <v>1</v>
      </c>
      <c r="H221" s="88" t="e">
        <f t="shared" ca="1" si="0"/>
        <v>#REF!</v>
      </c>
      <c r="I221" s="88" t="e">
        <f t="shared" ca="1" si="1"/>
        <v>#REF!</v>
      </c>
      <c r="J221" s="88" t="str">
        <f ca="1">IFERROR(__xludf.DUMMYFUNCTION("""COMPUTED_VALUE"""),"")</f>
        <v/>
      </c>
      <c r="K221" s="88" t="str">
        <f ca="1">IFERROR(__xludf.DUMMYFUNCTION("""COMPUTED_VALUE"""),"")</f>
        <v/>
      </c>
      <c r="L221" s="91" t="str">
        <f ca="1">IFERROR(__xludf.DUMMYFUNCTION("""COMPUTED_VALUE"""),"09h10 85340 Les Sables d'Olonne (Olonne sur Mer)")</f>
        <v>09h10 85340 Les Sables d'Olonne (Olonne sur Mer)</v>
      </c>
    </row>
    <row r="222" spans="1:12" ht="15.75" customHeight="1" x14ac:dyDescent="0.2">
      <c r="A222" s="91" t="s">
        <v>61</v>
      </c>
      <c r="B222" s="88">
        <v>0</v>
      </c>
      <c r="C222" s="88">
        <v>1</v>
      </c>
      <c r="H222" s="88" t="e">
        <f t="shared" ca="1" si="0"/>
        <v>#REF!</v>
      </c>
      <c r="I222" s="88" t="e">
        <f t="shared" ca="1" si="1"/>
        <v>#REF!</v>
      </c>
      <c r="J222" s="88" t="str">
        <f ca="1">IFERROR(__xludf.DUMMYFUNCTION("""COMPUTED_VALUE"""),"")</f>
        <v/>
      </c>
      <c r="K222" s="88" t="str">
        <f ca="1">IFERROR(__xludf.DUMMYFUNCTION("""COMPUTED_VALUE"""),"")</f>
        <v/>
      </c>
      <c r="L222" s="91" t="str">
        <f ca="1">IFERROR(__xludf.DUMMYFUNCTION("""COMPUTED_VALUE"""),"09h10 85180 Les Sables d'Olonne (le Château d'Olonne)-.")</f>
        <v>09h10 85180 Les Sables d'Olonne (le Château d'Olonne)-.</v>
      </c>
    </row>
    <row r="223" spans="1:12" ht="15.75" customHeight="1" x14ac:dyDescent="0.2">
      <c r="A223" s="91" t="s">
        <v>60</v>
      </c>
      <c r="B223" s="88">
        <v>0</v>
      </c>
      <c r="C223" s="88">
        <v>1</v>
      </c>
      <c r="H223" s="88" t="e">
        <f t="shared" ca="1" si="0"/>
        <v>#REF!</v>
      </c>
      <c r="I223" s="88" t="e">
        <f t="shared" ca="1" si="1"/>
        <v>#REF!</v>
      </c>
      <c r="J223" s="88" t="str">
        <f ca="1">IFERROR(__xludf.DUMMYFUNCTION("""COMPUTED_VALUE"""),"")</f>
        <v/>
      </c>
      <c r="K223" s="88" t="str">
        <f ca="1">IFERROR(__xludf.DUMMYFUNCTION("""COMPUTED_VALUE"""),"")</f>
        <v/>
      </c>
      <c r="L223" s="91" t="str">
        <f ca="1">IFERROR(__xludf.DUMMYFUNCTION("""COMPUTED_VALUE"""),"09h10 85180 Les Sables d'Olonne (le Château d'Olonne)")</f>
        <v>09h10 85180 Les Sables d'Olonne (le Château d'Olonne)</v>
      </c>
    </row>
    <row r="224" spans="1:12" ht="15.75" customHeight="1" x14ac:dyDescent="0.2">
      <c r="A224" s="91" t="s">
        <v>37</v>
      </c>
      <c r="B224" s="88">
        <v>0</v>
      </c>
      <c r="C224" s="88">
        <v>1</v>
      </c>
      <c r="H224" s="88" t="e">
        <f t="shared" ca="1" si="0"/>
        <v>#REF!</v>
      </c>
      <c r="I224" s="88" t="e">
        <f t="shared" ca="1" si="1"/>
        <v>#REF!</v>
      </c>
      <c r="J224" s="88" t="str">
        <f ca="1">IFERROR(__xludf.DUMMYFUNCTION("""COMPUTED_VALUE"""),"")</f>
        <v/>
      </c>
      <c r="K224" s="88" t="str">
        <f ca="1">IFERROR(__xludf.DUMMYFUNCTION("""COMPUTED_VALUE"""),"")</f>
        <v/>
      </c>
      <c r="L224" s="91" t="str">
        <f ca="1">IFERROR(__xludf.DUMMYFUNCTION("""COMPUTED_VALUE"""),"09h10 85150 Saint-Mathurin")</f>
        <v>09h10 85150 Saint-Mathurin</v>
      </c>
    </row>
    <row r="225" spans="1:12" ht="15.75" customHeight="1" x14ac:dyDescent="0.2">
      <c r="A225" s="91" t="s">
        <v>274</v>
      </c>
      <c r="B225" s="88">
        <v>0</v>
      </c>
      <c r="C225" s="88">
        <v>1</v>
      </c>
      <c r="H225" s="88" t="e">
        <f t="shared" ca="1" si="0"/>
        <v>#REF!</v>
      </c>
      <c r="I225" s="88" t="e">
        <f t="shared" ca="1" si="1"/>
        <v>#REF!</v>
      </c>
      <c r="J225" s="88" t="str">
        <f ca="1">IFERROR(__xludf.DUMMYFUNCTION("""COMPUTED_VALUE"""),"")</f>
        <v/>
      </c>
      <c r="K225" s="88" t="str">
        <f ca="1">IFERROR(__xludf.DUMMYFUNCTION("""COMPUTED_VALUE"""),"")</f>
        <v/>
      </c>
      <c r="L225" s="91" t="str">
        <f ca="1">IFERROR(__xludf.DUMMYFUNCTION("""COMPUTED_VALUE"""),"09h15 85100 Les Sables d'Olonne (les Sables d'Olonne)-.")</f>
        <v>09h15 85100 Les Sables d'Olonne (les Sables d'Olonne)-.</v>
      </c>
    </row>
    <row r="226" spans="1:12" ht="15.75" customHeight="1" x14ac:dyDescent="0.2">
      <c r="A226" s="91" t="s">
        <v>275</v>
      </c>
      <c r="B226" s="88">
        <v>0</v>
      </c>
      <c r="C226" s="88">
        <v>1</v>
      </c>
      <c r="H226" s="88" t="e">
        <f t="shared" ca="1" si="0"/>
        <v>#REF!</v>
      </c>
      <c r="I226" s="88" t="e">
        <f t="shared" ca="1" si="1"/>
        <v>#REF!</v>
      </c>
      <c r="J226" s="88" t="str">
        <f ca="1">IFERROR(__xludf.DUMMYFUNCTION("""COMPUTED_VALUE"""),"")</f>
        <v/>
      </c>
      <c r="K226" s="88" t="str">
        <f ca="1">IFERROR(__xludf.DUMMYFUNCTION("""COMPUTED_VALUE"""),"")</f>
        <v/>
      </c>
      <c r="L226" s="91" t="str">
        <f ca="1">IFERROR(__xludf.DUMMYFUNCTION("""COMPUTED_VALUE"""),"09h15 85100 Les Sables d'Olonne (les Sables d'Olonne)")</f>
        <v>09h15 85100 Les Sables d'Olonne (les Sables d'Olonne)</v>
      </c>
    </row>
    <row r="227" spans="1:12" ht="15.75" customHeight="1" x14ac:dyDescent="0.2">
      <c r="A227" s="91" t="s">
        <v>276</v>
      </c>
      <c r="B227" s="88">
        <v>0</v>
      </c>
      <c r="C227" s="88">
        <v>1</v>
      </c>
      <c r="H227" s="88" t="e">
        <f t="shared" ca="1" si="0"/>
        <v>#REF!</v>
      </c>
      <c r="I227" s="88" t="e">
        <f t="shared" ca="1" si="1"/>
        <v>#REF!</v>
      </c>
      <c r="J227" s="88" t="str">
        <f ca="1">IFERROR(__xludf.DUMMYFUNCTION("""COMPUTED_VALUE"""),"")</f>
        <v/>
      </c>
      <c r="K227" s="88" t="str">
        <f ca="1">IFERROR(__xludf.DUMMYFUNCTION("""COMPUTED_VALUE"""),"")</f>
        <v/>
      </c>
      <c r="L227" s="91" t="str">
        <f ca="1">IFERROR(__xludf.DUMMYFUNCTION("""COMPUTED_VALUE"""),"09h15 85100 Les Sables d'Olonne ( la Chaume)")</f>
        <v>09h15 85100 Les Sables d'Olonne ( la Chaume)</v>
      </c>
    </row>
    <row r="228" spans="1:12" ht="15.75" customHeight="1" x14ac:dyDescent="0.2">
      <c r="A228" s="91" t="s">
        <v>107</v>
      </c>
      <c r="B228" s="88">
        <v>0</v>
      </c>
      <c r="C228" s="88">
        <v>1</v>
      </c>
      <c r="H228" s="88" t="e">
        <f t="shared" ca="1" si="0"/>
        <v>#REF!</v>
      </c>
      <c r="I228" s="88" t="e">
        <f t="shared" ca="1" si="1"/>
        <v>#REF!</v>
      </c>
      <c r="J228" s="88" t="str">
        <f ca="1">IFERROR(__xludf.DUMMYFUNCTION("""COMPUTED_VALUE"""),"")</f>
        <v/>
      </c>
      <c r="K228" s="88" t="str">
        <f ca="1">IFERROR(__xludf.DUMMYFUNCTION("""COMPUTED_VALUE"""),"")</f>
        <v/>
      </c>
      <c r="L228" s="91" t="str">
        <f ca="1">IFERROR(__xludf.DUMMYFUNCTION("""COMPUTED_VALUE"""),"09h15 85340 Les Sables d'Olonne (Olonne sur Mer)-.")</f>
        <v>09h15 85340 Les Sables d'Olonne (Olonne sur Mer)-.</v>
      </c>
    </row>
    <row r="229" spans="1:12" ht="15.75" customHeight="1" x14ac:dyDescent="0.2">
      <c r="A229" s="91" t="s">
        <v>106</v>
      </c>
      <c r="B229" s="88">
        <v>0</v>
      </c>
      <c r="C229" s="88">
        <v>1</v>
      </c>
      <c r="H229" s="88" t="e">
        <f t="shared" ca="1" si="0"/>
        <v>#REF!</v>
      </c>
      <c r="I229" s="88" t="e">
        <f t="shared" ca="1" si="1"/>
        <v>#REF!</v>
      </c>
      <c r="J229" s="88" t="str">
        <f ca="1">IFERROR(__xludf.DUMMYFUNCTION("""COMPUTED_VALUE"""),"")</f>
        <v/>
      </c>
      <c r="K229" s="88" t="str">
        <f ca="1">IFERROR(__xludf.DUMMYFUNCTION("""COMPUTED_VALUE"""),"")</f>
        <v/>
      </c>
      <c r="L229" s="91" t="str">
        <f ca="1">IFERROR(__xludf.DUMMYFUNCTION("""COMPUTED_VALUE"""),"09h15 85340 Les Sables d'Olonne (Olonne sur Mer)")</f>
        <v>09h15 85340 Les Sables d'Olonne (Olonne sur Mer)</v>
      </c>
    </row>
    <row r="230" spans="1:12" ht="15.75" customHeight="1" x14ac:dyDescent="0.2">
      <c r="A230" s="91" t="s">
        <v>63</v>
      </c>
      <c r="B230" s="88">
        <v>0</v>
      </c>
      <c r="C230" s="88">
        <v>1</v>
      </c>
      <c r="H230" s="88" t="e">
        <f t="shared" ca="1" si="0"/>
        <v>#REF!</v>
      </c>
      <c r="I230" s="88" t="e">
        <f t="shared" ca="1" si="1"/>
        <v>#REF!</v>
      </c>
      <c r="J230" s="88" t="str">
        <f ca="1">IFERROR(__xludf.DUMMYFUNCTION("""COMPUTED_VALUE"""),"")</f>
        <v/>
      </c>
      <c r="K230" s="88" t="str">
        <f ca="1">IFERROR(__xludf.DUMMYFUNCTION("""COMPUTED_VALUE"""),"")</f>
        <v/>
      </c>
      <c r="L230" s="91" t="str">
        <f ca="1">IFERROR(__xludf.DUMMYFUNCTION("""COMPUTED_VALUE"""),"09h15 85180 Les Sables d'Olonne (le Château d'Olonne)-.")</f>
        <v>09h15 85180 Les Sables d'Olonne (le Château d'Olonne)-.</v>
      </c>
    </row>
    <row r="231" spans="1:12" ht="15.75" customHeight="1" x14ac:dyDescent="0.2">
      <c r="A231" s="91" t="s">
        <v>62</v>
      </c>
      <c r="B231" s="88">
        <v>0</v>
      </c>
      <c r="C231" s="88">
        <v>1</v>
      </c>
      <c r="H231" s="88" t="e">
        <f t="shared" ca="1" si="0"/>
        <v>#REF!</v>
      </c>
      <c r="I231" s="88" t="e">
        <f t="shared" ca="1" si="1"/>
        <v>#REF!</v>
      </c>
      <c r="J231" s="88" t="str">
        <f ca="1">IFERROR(__xludf.DUMMYFUNCTION("""COMPUTED_VALUE"""),"")</f>
        <v/>
      </c>
      <c r="K231" s="88" t="str">
        <f ca="1">IFERROR(__xludf.DUMMYFUNCTION("""COMPUTED_VALUE"""),"")</f>
        <v/>
      </c>
      <c r="L231" s="91" t="str">
        <f ca="1">IFERROR(__xludf.DUMMYFUNCTION("""COMPUTED_VALUE"""),"09h15 85180 Les Sables d'Olonne (le Château d'Olonne)")</f>
        <v>09h15 85180 Les Sables d'Olonne (le Château d'Olonne)</v>
      </c>
    </row>
    <row r="232" spans="1:12" ht="15.75" customHeight="1" x14ac:dyDescent="0.2">
      <c r="A232" s="91" t="s">
        <v>38</v>
      </c>
      <c r="B232" s="88">
        <v>0</v>
      </c>
      <c r="C232" s="88">
        <v>1</v>
      </c>
      <c r="H232" s="88" t="e">
        <f t="shared" ca="1" si="0"/>
        <v>#REF!</v>
      </c>
      <c r="I232" s="88" t="e">
        <f t="shared" ca="1" si="1"/>
        <v>#REF!</v>
      </c>
      <c r="J232" s="88" t="str">
        <f ca="1">IFERROR(__xludf.DUMMYFUNCTION("""COMPUTED_VALUE"""),"")</f>
        <v/>
      </c>
      <c r="K232" s="88" t="str">
        <f ca="1">IFERROR(__xludf.DUMMYFUNCTION("""COMPUTED_VALUE"""),"")</f>
        <v/>
      </c>
      <c r="L232" s="91" t="str">
        <f ca="1">IFERROR(__xludf.DUMMYFUNCTION("""COMPUTED_VALUE"""),"09h15 85150 Saint-Mathurin")</f>
        <v>09h15 85150 Saint-Mathurin</v>
      </c>
    </row>
    <row r="233" spans="1:12" ht="15.75" customHeight="1" x14ac:dyDescent="0.2">
      <c r="A233" s="91" t="s">
        <v>277</v>
      </c>
      <c r="B233" s="88">
        <v>0</v>
      </c>
      <c r="C233" s="88">
        <v>1</v>
      </c>
      <c r="H233" s="88" t="e">
        <f t="shared" ca="1" si="0"/>
        <v>#REF!</v>
      </c>
      <c r="I233" s="88" t="e">
        <f t="shared" ca="1" si="1"/>
        <v>#REF!</v>
      </c>
      <c r="J233" s="88" t="str">
        <f ca="1">IFERROR(__xludf.DUMMYFUNCTION("""COMPUTED_VALUE"""),"")</f>
        <v/>
      </c>
      <c r="K233" s="88" t="str">
        <f ca="1">IFERROR(__xludf.DUMMYFUNCTION("""COMPUTED_VALUE"""),"")</f>
        <v/>
      </c>
      <c r="L233" s="91" t="str">
        <f ca="1">IFERROR(__xludf.DUMMYFUNCTION("""COMPUTED_VALUE"""),"09h20 85100 Les Sables d'Olonne (les Sables d'Olonne)-.")</f>
        <v>09h20 85100 Les Sables d'Olonne (les Sables d'Olonne)-.</v>
      </c>
    </row>
    <row r="234" spans="1:12" ht="15.75" customHeight="1" x14ac:dyDescent="0.2">
      <c r="A234" s="91" t="s">
        <v>278</v>
      </c>
      <c r="B234" s="88">
        <v>0</v>
      </c>
      <c r="C234" s="88">
        <v>1</v>
      </c>
      <c r="H234" s="88" t="e">
        <f t="shared" ca="1" si="0"/>
        <v>#REF!</v>
      </c>
      <c r="I234" s="88" t="e">
        <f t="shared" ca="1" si="1"/>
        <v>#REF!</v>
      </c>
      <c r="J234" s="88" t="str">
        <f ca="1">IFERROR(__xludf.DUMMYFUNCTION("""COMPUTED_VALUE"""),"")</f>
        <v/>
      </c>
      <c r="K234" s="88" t="str">
        <f ca="1">IFERROR(__xludf.DUMMYFUNCTION("""COMPUTED_VALUE"""),"")</f>
        <v/>
      </c>
      <c r="L234" s="91" t="str">
        <f ca="1">IFERROR(__xludf.DUMMYFUNCTION("""COMPUTED_VALUE"""),"09h20 85100 Les Sables d'Olonne (les Sables d'Olonne)")</f>
        <v>09h20 85100 Les Sables d'Olonne (les Sables d'Olonne)</v>
      </c>
    </row>
    <row r="235" spans="1:12" ht="15.75" customHeight="1" x14ac:dyDescent="0.2">
      <c r="A235" s="91" t="s">
        <v>279</v>
      </c>
      <c r="B235" s="88">
        <v>0</v>
      </c>
      <c r="C235" s="88">
        <v>1</v>
      </c>
      <c r="H235" s="88" t="e">
        <f t="shared" ca="1" si="0"/>
        <v>#REF!</v>
      </c>
      <c r="I235" s="88" t="e">
        <f t="shared" ca="1" si="1"/>
        <v>#REF!</v>
      </c>
      <c r="J235" s="88" t="str">
        <f ca="1">IFERROR(__xludf.DUMMYFUNCTION("""COMPUTED_VALUE"""),"")</f>
        <v/>
      </c>
      <c r="K235" s="88" t="str">
        <f ca="1">IFERROR(__xludf.DUMMYFUNCTION("""COMPUTED_VALUE"""),"")</f>
        <v/>
      </c>
      <c r="L235" s="91" t="str">
        <f ca="1">IFERROR(__xludf.DUMMYFUNCTION("""COMPUTED_VALUE"""),"09h20 85100 Les Sables d'Olonne ( la Chaume)")</f>
        <v>09h20 85100 Les Sables d'Olonne ( la Chaume)</v>
      </c>
    </row>
    <row r="236" spans="1:12" ht="15.75" customHeight="1" x14ac:dyDescent="0.2">
      <c r="A236" s="91" t="s">
        <v>108</v>
      </c>
      <c r="B236" s="88">
        <v>0</v>
      </c>
      <c r="C236" s="88">
        <v>1</v>
      </c>
      <c r="H236" s="88" t="e">
        <f t="shared" ca="1" si="0"/>
        <v>#REF!</v>
      </c>
      <c r="I236" s="88" t="e">
        <f t="shared" ca="1" si="1"/>
        <v>#REF!</v>
      </c>
      <c r="J236" s="88" t="str">
        <f ca="1">IFERROR(__xludf.DUMMYFUNCTION("""COMPUTED_VALUE"""),"")</f>
        <v/>
      </c>
      <c r="K236" s="88" t="str">
        <f ca="1">IFERROR(__xludf.DUMMYFUNCTION("""COMPUTED_VALUE"""),"")</f>
        <v/>
      </c>
      <c r="L236" s="91" t="str">
        <f ca="1">IFERROR(__xludf.DUMMYFUNCTION("""COMPUTED_VALUE"""),"09h20 85340 Les Sables d'Olonne (Olonne sur Mer)-.")</f>
        <v>09h20 85340 Les Sables d'Olonne (Olonne sur Mer)-.</v>
      </c>
    </row>
    <row r="237" spans="1:12" ht="15.75" customHeight="1" x14ac:dyDescent="0.2">
      <c r="A237" s="91" t="s">
        <v>280</v>
      </c>
      <c r="B237" s="88">
        <v>0</v>
      </c>
      <c r="C237" s="88">
        <v>1</v>
      </c>
      <c r="H237" s="88" t="e">
        <f t="shared" ca="1" si="0"/>
        <v>#REF!</v>
      </c>
      <c r="I237" s="88" t="e">
        <f t="shared" ca="1" si="1"/>
        <v>#REF!</v>
      </c>
      <c r="J237" s="88" t="str">
        <f ca="1">IFERROR(__xludf.DUMMYFUNCTION("""COMPUTED_VALUE"""),"")</f>
        <v/>
      </c>
      <c r="K237" s="88" t="str">
        <f ca="1">IFERROR(__xludf.DUMMYFUNCTION("""COMPUTED_VALUE"""),"")</f>
        <v/>
      </c>
      <c r="L237" s="91" t="str">
        <f ca="1">IFERROR(__xludf.DUMMYFUNCTION("""COMPUTED_VALUE"""),"09h20 85340 Les Sables d'Olonne (Olonne sur Mer)")</f>
        <v>09h20 85340 Les Sables d'Olonne (Olonne sur Mer)</v>
      </c>
    </row>
    <row r="238" spans="1:12" ht="15.75" customHeight="1" x14ac:dyDescent="0.2">
      <c r="A238" s="91" t="s">
        <v>281</v>
      </c>
      <c r="B238" s="88">
        <v>0</v>
      </c>
      <c r="C238" s="88">
        <v>1</v>
      </c>
      <c r="H238" s="88" t="e">
        <f t="shared" ca="1" si="0"/>
        <v>#REF!</v>
      </c>
      <c r="I238" s="88" t="e">
        <f t="shared" ca="1" si="1"/>
        <v>#REF!</v>
      </c>
      <c r="J238" s="88" t="str">
        <f ca="1">IFERROR(__xludf.DUMMYFUNCTION("""COMPUTED_VALUE"""),"")</f>
        <v/>
      </c>
      <c r="K238" s="88" t="str">
        <f ca="1">IFERROR(__xludf.DUMMYFUNCTION("""COMPUTED_VALUE"""),"")</f>
        <v/>
      </c>
      <c r="L238" s="91" t="str">
        <f ca="1">IFERROR(__xludf.DUMMYFUNCTION("""COMPUTED_VALUE"""),"09h20 85180 Les Sables d'Olonne (le Château d'Olonne)-.")</f>
        <v>09h20 85180 Les Sables d'Olonne (le Château d'Olonne)-.</v>
      </c>
    </row>
    <row r="239" spans="1:12" ht="15.75" customHeight="1" x14ac:dyDescent="0.2">
      <c r="A239" s="91" t="s">
        <v>282</v>
      </c>
      <c r="B239" s="88">
        <v>0</v>
      </c>
      <c r="C239" s="88">
        <v>1</v>
      </c>
      <c r="H239" s="88" t="e">
        <f t="shared" ca="1" si="0"/>
        <v>#REF!</v>
      </c>
      <c r="I239" s="88" t="e">
        <f t="shared" ca="1" si="1"/>
        <v>#REF!</v>
      </c>
      <c r="J239" s="88" t="str">
        <f ca="1">IFERROR(__xludf.DUMMYFUNCTION("""COMPUTED_VALUE"""),"")</f>
        <v/>
      </c>
      <c r="K239" s="88" t="str">
        <f ca="1">IFERROR(__xludf.DUMMYFUNCTION("""COMPUTED_VALUE"""),"")</f>
        <v/>
      </c>
      <c r="L239" s="91" t="str">
        <f ca="1">IFERROR(__xludf.DUMMYFUNCTION("""COMPUTED_VALUE"""),"09h20 85180 Les Sables d'Olonne (le Château d'Olonne)")</f>
        <v>09h20 85180 Les Sables d'Olonne (le Château d'Olonne)</v>
      </c>
    </row>
    <row r="240" spans="1:12" ht="15.75" customHeight="1" x14ac:dyDescent="0.2">
      <c r="A240" s="91" t="s">
        <v>283</v>
      </c>
      <c r="B240" s="88">
        <v>0</v>
      </c>
      <c r="C240" s="88">
        <v>1</v>
      </c>
      <c r="H240" s="88" t="e">
        <f t="shared" ca="1" si="0"/>
        <v>#REF!</v>
      </c>
      <c r="I240" s="88" t="e">
        <f t="shared" ca="1" si="1"/>
        <v>#REF!</v>
      </c>
      <c r="J240" s="88" t="str">
        <f ca="1">IFERROR(__xludf.DUMMYFUNCTION("""COMPUTED_VALUE"""),"")</f>
        <v/>
      </c>
      <c r="K240" s="88" t="str">
        <f ca="1">IFERROR(__xludf.DUMMYFUNCTION("""COMPUTED_VALUE"""),"")</f>
        <v/>
      </c>
      <c r="L240" s="91" t="str">
        <f ca="1">IFERROR(__xludf.DUMMYFUNCTION("""COMPUTED_VALUE"""),"09h20 85150 Saint-Mathurin")</f>
        <v>09h20 85150 Saint-Mathurin</v>
      </c>
    </row>
    <row r="241" spans="1:12" ht="15.75" customHeight="1" x14ac:dyDescent="0.2">
      <c r="A241" s="91" t="s">
        <v>284</v>
      </c>
      <c r="B241" s="88">
        <v>0</v>
      </c>
      <c r="C241" s="88">
        <v>1</v>
      </c>
      <c r="H241" s="88" t="e">
        <f t="shared" ca="1" si="0"/>
        <v>#REF!</v>
      </c>
      <c r="I241" s="88" t="e">
        <f t="shared" ca="1" si="1"/>
        <v>#REF!</v>
      </c>
      <c r="J241" s="88" t="str">
        <f ca="1">IFERROR(__xludf.DUMMYFUNCTION("""COMPUTED_VALUE"""),"")</f>
        <v/>
      </c>
      <c r="K241" s="88" t="str">
        <f ca="1">IFERROR(__xludf.DUMMYFUNCTION("""COMPUTED_VALUE"""),"")</f>
        <v/>
      </c>
      <c r="L241" s="91" t="str">
        <f ca="1">IFERROR(__xludf.DUMMYFUNCTION("""COMPUTED_VALUE"""),"09h25 85100 Les Sables d'Olonne (les Sables d'Olonne)-.")</f>
        <v>09h25 85100 Les Sables d'Olonne (les Sables d'Olonne)-.</v>
      </c>
    </row>
    <row r="242" spans="1:12" ht="15.75" customHeight="1" x14ac:dyDescent="0.2">
      <c r="A242" s="91" t="s">
        <v>285</v>
      </c>
      <c r="B242" s="88">
        <v>0</v>
      </c>
      <c r="C242" s="88">
        <v>1</v>
      </c>
      <c r="H242" s="88" t="e">
        <f t="shared" ca="1" si="0"/>
        <v>#REF!</v>
      </c>
      <c r="I242" s="88" t="e">
        <f t="shared" ca="1" si="1"/>
        <v>#REF!</v>
      </c>
      <c r="J242" s="88" t="str">
        <f ca="1">IFERROR(__xludf.DUMMYFUNCTION("""COMPUTED_VALUE"""),"")</f>
        <v/>
      </c>
      <c r="K242" s="88" t="str">
        <f ca="1">IFERROR(__xludf.DUMMYFUNCTION("""COMPUTED_VALUE"""),"")</f>
        <v/>
      </c>
      <c r="L242" s="91" t="str">
        <f ca="1">IFERROR(__xludf.DUMMYFUNCTION("""COMPUTED_VALUE"""),"09h25 85100 Les Sables d'Olonne (les Sables d'Olonne)")</f>
        <v>09h25 85100 Les Sables d'Olonne (les Sables d'Olonne)</v>
      </c>
    </row>
    <row r="243" spans="1:12" ht="15.75" customHeight="1" x14ac:dyDescent="0.2">
      <c r="A243" s="91" t="s">
        <v>286</v>
      </c>
      <c r="B243" s="88">
        <v>0</v>
      </c>
      <c r="C243" s="88">
        <v>1</v>
      </c>
      <c r="H243" s="88" t="e">
        <f t="shared" ca="1" si="0"/>
        <v>#REF!</v>
      </c>
      <c r="I243" s="88" t="e">
        <f t="shared" ca="1" si="1"/>
        <v>#REF!</v>
      </c>
      <c r="J243" s="88" t="str">
        <f ca="1">IFERROR(__xludf.DUMMYFUNCTION("""COMPUTED_VALUE"""),"")</f>
        <v/>
      </c>
      <c r="K243" s="88" t="str">
        <f ca="1">IFERROR(__xludf.DUMMYFUNCTION("""COMPUTED_VALUE"""),"")</f>
        <v/>
      </c>
      <c r="L243" s="91" t="str">
        <f ca="1">IFERROR(__xludf.DUMMYFUNCTION("""COMPUTED_VALUE"""),"09h25 85100 Les Sables d'Olonne ( la Chaume)")</f>
        <v>09h25 85100 Les Sables d'Olonne ( la Chaume)</v>
      </c>
    </row>
    <row r="244" spans="1:12" ht="15.75" customHeight="1" x14ac:dyDescent="0.2">
      <c r="A244" s="91" t="s">
        <v>109</v>
      </c>
      <c r="B244" s="88">
        <v>0</v>
      </c>
      <c r="C244" s="88">
        <v>1</v>
      </c>
      <c r="H244" s="88" t="e">
        <f t="shared" ca="1" si="0"/>
        <v>#REF!</v>
      </c>
      <c r="I244" s="88" t="e">
        <f t="shared" ca="1" si="1"/>
        <v>#REF!</v>
      </c>
      <c r="J244" s="88" t="str">
        <f ca="1">IFERROR(__xludf.DUMMYFUNCTION("""COMPUTED_VALUE"""),"")</f>
        <v/>
      </c>
      <c r="K244" s="88" t="str">
        <f ca="1">IFERROR(__xludf.DUMMYFUNCTION("""COMPUTED_VALUE"""),"")</f>
        <v/>
      </c>
      <c r="L244" s="91" t="str">
        <f ca="1">IFERROR(__xludf.DUMMYFUNCTION("""COMPUTED_VALUE"""),"09h25 85340 Les Sables d'Olonne (Olonne sur Mer)-.")</f>
        <v>09h25 85340 Les Sables d'Olonne (Olonne sur Mer)-.</v>
      </c>
    </row>
    <row r="245" spans="1:12" ht="15.75" customHeight="1" x14ac:dyDescent="0.2">
      <c r="A245" s="91" t="s">
        <v>287</v>
      </c>
      <c r="B245" s="88">
        <v>0</v>
      </c>
      <c r="C245" s="88">
        <v>1</v>
      </c>
      <c r="H245" s="88" t="e">
        <f t="shared" ca="1" si="0"/>
        <v>#REF!</v>
      </c>
      <c r="I245" s="88" t="e">
        <f t="shared" ca="1" si="1"/>
        <v>#REF!</v>
      </c>
      <c r="J245" s="88" t="str">
        <f ca="1">IFERROR(__xludf.DUMMYFUNCTION("""COMPUTED_VALUE"""),"")</f>
        <v/>
      </c>
      <c r="K245" s="88" t="str">
        <f ca="1">IFERROR(__xludf.DUMMYFUNCTION("""COMPUTED_VALUE"""),"")</f>
        <v/>
      </c>
      <c r="L245" s="91" t="str">
        <f ca="1">IFERROR(__xludf.DUMMYFUNCTION("""COMPUTED_VALUE"""),"09h25 85340 Les Sables d'Olonne (Olonne sur Mer)")</f>
        <v>09h25 85340 Les Sables d'Olonne (Olonne sur Mer)</v>
      </c>
    </row>
    <row r="246" spans="1:12" ht="15.75" customHeight="1" x14ac:dyDescent="0.2">
      <c r="A246" s="91" t="s">
        <v>288</v>
      </c>
      <c r="B246" s="88">
        <v>0</v>
      </c>
      <c r="C246" s="88">
        <v>1</v>
      </c>
      <c r="H246" s="88" t="e">
        <f t="shared" ca="1" si="0"/>
        <v>#REF!</v>
      </c>
      <c r="I246" s="88" t="e">
        <f t="shared" ca="1" si="1"/>
        <v>#REF!</v>
      </c>
      <c r="J246" s="88" t="str">
        <f ca="1">IFERROR(__xludf.DUMMYFUNCTION("""COMPUTED_VALUE"""),"")</f>
        <v/>
      </c>
      <c r="K246" s="88" t="str">
        <f ca="1">IFERROR(__xludf.DUMMYFUNCTION("""COMPUTED_VALUE"""),"")</f>
        <v/>
      </c>
      <c r="L246" s="91" t="str">
        <f ca="1">IFERROR(__xludf.DUMMYFUNCTION("""COMPUTED_VALUE"""),"09h25 85180 Les Sables d'Olonne (le Château d'Olonne)-.")</f>
        <v>09h25 85180 Les Sables d'Olonne (le Château d'Olonne)-.</v>
      </c>
    </row>
    <row r="247" spans="1:12" ht="15.75" customHeight="1" x14ac:dyDescent="0.2">
      <c r="A247" s="91" t="s">
        <v>289</v>
      </c>
      <c r="B247" s="88">
        <v>0</v>
      </c>
      <c r="C247" s="88">
        <v>1</v>
      </c>
      <c r="H247" s="88" t="e">
        <f t="shared" ca="1" si="0"/>
        <v>#REF!</v>
      </c>
      <c r="I247" s="88" t="e">
        <f t="shared" ca="1" si="1"/>
        <v>#REF!</v>
      </c>
      <c r="J247" s="88" t="str">
        <f ca="1">IFERROR(__xludf.DUMMYFUNCTION("""COMPUTED_VALUE"""),"")</f>
        <v/>
      </c>
      <c r="K247" s="88" t="str">
        <f ca="1">IFERROR(__xludf.DUMMYFUNCTION("""COMPUTED_VALUE"""),"")</f>
        <v/>
      </c>
      <c r="L247" s="91" t="str">
        <f ca="1">IFERROR(__xludf.DUMMYFUNCTION("""COMPUTED_VALUE"""),"09h25 85180 Les Sables d'Olonne (le Château d'Olonne)")</f>
        <v>09h25 85180 Les Sables d'Olonne (le Château d'Olonne)</v>
      </c>
    </row>
    <row r="248" spans="1:12" ht="15.75" customHeight="1" x14ac:dyDescent="0.2">
      <c r="A248" s="91" t="s">
        <v>290</v>
      </c>
      <c r="B248" s="88">
        <v>0</v>
      </c>
      <c r="C248" s="88">
        <v>1</v>
      </c>
      <c r="H248" s="88" t="e">
        <f t="shared" ca="1" si="0"/>
        <v>#REF!</v>
      </c>
      <c r="I248" s="88" t="e">
        <f t="shared" ca="1" si="1"/>
        <v>#REF!</v>
      </c>
      <c r="J248" s="88" t="str">
        <f ca="1">IFERROR(__xludf.DUMMYFUNCTION("""COMPUTED_VALUE"""),"")</f>
        <v/>
      </c>
      <c r="K248" s="88" t="str">
        <f ca="1">IFERROR(__xludf.DUMMYFUNCTION("""COMPUTED_VALUE"""),"")</f>
        <v/>
      </c>
      <c r="L248" s="91" t="str">
        <f ca="1">IFERROR(__xludf.DUMMYFUNCTION("""COMPUTED_VALUE"""),"09h25 85150 Saint-Mathurin")</f>
        <v>09h25 85150 Saint-Mathurin</v>
      </c>
    </row>
    <row r="249" spans="1:12" ht="15.75" customHeight="1" x14ac:dyDescent="0.2">
      <c r="A249" s="91" t="s">
        <v>291</v>
      </c>
      <c r="B249" s="88">
        <v>0</v>
      </c>
      <c r="C249" s="88">
        <v>1</v>
      </c>
      <c r="H249" s="88" t="e">
        <f t="shared" ca="1" si="0"/>
        <v>#REF!</v>
      </c>
      <c r="I249" s="88" t="e">
        <f t="shared" ca="1" si="1"/>
        <v>#REF!</v>
      </c>
      <c r="J249" s="88" t="str">
        <f ca="1">IFERROR(__xludf.DUMMYFUNCTION("""COMPUTED_VALUE"""),"")</f>
        <v/>
      </c>
      <c r="K249" s="88" t="str">
        <f ca="1">IFERROR(__xludf.DUMMYFUNCTION("""COMPUTED_VALUE"""),"")</f>
        <v/>
      </c>
      <c r="L249" s="91" t="str">
        <f ca="1">IFERROR(__xludf.DUMMYFUNCTION("""COMPUTED_VALUE"""),"09h30 85100 Les Sables d'Olonne (les Sables d'Olonne)-.")</f>
        <v>09h30 85100 Les Sables d'Olonne (les Sables d'Olonne)-.</v>
      </c>
    </row>
    <row r="250" spans="1:12" ht="15.75" customHeight="1" x14ac:dyDescent="0.2">
      <c r="A250" s="91" t="s">
        <v>29</v>
      </c>
      <c r="B250" s="88">
        <v>0</v>
      </c>
      <c r="C250" s="88">
        <v>1</v>
      </c>
      <c r="H250" s="88" t="e">
        <f t="shared" ca="1" si="0"/>
        <v>#REF!</v>
      </c>
      <c r="I250" s="88" t="e">
        <f t="shared" ca="1" si="1"/>
        <v>#REF!</v>
      </c>
      <c r="J250" s="88" t="str">
        <f ca="1">IFERROR(__xludf.DUMMYFUNCTION("""COMPUTED_VALUE"""),"")</f>
        <v/>
      </c>
      <c r="K250" s="88" t="str">
        <f ca="1">IFERROR(__xludf.DUMMYFUNCTION("""COMPUTED_VALUE"""),"")</f>
        <v/>
      </c>
      <c r="L250" s="91" t="str">
        <f ca="1">IFERROR(__xludf.DUMMYFUNCTION("""COMPUTED_VALUE"""),"09h30 85100 Les Sables d'Olonne (les Sables d'Olonne)")</f>
        <v>09h30 85100 Les Sables d'Olonne (les Sables d'Olonne)</v>
      </c>
    </row>
    <row r="251" spans="1:12" ht="15.75" customHeight="1" x14ac:dyDescent="0.2">
      <c r="A251" s="91" t="s">
        <v>292</v>
      </c>
      <c r="B251" s="88">
        <v>0</v>
      </c>
      <c r="C251" s="88">
        <v>1</v>
      </c>
      <c r="H251" s="88" t="e">
        <f t="shared" ca="1" si="0"/>
        <v>#REF!</v>
      </c>
      <c r="I251" s="88" t="e">
        <f t="shared" ca="1" si="1"/>
        <v>#REF!</v>
      </c>
      <c r="J251" s="88" t="str">
        <f ca="1">IFERROR(__xludf.DUMMYFUNCTION("""COMPUTED_VALUE"""),"")</f>
        <v/>
      </c>
      <c r="K251" s="88" t="str">
        <f ca="1">IFERROR(__xludf.DUMMYFUNCTION("""COMPUTED_VALUE"""),"")</f>
        <v/>
      </c>
      <c r="L251" s="91" t="str">
        <f ca="1">IFERROR(__xludf.DUMMYFUNCTION("""COMPUTED_VALUE"""),"09h30 85100 Les Sables d'Olonne ( la Chaume)")</f>
        <v>09h30 85100 Les Sables d'Olonne ( la Chaume)</v>
      </c>
    </row>
    <row r="252" spans="1:12" ht="15.75" customHeight="1" x14ac:dyDescent="0.2">
      <c r="A252" s="91" t="s">
        <v>110</v>
      </c>
      <c r="B252" s="88">
        <v>0</v>
      </c>
      <c r="C252" s="88">
        <v>1</v>
      </c>
      <c r="H252" s="88" t="e">
        <f t="shared" ca="1" si="0"/>
        <v>#REF!</v>
      </c>
      <c r="I252" s="88" t="e">
        <f t="shared" ca="1" si="1"/>
        <v>#REF!</v>
      </c>
      <c r="J252" s="88" t="str">
        <f ca="1">IFERROR(__xludf.DUMMYFUNCTION("""COMPUTED_VALUE"""),"")</f>
        <v/>
      </c>
      <c r="K252" s="88" t="str">
        <f ca="1">IFERROR(__xludf.DUMMYFUNCTION("""COMPUTED_VALUE"""),"")</f>
        <v/>
      </c>
      <c r="L252" s="91" t="str">
        <f ca="1">IFERROR(__xludf.DUMMYFUNCTION("""COMPUTED_VALUE"""),"09h30 85340 Les Sables d'Olonne (Olonne sur Mer)-.")</f>
        <v>09h30 85340 Les Sables d'Olonne (Olonne sur Mer)-.</v>
      </c>
    </row>
    <row r="253" spans="1:12" ht="15.75" customHeight="1" x14ac:dyDescent="0.2">
      <c r="A253" s="91" t="s">
        <v>293</v>
      </c>
      <c r="B253" s="88">
        <v>0</v>
      </c>
      <c r="C253" s="88">
        <v>1</v>
      </c>
      <c r="H253" s="88" t="e">
        <f t="shared" ca="1" si="0"/>
        <v>#REF!</v>
      </c>
      <c r="I253" s="88" t="e">
        <f t="shared" ca="1" si="1"/>
        <v>#REF!</v>
      </c>
      <c r="J253" s="88" t="str">
        <f ca="1">IFERROR(__xludf.DUMMYFUNCTION("""COMPUTED_VALUE"""),"")</f>
        <v/>
      </c>
      <c r="K253" s="88" t="str">
        <f ca="1">IFERROR(__xludf.DUMMYFUNCTION("""COMPUTED_VALUE"""),"")</f>
        <v/>
      </c>
      <c r="L253" s="91" t="str">
        <f ca="1">IFERROR(__xludf.DUMMYFUNCTION("""COMPUTED_VALUE"""),"09h30 85340 Les Sables d'Olonne (Olonne sur Mer)")</f>
        <v>09h30 85340 Les Sables d'Olonne (Olonne sur Mer)</v>
      </c>
    </row>
    <row r="254" spans="1:12" ht="15.75" customHeight="1" x14ac:dyDescent="0.2">
      <c r="A254" s="91" t="s">
        <v>64</v>
      </c>
      <c r="B254" s="88">
        <v>0</v>
      </c>
      <c r="C254" s="88">
        <v>1</v>
      </c>
      <c r="H254" s="88" t="e">
        <f t="shared" ca="1" si="0"/>
        <v>#REF!</v>
      </c>
      <c r="I254" s="88" t="e">
        <f t="shared" ca="1" si="1"/>
        <v>#REF!</v>
      </c>
      <c r="J254" s="88" t="str">
        <f ca="1">IFERROR(__xludf.DUMMYFUNCTION("""COMPUTED_VALUE"""),"")</f>
        <v/>
      </c>
      <c r="K254" s="88" t="str">
        <f ca="1">IFERROR(__xludf.DUMMYFUNCTION("""COMPUTED_VALUE"""),"")</f>
        <v/>
      </c>
      <c r="L254" s="91" t="str">
        <f ca="1">IFERROR(__xludf.DUMMYFUNCTION("""COMPUTED_VALUE"""),"09h30 85180 Les Sables d'Olonne (le Château d'Olonne)-.")</f>
        <v>09h30 85180 Les Sables d'Olonne (le Château d'Olonne)-.</v>
      </c>
    </row>
    <row r="255" spans="1:12" ht="15.75" customHeight="1" x14ac:dyDescent="0.2">
      <c r="A255" s="91" t="s">
        <v>294</v>
      </c>
      <c r="B255" s="88">
        <v>0</v>
      </c>
      <c r="C255" s="88">
        <v>1</v>
      </c>
      <c r="H255" s="88" t="e">
        <f t="shared" ca="1" si="0"/>
        <v>#REF!</v>
      </c>
      <c r="I255" s="88" t="e">
        <f t="shared" ca="1" si="1"/>
        <v>#REF!</v>
      </c>
      <c r="J255" s="88" t="str">
        <f ca="1">IFERROR(__xludf.DUMMYFUNCTION("""COMPUTED_VALUE"""),"")</f>
        <v/>
      </c>
      <c r="K255" s="88" t="str">
        <f ca="1">IFERROR(__xludf.DUMMYFUNCTION("""COMPUTED_VALUE"""),"")</f>
        <v/>
      </c>
      <c r="L255" s="91" t="str">
        <f ca="1">IFERROR(__xludf.DUMMYFUNCTION("""COMPUTED_VALUE"""),"09h30 85180 Les Sables d'Olonne (le Château d'Olonne)")</f>
        <v>09h30 85180 Les Sables d'Olonne (le Château d'Olonne)</v>
      </c>
    </row>
    <row r="256" spans="1:12" ht="15.75" customHeight="1" x14ac:dyDescent="0.2">
      <c r="A256" s="91" t="s">
        <v>295</v>
      </c>
      <c r="B256" s="88">
        <v>0</v>
      </c>
      <c r="C256" s="88">
        <v>1</v>
      </c>
      <c r="H256" s="88" t="e">
        <f t="shared" ca="1" si="0"/>
        <v>#REF!</v>
      </c>
      <c r="I256" s="88" t="e">
        <f t="shared" ca="1" si="1"/>
        <v>#REF!</v>
      </c>
      <c r="J256" s="88" t="str">
        <f ca="1">IFERROR(__xludf.DUMMYFUNCTION("""COMPUTED_VALUE"""),"")</f>
        <v/>
      </c>
      <c r="K256" s="88" t="str">
        <f ca="1">IFERROR(__xludf.DUMMYFUNCTION("""COMPUTED_VALUE"""),"")</f>
        <v/>
      </c>
      <c r="L256" s="91" t="str">
        <f ca="1">IFERROR(__xludf.DUMMYFUNCTION("""COMPUTED_VALUE"""),"09h30 85150 Saint-Mathurin")</f>
        <v>09h30 85150 Saint-Mathurin</v>
      </c>
    </row>
    <row r="257" spans="1:12" ht="15.75" customHeight="1" x14ac:dyDescent="0.2">
      <c r="A257" s="91" t="s">
        <v>296</v>
      </c>
      <c r="B257" s="88">
        <v>0</v>
      </c>
      <c r="C257" s="88">
        <v>1</v>
      </c>
      <c r="H257" s="88" t="e">
        <f t="shared" ca="1" si="0"/>
        <v>#REF!</v>
      </c>
      <c r="I257" s="88" t="e">
        <f t="shared" ca="1" si="1"/>
        <v>#REF!</v>
      </c>
      <c r="J257" s="88" t="str">
        <f ca="1">IFERROR(__xludf.DUMMYFUNCTION("""COMPUTED_VALUE"""),"")</f>
        <v/>
      </c>
      <c r="K257" s="88" t="str">
        <f ca="1">IFERROR(__xludf.DUMMYFUNCTION("""COMPUTED_VALUE"""),"")</f>
        <v/>
      </c>
      <c r="L257" s="91" t="str">
        <f ca="1">IFERROR(__xludf.DUMMYFUNCTION("""COMPUTED_VALUE"""),"09h35 85100 Les Sables d'Olonne (les Sables d'Olonne)-.")</f>
        <v>09h35 85100 Les Sables d'Olonne (les Sables d'Olonne)-.</v>
      </c>
    </row>
    <row r="258" spans="1:12" ht="15.75" customHeight="1" x14ac:dyDescent="0.2">
      <c r="A258" s="91" t="s">
        <v>297</v>
      </c>
      <c r="B258" s="88">
        <v>0</v>
      </c>
      <c r="C258" s="88">
        <v>1</v>
      </c>
      <c r="H258" s="88" t="e">
        <f t="shared" ca="1" si="0"/>
        <v>#REF!</v>
      </c>
      <c r="I258" s="88" t="e">
        <f t="shared" ca="1" si="1"/>
        <v>#REF!</v>
      </c>
      <c r="J258" s="88" t="str">
        <f ca="1">IFERROR(__xludf.DUMMYFUNCTION("""COMPUTED_VALUE"""),"")</f>
        <v/>
      </c>
      <c r="K258" s="88" t="str">
        <f ca="1">IFERROR(__xludf.DUMMYFUNCTION("""COMPUTED_VALUE"""),"")</f>
        <v/>
      </c>
      <c r="L258" s="91" t="str">
        <f ca="1">IFERROR(__xludf.DUMMYFUNCTION("""COMPUTED_VALUE"""),"09h35 85100 Les Sables d'Olonne (les Sables d'Olonne)")</f>
        <v>09h35 85100 Les Sables d'Olonne (les Sables d'Olonne)</v>
      </c>
    </row>
    <row r="259" spans="1:12" ht="15.75" customHeight="1" x14ac:dyDescent="0.2">
      <c r="A259" s="91" t="s">
        <v>298</v>
      </c>
      <c r="B259" s="88">
        <v>0</v>
      </c>
      <c r="C259" s="88">
        <v>1</v>
      </c>
      <c r="H259" s="88" t="e">
        <f t="shared" ca="1" si="0"/>
        <v>#REF!</v>
      </c>
      <c r="I259" s="88" t="e">
        <f t="shared" ca="1" si="1"/>
        <v>#REF!</v>
      </c>
      <c r="J259" s="88" t="str">
        <f ca="1">IFERROR(__xludf.DUMMYFUNCTION("""COMPUTED_VALUE"""),"")</f>
        <v/>
      </c>
      <c r="K259" s="88" t="str">
        <f ca="1">IFERROR(__xludf.DUMMYFUNCTION("""COMPUTED_VALUE"""),"")</f>
        <v/>
      </c>
      <c r="L259" s="91" t="str">
        <f ca="1">IFERROR(__xludf.DUMMYFUNCTION("""COMPUTED_VALUE"""),"09h35 85100 Les Sables d'Olonne ( la Chaume)")</f>
        <v>09h35 85100 Les Sables d'Olonne ( la Chaume)</v>
      </c>
    </row>
    <row r="260" spans="1:12" ht="15.75" customHeight="1" x14ac:dyDescent="0.2">
      <c r="A260" s="91" t="s">
        <v>111</v>
      </c>
      <c r="B260" s="88">
        <v>0</v>
      </c>
      <c r="C260" s="88">
        <v>1</v>
      </c>
      <c r="H260" s="88" t="e">
        <f t="shared" ca="1" si="0"/>
        <v>#REF!</v>
      </c>
      <c r="I260" s="88" t="e">
        <f t="shared" ca="1" si="1"/>
        <v>#REF!</v>
      </c>
      <c r="J260" s="88" t="str">
        <f ca="1">IFERROR(__xludf.DUMMYFUNCTION("""COMPUTED_VALUE"""),"")</f>
        <v/>
      </c>
      <c r="K260" s="88" t="str">
        <f ca="1">IFERROR(__xludf.DUMMYFUNCTION("""COMPUTED_VALUE"""),"")</f>
        <v/>
      </c>
      <c r="L260" s="91" t="str">
        <f ca="1">IFERROR(__xludf.DUMMYFUNCTION("""COMPUTED_VALUE"""),"09h35 85340 Les Sables d'Olonne (Olonne sur Mer)-.")</f>
        <v>09h35 85340 Les Sables d'Olonne (Olonne sur Mer)-.</v>
      </c>
    </row>
    <row r="261" spans="1:12" ht="15.75" customHeight="1" x14ac:dyDescent="0.2">
      <c r="A261" s="91" t="s">
        <v>299</v>
      </c>
      <c r="B261" s="88">
        <v>0</v>
      </c>
      <c r="C261" s="88">
        <v>1</v>
      </c>
      <c r="H261" s="88" t="e">
        <f t="shared" ca="1" si="0"/>
        <v>#REF!</v>
      </c>
      <c r="I261" s="88" t="e">
        <f t="shared" ca="1" si="1"/>
        <v>#REF!</v>
      </c>
      <c r="J261" s="88" t="str">
        <f ca="1">IFERROR(__xludf.DUMMYFUNCTION("""COMPUTED_VALUE"""),"")</f>
        <v/>
      </c>
      <c r="K261" s="88" t="str">
        <f ca="1">IFERROR(__xludf.DUMMYFUNCTION("""COMPUTED_VALUE"""),"")</f>
        <v/>
      </c>
      <c r="L261" s="91" t="str">
        <f ca="1">IFERROR(__xludf.DUMMYFUNCTION("""COMPUTED_VALUE"""),"09h35 85340 Les Sables d'Olonne (Olonne sur Mer)")</f>
        <v>09h35 85340 Les Sables d'Olonne (Olonne sur Mer)</v>
      </c>
    </row>
    <row r="262" spans="1:12" ht="15.75" customHeight="1" x14ac:dyDescent="0.2">
      <c r="A262" s="91" t="s">
        <v>65</v>
      </c>
      <c r="B262" s="88">
        <v>0</v>
      </c>
      <c r="C262" s="88">
        <v>1</v>
      </c>
      <c r="H262" s="88" t="e">
        <f t="shared" ca="1" si="0"/>
        <v>#REF!</v>
      </c>
      <c r="I262" s="88" t="e">
        <f t="shared" ca="1" si="1"/>
        <v>#REF!</v>
      </c>
      <c r="J262" s="88" t="str">
        <f ca="1">IFERROR(__xludf.DUMMYFUNCTION("""COMPUTED_VALUE"""),"")</f>
        <v/>
      </c>
      <c r="K262" s="88" t="str">
        <f ca="1">IFERROR(__xludf.DUMMYFUNCTION("""COMPUTED_VALUE"""),"")</f>
        <v/>
      </c>
      <c r="L262" s="91" t="str">
        <f ca="1">IFERROR(__xludf.DUMMYFUNCTION("""COMPUTED_VALUE"""),"09h35 85180 Les Sables d'Olonne (le Château d'Olonne)-.")</f>
        <v>09h35 85180 Les Sables d'Olonne (le Château d'Olonne)-.</v>
      </c>
    </row>
    <row r="263" spans="1:12" ht="15.75" customHeight="1" x14ac:dyDescent="0.2">
      <c r="A263" s="91" t="s">
        <v>300</v>
      </c>
      <c r="B263" s="88">
        <v>0</v>
      </c>
      <c r="C263" s="88">
        <v>1</v>
      </c>
      <c r="H263" s="88" t="e">
        <f t="shared" ca="1" si="0"/>
        <v>#REF!</v>
      </c>
      <c r="I263" s="88" t="e">
        <f t="shared" ca="1" si="1"/>
        <v>#REF!</v>
      </c>
      <c r="J263" s="88" t="str">
        <f ca="1">IFERROR(__xludf.DUMMYFUNCTION("""COMPUTED_VALUE"""),"")</f>
        <v/>
      </c>
      <c r="K263" s="88" t="str">
        <f ca="1">IFERROR(__xludf.DUMMYFUNCTION("""COMPUTED_VALUE"""),"")</f>
        <v/>
      </c>
      <c r="L263" s="91" t="str">
        <f ca="1">IFERROR(__xludf.DUMMYFUNCTION("""COMPUTED_VALUE"""),"09h35 85180 Les Sables d'Olonne (le Château d'Olonne)")</f>
        <v>09h35 85180 Les Sables d'Olonne (le Château d'Olonne)</v>
      </c>
    </row>
    <row r="264" spans="1:12" ht="15.75" customHeight="1" x14ac:dyDescent="0.2">
      <c r="A264" s="91" t="s">
        <v>301</v>
      </c>
      <c r="B264" s="88">
        <v>0</v>
      </c>
      <c r="C264" s="88">
        <v>1</v>
      </c>
      <c r="H264" s="88" t="e">
        <f t="shared" ca="1" si="0"/>
        <v>#REF!</v>
      </c>
      <c r="I264" s="88" t="e">
        <f t="shared" ca="1" si="1"/>
        <v>#REF!</v>
      </c>
      <c r="J264" s="88" t="str">
        <f ca="1">IFERROR(__xludf.DUMMYFUNCTION("""COMPUTED_VALUE"""),"")</f>
        <v/>
      </c>
      <c r="K264" s="88" t="str">
        <f ca="1">IFERROR(__xludf.DUMMYFUNCTION("""COMPUTED_VALUE"""),"")</f>
        <v/>
      </c>
      <c r="L264" s="91" t="str">
        <f ca="1">IFERROR(__xludf.DUMMYFUNCTION("""COMPUTED_VALUE"""),"09h35 85150 Saint-Mathurin")</f>
        <v>09h35 85150 Saint-Mathurin</v>
      </c>
    </row>
    <row r="265" spans="1:12" ht="15.75" customHeight="1" x14ac:dyDescent="0.2">
      <c r="A265" s="91" t="s">
        <v>302</v>
      </c>
      <c r="B265" s="88">
        <v>0</v>
      </c>
      <c r="C265" s="88">
        <v>1</v>
      </c>
      <c r="H265" s="88" t="e">
        <f t="shared" ca="1" si="0"/>
        <v>#REF!</v>
      </c>
      <c r="I265" s="88" t="e">
        <f t="shared" ca="1" si="1"/>
        <v>#REF!</v>
      </c>
      <c r="J265" s="88" t="str">
        <f ca="1">IFERROR(__xludf.DUMMYFUNCTION("""COMPUTED_VALUE"""),"")</f>
        <v/>
      </c>
      <c r="K265" s="88" t="str">
        <f ca="1">IFERROR(__xludf.DUMMYFUNCTION("""COMPUTED_VALUE"""),"")</f>
        <v/>
      </c>
      <c r="L265" s="91" t="str">
        <f ca="1">IFERROR(__xludf.DUMMYFUNCTION("""COMPUTED_VALUE"""),"09h40 85100 Les Sables d'Olonne (les Sables d'Olonne)-.")</f>
        <v>09h40 85100 Les Sables d'Olonne (les Sables d'Olonne)-.</v>
      </c>
    </row>
    <row r="266" spans="1:12" ht="15.75" customHeight="1" x14ac:dyDescent="0.2">
      <c r="A266" s="91" t="s">
        <v>303</v>
      </c>
      <c r="B266" s="88">
        <v>0</v>
      </c>
      <c r="C266" s="88">
        <v>1</v>
      </c>
      <c r="H266" s="88" t="e">
        <f t="shared" ca="1" si="0"/>
        <v>#REF!</v>
      </c>
      <c r="I266" s="88" t="e">
        <f t="shared" ca="1" si="1"/>
        <v>#REF!</v>
      </c>
      <c r="J266" s="88" t="str">
        <f ca="1">IFERROR(__xludf.DUMMYFUNCTION("""COMPUTED_VALUE"""),"")</f>
        <v/>
      </c>
      <c r="K266" s="88" t="str">
        <f ca="1">IFERROR(__xludf.DUMMYFUNCTION("""COMPUTED_VALUE"""),"")</f>
        <v/>
      </c>
      <c r="L266" s="91" t="str">
        <f ca="1">IFERROR(__xludf.DUMMYFUNCTION("""COMPUTED_VALUE"""),"09h40 85100 Les Sables d'Olonne (les Sables d'Olonne)")</f>
        <v>09h40 85100 Les Sables d'Olonne (les Sables d'Olonne)</v>
      </c>
    </row>
    <row r="267" spans="1:12" ht="15.75" customHeight="1" x14ac:dyDescent="0.2">
      <c r="A267" s="91" t="s">
        <v>304</v>
      </c>
      <c r="B267" s="88">
        <v>0</v>
      </c>
      <c r="C267" s="88">
        <v>1</v>
      </c>
      <c r="H267" s="88" t="e">
        <f t="shared" ca="1" si="0"/>
        <v>#REF!</v>
      </c>
      <c r="I267" s="88" t="e">
        <f t="shared" ca="1" si="1"/>
        <v>#REF!</v>
      </c>
      <c r="J267" s="88" t="str">
        <f ca="1">IFERROR(__xludf.DUMMYFUNCTION("""COMPUTED_VALUE"""),"")</f>
        <v/>
      </c>
      <c r="K267" s="88" t="str">
        <f ca="1">IFERROR(__xludf.DUMMYFUNCTION("""COMPUTED_VALUE"""),"")</f>
        <v/>
      </c>
      <c r="L267" s="91" t="str">
        <f ca="1">IFERROR(__xludf.DUMMYFUNCTION("""COMPUTED_VALUE"""),"09h40 85100 Les Sables d'Olonne ( la Chaume)")</f>
        <v>09h40 85100 Les Sables d'Olonne ( la Chaume)</v>
      </c>
    </row>
    <row r="268" spans="1:12" ht="15.75" customHeight="1" x14ac:dyDescent="0.2">
      <c r="A268" s="91" t="s">
        <v>112</v>
      </c>
      <c r="B268" s="88">
        <v>0</v>
      </c>
      <c r="C268" s="88">
        <v>1</v>
      </c>
      <c r="H268" s="88" t="e">
        <f t="shared" ca="1" si="0"/>
        <v>#REF!</v>
      </c>
      <c r="I268" s="88" t="e">
        <f t="shared" ca="1" si="1"/>
        <v>#REF!</v>
      </c>
      <c r="J268" s="88" t="str">
        <f ca="1">IFERROR(__xludf.DUMMYFUNCTION("""COMPUTED_VALUE"""),"")</f>
        <v/>
      </c>
      <c r="K268" s="88" t="str">
        <f ca="1">IFERROR(__xludf.DUMMYFUNCTION("""COMPUTED_VALUE"""),"")</f>
        <v/>
      </c>
      <c r="L268" s="91" t="str">
        <f ca="1">IFERROR(__xludf.DUMMYFUNCTION("""COMPUTED_VALUE"""),"09h40 85340 Les Sables d'Olonne (Olonne sur Mer)-.")</f>
        <v>09h40 85340 Les Sables d'Olonne (Olonne sur Mer)-.</v>
      </c>
    </row>
    <row r="269" spans="1:12" ht="15.75" customHeight="1" x14ac:dyDescent="0.2">
      <c r="A269" s="91" t="s">
        <v>305</v>
      </c>
      <c r="B269" s="88">
        <v>0</v>
      </c>
      <c r="C269" s="88">
        <v>1</v>
      </c>
      <c r="H269" s="88" t="e">
        <f t="shared" ca="1" si="0"/>
        <v>#REF!</v>
      </c>
      <c r="I269" s="88" t="e">
        <f t="shared" ca="1" si="1"/>
        <v>#REF!</v>
      </c>
      <c r="J269" s="88" t="str">
        <f ca="1">IFERROR(__xludf.DUMMYFUNCTION("""COMPUTED_VALUE"""),"")</f>
        <v/>
      </c>
      <c r="K269" s="88" t="str">
        <f ca="1">IFERROR(__xludf.DUMMYFUNCTION("""COMPUTED_VALUE"""),"")</f>
        <v/>
      </c>
      <c r="L269" s="91" t="str">
        <f ca="1">IFERROR(__xludf.DUMMYFUNCTION("""COMPUTED_VALUE"""),"09h40 85340 Les Sables d'Olonne (Olonne sur Mer)")</f>
        <v>09h40 85340 Les Sables d'Olonne (Olonne sur Mer)</v>
      </c>
    </row>
    <row r="270" spans="1:12" ht="15.75" customHeight="1" x14ac:dyDescent="0.2">
      <c r="A270" s="91" t="s">
        <v>306</v>
      </c>
      <c r="B270" s="88">
        <v>0</v>
      </c>
      <c r="C270" s="88">
        <v>1</v>
      </c>
      <c r="H270" s="88" t="e">
        <f t="shared" ca="1" si="0"/>
        <v>#REF!</v>
      </c>
      <c r="I270" s="88" t="e">
        <f t="shared" ca="1" si="1"/>
        <v>#REF!</v>
      </c>
      <c r="J270" s="88" t="str">
        <f ca="1">IFERROR(__xludf.DUMMYFUNCTION("""COMPUTED_VALUE"""),"")</f>
        <v/>
      </c>
      <c r="K270" s="88" t="str">
        <f ca="1">IFERROR(__xludf.DUMMYFUNCTION("""COMPUTED_VALUE"""),"")</f>
        <v/>
      </c>
      <c r="L270" s="91" t="str">
        <f ca="1">IFERROR(__xludf.DUMMYFUNCTION("""COMPUTED_VALUE"""),"09h40 85180 Les Sables d'Olonne (le Château d'Olonne)-.")</f>
        <v>09h40 85180 Les Sables d'Olonne (le Château d'Olonne)-.</v>
      </c>
    </row>
    <row r="271" spans="1:12" ht="15.75" customHeight="1" x14ac:dyDescent="0.2">
      <c r="A271" s="91" t="s">
        <v>307</v>
      </c>
      <c r="B271" s="88">
        <v>0</v>
      </c>
      <c r="C271" s="88">
        <v>1</v>
      </c>
      <c r="H271" s="88" t="e">
        <f t="shared" ca="1" si="0"/>
        <v>#REF!</v>
      </c>
      <c r="I271" s="88" t="e">
        <f t="shared" ca="1" si="1"/>
        <v>#REF!</v>
      </c>
      <c r="J271" s="88" t="str">
        <f ca="1">IFERROR(__xludf.DUMMYFUNCTION("""COMPUTED_VALUE"""),"")</f>
        <v/>
      </c>
      <c r="K271" s="88" t="str">
        <f ca="1">IFERROR(__xludf.DUMMYFUNCTION("""COMPUTED_VALUE"""),"")</f>
        <v/>
      </c>
      <c r="L271" s="91" t="str">
        <f ca="1">IFERROR(__xludf.DUMMYFUNCTION("""COMPUTED_VALUE"""),"09h40 85180 Les Sables d'Olonne (le Château d'Olonne)")</f>
        <v>09h40 85180 Les Sables d'Olonne (le Château d'Olonne)</v>
      </c>
    </row>
    <row r="272" spans="1:12" ht="15.75" customHeight="1" x14ac:dyDescent="0.2">
      <c r="A272" s="91" t="s">
        <v>308</v>
      </c>
      <c r="B272" s="88">
        <v>0</v>
      </c>
      <c r="C272" s="88">
        <v>1</v>
      </c>
      <c r="H272" s="88" t="e">
        <f t="shared" ca="1" si="0"/>
        <v>#REF!</v>
      </c>
      <c r="I272" s="88" t="e">
        <f t="shared" ca="1" si="1"/>
        <v>#REF!</v>
      </c>
      <c r="J272" s="88" t="str">
        <f ca="1">IFERROR(__xludf.DUMMYFUNCTION("""COMPUTED_VALUE"""),"")</f>
        <v/>
      </c>
      <c r="K272" s="88" t="str">
        <f ca="1">IFERROR(__xludf.DUMMYFUNCTION("""COMPUTED_VALUE"""),"")</f>
        <v/>
      </c>
      <c r="L272" s="91" t="str">
        <f ca="1">IFERROR(__xludf.DUMMYFUNCTION("""COMPUTED_VALUE"""),"09h40 85150 Saint-Mathurin")</f>
        <v>09h40 85150 Saint-Mathurin</v>
      </c>
    </row>
    <row r="273" spans="1:12" ht="15.75" customHeight="1" x14ac:dyDescent="0.2">
      <c r="A273" s="91" t="s">
        <v>309</v>
      </c>
      <c r="B273" s="88">
        <v>0</v>
      </c>
      <c r="C273" s="88">
        <v>1</v>
      </c>
      <c r="H273" s="88" t="e">
        <f t="shared" ca="1" si="0"/>
        <v>#REF!</v>
      </c>
      <c r="I273" s="88" t="e">
        <f t="shared" ca="1" si="1"/>
        <v>#REF!</v>
      </c>
      <c r="J273" s="88" t="str">
        <f ca="1">IFERROR(__xludf.DUMMYFUNCTION("""COMPUTED_VALUE"""),"")</f>
        <v/>
      </c>
      <c r="K273" s="88" t="str">
        <f ca="1">IFERROR(__xludf.DUMMYFUNCTION("""COMPUTED_VALUE"""),"")</f>
        <v/>
      </c>
      <c r="L273" s="91" t="str">
        <f ca="1">IFERROR(__xludf.DUMMYFUNCTION("""COMPUTED_VALUE"""),"09h45 85100 Les Sables d'Olonne (les Sables d'Olonne)-.")</f>
        <v>09h45 85100 Les Sables d'Olonne (les Sables d'Olonne)-.</v>
      </c>
    </row>
    <row r="274" spans="1:12" ht="15.75" customHeight="1" x14ac:dyDescent="0.2">
      <c r="A274" s="91" t="s">
        <v>310</v>
      </c>
      <c r="B274" s="88">
        <v>0</v>
      </c>
      <c r="C274" s="88">
        <v>1</v>
      </c>
      <c r="H274" s="88" t="e">
        <f t="shared" ca="1" si="0"/>
        <v>#REF!</v>
      </c>
      <c r="I274" s="88" t="e">
        <f t="shared" ca="1" si="1"/>
        <v>#REF!</v>
      </c>
      <c r="J274" s="88" t="str">
        <f ca="1">IFERROR(__xludf.DUMMYFUNCTION("""COMPUTED_VALUE"""),"")</f>
        <v/>
      </c>
      <c r="K274" s="88" t="str">
        <f ca="1">IFERROR(__xludf.DUMMYFUNCTION("""COMPUTED_VALUE"""),"")</f>
        <v/>
      </c>
      <c r="L274" s="91" t="str">
        <f ca="1">IFERROR(__xludf.DUMMYFUNCTION("""COMPUTED_VALUE"""),"09h45 85100 Les Sables d'Olonne (les Sables d'Olonne)")</f>
        <v>09h45 85100 Les Sables d'Olonne (les Sables d'Olonne)</v>
      </c>
    </row>
    <row r="275" spans="1:12" ht="15.75" customHeight="1" x14ac:dyDescent="0.2">
      <c r="A275" s="91" t="s">
        <v>311</v>
      </c>
      <c r="B275" s="88">
        <v>0</v>
      </c>
      <c r="C275" s="88">
        <v>1</v>
      </c>
      <c r="H275" s="88" t="e">
        <f t="shared" ca="1" si="0"/>
        <v>#REF!</v>
      </c>
      <c r="I275" s="88" t="e">
        <f t="shared" ca="1" si="1"/>
        <v>#REF!</v>
      </c>
      <c r="J275" s="88" t="str">
        <f ca="1">IFERROR(__xludf.DUMMYFUNCTION("""COMPUTED_VALUE"""),"")</f>
        <v/>
      </c>
      <c r="K275" s="88" t="str">
        <f ca="1">IFERROR(__xludf.DUMMYFUNCTION("""COMPUTED_VALUE"""),"")</f>
        <v/>
      </c>
      <c r="L275" s="91" t="str">
        <f ca="1">IFERROR(__xludf.DUMMYFUNCTION("""COMPUTED_VALUE"""),"09h45 85100 Les Sables d'Olonne ( la Chaume)")</f>
        <v>09h45 85100 Les Sables d'Olonne ( la Chaume)</v>
      </c>
    </row>
    <row r="276" spans="1:12" ht="15.75" customHeight="1" x14ac:dyDescent="0.2">
      <c r="A276" s="91" t="s">
        <v>113</v>
      </c>
      <c r="B276" s="88">
        <v>0</v>
      </c>
      <c r="C276" s="88">
        <v>1</v>
      </c>
      <c r="H276" s="88" t="e">
        <f t="shared" ca="1" si="0"/>
        <v>#REF!</v>
      </c>
      <c r="I276" s="88" t="e">
        <f t="shared" ca="1" si="1"/>
        <v>#REF!</v>
      </c>
      <c r="J276" s="88" t="str">
        <f ca="1">IFERROR(__xludf.DUMMYFUNCTION("""COMPUTED_VALUE"""),"")</f>
        <v/>
      </c>
      <c r="K276" s="88" t="str">
        <f ca="1">IFERROR(__xludf.DUMMYFUNCTION("""COMPUTED_VALUE"""),"")</f>
        <v/>
      </c>
      <c r="L276" s="91" t="str">
        <f ca="1">IFERROR(__xludf.DUMMYFUNCTION("""COMPUTED_VALUE"""),"09h45 85340 Les Sables d'Olonne (Olonne sur Mer)-.")</f>
        <v>09h45 85340 Les Sables d'Olonne (Olonne sur Mer)-.</v>
      </c>
    </row>
    <row r="277" spans="1:12" ht="15.75" customHeight="1" x14ac:dyDescent="0.2">
      <c r="A277" s="91" t="s">
        <v>312</v>
      </c>
      <c r="B277" s="88">
        <v>0</v>
      </c>
      <c r="C277" s="88">
        <v>1</v>
      </c>
      <c r="H277" s="88" t="e">
        <f t="shared" ca="1" si="0"/>
        <v>#REF!</v>
      </c>
      <c r="I277" s="88" t="e">
        <f t="shared" ca="1" si="1"/>
        <v>#REF!</v>
      </c>
      <c r="J277" s="88" t="str">
        <f ca="1">IFERROR(__xludf.DUMMYFUNCTION("""COMPUTED_VALUE"""),"")</f>
        <v/>
      </c>
      <c r="K277" s="88" t="str">
        <f ca="1">IFERROR(__xludf.DUMMYFUNCTION("""COMPUTED_VALUE"""),"")</f>
        <v/>
      </c>
      <c r="L277" s="91" t="str">
        <f ca="1">IFERROR(__xludf.DUMMYFUNCTION("""COMPUTED_VALUE"""),"09h45 85340 Les Sables d'Olonne (Olonne sur Mer)")</f>
        <v>09h45 85340 Les Sables d'Olonne (Olonne sur Mer)</v>
      </c>
    </row>
    <row r="278" spans="1:12" ht="15.75" customHeight="1" x14ac:dyDescent="0.2">
      <c r="A278" s="91" t="s">
        <v>66</v>
      </c>
      <c r="B278" s="88">
        <v>0</v>
      </c>
      <c r="C278" s="88">
        <v>1</v>
      </c>
      <c r="H278" s="88" t="e">
        <f t="shared" ca="1" si="0"/>
        <v>#REF!</v>
      </c>
      <c r="I278" s="88" t="e">
        <f t="shared" ca="1" si="1"/>
        <v>#REF!</v>
      </c>
      <c r="J278" s="88" t="str">
        <f ca="1">IFERROR(__xludf.DUMMYFUNCTION("""COMPUTED_VALUE"""),"")</f>
        <v/>
      </c>
      <c r="K278" s="88" t="str">
        <f ca="1">IFERROR(__xludf.DUMMYFUNCTION("""COMPUTED_VALUE"""),"")</f>
        <v/>
      </c>
      <c r="L278" s="91" t="str">
        <f ca="1">IFERROR(__xludf.DUMMYFUNCTION("""COMPUTED_VALUE"""),"09h45 85180 Les Sables d'Olonne (le Château d'Olonne)-.")</f>
        <v>09h45 85180 Les Sables d'Olonne (le Château d'Olonne)-.</v>
      </c>
    </row>
    <row r="279" spans="1:12" ht="15.75" customHeight="1" x14ac:dyDescent="0.2">
      <c r="A279" s="91" t="s">
        <v>313</v>
      </c>
      <c r="B279" s="88">
        <v>0</v>
      </c>
      <c r="C279" s="88">
        <v>1</v>
      </c>
      <c r="H279" s="88" t="e">
        <f t="shared" ca="1" si="0"/>
        <v>#REF!</v>
      </c>
      <c r="I279" s="88" t="e">
        <f t="shared" ca="1" si="1"/>
        <v>#REF!</v>
      </c>
      <c r="J279" s="88" t="str">
        <f ca="1">IFERROR(__xludf.DUMMYFUNCTION("""COMPUTED_VALUE"""),"")</f>
        <v/>
      </c>
      <c r="K279" s="88" t="str">
        <f ca="1">IFERROR(__xludf.DUMMYFUNCTION("""COMPUTED_VALUE"""),"")</f>
        <v/>
      </c>
      <c r="L279" s="91" t="str">
        <f ca="1">IFERROR(__xludf.DUMMYFUNCTION("""COMPUTED_VALUE"""),"09h45 85180 Les Sables d'Olonne (le Château d'Olonne)")</f>
        <v>09h45 85180 Les Sables d'Olonne (le Château d'Olonne)</v>
      </c>
    </row>
    <row r="280" spans="1:12" ht="15.75" customHeight="1" x14ac:dyDescent="0.2">
      <c r="A280" s="91" t="s">
        <v>314</v>
      </c>
      <c r="B280" s="88">
        <v>0</v>
      </c>
      <c r="C280" s="88">
        <v>1</v>
      </c>
      <c r="H280" s="88" t="e">
        <f t="shared" ca="1" si="0"/>
        <v>#REF!</v>
      </c>
      <c r="I280" s="88" t="e">
        <f t="shared" ca="1" si="1"/>
        <v>#REF!</v>
      </c>
      <c r="J280" s="88" t="str">
        <f ca="1">IFERROR(__xludf.DUMMYFUNCTION("""COMPUTED_VALUE"""),"")</f>
        <v/>
      </c>
      <c r="K280" s="88" t="str">
        <f ca="1">IFERROR(__xludf.DUMMYFUNCTION("""COMPUTED_VALUE"""),"")</f>
        <v/>
      </c>
      <c r="L280" s="91" t="str">
        <f ca="1">IFERROR(__xludf.DUMMYFUNCTION("""COMPUTED_VALUE"""),"09h45 85150 Saint-Mathurin")</f>
        <v>09h45 85150 Saint-Mathurin</v>
      </c>
    </row>
    <row r="281" spans="1:12" ht="15.75" customHeight="1" x14ac:dyDescent="0.2">
      <c r="A281" s="91" t="s">
        <v>315</v>
      </c>
      <c r="B281" s="88">
        <v>0</v>
      </c>
      <c r="C281" s="88">
        <v>1</v>
      </c>
      <c r="H281" s="88" t="e">
        <f t="shared" ca="1" si="0"/>
        <v>#REF!</v>
      </c>
      <c r="I281" s="88" t="e">
        <f t="shared" ca="1" si="1"/>
        <v>#REF!</v>
      </c>
      <c r="J281" s="88" t="str">
        <f ca="1">IFERROR(__xludf.DUMMYFUNCTION("""COMPUTED_VALUE"""),"")</f>
        <v/>
      </c>
      <c r="K281" s="88" t="str">
        <f ca="1">IFERROR(__xludf.DUMMYFUNCTION("""COMPUTED_VALUE"""),"")</f>
        <v/>
      </c>
      <c r="L281" s="91" t="str">
        <f ca="1">IFERROR(__xludf.DUMMYFUNCTION("""COMPUTED_VALUE"""),"09h50 85100 Les Sables d'Olonne (les Sables d'Olonne)-.")</f>
        <v>09h50 85100 Les Sables d'Olonne (les Sables d'Olonne)-.</v>
      </c>
    </row>
    <row r="282" spans="1:12" ht="15.75" customHeight="1" x14ac:dyDescent="0.2">
      <c r="A282" s="91" t="s">
        <v>316</v>
      </c>
      <c r="B282" s="88">
        <v>0</v>
      </c>
      <c r="C282" s="88">
        <v>1</v>
      </c>
      <c r="H282" s="88" t="e">
        <f t="shared" ca="1" si="0"/>
        <v>#REF!</v>
      </c>
      <c r="I282" s="88" t="e">
        <f t="shared" ca="1" si="1"/>
        <v>#REF!</v>
      </c>
      <c r="J282" s="88" t="str">
        <f ca="1">IFERROR(__xludf.DUMMYFUNCTION("""COMPUTED_VALUE"""),"")</f>
        <v/>
      </c>
      <c r="K282" s="88" t="str">
        <f ca="1">IFERROR(__xludf.DUMMYFUNCTION("""COMPUTED_VALUE"""),"")</f>
        <v/>
      </c>
      <c r="L282" s="91" t="str">
        <f ca="1">IFERROR(__xludf.DUMMYFUNCTION("""COMPUTED_VALUE"""),"09h50 85100 Les Sables d'Olonne (les Sables d'Olonne)")</f>
        <v>09h50 85100 Les Sables d'Olonne (les Sables d'Olonne)</v>
      </c>
    </row>
    <row r="283" spans="1:12" ht="15.75" customHeight="1" x14ac:dyDescent="0.2">
      <c r="A283" s="91" t="s">
        <v>317</v>
      </c>
      <c r="B283" s="88">
        <v>0</v>
      </c>
      <c r="C283" s="88">
        <v>1</v>
      </c>
      <c r="H283" s="88" t="e">
        <f t="shared" ca="1" si="0"/>
        <v>#REF!</v>
      </c>
      <c r="I283" s="88" t="e">
        <f t="shared" ca="1" si="1"/>
        <v>#REF!</v>
      </c>
      <c r="J283" s="88" t="str">
        <f ca="1">IFERROR(__xludf.DUMMYFUNCTION("""COMPUTED_VALUE"""),"")</f>
        <v/>
      </c>
      <c r="K283" s="88" t="str">
        <f ca="1">IFERROR(__xludf.DUMMYFUNCTION("""COMPUTED_VALUE"""),"")</f>
        <v/>
      </c>
      <c r="L283" s="91" t="str">
        <f ca="1">IFERROR(__xludf.DUMMYFUNCTION("""COMPUTED_VALUE"""),"09h50 85100 Les Sables d'Olonne ( la Chaume)")</f>
        <v>09h50 85100 Les Sables d'Olonne ( la Chaume)</v>
      </c>
    </row>
    <row r="284" spans="1:12" ht="15.75" customHeight="1" x14ac:dyDescent="0.2">
      <c r="A284" s="91" t="s">
        <v>318</v>
      </c>
      <c r="B284" s="88">
        <v>0</v>
      </c>
      <c r="C284" s="88">
        <v>1</v>
      </c>
      <c r="H284" s="88" t="e">
        <f t="shared" ca="1" si="0"/>
        <v>#REF!</v>
      </c>
      <c r="I284" s="88" t="e">
        <f t="shared" ca="1" si="1"/>
        <v>#REF!</v>
      </c>
      <c r="J284" s="88" t="str">
        <f ca="1">IFERROR(__xludf.DUMMYFUNCTION("""COMPUTED_VALUE"""),"")</f>
        <v/>
      </c>
      <c r="K284" s="88" t="str">
        <f ca="1">IFERROR(__xludf.DUMMYFUNCTION("""COMPUTED_VALUE"""),"")</f>
        <v/>
      </c>
      <c r="L284" s="91" t="str">
        <f ca="1">IFERROR(__xludf.DUMMYFUNCTION("""COMPUTED_VALUE"""),"09h50 85340 Les Sables d'Olonne (Olonne sur Mer)-.")</f>
        <v>09h50 85340 Les Sables d'Olonne (Olonne sur Mer)-.</v>
      </c>
    </row>
    <row r="285" spans="1:12" ht="15.75" customHeight="1" x14ac:dyDescent="0.2">
      <c r="A285" s="91" t="s">
        <v>114</v>
      </c>
      <c r="B285" s="88">
        <v>0</v>
      </c>
      <c r="C285" s="88">
        <v>1</v>
      </c>
      <c r="H285" s="88" t="e">
        <f t="shared" ca="1" si="0"/>
        <v>#REF!</v>
      </c>
      <c r="I285" s="88" t="e">
        <f t="shared" ca="1" si="1"/>
        <v>#REF!</v>
      </c>
      <c r="J285" s="88" t="str">
        <f ca="1">IFERROR(__xludf.DUMMYFUNCTION("""COMPUTED_VALUE"""),"")</f>
        <v/>
      </c>
      <c r="K285" s="88" t="str">
        <f ca="1">IFERROR(__xludf.DUMMYFUNCTION("""COMPUTED_VALUE"""),"")</f>
        <v/>
      </c>
      <c r="L285" s="91" t="str">
        <f ca="1">IFERROR(__xludf.DUMMYFUNCTION("""COMPUTED_VALUE"""),"09h50 85340 Les Sables d'Olonne (Olonne sur Mer)")</f>
        <v>09h50 85340 Les Sables d'Olonne (Olonne sur Mer)</v>
      </c>
    </row>
    <row r="286" spans="1:12" ht="15.75" customHeight="1" x14ac:dyDescent="0.2">
      <c r="A286" s="91" t="s">
        <v>319</v>
      </c>
      <c r="B286" s="88">
        <v>0</v>
      </c>
      <c r="C286" s="88">
        <v>1</v>
      </c>
      <c r="H286" s="88" t="e">
        <f t="shared" ca="1" si="0"/>
        <v>#REF!</v>
      </c>
      <c r="I286" s="88" t="e">
        <f t="shared" ca="1" si="1"/>
        <v>#REF!</v>
      </c>
      <c r="J286" s="88" t="str">
        <f ca="1">IFERROR(__xludf.DUMMYFUNCTION("""COMPUTED_VALUE"""),"")</f>
        <v/>
      </c>
      <c r="K286" s="88" t="str">
        <f ca="1">IFERROR(__xludf.DUMMYFUNCTION("""COMPUTED_VALUE"""),"")</f>
        <v/>
      </c>
      <c r="L286" s="91" t="str">
        <f ca="1">IFERROR(__xludf.DUMMYFUNCTION("""COMPUTED_VALUE"""),"09h50 85180 Les Sables d'Olonne (le Château d'Olonne)-.")</f>
        <v>09h50 85180 Les Sables d'Olonne (le Château d'Olonne)-.</v>
      </c>
    </row>
    <row r="287" spans="1:12" ht="15.75" customHeight="1" x14ac:dyDescent="0.2">
      <c r="A287" s="91" t="s">
        <v>320</v>
      </c>
      <c r="B287" s="88">
        <v>0</v>
      </c>
      <c r="C287" s="88">
        <v>1</v>
      </c>
      <c r="H287" s="88" t="e">
        <f t="shared" ca="1" si="0"/>
        <v>#REF!</v>
      </c>
      <c r="I287" s="88" t="e">
        <f t="shared" ca="1" si="1"/>
        <v>#REF!</v>
      </c>
      <c r="J287" s="88" t="str">
        <f ca="1">IFERROR(__xludf.DUMMYFUNCTION("""COMPUTED_VALUE"""),"")</f>
        <v/>
      </c>
      <c r="K287" s="88" t="str">
        <f ca="1">IFERROR(__xludf.DUMMYFUNCTION("""COMPUTED_VALUE"""),"")</f>
        <v/>
      </c>
      <c r="L287" s="91" t="str">
        <f ca="1">IFERROR(__xludf.DUMMYFUNCTION("""COMPUTED_VALUE"""),"09h50 85180 Les Sables d'Olonne (le Château d'Olonne)")</f>
        <v>09h50 85180 Les Sables d'Olonne (le Château d'Olonne)</v>
      </c>
    </row>
    <row r="288" spans="1:12" ht="15.75" customHeight="1" x14ac:dyDescent="0.2">
      <c r="A288" s="91" t="s">
        <v>321</v>
      </c>
      <c r="B288" s="88">
        <v>0</v>
      </c>
      <c r="C288" s="88">
        <v>1</v>
      </c>
      <c r="H288" s="88" t="e">
        <f t="shared" ca="1" si="0"/>
        <v>#REF!</v>
      </c>
      <c r="I288" s="88" t="e">
        <f t="shared" ca="1" si="1"/>
        <v>#REF!</v>
      </c>
      <c r="J288" s="88" t="str">
        <f ca="1">IFERROR(__xludf.DUMMYFUNCTION("""COMPUTED_VALUE"""),"")</f>
        <v/>
      </c>
      <c r="K288" s="88" t="str">
        <f ca="1">IFERROR(__xludf.DUMMYFUNCTION("""COMPUTED_VALUE"""),"")</f>
        <v/>
      </c>
      <c r="L288" s="91" t="str">
        <f ca="1">IFERROR(__xludf.DUMMYFUNCTION("""COMPUTED_VALUE"""),"09h50 85150 Saint-Mathurin")</f>
        <v>09h50 85150 Saint-Mathurin</v>
      </c>
    </row>
    <row r="289" spans="1:12" ht="15.75" customHeight="1" x14ac:dyDescent="0.2">
      <c r="A289" s="91" t="s">
        <v>322</v>
      </c>
      <c r="B289" s="88">
        <v>0</v>
      </c>
      <c r="C289" s="88">
        <v>1</v>
      </c>
      <c r="H289" s="88" t="e">
        <f t="shared" ca="1" si="0"/>
        <v>#REF!</v>
      </c>
      <c r="I289" s="88" t="e">
        <f t="shared" ca="1" si="1"/>
        <v>#REF!</v>
      </c>
      <c r="J289" s="88" t="str">
        <f ca="1">IFERROR(__xludf.DUMMYFUNCTION("""COMPUTED_VALUE"""),"")</f>
        <v/>
      </c>
      <c r="K289" s="88" t="str">
        <f ca="1">IFERROR(__xludf.DUMMYFUNCTION("""COMPUTED_VALUE"""),"")</f>
        <v/>
      </c>
      <c r="L289" s="91" t="str">
        <f ca="1">IFERROR(__xludf.DUMMYFUNCTION("""COMPUTED_VALUE"""),"09h55 85100 Les Sables d'Olonne (les Sables d'Olonne)-.")</f>
        <v>09h55 85100 Les Sables d'Olonne (les Sables d'Olonne)-.</v>
      </c>
    </row>
    <row r="290" spans="1:12" ht="15.75" customHeight="1" x14ac:dyDescent="0.2">
      <c r="A290" s="91" t="s">
        <v>323</v>
      </c>
      <c r="B290" s="88">
        <v>0</v>
      </c>
      <c r="C290" s="88">
        <v>1</v>
      </c>
      <c r="H290" s="88" t="e">
        <f t="shared" ca="1" si="0"/>
        <v>#REF!</v>
      </c>
      <c r="I290" s="88" t="e">
        <f t="shared" ca="1" si="1"/>
        <v>#REF!</v>
      </c>
      <c r="J290" s="88" t="str">
        <f ca="1">IFERROR(__xludf.DUMMYFUNCTION("""COMPUTED_VALUE"""),"")</f>
        <v/>
      </c>
      <c r="K290" s="88" t="str">
        <f ca="1">IFERROR(__xludf.DUMMYFUNCTION("""COMPUTED_VALUE"""),"")</f>
        <v/>
      </c>
      <c r="L290" s="91" t="str">
        <f ca="1">IFERROR(__xludf.DUMMYFUNCTION("""COMPUTED_VALUE"""),"09h55 85100 Les Sables d'Olonne (les Sables d'Olonne)")</f>
        <v>09h55 85100 Les Sables d'Olonne (les Sables d'Olonne)</v>
      </c>
    </row>
    <row r="291" spans="1:12" ht="15.75" customHeight="1" x14ac:dyDescent="0.2">
      <c r="A291" s="91" t="s">
        <v>324</v>
      </c>
      <c r="B291" s="88">
        <v>0</v>
      </c>
      <c r="C291" s="88">
        <v>1</v>
      </c>
      <c r="H291" s="88" t="e">
        <f t="shared" ca="1" si="0"/>
        <v>#REF!</v>
      </c>
      <c r="I291" s="88" t="e">
        <f t="shared" ca="1" si="1"/>
        <v>#REF!</v>
      </c>
      <c r="J291" s="88" t="str">
        <f ca="1">IFERROR(__xludf.DUMMYFUNCTION("""COMPUTED_VALUE"""),"")</f>
        <v/>
      </c>
      <c r="K291" s="88" t="str">
        <f ca="1">IFERROR(__xludf.DUMMYFUNCTION("""COMPUTED_VALUE"""),"")</f>
        <v/>
      </c>
      <c r="L291" s="91" t="str">
        <f ca="1">IFERROR(__xludf.DUMMYFUNCTION("""COMPUTED_VALUE"""),"09h55 85100 Les Sables d'Olonne ( la Chaume)")</f>
        <v>09h55 85100 Les Sables d'Olonne ( la Chaume)</v>
      </c>
    </row>
    <row r="292" spans="1:12" ht="15.75" customHeight="1" x14ac:dyDescent="0.2">
      <c r="A292" s="91" t="s">
        <v>325</v>
      </c>
      <c r="B292" s="88">
        <v>0</v>
      </c>
      <c r="C292" s="88">
        <v>1</v>
      </c>
      <c r="H292" s="88" t="e">
        <f t="shared" ca="1" si="0"/>
        <v>#REF!</v>
      </c>
      <c r="I292" s="88" t="e">
        <f t="shared" ca="1" si="1"/>
        <v>#REF!</v>
      </c>
      <c r="J292" s="88" t="str">
        <f ca="1">IFERROR(__xludf.DUMMYFUNCTION("""COMPUTED_VALUE"""),"")</f>
        <v/>
      </c>
      <c r="K292" s="88" t="str">
        <f ca="1">IFERROR(__xludf.DUMMYFUNCTION("""COMPUTED_VALUE"""),"")</f>
        <v/>
      </c>
      <c r="L292" s="91" t="str">
        <f ca="1">IFERROR(__xludf.DUMMYFUNCTION("""COMPUTED_VALUE"""),"09h55 85340 Les Sables d'Olonne (Olonne sur Mer)-.")</f>
        <v>09h55 85340 Les Sables d'Olonne (Olonne sur Mer)-.</v>
      </c>
    </row>
    <row r="293" spans="1:12" ht="15.75" customHeight="1" x14ac:dyDescent="0.2">
      <c r="A293" s="91" t="s">
        <v>326</v>
      </c>
      <c r="B293" s="88">
        <v>0</v>
      </c>
      <c r="C293" s="88">
        <v>1</v>
      </c>
      <c r="H293" s="88" t="e">
        <f t="shared" ca="1" si="0"/>
        <v>#REF!</v>
      </c>
      <c r="I293" s="88" t="e">
        <f t="shared" ca="1" si="1"/>
        <v>#REF!</v>
      </c>
      <c r="J293" s="88" t="str">
        <f ca="1">IFERROR(__xludf.DUMMYFUNCTION("""COMPUTED_VALUE"""),"")</f>
        <v/>
      </c>
      <c r="K293" s="88" t="str">
        <f ca="1">IFERROR(__xludf.DUMMYFUNCTION("""COMPUTED_VALUE"""),"")</f>
        <v/>
      </c>
      <c r="L293" s="91" t="str">
        <f ca="1">IFERROR(__xludf.DUMMYFUNCTION("""COMPUTED_VALUE"""),"09h55 85340 Les Sables d'Olonne (Olonne sur Mer)")</f>
        <v>09h55 85340 Les Sables d'Olonne (Olonne sur Mer)</v>
      </c>
    </row>
    <row r="294" spans="1:12" ht="15.75" customHeight="1" x14ac:dyDescent="0.2">
      <c r="A294" s="91" t="s">
        <v>327</v>
      </c>
      <c r="B294" s="88">
        <v>0</v>
      </c>
      <c r="C294" s="88">
        <v>1</v>
      </c>
      <c r="H294" s="88" t="e">
        <f t="shared" ca="1" si="0"/>
        <v>#REF!</v>
      </c>
      <c r="I294" s="88" t="e">
        <f t="shared" ca="1" si="1"/>
        <v>#REF!</v>
      </c>
      <c r="J294" s="88" t="str">
        <f ca="1">IFERROR(__xludf.DUMMYFUNCTION("""COMPUTED_VALUE"""),"")</f>
        <v/>
      </c>
      <c r="K294" s="88" t="str">
        <f ca="1">IFERROR(__xludf.DUMMYFUNCTION("""COMPUTED_VALUE"""),"")</f>
        <v/>
      </c>
      <c r="L294" s="91" t="str">
        <f ca="1">IFERROR(__xludf.DUMMYFUNCTION("""COMPUTED_VALUE"""),"09h55 85180 Les Sables d'Olonne (le Château d'Olonne)-.")</f>
        <v>09h55 85180 Les Sables d'Olonne (le Château d'Olonne)-.</v>
      </c>
    </row>
    <row r="295" spans="1:12" ht="15.75" customHeight="1" x14ac:dyDescent="0.2">
      <c r="A295" s="91" t="s">
        <v>328</v>
      </c>
      <c r="B295" s="88">
        <v>0</v>
      </c>
      <c r="C295" s="88">
        <v>1</v>
      </c>
      <c r="H295" s="88" t="e">
        <f t="shared" ca="1" si="0"/>
        <v>#REF!</v>
      </c>
      <c r="I295" s="88" t="e">
        <f t="shared" ca="1" si="1"/>
        <v>#REF!</v>
      </c>
      <c r="J295" s="88" t="str">
        <f ca="1">IFERROR(__xludf.DUMMYFUNCTION("""COMPUTED_VALUE"""),"")</f>
        <v/>
      </c>
      <c r="K295" s="88" t="str">
        <f ca="1">IFERROR(__xludf.DUMMYFUNCTION("""COMPUTED_VALUE"""),"")</f>
        <v/>
      </c>
      <c r="L295" s="91" t="str">
        <f ca="1">IFERROR(__xludf.DUMMYFUNCTION("""COMPUTED_VALUE"""),"09h55 85180 Les Sables d'Olonne (le Château d'Olonne)")</f>
        <v>09h55 85180 Les Sables d'Olonne (le Château d'Olonne)</v>
      </c>
    </row>
    <row r="296" spans="1:12" ht="15.75" customHeight="1" x14ac:dyDescent="0.2">
      <c r="A296" s="91" t="s">
        <v>329</v>
      </c>
      <c r="B296" s="88">
        <v>0</v>
      </c>
      <c r="C296" s="88">
        <v>1</v>
      </c>
      <c r="H296" s="88" t="e">
        <f t="shared" ca="1" si="0"/>
        <v>#REF!</v>
      </c>
      <c r="I296" s="88" t="e">
        <f t="shared" ca="1" si="1"/>
        <v>#REF!</v>
      </c>
      <c r="J296" s="88" t="str">
        <f ca="1">IFERROR(__xludf.DUMMYFUNCTION("""COMPUTED_VALUE"""),"")</f>
        <v/>
      </c>
      <c r="K296" s="88" t="str">
        <f ca="1">IFERROR(__xludf.DUMMYFUNCTION("""COMPUTED_VALUE"""),"")</f>
        <v/>
      </c>
      <c r="L296" s="91" t="str">
        <f ca="1">IFERROR(__xludf.DUMMYFUNCTION("""COMPUTED_VALUE"""),"09h55 85150 Saint-Mathurin")</f>
        <v>09h55 85150 Saint-Mathurin</v>
      </c>
    </row>
    <row r="297" spans="1:12" ht="15.75" customHeight="1" x14ac:dyDescent="0.2">
      <c r="A297" s="91" t="s">
        <v>330</v>
      </c>
      <c r="B297" s="88">
        <v>0</v>
      </c>
      <c r="C297" s="88">
        <v>1</v>
      </c>
      <c r="H297" s="88" t="e">
        <f t="shared" ca="1" si="0"/>
        <v>#REF!</v>
      </c>
      <c r="I297" s="88" t="e">
        <f t="shared" ca="1" si="1"/>
        <v>#REF!</v>
      </c>
      <c r="J297" s="88" t="str">
        <f ca="1">IFERROR(__xludf.DUMMYFUNCTION("""COMPUTED_VALUE"""),"")</f>
        <v/>
      </c>
      <c r="K297" s="88" t="str">
        <f ca="1">IFERROR(__xludf.DUMMYFUNCTION("""COMPUTED_VALUE"""),"")</f>
        <v/>
      </c>
      <c r="L297" s="91" t="str">
        <f ca="1">IFERROR(__xludf.DUMMYFUNCTION("""COMPUTED_VALUE"""),"10h00 85100 Les Sables d'Olonne (les Sables d'Olonne)-.")</f>
        <v>10h00 85100 Les Sables d'Olonne (les Sables d'Olonne)-.</v>
      </c>
    </row>
    <row r="298" spans="1:12" ht="15.75" customHeight="1" x14ac:dyDescent="0.2">
      <c r="A298" s="91" t="s">
        <v>331</v>
      </c>
      <c r="B298" s="88">
        <v>0</v>
      </c>
      <c r="C298" s="88">
        <v>1</v>
      </c>
      <c r="H298" s="88" t="e">
        <f t="shared" ca="1" si="0"/>
        <v>#REF!</v>
      </c>
      <c r="I298" s="88" t="e">
        <f t="shared" ca="1" si="1"/>
        <v>#REF!</v>
      </c>
      <c r="J298" s="88" t="str">
        <f ca="1">IFERROR(__xludf.DUMMYFUNCTION("""COMPUTED_VALUE"""),"")</f>
        <v/>
      </c>
      <c r="K298" s="88" t="str">
        <f ca="1">IFERROR(__xludf.DUMMYFUNCTION("""COMPUTED_VALUE"""),"")</f>
        <v/>
      </c>
      <c r="L298" s="91" t="str">
        <f ca="1">IFERROR(__xludf.DUMMYFUNCTION("""COMPUTED_VALUE"""),"10h00 85100 Les Sables d'Olonne (les Sables d'Olonne)")</f>
        <v>10h00 85100 Les Sables d'Olonne (les Sables d'Olonne)</v>
      </c>
    </row>
    <row r="299" spans="1:12" ht="15.75" customHeight="1" x14ac:dyDescent="0.2">
      <c r="A299" s="91" t="s">
        <v>332</v>
      </c>
      <c r="B299" s="88">
        <v>0</v>
      </c>
      <c r="C299" s="88">
        <v>1</v>
      </c>
      <c r="H299" s="88" t="e">
        <f t="shared" ca="1" si="0"/>
        <v>#REF!</v>
      </c>
      <c r="I299" s="88" t="e">
        <f t="shared" ca="1" si="1"/>
        <v>#REF!</v>
      </c>
      <c r="J299" s="88" t="str">
        <f ca="1">IFERROR(__xludf.DUMMYFUNCTION("""COMPUTED_VALUE"""),"")</f>
        <v/>
      </c>
      <c r="K299" s="88" t="str">
        <f ca="1">IFERROR(__xludf.DUMMYFUNCTION("""COMPUTED_VALUE"""),"")</f>
        <v/>
      </c>
      <c r="L299" s="91" t="str">
        <f ca="1">IFERROR(__xludf.DUMMYFUNCTION("""COMPUTED_VALUE"""),"10h00 85100 Les Sables d'Olonne ( la Chaume)")</f>
        <v>10h00 85100 Les Sables d'Olonne ( la Chaume)</v>
      </c>
    </row>
    <row r="300" spans="1:12" ht="15.75" customHeight="1" x14ac:dyDescent="0.2">
      <c r="A300" s="91" t="s">
        <v>116</v>
      </c>
      <c r="B300" s="88">
        <v>0</v>
      </c>
      <c r="C300" s="88">
        <v>1</v>
      </c>
      <c r="H300" s="88" t="e">
        <f t="shared" ca="1" si="0"/>
        <v>#REF!</v>
      </c>
      <c r="I300" s="88" t="e">
        <f t="shared" ca="1" si="1"/>
        <v>#REF!</v>
      </c>
      <c r="J300" s="88" t="str">
        <f ca="1">IFERROR(__xludf.DUMMYFUNCTION("""COMPUTED_VALUE"""),"")</f>
        <v/>
      </c>
      <c r="K300" s="88" t="str">
        <f ca="1">IFERROR(__xludf.DUMMYFUNCTION("""COMPUTED_VALUE"""),"")</f>
        <v/>
      </c>
      <c r="L300" s="91" t="str">
        <f ca="1">IFERROR(__xludf.DUMMYFUNCTION("""COMPUTED_VALUE"""),"10h00 85340 Les Sables d'Olonne (Olonne sur Mer)-.")</f>
        <v>10h00 85340 Les Sables d'Olonne (Olonne sur Mer)-.</v>
      </c>
    </row>
    <row r="301" spans="1:12" ht="15.75" customHeight="1" x14ac:dyDescent="0.2">
      <c r="A301" s="91" t="s">
        <v>115</v>
      </c>
      <c r="B301" s="88">
        <v>0</v>
      </c>
      <c r="C301" s="88">
        <v>1</v>
      </c>
      <c r="H301" s="88" t="e">
        <f t="shared" ca="1" si="0"/>
        <v>#REF!</v>
      </c>
      <c r="I301" s="88" t="e">
        <f t="shared" ca="1" si="1"/>
        <v>#REF!</v>
      </c>
      <c r="J301" s="88" t="str">
        <f ca="1">IFERROR(__xludf.DUMMYFUNCTION("""COMPUTED_VALUE"""),"")</f>
        <v/>
      </c>
      <c r="K301" s="88" t="str">
        <f ca="1">IFERROR(__xludf.DUMMYFUNCTION("""COMPUTED_VALUE"""),"")</f>
        <v/>
      </c>
      <c r="L301" s="91" t="str">
        <f ca="1">IFERROR(__xludf.DUMMYFUNCTION("""COMPUTED_VALUE"""),"10h00 85340 Les Sables d'Olonne (Olonne sur Mer)")</f>
        <v>10h00 85340 Les Sables d'Olonne (Olonne sur Mer)</v>
      </c>
    </row>
    <row r="302" spans="1:12" ht="15.75" customHeight="1" x14ac:dyDescent="0.2">
      <c r="A302" s="91" t="s">
        <v>333</v>
      </c>
      <c r="B302" s="88">
        <v>0</v>
      </c>
      <c r="C302" s="88">
        <v>1</v>
      </c>
      <c r="H302" s="88" t="e">
        <f t="shared" ca="1" si="0"/>
        <v>#REF!</v>
      </c>
      <c r="I302" s="88" t="e">
        <f t="shared" ca="1" si="1"/>
        <v>#REF!</v>
      </c>
      <c r="J302" s="88" t="str">
        <f ca="1">IFERROR(__xludf.DUMMYFUNCTION("""COMPUTED_VALUE"""),"")</f>
        <v/>
      </c>
      <c r="K302" s="88" t="str">
        <f ca="1">IFERROR(__xludf.DUMMYFUNCTION("""COMPUTED_VALUE"""),"")</f>
        <v/>
      </c>
      <c r="L302" s="91" t="str">
        <f ca="1">IFERROR(__xludf.DUMMYFUNCTION("""COMPUTED_VALUE"""),"10h00 85180 Les Sables d'Olonne (le Château d'Olonne)-.")</f>
        <v>10h00 85180 Les Sables d'Olonne (le Château d'Olonne)-.</v>
      </c>
    </row>
    <row r="303" spans="1:12" ht="15.75" customHeight="1" x14ac:dyDescent="0.2">
      <c r="A303" s="91" t="s">
        <v>334</v>
      </c>
      <c r="B303" s="88">
        <v>0</v>
      </c>
      <c r="C303" s="88">
        <v>1</v>
      </c>
      <c r="H303" s="88" t="e">
        <f t="shared" ca="1" si="0"/>
        <v>#REF!</v>
      </c>
      <c r="I303" s="88" t="e">
        <f t="shared" ca="1" si="1"/>
        <v>#REF!</v>
      </c>
      <c r="J303" s="88" t="str">
        <f ca="1">IFERROR(__xludf.DUMMYFUNCTION("""COMPUTED_VALUE"""),"")</f>
        <v/>
      </c>
      <c r="K303" s="88" t="str">
        <f ca="1">IFERROR(__xludf.DUMMYFUNCTION("""COMPUTED_VALUE"""),"")</f>
        <v/>
      </c>
      <c r="L303" s="91" t="str">
        <f ca="1">IFERROR(__xludf.DUMMYFUNCTION("""COMPUTED_VALUE"""),"10h00 85180 Les Sables d'Olonne (le Château d'Olonne)")</f>
        <v>10h00 85180 Les Sables d'Olonne (le Château d'Olonne)</v>
      </c>
    </row>
    <row r="304" spans="1:12" ht="15.75" customHeight="1" x14ac:dyDescent="0.2">
      <c r="A304" s="91" t="s">
        <v>335</v>
      </c>
      <c r="B304" s="88">
        <v>0</v>
      </c>
      <c r="C304" s="88">
        <v>1</v>
      </c>
      <c r="H304" s="88" t="e">
        <f t="shared" ca="1" si="0"/>
        <v>#REF!</v>
      </c>
      <c r="I304" s="88" t="e">
        <f t="shared" ca="1" si="1"/>
        <v>#REF!</v>
      </c>
      <c r="J304" s="88" t="str">
        <f ca="1">IFERROR(__xludf.DUMMYFUNCTION("""COMPUTED_VALUE"""),"")</f>
        <v/>
      </c>
      <c r="K304" s="88" t="str">
        <f ca="1">IFERROR(__xludf.DUMMYFUNCTION("""COMPUTED_VALUE"""),"")</f>
        <v/>
      </c>
      <c r="L304" s="91" t="str">
        <f ca="1">IFERROR(__xludf.DUMMYFUNCTION("""COMPUTED_VALUE"""),"10h00 85150 Saint-Mathurin")</f>
        <v>10h00 85150 Saint-Mathurin</v>
      </c>
    </row>
    <row r="305" spans="1:12" ht="15.75" customHeight="1" x14ac:dyDescent="0.2">
      <c r="A305" s="91" t="s">
        <v>336</v>
      </c>
      <c r="B305" s="88">
        <v>0</v>
      </c>
      <c r="C305" s="88">
        <v>1</v>
      </c>
      <c r="H305" s="88" t="e">
        <f t="shared" ca="1" si="0"/>
        <v>#REF!</v>
      </c>
      <c r="I305" s="88" t="e">
        <f t="shared" ca="1" si="1"/>
        <v>#REF!</v>
      </c>
      <c r="J305" s="88" t="str">
        <f ca="1">IFERROR(__xludf.DUMMYFUNCTION("""COMPUTED_VALUE"""),"")</f>
        <v/>
      </c>
      <c r="K305" s="88" t="str">
        <f ca="1">IFERROR(__xludf.DUMMYFUNCTION("""COMPUTED_VALUE"""),"")</f>
        <v/>
      </c>
      <c r="L305" s="91" t="str">
        <f ca="1">IFERROR(__xludf.DUMMYFUNCTION("""COMPUTED_VALUE"""),"10h05 85100 Les Sables d'Olonne (les Sables d'Olonne)-.")</f>
        <v>10h05 85100 Les Sables d'Olonne (les Sables d'Olonne)-.</v>
      </c>
    </row>
    <row r="306" spans="1:12" ht="15.75" customHeight="1" x14ac:dyDescent="0.2">
      <c r="A306" s="91" t="s">
        <v>337</v>
      </c>
      <c r="B306" s="88">
        <v>0</v>
      </c>
      <c r="C306" s="88">
        <v>1</v>
      </c>
      <c r="H306" s="88" t="e">
        <f t="shared" ca="1" si="0"/>
        <v>#REF!</v>
      </c>
      <c r="I306" s="88" t="e">
        <f t="shared" ca="1" si="1"/>
        <v>#REF!</v>
      </c>
      <c r="J306" s="88" t="str">
        <f ca="1">IFERROR(__xludf.DUMMYFUNCTION("""COMPUTED_VALUE"""),"")</f>
        <v/>
      </c>
      <c r="K306" s="88" t="str">
        <f ca="1">IFERROR(__xludf.DUMMYFUNCTION("""COMPUTED_VALUE"""),"")</f>
        <v/>
      </c>
      <c r="L306" s="91" t="str">
        <f ca="1">IFERROR(__xludf.DUMMYFUNCTION("""COMPUTED_VALUE"""),"10h05 85100 Les Sables d'Olonne (les Sables d'Olonne)")</f>
        <v>10h05 85100 Les Sables d'Olonne (les Sables d'Olonne)</v>
      </c>
    </row>
    <row r="307" spans="1:12" ht="15.75" customHeight="1" x14ac:dyDescent="0.2">
      <c r="A307" s="91" t="s">
        <v>338</v>
      </c>
      <c r="B307" s="88">
        <v>0</v>
      </c>
      <c r="C307" s="88">
        <v>1</v>
      </c>
      <c r="H307" s="88" t="e">
        <f t="shared" ca="1" si="0"/>
        <v>#REF!</v>
      </c>
      <c r="I307" s="88" t="e">
        <f t="shared" ca="1" si="1"/>
        <v>#REF!</v>
      </c>
      <c r="J307" s="88" t="str">
        <f ca="1">IFERROR(__xludf.DUMMYFUNCTION("""COMPUTED_VALUE"""),"")</f>
        <v/>
      </c>
      <c r="K307" s="88" t="str">
        <f ca="1">IFERROR(__xludf.DUMMYFUNCTION("""COMPUTED_VALUE"""),"")</f>
        <v/>
      </c>
      <c r="L307" s="91" t="str">
        <f ca="1">IFERROR(__xludf.DUMMYFUNCTION("""COMPUTED_VALUE"""),"10h05 85100 Les Sables d'Olonne ( la Chaume)")</f>
        <v>10h05 85100 Les Sables d'Olonne ( la Chaume)</v>
      </c>
    </row>
    <row r="308" spans="1:12" ht="15.75" customHeight="1" x14ac:dyDescent="0.2">
      <c r="A308" s="91" t="s">
        <v>339</v>
      </c>
      <c r="B308" s="88">
        <v>0</v>
      </c>
      <c r="C308" s="88">
        <v>1</v>
      </c>
      <c r="H308" s="88" t="e">
        <f t="shared" ca="1" si="0"/>
        <v>#REF!</v>
      </c>
      <c r="I308" s="88" t="e">
        <f t="shared" ca="1" si="1"/>
        <v>#REF!</v>
      </c>
      <c r="J308" s="88" t="str">
        <f ca="1">IFERROR(__xludf.DUMMYFUNCTION("""COMPUTED_VALUE"""),"")</f>
        <v/>
      </c>
      <c r="K308" s="88" t="str">
        <f ca="1">IFERROR(__xludf.DUMMYFUNCTION("""COMPUTED_VALUE"""),"")</f>
        <v/>
      </c>
      <c r="L308" s="91" t="str">
        <f ca="1">IFERROR(__xludf.DUMMYFUNCTION("""COMPUTED_VALUE"""),"10h05 85340 Les Sables d'Olonne (Olonne sur Mer)-.")</f>
        <v>10h05 85340 Les Sables d'Olonne (Olonne sur Mer)-.</v>
      </c>
    </row>
    <row r="309" spans="1:12" ht="15.75" customHeight="1" x14ac:dyDescent="0.2">
      <c r="A309" s="91" t="s">
        <v>340</v>
      </c>
      <c r="B309" s="88">
        <v>0</v>
      </c>
      <c r="C309" s="88">
        <v>1</v>
      </c>
      <c r="H309" s="88" t="e">
        <f t="shared" ca="1" si="0"/>
        <v>#REF!</v>
      </c>
      <c r="I309" s="88" t="e">
        <f t="shared" ca="1" si="1"/>
        <v>#REF!</v>
      </c>
      <c r="J309" s="88" t="str">
        <f ca="1">IFERROR(__xludf.DUMMYFUNCTION("""COMPUTED_VALUE"""),"")</f>
        <v/>
      </c>
      <c r="K309" s="88" t="str">
        <f ca="1">IFERROR(__xludf.DUMMYFUNCTION("""COMPUTED_VALUE"""),"")</f>
        <v/>
      </c>
      <c r="L309" s="91" t="str">
        <f ca="1">IFERROR(__xludf.DUMMYFUNCTION("""COMPUTED_VALUE"""),"10h05 85340 Les Sables d'Olonne (Olonne sur Mer)")</f>
        <v>10h05 85340 Les Sables d'Olonne (Olonne sur Mer)</v>
      </c>
    </row>
    <row r="310" spans="1:12" ht="15.75" customHeight="1" x14ac:dyDescent="0.2">
      <c r="A310" s="91" t="s">
        <v>341</v>
      </c>
      <c r="B310" s="88">
        <v>0</v>
      </c>
      <c r="C310" s="88">
        <v>1</v>
      </c>
      <c r="H310" s="88" t="e">
        <f t="shared" ca="1" si="0"/>
        <v>#REF!</v>
      </c>
      <c r="I310" s="88" t="e">
        <f t="shared" ca="1" si="1"/>
        <v>#REF!</v>
      </c>
      <c r="J310" s="88" t="str">
        <f ca="1">IFERROR(__xludf.DUMMYFUNCTION("""COMPUTED_VALUE"""),"")</f>
        <v/>
      </c>
      <c r="K310" s="88" t="str">
        <f ca="1">IFERROR(__xludf.DUMMYFUNCTION("""COMPUTED_VALUE"""),"")</f>
        <v/>
      </c>
      <c r="L310" s="91" t="str">
        <f ca="1">IFERROR(__xludf.DUMMYFUNCTION("""COMPUTED_VALUE"""),"10h05 85180 Les Sables d'Olonne (le Château d'Olonne)-.")</f>
        <v>10h05 85180 Les Sables d'Olonne (le Château d'Olonne)-.</v>
      </c>
    </row>
    <row r="311" spans="1:12" ht="15.75" customHeight="1" x14ac:dyDescent="0.2">
      <c r="A311" s="91" t="s">
        <v>342</v>
      </c>
      <c r="B311" s="88">
        <v>0</v>
      </c>
      <c r="C311" s="88">
        <v>1</v>
      </c>
      <c r="H311" s="88" t="e">
        <f t="shared" ca="1" si="0"/>
        <v>#REF!</v>
      </c>
      <c r="I311" s="88" t="e">
        <f t="shared" ca="1" si="1"/>
        <v>#REF!</v>
      </c>
      <c r="J311" s="88" t="str">
        <f ca="1">IFERROR(__xludf.DUMMYFUNCTION("""COMPUTED_VALUE"""),"")</f>
        <v/>
      </c>
      <c r="K311" s="88" t="str">
        <f ca="1">IFERROR(__xludf.DUMMYFUNCTION("""COMPUTED_VALUE"""),"")</f>
        <v/>
      </c>
      <c r="L311" s="91" t="str">
        <f ca="1">IFERROR(__xludf.DUMMYFUNCTION("""COMPUTED_VALUE"""),"10h05 85180 Les Sables d'Olonne (le Château d'Olonne)")</f>
        <v>10h05 85180 Les Sables d'Olonne (le Château d'Olonne)</v>
      </c>
    </row>
    <row r="312" spans="1:12" ht="15.75" customHeight="1" x14ac:dyDescent="0.2">
      <c r="A312" s="91" t="s">
        <v>343</v>
      </c>
      <c r="B312" s="88">
        <v>0</v>
      </c>
      <c r="C312" s="88">
        <v>1</v>
      </c>
      <c r="H312" s="88" t="e">
        <f t="shared" ca="1" si="0"/>
        <v>#REF!</v>
      </c>
      <c r="I312" s="88" t="e">
        <f t="shared" ca="1" si="1"/>
        <v>#REF!</v>
      </c>
      <c r="J312" s="88" t="str">
        <f ca="1">IFERROR(__xludf.DUMMYFUNCTION("""COMPUTED_VALUE"""),"")</f>
        <v/>
      </c>
      <c r="K312" s="88" t="str">
        <f ca="1">IFERROR(__xludf.DUMMYFUNCTION("""COMPUTED_VALUE"""),"")</f>
        <v/>
      </c>
      <c r="L312" s="91" t="str">
        <f ca="1">IFERROR(__xludf.DUMMYFUNCTION("""COMPUTED_VALUE"""),"10h05 85150 Saint-Mathurin")</f>
        <v>10h05 85150 Saint-Mathurin</v>
      </c>
    </row>
    <row r="313" spans="1:12" ht="15.75" customHeight="1" x14ac:dyDescent="0.2">
      <c r="A313" s="91" t="s">
        <v>344</v>
      </c>
      <c r="B313" s="88">
        <v>0</v>
      </c>
      <c r="C313" s="88">
        <v>1</v>
      </c>
      <c r="H313" s="88" t="e">
        <f t="shared" ca="1" si="0"/>
        <v>#REF!</v>
      </c>
      <c r="I313" s="88" t="e">
        <f t="shared" ca="1" si="1"/>
        <v>#REF!</v>
      </c>
      <c r="J313" s="88" t="str">
        <f ca="1">IFERROR(__xludf.DUMMYFUNCTION("""COMPUTED_VALUE"""),"")</f>
        <v/>
      </c>
      <c r="K313" s="88" t="str">
        <f ca="1">IFERROR(__xludf.DUMMYFUNCTION("""COMPUTED_VALUE"""),"")</f>
        <v/>
      </c>
      <c r="L313" s="91" t="str">
        <f ca="1">IFERROR(__xludf.DUMMYFUNCTION("""COMPUTED_VALUE"""),"10h10 85100 Les Sables d'Olonne (les Sables d'Olonne)-.")</f>
        <v>10h10 85100 Les Sables d'Olonne (les Sables d'Olonne)-.</v>
      </c>
    </row>
    <row r="314" spans="1:12" ht="15.75" customHeight="1" x14ac:dyDescent="0.2">
      <c r="A314" s="91" t="s">
        <v>345</v>
      </c>
      <c r="B314" s="88">
        <v>0</v>
      </c>
      <c r="C314" s="88">
        <v>1</v>
      </c>
      <c r="H314" s="88" t="e">
        <f t="shared" ca="1" si="0"/>
        <v>#REF!</v>
      </c>
      <c r="I314" s="88" t="e">
        <f t="shared" ca="1" si="1"/>
        <v>#REF!</v>
      </c>
      <c r="J314" s="88" t="str">
        <f ca="1">IFERROR(__xludf.DUMMYFUNCTION("""COMPUTED_VALUE"""),"")</f>
        <v/>
      </c>
      <c r="K314" s="88" t="str">
        <f ca="1">IFERROR(__xludf.DUMMYFUNCTION("""COMPUTED_VALUE"""),"")</f>
        <v/>
      </c>
      <c r="L314" s="91" t="str">
        <f ca="1">IFERROR(__xludf.DUMMYFUNCTION("""COMPUTED_VALUE"""),"10h10 85100 Les Sables d'Olonne (les Sables d'Olonne)")</f>
        <v>10h10 85100 Les Sables d'Olonne (les Sables d'Olonne)</v>
      </c>
    </row>
    <row r="315" spans="1:12" ht="15.75" customHeight="1" x14ac:dyDescent="0.2">
      <c r="A315" s="91" t="s">
        <v>346</v>
      </c>
      <c r="B315" s="88">
        <v>0</v>
      </c>
      <c r="C315" s="88">
        <v>1</v>
      </c>
      <c r="H315" s="88" t="e">
        <f t="shared" ca="1" si="0"/>
        <v>#REF!</v>
      </c>
      <c r="I315" s="88" t="e">
        <f t="shared" ca="1" si="1"/>
        <v>#REF!</v>
      </c>
      <c r="J315" s="88" t="str">
        <f ca="1">IFERROR(__xludf.DUMMYFUNCTION("""COMPUTED_VALUE"""),"")</f>
        <v/>
      </c>
      <c r="K315" s="88" t="str">
        <f ca="1">IFERROR(__xludf.DUMMYFUNCTION("""COMPUTED_VALUE"""),"")</f>
        <v/>
      </c>
      <c r="L315" s="91" t="str">
        <f ca="1">IFERROR(__xludf.DUMMYFUNCTION("""COMPUTED_VALUE"""),"10h10 85100 Les Sables d'Olonne ( la Chaume)")</f>
        <v>10h10 85100 Les Sables d'Olonne ( la Chaume)</v>
      </c>
    </row>
    <row r="316" spans="1:12" ht="15.75" customHeight="1" x14ac:dyDescent="0.2">
      <c r="A316" s="91" t="s">
        <v>347</v>
      </c>
      <c r="B316" s="88">
        <v>0</v>
      </c>
      <c r="C316" s="88">
        <v>1</v>
      </c>
      <c r="H316" s="88" t="e">
        <f t="shared" ca="1" si="0"/>
        <v>#REF!</v>
      </c>
      <c r="I316" s="88" t="e">
        <f t="shared" ca="1" si="1"/>
        <v>#REF!</v>
      </c>
      <c r="J316" s="88" t="str">
        <f ca="1">IFERROR(__xludf.DUMMYFUNCTION("""COMPUTED_VALUE"""),"")</f>
        <v/>
      </c>
      <c r="K316" s="88" t="str">
        <f ca="1">IFERROR(__xludf.DUMMYFUNCTION("""COMPUTED_VALUE"""),"")</f>
        <v/>
      </c>
      <c r="L316" s="91" t="str">
        <f ca="1">IFERROR(__xludf.DUMMYFUNCTION("""COMPUTED_VALUE"""),"10h10 85340 Les Sables d'Olonne (Olonne sur Mer)-.")</f>
        <v>10h10 85340 Les Sables d'Olonne (Olonne sur Mer)-.</v>
      </c>
    </row>
    <row r="317" spans="1:12" ht="15.75" customHeight="1" x14ac:dyDescent="0.2">
      <c r="A317" s="91" t="s">
        <v>348</v>
      </c>
      <c r="B317" s="88">
        <v>0</v>
      </c>
      <c r="C317" s="88">
        <v>1</v>
      </c>
      <c r="H317" s="88" t="e">
        <f t="shared" ca="1" si="0"/>
        <v>#REF!</v>
      </c>
      <c r="I317" s="88" t="e">
        <f t="shared" ca="1" si="1"/>
        <v>#REF!</v>
      </c>
      <c r="J317" s="88" t="str">
        <f ca="1">IFERROR(__xludf.DUMMYFUNCTION("""COMPUTED_VALUE"""),"")</f>
        <v/>
      </c>
      <c r="K317" s="88" t="str">
        <f ca="1">IFERROR(__xludf.DUMMYFUNCTION("""COMPUTED_VALUE"""),"")</f>
        <v/>
      </c>
      <c r="L317" s="91" t="str">
        <f ca="1">IFERROR(__xludf.DUMMYFUNCTION("""COMPUTED_VALUE"""),"10h10 85340 Les Sables d'Olonne (Olonne sur Mer)")</f>
        <v>10h10 85340 Les Sables d'Olonne (Olonne sur Mer)</v>
      </c>
    </row>
    <row r="318" spans="1:12" ht="15.75" customHeight="1" x14ac:dyDescent="0.2">
      <c r="A318" s="91" t="s">
        <v>67</v>
      </c>
      <c r="B318" s="88">
        <v>0</v>
      </c>
      <c r="C318" s="88">
        <v>1</v>
      </c>
      <c r="H318" s="88" t="e">
        <f t="shared" ca="1" si="0"/>
        <v>#REF!</v>
      </c>
      <c r="I318" s="88" t="e">
        <f t="shared" ca="1" si="1"/>
        <v>#REF!</v>
      </c>
      <c r="J318" s="88" t="str">
        <f ca="1">IFERROR(__xludf.DUMMYFUNCTION("""COMPUTED_VALUE"""),"")</f>
        <v/>
      </c>
      <c r="K318" s="88" t="str">
        <f ca="1">IFERROR(__xludf.DUMMYFUNCTION("""COMPUTED_VALUE"""),"")</f>
        <v/>
      </c>
      <c r="L318" s="91" t="str">
        <f ca="1">IFERROR(__xludf.DUMMYFUNCTION("""COMPUTED_VALUE"""),"10h10 85180 Les Sables d'Olonne (le Château d'Olonne)-.")</f>
        <v>10h10 85180 Les Sables d'Olonne (le Château d'Olonne)-.</v>
      </c>
    </row>
    <row r="319" spans="1:12" ht="15.75" customHeight="1" x14ac:dyDescent="0.2">
      <c r="A319" s="91" t="s">
        <v>349</v>
      </c>
      <c r="B319" s="88">
        <v>0</v>
      </c>
      <c r="C319" s="88">
        <v>1</v>
      </c>
      <c r="H319" s="88" t="e">
        <f t="shared" ca="1" si="0"/>
        <v>#REF!</v>
      </c>
      <c r="I319" s="88" t="e">
        <f t="shared" ca="1" si="1"/>
        <v>#REF!</v>
      </c>
      <c r="J319" s="88" t="str">
        <f ca="1">IFERROR(__xludf.DUMMYFUNCTION("""COMPUTED_VALUE"""),"")</f>
        <v/>
      </c>
      <c r="K319" s="88" t="str">
        <f ca="1">IFERROR(__xludf.DUMMYFUNCTION("""COMPUTED_VALUE"""),"")</f>
        <v/>
      </c>
      <c r="L319" s="91" t="str">
        <f ca="1">IFERROR(__xludf.DUMMYFUNCTION("""COMPUTED_VALUE"""),"10h10 85180 Les Sables d'Olonne (le Château d'Olonne)")</f>
        <v>10h10 85180 Les Sables d'Olonne (le Château d'Olonne)</v>
      </c>
    </row>
    <row r="320" spans="1:12" ht="15.75" customHeight="1" x14ac:dyDescent="0.2">
      <c r="A320" s="91" t="s">
        <v>350</v>
      </c>
      <c r="B320" s="88">
        <v>0</v>
      </c>
      <c r="C320" s="88">
        <v>1</v>
      </c>
      <c r="H320" s="88" t="e">
        <f t="shared" ca="1" si="0"/>
        <v>#REF!</v>
      </c>
      <c r="I320" s="88" t="e">
        <f t="shared" ca="1" si="1"/>
        <v>#REF!</v>
      </c>
      <c r="J320" s="88" t="str">
        <f ca="1">IFERROR(__xludf.DUMMYFUNCTION("""COMPUTED_VALUE"""),"")</f>
        <v/>
      </c>
      <c r="K320" s="88" t="str">
        <f ca="1">IFERROR(__xludf.DUMMYFUNCTION("""COMPUTED_VALUE"""),"")</f>
        <v/>
      </c>
      <c r="L320" s="91" t="str">
        <f ca="1">IFERROR(__xludf.DUMMYFUNCTION("""COMPUTED_VALUE"""),"10h10 85150 Saint-Mathurin")</f>
        <v>10h10 85150 Saint-Mathurin</v>
      </c>
    </row>
    <row r="321" spans="1:12" ht="15.75" customHeight="1" x14ac:dyDescent="0.2">
      <c r="A321" s="91" t="s">
        <v>351</v>
      </c>
      <c r="B321" s="88">
        <v>0</v>
      </c>
      <c r="C321" s="88">
        <v>1</v>
      </c>
      <c r="H321" s="88" t="e">
        <f t="shared" ca="1" si="0"/>
        <v>#REF!</v>
      </c>
      <c r="I321" s="88" t="e">
        <f t="shared" ca="1" si="1"/>
        <v>#REF!</v>
      </c>
      <c r="J321" s="88" t="str">
        <f ca="1">IFERROR(__xludf.DUMMYFUNCTION("""COMPUTED_VALUE"""),"")</f>
        <v/>
      </c>
      <c r="K321" s="88" t="str">
        <f ca="1">IFERROR(__xludf.DUMMYFUNCTION("""COMPUTED_VALUE"""),"")</f>
        <v/>
      </c>
      <c r="L321" s="91" t="str">
        <f ca="1">IFERROR(__xludf.DUMMYFUNCTION("""COMPUTED_VALUE"""),"10h15 85100 Les Sables d'Olonne (les Sables d'Olonne)-.")</f>
        <v>10h15 85100 Les Sables d'Olonne (les Sables d'Olonne)-.</v>
      </c>
    </row>
    <row r="322" spans="1:12" ht="15.75" customHeight="1" x14ac:dyDescent="0.2">
      <c r="A322" s="91" t="s">
        <v>352</v>
      </c>
      <c r="B322" s="88">
        <v>0</v>
      </c>
      <c r="C322" s="88">
        <v>1</v>
      </c>
      <c r="H322" s="88" t="e">
        <f t="shared" ca="1" si="0"/>
        <v>#REF!</v>
      </c>
      <c r="I322" s="88" t="e">
        <f t="shared" ca="1" si="1"/>
        <v>#REF!</v>
      </c>
      <c r="J322" s="88" t="str">
        <f ca="1">IFERROR(__xludf.DUMMYFUNCTION("""COMPUTED_VALUE"""),"")</f>
        <v/>
      </c>
      <c r="K322" s="88" t="str">
        <f ca="1">IFERROR(__xludf.DUMMYFUNCTION("""COMPUTED_VALUE"""),"")</f>
        <v/>
      </c>
      <c r="L322" s="91" t="str">
        <f ca="1">IFERROR(__xludf.DUMMYFUNCTION("""COMPUTED_VALUE"""),"10h15 85100 Les Sables d'Olonne (les Sables d'Olonne)")</f>
        <v>10h15 85100 Les Sables d'Olonne (les Sables d'Olonne)</v>
      </c>
    </row>
    <row r="323" spans="1:12" ht="15.75" customHeight="1" x14ac:dyDescent="0.2">
      <c r="A323" s="91" t="s">
        <v>353</v>
      </c>
      <c r="B323" s="88">
        <v>0</v>
      </c>
      <c r="C323" s="88">
        <v>1</v>
      </c>
      <c r="H323" s="88" t="e">
        <f t="shared" ca="1" si="0"/>
        <v>#REF!</v>
      </c>
      <c r="I323" s="88" t="e">
        <f t="shared" ca="1" si="1"/>
        <v>#REF!</v>
      </c>
      <c r="J323" s="88" t="str">
        <f ca="1">IFERROR(__xludf.DUMMYFUNCTION("""COMPUTED_VALUE"""),"")</f>
        <v/>
      </c>
      <c r="K323" s="88" t="str">
        <f ca="1">IFERROR(__xludf.DUMMYFUNCTION("""COMPUTED_VALUE"""),"")</f>
        <v/>
      </c>
      <c r="L323" s="91" t="str">
        <f ca="1">IFERROR(__xludf.DUMMYFUNCTION("""COMPUTED_VALUE"""),"10h15 85100 Les Sables d'Olonne ( la Chaume)")</f>
        <v>10h15 85100 Les Sables d'Olonne ( la Chaume)</v>
      </c>
    </row>
    <row r="324" spans="1:12" ht="15.75" customHeight="1" x14ac:dyDescent="0.2">
      <c r="A324" s="91" t="s">
        <v>117</v>
      </c>
      <c r="B324" s="88">
        <v>0</v>
      </c>
      <c r="C324" s="88">
        <v>1</v>
      </c>
      <c r="H324" s="88" t="e">
        <f t="shared" ca="1" si="0"/>
        <v>#REF!</v>
      </c>
      <c r="I324" s="88" t="e">
        <f t="shared" ca="1" si="1"/>
        <v>#REF!</v>
      </c>
      <c r="J324" s="88" t="str">
        <f ca="1">IFERROR(__xludf.DUMMYFUNCTION("""COMPUTED_VALUE"""),"")</f>
        <v/>
      </c>
      <c r="K324" s="88" t="str">
        <f ca="1">IFERROR(__xludf.DUMMYFUNCTION("""COMPUTED_VALUE"""),"")</f>
        <v/>
      </c>
      <c r="L324" s="91" t="str">
        <f ca="1">IFERROR(__xludf.DUMMYFUNCTION("""COMPUTED_VALUE"""),"10h15 85340 Les Sables d'Olonne (Olonne sur Mer)-.")</f>
        <v>10h15 85340 Les Sables d'Olonne (Olonne sur Mer)-.</v>
      </c>
    </row>
    <row r="325" spans="1:12" ht="15.75" customHeight="1" x14ac:dyDescent="0.2">
      <c r="A325" s="91" t="s">
        <v>354</v>
      </c>
      <c r="B325" s="88">
        <v>0</v>
      </c>
      <c r="C325" s="88">
        <v>1</v>
      </c>
      <c r="H325" s="88" t="e">
        <f t="shared" ca="1" si="0"/>
        <v>#REF!</v>
      </c>
      <c r="I325" s="88" t="e">
        <f t="shared" ca="1" si="1"/>
        <v>#REF!</v>
      </c>
      <c r="J325" s="88" t="str">
        <f ca="1">IFERROR(__xludf.DUMMYFUNCTION("""COMPUTED_VALUE"""),"")</f>
        <v/>
      </c>
      <c r="K325" s="88" t="str">
        <f ca="1">IFERROR(__xludf.DUMMYFUNCTION("""COMPUTED_VALUE"""),"")</f>
        <v/>
      </c>
      <c r="L325" s="91" t="str">
        <f ca="1">IFERROR(__xludf.DUMMYFUNCTION("""COMPUTED_VALUE"""),"10h15 85340 Les Sables d'Olonne (Olonne sur Mer)")</f>
        <v>10h15 85340 Les Sables d'Olonne (Olonne sur Mer)</v>
      </c>
    </row>
    <row r="326" spans="1:12" ht="15.75" customHeight="1" x14ac:dyDescent="0.2">
      <c r="A326" s="91" t="s">
        <v>355</v>
      </c>
      <c r="B326" s="88">
        <v>0</v>
      </c>
      <c r="C326" s="88">
        <v>1</v>
      </c>
      <c r="H326" s="88" t="e">
        <f t="shared" ca="1" si="0"/>
        <v>#REF!</v>
      </c>
      <c r="I326" s="88" t="e">
        <f t="shared" ca="1" si="1"/>
        <v>#REF!</v>
      </c>
      <c r="J326" s="88" t="str">
        <f ca="1">IFERROR(__xludf.DUMMYFUNCTION("""COMPUTED_VALUE"""),"")</f>
        <v/>
      </c>
      <c r="K326" s="88" t="str">
        <f ca="1">IFERROR(__xludf.DUMMYFUNCTION("""COMPUTED_VALUE"""),"")</f>
        <v/>
      </c>
      <c r="L326" s="91" t="str">
        <f ca="1">IFERROR(__xludf.DUMMYFUNCTION("""COMPUTED_VALUE"""),"10h15 85180 Les Sables d'Olonne (le Château d'Olonne)-.")</f>
        <v>10h15 85180 Les Sables d'Olonne (le Château d'Olonne)-.</v>
      </c>
    </row>
    <row r="327" spans="1:12" ht="15.75" customHeight="1" x14ac:dyDescent="0.2">
      <c r="A327" s="91" t="s">
        <v>356</v>
      </c>
      <c r="B327" s="88">
        <v>0</v>
      </c>
      <c r="C327" s="88">
        <v>1</v>
      </c>
      <c r="H327" s="88" t="e">
        <f t="shared" ca="1" si="0"/>
        <v>#REF!</v>
      </c>
      <c r="I327" s="88" t="e">
        <f t="shared" ca="1" si="1"/>
        <v>#REF!</v>
      </c>
      <c r="J327" s="88" t="str">
        <f ca="1">IFERROR(__xludf.DUMMYFUNCTION("""COMPUTED_VALUE"""),"")</f>
        <v/>
      </c>
      <c r="K327" s="88" t="str">
        <f ca="1">IFERROR(__xludf.DUMMYFUNCTION("""COMPUTED_VALUE"""),"")</f>
        <v/>
      </c>
      <c r="L327" s="91" t="str">
        <f ca="1">IFERROR(__xludf.DUMMYFUNCTION("""COMPUTED_VALUE"""),"10h15 85180 Les Sables d'Olonne (le Château d'Olonne)")</f>
        <v>10h15 85180 Les Sables d'Olonne (le Château d'Olonne)</v>
      </c>
    </row>
    <row r="328" spans="1:12" ht="15.75" customHeight="1" x14ac:dyDescent="0.2">
      <c r="A328" s="91" t="s">
        <v>357</v>
      </c>
      <c r="B328" s="88">
        <v>0</v>
      </c>
      <c r="C328" s="88">
        <v>1</v>
      </c>
      <c r="H328" s="88" t="e">
        <f t="shared" ca="1" si="0"/>
        <v>#REF!</v>
      </c>
      <c r="I328" s="88" t="e">
        <f t="shared" ca="1" si="1"/>
        <v>#REF!</v>
      </c>
      <c r="J328" s="88" t="str">
        <f ca="1">IFERROR(__xludf.DUMMYFUNCTION("""COMPUTED_VALUE"""),"")</f>
        <v/>
      </c>
      <c r="K328" s="88" t="str">
        <f ca="1">IFERROR(__xludf.DUMMYFUNCTION("""COMPUTED_VALUE"""),"")</f>
        <v/>
      </c>
      <c r="L328" s="91" t="str">
        <f ca="1">IFERROR(__xludf.DUMMYFUNCTION("""COMPUTED_VALUE"""),"10h15 85150 Saint-Mathurin")</f>
        <v>10h15 85150 Saint-Mathurin</v>
      </c>
    </row>
    <row r="329" spans="1:12" ht="15.75" customHeight="1" x14ac:dyDescent="0.2">
      <c r="A329" s="91" t="s">
        <v>358</v>
      </c>
      <c r="B329" s="88">
        <v>0</v>
      </c>
      <c r="C329" s="88">
        <v>1</v>
      </c>
      <c r="H329" s="88" t="e">
        <f t="shared" ca="1" si="0"/>
        <v>#REF!</v>
      </c>
      <c r="I329" s="88" t="e">
        <f t="shared" ca="1" si="1"/>
        <v>#REF!</v>
      </c>
      <c r="J329" s="88" t="str">
        <f ca="1">IFERROR(__xludf.DUMMYFUNCTION("""COMPUTED_VALUE"""),"")</f>
        <v/>
      </c>
      <c r="K329" s="88" t="str">
        <f ca="1">IFERROR(__xludf.DUMMYFUNCTION("""COMPUTED_VALUE"""),"")</f>
        <v/>
      </c>
      <c r="L329" s="91" t="str">
        <f ca="1">IFERROR(__xludf.DUMMYFUNCTION("""COMPUTED_VALUE"""),"10h20 85100 Les Sables d'Olonne (les Sables d'Olonne)-.")</f>
        <v>10h20 85100 Les Sables d'Olonne (les Sables d'Olonne)-.</v>
      </c>
    </row>
    <row r="330" spans="1:12" ht="15.75" customHeight="1" x14ac:dyDescent="0.2">
      <c r="A330" s="91" t="s">
        <v>359</v>
      </c>
      <c r="B330" s="88">
        <v>0</v>
      </c>
      <c r="C330" s="88">
        <v>1</v>
      </c>
      <c r="H330" s="88" t="e">
        <f t="shared" ca="1" si="0"/>
        <v>#REF!</v>
      </c>
      <c r="I330" s="88" t="e">
        <f t="shared" ca="1" si="1"/>
        <v>#REF!</v>
      </c>
      <c r="J330" s="88" t="str">
        <f ca="1">IFERROR(__xludf.DUMMYFUNCTION("""COMPUTED_VALUE"""),"")</f>
        <v/>
      </c>
      <c r="K330" s="88" t="str">
        <f ca="1">IFERROR(__xludf.DUMMYFUNCTION("""COMPUTED_VALUE"""),"")</f>
        <v/>
      </c>
      <c r="L330" s="91" t="str">
        <f ca="1">IFERROR(__xludf.DUMMYFUNCTION("""COMPUTED_VALUE"""),"10h20 85100 Les Sables d'Olonne (les Sables d'Olonne)")</f>
        <v>10h20 85100 Les Sables d'Olonne (les Sables d'Olonne)</v>
      </c>
    </row>
    <row r="331" spans="1:12" ht="15.75" customHeight="1" x14ac:dyDescent="0.2">
      <c r="A331" s="91" t="s">
        <v>360</v>
      </c>
      <c r="B331" s="88">
        <v>0</v>
      </c>
      <c r="C331" s="88">
        <v>1</v>
      </c>
      <c r="H331" s="88" t="e">
        <f t="shared" ca="1" si="0"/>
        <v>#REF!</v>
      </c>
      <c r="I331" s="88" t="e">
        <f t="shared" ca="1" si="1"/>
        <v>#REF!</v>
      </c>
      <c r="J331" s="88" t="str">
        <f ca="1">IFERROR(__xludf.DUMMYFUNCTION("""COMPUTED_VALUE"""),"")</f>
        <v/>
      </c>
      <c r="K331" s="88" t="str">
        <f ca="1">IFERROR(__xludf.DUMMYFUNCTION("""COMPUTED_VALUE"""),"")</f>
        <v/>
      </c>
      <c r="L331" s="91" t="str">
        <f ca="1">IFERROR(__xludf.DUMMYFUNCTION("""COMPUTED_VALUE"""),"10h20 85100 Les Sables d'Olonne ( la Chaume)")</f>
        <v>10h20 85100 Les Sables d'Olonne ( la Chaume)</v>
      </c>
    </row>
    <row r="332" spans="1:12" ht="15.75" customHeight="1" x14ac:dyDescent="0.2">
      <c r="A332" s="91" t="s">
        <v>361</v>
      </c>
      <c r="B332" s="88">
        <v>0</v>
      </c>
      <c r="C332" s="88">
        <v>1</v>
      </c>
      <c r="H332" s="88" t="e">
        <f t="shared" ca="1" si="0"/>
        <v>#REF!</v>
      </c>
      <c r="I332" s="88" t="e">
        <f t="shared" ca="1" si="1"/>
        <v>#REF!</v>
      </c>
      <c r="J332" s="88" t="str">
        <f ca="1">IFERROR(__xludf.DUMMYFUNCTION("""COMPUTED_VALUE"""),"")</f>
        <v/>
      </c>
      <c r="K332" s="88" t="str">
        <f ca="1">IFERROR(__xludf.DUMMYFUNCTION("""COMPUTED_VALUE"""),"")</f>
        <v/>
      </c>
      <c r="L332" s="91" t="str">
        <f ca="1">IFERROR(__xludf.DUMMYFUNCTION("""COMPUTED_VALUE"""),"10h20 85340 Les Sables d'Olonne (Olonne sur Mer)-.")</f>
        <v>10h20 85340 Les Sables d'Olonne (Olonne sur Mer)-.</v>
      </c>
    </row>
    <row r="333" spans="1:12" ht="15.75" customHeight="1" x14ac:dyDescent="0.2">
      <c r="A333" s="91" t="s">
        <v>362</v>
      </c>
      <c r="B333" s="88">
        <v>0</v>
      </c>
      <c r="C333" s="88">
        <v>1</v>
      </c>
      <c r="H333" s="88" t="e">
        <f t="shared" ca="1" si="0"/>
        <v>#REF!</v>
      </c>
      <c r="I333" s="88" t="e">
        <f t="shared" ca="1" si="1"/>
        <v>#REF!</v>
      </c>
      <c r="J333" s="88" t="str">
        <f ca="1">IFERROR(__xludf.DUMMYFUNCTION("""COMPUTED_VALUE"""),"")</f>
        <v/>
      </c>
      <c r="K333" s="88" t="str">
        <f ca="1">IFERROR(__xludf.DUMMYFUNCTION("""COMPUTED_VALUE"""),"")</f>
        <v/>
      </c>
      <c r="L333" s="91" t="str">
        <f ca="1">IFERROR(__xludf.DUMMYFUNCTION("""COMPUTED_VALUE"""),"10h20 85340 Les Sables d'Olonne (Olonne sur Mer)")</f>
        <v>10h20 85340 Les Sables d'Olonne (Olonne sur Mer)</v>
      </c>
    </row>
    <row r="334" spans="1:12" ht="15.75" customHeight="1" x14ac:dyDescent="0.2">
      <c r="A334" s="91" t="s">
        <v>363</v>
      </c>
      <c r="B334" s="88">
        <v>0</v>
      </c>
      <c r="C334" s="88">
        <v>1</v>
      </c>
      <c r="H334" s="88" t="e">
        <f t="shared" ca="1" si="0"/>
        <v>#REF!</v>
      </c>
      <c r="I334" s="88" t="e">
        <f t="shared" ca="1" si="1"/>
        <v>#REF!</v>
      </c>
      <c r="J334" s="88" t="str">
        <f ca="1">IFERROR(__xludf.DUMMYFUNCTION("""COMPUTED_VALUE"""),"")</f>
        <v/>
      </c>
      <c r="K334" s="88" t="str">
        <f ca="1">IFERROR(__xludf.DUMMYFUNCTION("""COMPUTED_VALUE"""),"")</f>
        <v/>
      </c>
      <c r="L334" s="91" t="str">
        <f ca="1">IFERROR(__xludf.DUMMYFUNCTION("""COMPUTED_VALUE"""),"10h20 85180 Les Sables d'Olonne (le Château d'Olonne)-.")</f>
        <v>10h20 85180 Les Sables d'Olonne (le Château d'Olonne)-.</v>
      </c>
    </row>
    <row r="335" spans="1:12" ht="15.75" customHeight="1" x14ac:dyDescent="0.2">
      <c r="A335" s="91" t="s">
        <v>364</v>
      </c>
      <c r="B335" s="88">
        <v>0</v>
      </c>
      <c r="C335" s="88">
        <v>1</v>
      </c>
      <c r="H335" s="88" t="e">
        <f t="shared" ca="1" si="0"/>
        <v>#REF!</v>
      </c>
      <c r="I335" s="88" t="e">
        <f t="shared" ca="1" si="1"/>
        <v>#REF!</v>
      </c>
      <c r="J335" s="88" t="str">
        <f ca="1">IFERROR(__xludf.DUMMYFUNCTION("""COMPUTED_VALUE"""),"")</f>
        <v/>
      </c>
      <c r="K335" s="88" t="str">
        <f ca="1">IFERROR(__xludf.DUMMYFUNCTION("""COMPUTED_VALUE"""),"")</f>
        <v/>
      </c>
      <c r="L335" s="91" t="str">
        <f ca="1">IFERROR(__xludf.DUMMYFUNCTION("""COMPUTED_VALUE"""),"10h20 85180 Les Sables d'Olonne (le Château d'Olonne)")</f>
        <v>10h20 85180 Les Sables d'Olonne (le Château d'Olonne)</v>
      </c>
    </row>
    <row r="336" spans="1:12" ht="15.75" customHeight="1" x14ac:dyDescent="0.2">
      <c r="A336" s="91" t="s">
        <v>365</v>
      </c>
      <c r="B336" s="88">
        <v>0</v>
      </c>
      <c r="C336" s="88">
        <v>1</v>
      </c>
      <c r="H336" s="88" t="e">
        <f t="shared" ca="1" si="0"/>
        <v>#REF!</v>
      </c>
      <c r="I336" s="88" t="e">
        <f t="shared" ca="1" si="1"/>
        <v>#REF!</v>
      </c>
      <c r="J336" s="88" t="str">
        <f ca="1">IFERROR(__xludf.DUMMYFUNCTION("""COMPUTED_VALUE"""),"")</f>
        <v/>
      </c>
      <c r="K336" s="88" t="str">
        <f ca="1">IFERROR(__xludf.DUMMYFUNCTION("""COMPUTED_VALUE"""),"")</f>
        <v/>
      </c>
      <c r="L336" s="91" t="str">
        <f ca="1">IFERROR(__xludf.DUMMYFUNCTION("""COMPUTED_VALUE"""),"10h20 85150 Saint-Mathurin")</f>
        <v>10h20 85150 Saint-Mathurin</v>
      </c>
    </row>
    <row r="337" spans="1:12" ht="15.75" customHeight="1" x14ac:dyDescent="0.2">
      <c r="A337" s="91" t="s">
        <v>366</v>
      </c>
      <c r="B337" s="88">
        <v>0</v>
      </c>
      <c r="C337" s="88">
        <v>1</v>
      </c>
      <c r="H337" s="88" t="e">
        <f t="shared" ca="1" si="0"/>
        <v>#REF!</v>
      </c>
      <c r="I337" s="88" t="e">
        <f t="shared" ca="1" si="1"/>
        <v>#REF!</v>
      </c>
      <c r="J337" s="88" t="str">
        <f ca="1">IFERROR(__xludf.DUMMYFUNCTION("""COMPUTED_VALUE"""),"")</f>
        <v/>
      </c>
      <c r="K337" s="88" t="str">
        <f ca="1">IFERROR(__xludf.DUMMYFUNCTION("""COMPUTED_VALUE"""),"")</f>
        <v/>
      </c>
      <c r="L337" s="91" t="str">
        <f ca="1">IFERROR(__xludf.DUMMYFUNCTION("""COMPUTED_VALUE"""),"10h25 85100 Les Sables d'Olonne (les Sables d'Olonne)-.")</f>
        <v>10h25 85100 Les Sables d'Olonne (les Sables d'Olonne)-.</v>
      </c>
    </row>
    <row r="338" spans="1:12" ht="15.75" customHeight="1" x14ac:dyDescent="0.2">
      <c r="A338" s="91" t="s">
        <v>367</v>
      </c>
      <c r="B338" s="88">
        <v>0</v>
      </c>
      <c r="C338" s="88">
        <v>1</v>
      </c>
      <c r="H338" s="88" t="e">
        <f t="shared" ca="1" si="0"/>
        <v>#REF!</v>
      </c>
      <c r="I338" s="88" t="e">
        <f t="shared" ca="1" si="1"/>
        <v>#REF!</v>
      </c>
      <c r="J338" s="88" t="str">
        <f ca="1">IFERROR(__xludf.DUMMYFUNCTION("""COMPUTED_VALUE"""),"")</f>
        <v/>
      </c>
      <c r="K338" s="88" t="str">
        <f ca="1">IFERROR(__xludf.DUMMYFUNCTION("""COMPUTED_VALUE"""),"")</f>
        <v/>
      </c>
      <c r="L338" s="91" t="str">
        <f ca="1">IFERROR(__xludf.DUMMYFUNCTION("""COMPUTED_VALUE"""),"10h25 85100 Les Sables d'Olonne (les Sables d'Olonne)")</f>
        <v>10h25 85100 Les Sables d'Olonne (les Sables d'Olonne)</v>
      </c>
    </row>
    <row r="339" spans="1:12" ht="15.75" customHeight="1" x14ac:dyDescent="0.2">
      <c r="A339" s="91" t="s">
        <v>368</v>
      </c>
      <c r="B339" s="88">
        <v>0</v>
      </c>
      <c r="C339" s="88">
        <v>1</v>
      </c>
      <c r="H339" s="88" t="e">
        <f t="shared" ca="1" si="0"/>
        <v>#REF!</v>
      </c>
      <c r="I339" s="88" t="e">
        <f t="shared" ca="1" si="1"/>
        <v>#REF!</v>
      </c>
      <c r="J339" s="88" t="str">
        <f ca="1">IFERROR(__xludf.DUMMYFUNCTION("""COMPUTED_VALUE"""),"")</f>
        <v/>
      </c>
      <c r="K339" s="88" t="str">
        <f ca="1">IFERROR(__xludf.DUMMYFUNCTION("""COMPUTED_VALUE"""),"")</f>
        <v/>
      </c>
      <c r="L339" s="91" t="str">
        <f ca="1">IFERROR(__xludf.DUMMYFUNCTION("""COMPUTED_VALUE"""),"10h25 85100 Les Sables d'Olonne ( la Chaume)")</f>
        <v>10h25 85100 Les Sables d'Olonne ( la Chaume)</v>
      </c>
    </row>
    <row r="340" spans="1:12" ht="15.75" customHeight="1" x14ac:dyDescent="0.2">
      <c r="A340" s="91" t="s">
        <v>119</v>
      </c>
      <c r="B340" s="88">
        <v>0</v>
      </c>
      <c r="C340" s="88">
        <v>1</v>
      </c>
      <c r="H340" s="88" t="e">
        <f t="shared" ca="1" si="0"/>
        <v>#REF!</v>
      </c>
      <c r="I340" s="88" t="e">
        <f t="shared" ca="1" si="1"/>
        <v>#REF!</v>
      </c>
      <c r="J340" s="88" t="str">
        <f ca="1">IFERROR(__xludf.DUMMYFUNCTION("""COMPUTED_VALUE"""),"")</f>
        <v/>
      </c>
      <c r="K340" s="88" t="str">
        <f ca="1">IFERROR(__xludf.DUMMYFUNCTION("""COMPUTED_VALUE"""),"")</f>
        <v/>
      </c>
      <c r="L340" s="91" t="str">
        <f ca="1">IFERROR(__xludf.DUMMYFUNCTION("""COMPUTED_VALUE"""),"10h25 85340 Les Sables d'Olonne (Olonne sur Mer)-.")</f>
        <v>10h25 85340 Les Sables d'Olonne (Olonne sur Mer)-.</v>
      </c>
    </row>
    <row r="341" spans="1:12" ht="15.75" customHeight="1" x14ac:dyDescent="0.2">
      <c r="A341" s="91" t="s">
        <v>118</v>
      </c>
      <c r="B341" s="88">
        <v>0</v>
      </c>
      <c r="C341" s="88">
        <v>1</v>
      </c>
      <c r="H341" s="88" t="e">
        <f t="shared" ca="1" si="0"/>
        <v>#REF!</v>
      </c>
      <c r="I341" s="88" t="e">
        <f t="shared" ca="1" si="1"/>
        <v>#REF!</v>
      </c>
      <c r="J341" s="88" t="str">
        <f ca="1">IFERROR(__xludf.DUMMYFUNCTION("""COMPUTED_VALUE"""),"")</f>
        <v/>
      </c>
      <c r="K341" s="88" t="str">
        <f ca="1">IFERROR(__xludf.DUMMYFUNCTION("""COMPUTED_VALUE"""),"")</f>
        <v/>
      </c>
      <c r="L341" s="91" t="str">
        <f ca="1">IFERROR(__xludf.DUMMYFUNCTION("""COMPUTED_VALUE"""),"10h25 85340 Les Sables d'Olonne (Olonne sur Mer)")</f>
        <v>10h25 85340 Les Sables d'Olonne (Olonne sur Mer)</v>
      </c>
    </row>
    <row r="342" spans="1:12" ht="15.75" customHeight="1" x14ac:dyDescent="0.2">
      <c r="A342" s="91" t="s">
        <v>369</v>
      </c>
      <c r="B342" s="88">
        <v>0</v>
      </c>
      <c r="C342" s="88">
        <v>1</v>
      </c>
      <c r="H342" s="88" t="e">
        <f t="shared" ca="1" si="0"/>
        <v>#REF!</v>
      </c>
      <c r="I342" s="88" t="e">
        <f t="shared" ca="1" si="1"/>
        <v>#REF!</v>
      </c>
      <c r="J342" s="88" t="str">
        <f ca="1">IFERROR(__xludf.DUMMYFUNCTION("""COMPUTED_VALUE"""),"")</f>
        <v/>
      </c>
      <c r="K342" s="88" t="str">
        <f ca="1">IFERROR(__xludf.DUMMYFUNCTION("""COMPUTED_VALUE"""),"")</f>
        <v/>
      </c>
      <c r="L342" s="91" t="str">
        <f ca="1">IFERROR(__xludf.DUMMYFUNCTION("""COMPUTED_VALUE"""),"10h25 85180 Les Sables d'Olonne (le Château d'Olonne)-.")</f>
        <v>10h25 85180 Les Sables d'Olonne (le Château d'Olonne)-.</v>
      </c>
    </row>
    <row r="343" spans="1:12" ht="15.75" customHeight="1" x14ac:dyDescent="0.2">
      <c r="A343" s="91" t="s">
        <v>370</v>
      </c>
      <c r="B343" s="88">
        <v>0</v>
      </c>
      <c r="C343" s="88">
        <v>1</v>
      </c>
      <c r="H343" s="88" t="e">
        <f t="shared" ca="1" si="0"/>
        <v>#REF!</v>
      </c>
      <c r="I343" s="88" t="e">
        <f t="shared" ca="1" si="1"/>
        <v>#REF!</v>
      </c>
      <c r="J343" s="88" t="str">
        <f ca="1">IFERROR(__xludf.DUMMYFUNCTION("""COMPUTED_VALUE"""),"")</f>
        <v/>
      </c>
      <c r="K343" s="88" t="str">
        <f ca="1">IFERROR(__xludf.DUMMYFUNCTION("""COMPUTED_VALUE"""),"")</f>
        <v/>
      </c>
      <c r="L343" s="91" t="str">
        <f ca="1">IFERROR(__xludf.DUMMYFUNCTION("""COMPUTED_VALUE"""),"10h25 85180 Les Sables d'Olonne (le Château d'Olonne)")</f>
        <v>10h25 85180 Les Sables d'Olonne (le Château d'Olonne)</v>
      </c>
    </row>
    <row r="344" spans="1:12" ht="15.75" customHeight="1" x14ac:dyDescent="0.2">
      <c r="A344" s="91" t="s">
        <v>371</v>
      </c>
      <c r="B344" s="88">
        <v>0</v>
      </c>
      <c r="C344" s="88">
        <v>1</v>
      </c>
      <c r="H344" s="88" t="e">
        <f t="shared" ca="1" si="0"/>
        <v>#REF!</v>
      </c>
      <c r="I344" s="88" t="e">
        <f t="shared" ca="1" si="1"/>
        <v>#REF!</v>
      </c>
      <c r="J344" s="88" t="str">
        <f ca="1">IFERROR(__xludf.DUMMYFUNCTION("""COMPUTED_VALUE"""),"")</f>
        <v/>
      </c>
      <c r="K344" s="88" t="str">
        <f ca="1">IFERROR(__xludf.DUMMYFUNCTION("""COMPUTED_VALUE"""),"")</f>
        <v/>
      </c>
      <c r="L344" s="91" t="str">
        <f ca="1">IFERROR(__xludf.DUMMYFUNCTION("""COMPUTED_VALUE"""),"10h25 85150 Saint-Mathurin")</f>
        <v>10h25 85150 Saint-Mathurin</v>
      </c>
    </row>
    <row r="345" spans="1:12" ht="15.75" customHeight="1" x14ac:dyDescent="0.2">
      <c r="A345" s="91" t="s">
        <v>372</v>
      </c>
      <c r="B345" s="88">
        <v>0</v>
      </c>
      <c r="C345" s="88">
        <v>1</v>
      </c>
      <c r="H345" s="88" t="e">
        <f t="shared" ca="1" si="0"/>
        <v>#REF!</v>
      </c>
      <c r="I345" s="88" t="e">
        <f t="shared" ca="1" si="1"/>
        <v>#REF!</v>
      </c>
      <c r="J345" s="88" t="str">
        <f ca="1">IFERROR(__xludf.DUMMYFUNCTION("""COMPUTED_VALUE"""),"")</f>
        <v/>
      </c>
      <c r="K345" s="88" t="str">
        <f ca="1">IFERROR(__xludf.DUMMYFUNCTION("""COMPUTED_VALUE"""),"")</f>
        <v/>
      </c>
      <c r="L345" s="91" t="str">
        <f ca="1">IFERROR(__xludf.DUMMYFUNCTION("""COMPUTED_VALUE"""),"10h30 85100 Les Sables d'Olonne (les Sables d'Olonne)-.")</f>
        <v>10h30 85100 Les Sables d'Olonne (les Sables d'Olonne)-.</v>
      </c>
    </row>
    <row r="346" spans="1:12" ht="15.75" customHeight="1" x14ac:dyDescent="0.2">
      <c r="A346" s="91" t="s">
        <v>373</v>
      </c>
      <c r="B346" s="88">
        <v>0</v>
      </c>
      <c r="C346" s="88">
        <v>1</v>
      </c>
      <c r="H346" s="88" t="e">
        <f t="shared" ca="1" si="0"/>
        <v>#REF!</v>
      </c>
      <c r="I346" s="88" t="e">
        <f t="shared" ca="1" si="1"/>
        <v>#REF!</v>
      </c>
      <c r="J346" s="88" t="str">
        <f ca="1">IFERROR(__xludf.DUMMYFUNCTION("""COMPUTED_VALUE"""),"")</f>
        <v/>
      </c>
      <c r="K346" s="88" t="str">
        <f ca="1">IFERROR(__xludf.DUMMYFUNCTION("""COMPUTED_VALUE"""),"")</f>
        <v/>
      </c>
      <c r="L346" s="91" t="str">
        <f ca="1">IFERROR(__xludf.DUMMYFUNCTION("""COMPUTED_VALUE"""),"10h30 85100 Les Sables d'Olonne (les Sables d'Olonne)")</f>
        <v>10h30 85100 Les Sables d'Olonne (les Sables d'Olonne)</v>
      </c>
    </row>
    <row r="347" spans="1:12" ht="15.75" customHeight="1" x14ac:dyDescent="0.2">
      <c r="A347" s="91" t="s">
        <v>374</v>
      </c>
      <c r="B347" s="88">
        <v>0</v>
      </c>
      <c r="C347" s="88">
        <v>1</v>
      </c>
      <c r="H347" s="88" t="e">
        <f t="shared" ca="1" si="0"/>
        <v>#REF!</v>
      </c>
      <c r="I347" s="88" t="e">
        <f t="shared" ca="1" si="1"/>
        <v>#REF!</v>
      </c>
      <c r="J347" t="str">
        <f ca="1">IFERROR(__xludf.DUMMYFUNCTION("""COMPUTED_VALUE"""),"")</f>
        <v/>
      </c>
      <c r="K347" t="str">
        <f ca="1">IFERROR(__xludf.DUMMYFUNCTION("""COMPUTED_VALUE"""),"")</f>
        <v/>
      </c>
      <c r="L347" s="92" t="str">
        <f ca="1">IFERROR(__xludf.DUMMYFUNCTION("""COMPUTED_VALUE"""),"10h30 85100 Les Sables d'Olonne ( la Chaume)")</f>
        <v>10h30 85100 Les Sables d'Olonne ( la Chaume)</v>
      </c>
    </row>
    <row r="348" spans="1:12" ht="15.75" customHeight="1" x14ac:dyDescent="0.2">
      <c r="A348" s="91" t="s">
        <v>121</v>
      </c>
      <c r="B348" s="88">
        <v>0</v>
      </c>
      <c r="C348" s="88">
        <v>1</v>
      </c>
      <c r="H348" s="88" t="e">
        <f t="shared" ca="1" si="0"/>
        <v>#REF!</v>
      </c>
      <c r="I348" s="88" t="e">
        <f t="shared" ca="1" si="1"/>
        <v>#REF!</v>
      </c>
      <c r="J348" t="str">
        <f ca="1">IFERROR(__xludf.DUMMYFUNCTION("""COMPUTED_VALUE"""),"")</f>
        <v/>
      </c>
      <c r="K348" t="str">
        <f ca="1">IFERROR(__xludf.DUMMYFUNCTION("""COMPUTED_VALUE"""),"")</f>
        <v/>
      </c>
      <c r="L348" s="92" t="str">
        <f ca="1">IFERROR(__xludf.DUMMYFUNCTION("""COMPUTED_VALUE"""),"10h30 85340 Les Sables d'Olonne (Olonne sur Mer)-.")</f>
        <v>10h30 85340 Les Sables d'Olonne (Olonne sur Mer)-.</v>
      </c>
    </row>
    <row r="349" spans="1:12" ht="15.75" customHeight="1" x14ac:dyDescent="0.2">
      <c r="A349" s="91" t="s">
        <v>120</v>
      </c>
      <c r="B349" s="88">
        <v>0</v>
      </c>
      <c r="C349" s="88">
        <v>1</v>
      </c>
      <c r="H349" s="88" t="e">
        <f t="shared" ca="1" si="0"/>
        <v>#REF!</v>
      </c>
      <c r="I349" s="88" t="e">
        <f t="shared" ca="1" si="1"/>
        <v>#REF!</v>
      </c>
      <c r="J349" t="str">
        <f ca="1">IFERROR(__xludf.DUMMYFUNCTION("""COMPUTED_VALUE"""),"")</f>
        <v/>
      </c>
      <c r="K349" t="str">
        <f ca="1">IFERROR(__xludf.DUMMYFUNCTION("""COMPUTED_VALUE"""),"")</f>
        <v/>
      </c>
      <c r="L349" s="92" t="str">
        <f ca="1">IFERROR(__xludf.DUMMYFUNCTION("""COMPUTED_VALUE"""),"10h30 85340 Les Sables d'Olonne (Olonne sur Mer)")</f>
        <v>10h30 85340 Les Sables d'Olonne (Olonne sur Mer)</v>
      </c>
    </row>
    <row r="350" spans="1:12" ht="15.75" customHeight="1" x14ac:dyDescent="0.2">
      <c r="A350" s="91" t="s">
        <v>69</v>
      </c>
      <c r="B350" s="88">
        <v>0</v>
      </c>
      <c r="C350" s="88">
        <v>1</v>
      </c>
      <c r="H350" s="88" t="e">
        <f t="shared" ca="1" si="0"/>
        <v>#REF!</v>
      </c>
      <c r="I350" s="88" t="e">
        <f t="shared" ca="1" si="1"/>
        <v>#REF!</v>
      </c>
      <c r="J350" t="str">
        <f ca="1">IFERROR(__xludf.DUMMYFUNCTION("""COMPUTED_VALUE"""),"")</f>
        <v/>
      </c>
      <c r="K350" t="str">
        <f ca="1">IFERROR(__xludf.DUMMYFUNCTION("""COMPUTED_VALUE"""),"")</f>
        <v/>
      </c>
      <c r="L350" s="92" t="str">
        <f ca="1">IFERROR(__xludf.DUMMYFUNCTION("""COMPUTED_VALUE"""),"10h30 85180 Les Sables d'Olonne (le Château d'Olonne)-.")</f>
        <v>10h30 85180 Les Sables d'Olonne (le Château d'Olonne)-.</v>
      </c>
    </row>
    <row r="351" spans="1:12" ht="15.75" customHeight="1" x14ac:dyDescent="0.2">
      <c r="A351" s="91" t="s">
        <v>68</v>
      </c>
      <c r="B351" s="88">
        <v>0</v>
      </c>
      <c r="C351" s="88">
        <v>1</v>
      </c>
      <c r="H351" s="88" t="e">
        <f t="shared" ca="1" si="0"/>
        <v>#REF!</v>
      </c>
      <c r="I351" s="88" t="e">
        <f t="shared" ca="1" si="1"/>
        <v>#REF!</v>
      </c>
      <c r="J351" t="str">
        <f ca="1">IFERROR(__xludf.DUMMYFUNCTION("""COMPUTED_VALUE"""),"")</f>
        <v/>
      </c>
      <c r="K351" t="str">
        <f ca="1">IFERROR(__xludf.DUMMYFUNCTION("""COMPUTED_VALUE"""),"")</f>
        <v/>
      </c>
      <c r="L351" s="92" t="str">
        <f ca="1">IFERROR(__xludf.DUMMYFUNCTION("""COMPUTED_VALUE"""),"10h30 85180 Les Sables d'Olonne (le Château d'Olonne)")</f>
        <v>10h30 85180 Les Sables d'Olonne (le Château d'Olonne)</v>
      </c>
    </row>
    <row r="352" spans="1:12" ht="15.75" customHeight="1" x14ac:dyDescent="0.2">
      <c r="A352" s="91" t="s">
        <v>375</v>
      </c>
      <c r="B352" s="88">
        <v>0</v>
      </c>
      <c r="C352" s="88">
        <v>1</v>
      </c>
      <c r="H352" s="88" t="e">
        <f t="shared" ca="1" si="0"/>
        <v>#REF!</v>
      </c>
      <c r="I352" s="88" t="e">
        <f t="shared" ca="1" si="1"/>
        <v>#REF!</v>
      </c>
      <c r="J352" t="str">
        <f ca="1">IFERROR(__xludf.DUMMYFUNCTION("""COMPUTED_VALUE"""),"")</f>
        <v/>
      </c>
      <c r="K352" t="str">
        <f ca="1">IFERROR(__xludf.DUMMYFUNCTION("""COMPUTED_VALUE"""),"")</f>
        <v/>
      </c>
      <c r="L352" s="92" t="str">
        <f ca="1">IFERROR(__xludf.DUMMYFUNCTION("""COMPUTED_VALUE"""),"10h30 85150 Saint-Mathurin")</f>
        <v>10h30 85150 Saint-Mathurin</v>
      </c>
    </row>
    <row r="353" spans="1:12" ht="15.75" customHeight="1" x14ac:dyDescent="0.2">
      <c r="A353" s="91" t="s">
        <v>122</v>
      </c>
      <c r="B353" s="88">
        <v>0</v>
      </c>
      <c r="C353" s="88">
        <v>1</v>
      </c>
      <c r="H353" s="88" t="e">
        <f t="shared" ca="1" si="0"/>
        <v>#REF!</v>
      </c>
      <c r="I353" s="88" t="e">
        <f t="shared" ca="1" si="1"/>
        <v>#REF!</v>
      </c>
      <c r="J353" t="str">
        <f ca="1">IFERROR(__xludf.DUMMYFUNCTION("""COMPUTED_VALUE"""),"")</f>
        <v/>
      </c>
      <c r="K353" t="str">
        <f ca="1">IFERROR(__xludf.DUMMYFUNCTION("""COMPUTED_VALUE"""),"")</f>
        <v/>
      </c>
      <c r="L353" s="92" t="str">
        <f ca="1">IFERROR(__xludf.DUMMYFUNCTION("""COMPUTED_VALUE"""),"10h31 au local-.")</f>
        <v>10h31 au local-.</v>
      </c>
    </row>
    <row r="354" spans="1:12" ht="15.75" customHeight="1" x14ac:dyDescent="0.2">
      <c r="A354" s="91" t="s">
        <v>376</v>
      </c>
      <c r="B354" s="88">
        <v>0</v>
      </c>
      <c r="C354" s="88">
        <v>1</v>
      </c>
      <c r="H354" s="88" t="e">
        <f t="shared" ca="1" si="0"/>
        <v>#REF!</v>
      </c>
      <c r="I354" s="88" t="e">
        <f t="shared" ca="1" si="1"/>
        <v>#REF!</v>
      </c>
      <c r="J354" t="str">
        <f ca="1">IFERROR(__xludf.DUMMYFUNCTION("""COMPUTED_VALUE"""),"")</f>
        <v/>
      </c>
      <c r="K354" t="str">
        <f ca="1">IFERROR(__xludf.DUMMYFUNCTION("""COMPUTED_VALUE"""),"")</f>
        <v/>
      </c>
      <c r="L354" s="92" t="str">
        <f ca="1">IFERROR(__xludf.DUMMYFUNCTION("""COMPUTED_VALUE"""),"10h31 au local")</f>
        <v>10h31 au local</v>
      </c>
    </row>
    <row r="355" spans="1:12" ht="15.75" customHeight="1" x14ac:dyDescent="0.2">
      <c r="A355" s="91" t="s">
        <v>377</v>
      </c>
      <c r="B355" s="88">
        <v>0</v>
      </c>
      <c r="C355" s="88">
        <v>1</v>
      </c>
      <c r="H355" s="88" t="e">
        <f t="shared" ca="1" si="0"/>
        <v>#REF!</v>
      </c>
      <c r="I355" s="88" t="e">
        <f t="shared" ca="1" si="1"/>
        <v>#REF!</v>
      </c>
      <c r="J355" t="str">
        <f ca="1">IFERROR(__xludf.DUMMYFUNCTION("""COMPUTED_VALUE"""),"")</f>
        <v/>
      </c>
      <c r="K355" t="str">
        <f ca="1">IFERROR(__xludf.DUMMYFUNCTION("""COMPUTED_VALUE"""),"")</f>
        <v/>
      </c>
      <c r="L355" s="92" t="str">
        <f ca="1">IFERROR(__xludf.DUMMYFUNCTION("""COMPUTED_VALUE"""),"10h32 au local-.")</f>
        <v>10h32 au local-.</v>
      </c>
    </row>
    <row r="356" spans="1:12" ht="15.75" customHeight="1" x14ac:dyDescent="0.2">
      <c r="A356" s="91" t="s">
        <v>123</v>
      </c>
      <c r="B356" s="88">
        <v>0</v>
      </c>
      <c r="C356" s="88">
        <v>1</v>
      </c>
      <c r="H356" s="88" t="e">
        <f t="shared" ca="1" si="0"/>
        <v>#REF!</v>
      </c>
      <c r="I356" s="88" t="e">
        <f t="shared" ca="1" si="1"/>
        <v>#REF!</v>
      </c>
      <c r="J356" t="str">
        <f ca="1">IFERROR(__xludf.DUMMYFUNCTION("""COMPUTED_VALUE"""),"")</f>
        <v/>
      </c>
      <c r="K356" t="str">
        <f ca="1">IFERROR(__xludf.DUMMYFUNCTION("""COMPUTED_VALUE"""),"")</f>
        <v/>
      </c>
      <c r="L356" s="92" t="str">
        <f ca="1">IFERROR(__xludf.DUMMYFUNCTION("""COMPUTED_VALUE"""),"10h32 au local")</f>
        <v>10h32 au local</v>
      </c>
    </row>
    <row r="357" spans="1:12" ht="15.75" customHeight="1" x14ac:dyDescent="0.2">
      <c r="A357" s="91" t="s">
        <v>378</v>
      </c>
      <c r="B357" s="88">
        <v>0</v>
      </c>
      <c r="C357" s="88">
        <v>1</v>
      </c>
      <c r="H357" s="88" t="e">
        <f t="shared" ca="1" si="0"/>
        <v>#REF!</v>
      </c>
      <c r="I357" s="88" t="e">
        <f t="shared" ca="1" si="1"/>
        <v>#REF!</v>
      </c>
      <c r="J357" t="str">
        <f ca="1">IFERROR(__xludf.DUMMYFUNCTION("""COMPUTED_VALUE"""),"")</f>
        <v/>
      </c>
      <c r="K357" t="str">
        <f ca="1">IFERROR(__xludf.DUMMYFUNCTION("""COMPUTED_VALUE"""),"")</f>
        <v/>
      </c>
      <c r="L357" s="92" t="str">
        <f ca="1">IFERROR(__xludf.DUMMYFUNCTION("""COMPUTED_VALUE"""),"10h33 au local-.")</f>
        <v>10h33 au local-.</v>
      </c>
    </row>
    <row r="358" spans="1:12" ht="15.75" customHeight="1" x14ac:dyDescent="0.2">
      <c r="A358" s="91" t="s">
        <v>379</v>
      </c>
      <c r="B358" s="88">
        <v>0</v>
      </c>
      <c r="C358" s="88">
        <v>1</v>
      </c>
      <c r="H358" s="88" t="e">
        <f t="shared" ca="1" si="0"/>
        <v>#REF!</v>
      </c>
      <c r="I358" s="88" t="e">
        <f t="shared" ca="1" si="1"/>
        <v>#REF!</v>
      </c>
      <c r="J358" t="str">
        <f ca="1">IFERROR(__xludf.DUMMYFUNCTION("""COMPUTED_VALUE"""),"")</f>
        <v/>
      </c>
      <c r="K358" t="str">
        <f ca="1">IFERROR(__xludf.DUMMYFUNCTION("""COMPUTED_VALUE"""),"")</f>
        <v/>
      </c>
      <c r="L358" s="92" t="str">
        <f ca="1">IFERROR(__xludf.DUMMYFUNCTION("""COMPUTED_VALUE"""),"10h34 au local")</f>
        <v>10h34 au local</v>
      </c>
    </row>
    <row r="359" spans="1:12" ht="15.75" customHeight="1" x14ac:dyDescent="0.2">
      <c r="A359" s="91" t="s">
        <v>380</v>
      </c>
      <c r="B359" s="88">
        <v>0</v>
      </c>
      <c r="C359" s="88">
        <v>1</v>
      </c>
      <c r="H359" s="88" t="e">
        <f t="shared" ca="1" si="0"/>
        <v>#REF!</v>
      </c>
      <c r="I359" s="88" t="e">
        <f t="shared" ca="1" si="1"/>
        <v>#REF!</v>
      </c>
      <c r="J359" t="str">
        <f ca="1">IFERROR(__xludf.DUMMYFUNCTION("""COMPUTED_VALUE"""),"")</f>
        <v/>
      </c>
      <c r="K359" t="str">
        <f ca="1">IFERROR(__xludf.DUMMYFUNCTION("""COMPUTED_VALUE"""),"")</f>
        <v/>
      </c>
      <c r="L359" s="92" t="str">
        <f ca="1">IFERROR(__xludf.DUMMYFUNCTION("""COMPUTED_VALUE"""),"10h34 au local-.")</f>
        <v>10h34 au local-.</v>
      </c>
    </row>
    <row r="360" spans="1:12" ht="15.75" customHeight="1" x14ac:dyDescent="0.2">
      <c r="A360" s="91" t="s">
        <v>381</v>
      </c>
      <c r="B360" s="88">
        <v>0</v>
      </c>
      <c r="C360" s="88">
        <v>1</v>
      </c>
      <c r="H360" s="88" t="e">
        <f t="shared" ca="1" si="0"/>
        <v>#REF!</v>
      </c>
      <c r="I360" s="88" t="e">
        <f t="shared" ca="1" si="1"/>
        <v>#REF!</v>
      </c>
      <c r="J360" t="str">
        <f ca="1">IFERROR(__xludf.DUMMYFUNCTION("""COMPUTED_VALUE"""),"")</f>
        <v/>
      </c>
      <c r="K360" t="str">
        <f ca="1">IFERROR(__xludf.DUMMYFUNCTION("""COMPUTED_VALUE"""),"")</f>
        <v/>
      </c>
      <c r="L360" s="92" t="str">
        <f ca="1">IFERROR(__xludf.DUMMYFUNCTION("""COMPUTED_VALUE"""),"10h35 au local")</f>
        <v>10h35 au local</v>
      </c>
    </row>
    <row r="361" spans="1:12" ht="15.75" customHeight="1" x14ac:dyDescent="0.2">
      <c r="A361" s="91" t="s">
        <v>382</v>
      </c>
      <c r="B361" s="88">
        <v>0</v>
      </c>
      <c r="C361" s="88">
        <v>1</v>
      </c>
      <c r="H361" s="88" t="e">
        <f t="shared" ca="1" si="0"/>
        <v>#REF!</v>
      </c>
      <c r="I361" s="88" t="e">
        <f t="shared" ca="1" si="1"/>
        <v>#REF!</v>
      </c>
      <c r="J361" t="str">
        <f ca="1">IFERROR(__xludf.DUMMYFUNCTION("""COMPUTED_VALUE"""),"")</f>
        <v/>
      </c>
      <c r="K361" t="str">
        <f ca="1">IFERROR(__xludf.DUMMYFUNCTION("""COMPUTED_VALUE"""),"")</f>
        <v/>
      </c>
      <c r="L361" s="92" t="str">
        <f ca="1">IFERROR(__xludf.DUMMYFUNCTION("""COMPUTED_VALUE"""),"10h35 au local-.")</f>
        <v>10h35 au local-.</v>
      </c>
    </row>
    <row r="362" spans="1:12" ht="15.75" customHeight="1" x14ac:dyDescent="0.2">
      <c r="A362" s="91" t="s">
        <v>383</v>
      </c>
      <c r="B362" s="88">
        <v>0</v>
      </c>
      <c r="C362" s="88">
        <v>1</v>
      </c>
      <c r="H362" s="88" t="e">
        <f t="shared" ca="1" si="0"/>
        <v>#REF!</v>
      </c>
      <c r="I362" s="88" t="e">
        <f t="shared" ca="1" si="1"/>
        <v>#REF!</v>
      </c>
      <c r="J362" t="str">
        <f ca="1">IFERROR(__xludf.DUMMYFUNCTION("""COMPUTED_VALUE"""),"")</f>
        <v/>
      </c>
      <c r="K362" t="str">
        <f ca="1">IFERROR(__xludf.DUMMYFUNCTION("""COMPUTED_VALUE"""),"")</f>
        <v/>
      </c>
      <c r="L362" s="92" t="str">
        <f ca="1">IFERROR(__xludf.DUMMYFUNCTION("""COMPUTED_VALUE"""),"10h36 au local")</f>
        <v>10h36 au local</v>
      </c>
    </row>
    <row r="363" spans="1:12" ht="15.75" customHeight="1" x14ac:dyDescent="0.2">
      <c r="A363" s="91" t="s">
        <v>384</v>
      </c>
      <c r="B363" s="88">
        <v>0</v>
      </c>
      <c r="C363" s="88">
        <v>1</v>
      </c>
      <c r="H363" s="88" t="e">
        <f t="shared" ca="1" si="0"/>
        <v>#REF!</v>
      </c>
      <c r="I363" s="88" t="e">
        <f t="shared" ca="1" si="1"/>
        <v>#REF!</v>
      </c>
      <c r="J363" t="str">
        <f ca="1">IFERROR(__xludf.DUMMYFUNCTION("""COMPUTED_VALUE"""),"")</f>
        <v/>
      </c>
      <c r="K363" t="str">
        <f ca="1">IFERROR(__xludf.DUMMYFUNCTION("""COMPUTED_VALUE"""),"")</f>
        <v/>
      </c>
      <c r="L363" s="92" t="str">
        <f ca="1">IFERROR(__xludf.DUMMYFUNCTION("""COMPUTED_VALUE"""),"10h36 au local-.")</f>
        <v>10h36 au local-.</v>
      </c>
    </row>
    <row r="364" spans="1:12" ht="15.75" customHeight="1" x14ac:dyDescent="0.2">
      <c r="A364" s="91" t="s">
        <v>385</v>
      </c>
      <c r="B364" s="88">
        <v>0</v>
      </c>
      <c r="C364" s="88">
        <v>1</v>
      </c>
      <c r="H364" s="88" t="e">
        <f t="shared" ca="1" si="0"/>
        <v>#REF!</v>
      </c>
      <c r="I364" s="88" t="e">
        <f t="shared" ca="1" si="1"/>
        <v>#REF!</v>
      </c>
      <c r="J364" t="str">
        <f ca="1">IFERROR(__xludf.DUMMYFUNCTION("""COMPUTED_VALUE"""),"")</f>
        <v/>
      </c>
      <c r="K364" t="str">
        <f ca="1">IFERROR(__xludf.DUMMYFUNCTION("""COMPUTED_VALUE"""),"")</f>
        <v/>
      </c>
      <c r="L364" s="92" t="str">
        <f ca="1">IFERROR(__xludf.DUMMYFUNCTION("""COMPUTED_VALUE"""),"10h37 au local-.")</f>
        <v>10h37 au local-.</v>
      </c>
    </row>
    <row r="365" spans="1:12" ht="15.75" customHeight="1" x14ac:dyDescent="0.2">
      <c r="A365" s="91" t="s">
        <v>386</v>
      </c>
      <c r="B365" s="88">
        <v>0</v>
      </c>
      <c r="C365" s="88">
        <v>1</v>
      </c>
      <c r="H365" s="88" t="e">
        <f t="shared" ca="1" si="0"/>
        <v>#REF!</v>
      </c>
      <c r="I365" s="88" t="e">
        <f t="shared" ca="1" si="1"/>
        <v>#REF!</v>
      </c>
      <c r="J365" t="str">
        <f ca="1">IFERROR(__xludf.DUMMYFUNCTION("""COMPUTED_VALUE"""),"")</f>
        <v/>
      </c>
      <c r="K365" t="str">
        <f ca="1">IFERROR(__xludf.DUMMYFUNCTION("""COMPUTED_VALUE"""),"")</f>
        <v/>
      </c>
      <c r="L365" s="92" t="str">
        <f ca="1">IFERROR(__xludf.DUMMYFUNCTION("""COMPUTED_VALUE"""),"10h37 au local")</f>
        <v>10h37 au local</v>
      </c>
    </row>
    <row r="366" spans="1:12" ht="15.75" customHeight="1" x14ac:dyDescent="0.2">
      <c r="A366" s="91" t="s">
        <v>382</v>
      </c>
      <c r="B366" s="88">
        <v>0</v>
      </c>
      <c r="C366" s="88">
        <v>1</v>
      </c>
      <c r="H366" s="88" t="e">
        <f t="shared" ca="1" si="0"/>
        <v>#REF!</v>
      </c>
      <c r="I366" s="88" t="e">
        <f t="shared" ca="1" si="1"/>
        <v>#REF!</v>
      </c>
      <c r="J366" t="str">
        <f ca="1">IFERROR(__xludf.DUMMYFUNCTION("""COMPUTED_VALUE"""),"")</f>
        <v/>
      </c>
      <c r="K366" t="str">
        <f ca="1">IFERROR(__xludf.DUMMYFUNCTION("""COMPUTED_VALUE"""),"")</f>
        <v/>
      </c>
      <c r="L366" s="92" t="str">
        <f ca="1">IFERROR(__xludf.DUMMYFUNCTION("""COMPUTED_VALUE"""),"10h35 au local-.")</f>
        <v>10h35 au local-.</v>
      </c>
    </row>
    <row r="367" spans="1:12" ht="15.75" customHeight="1" x14ac:dyDescent="0.2">
      <c r="A367" s="91" t="s">
        <v>124</v>
      </c>
      <c r="B367" s="88">
        <v>1</v>
      </c>
      <c r="C367" s="88">
        <v>1</v>
      </c>
      <c r="H367" s="88" t="e">
        <f t="shared" ca="1" si="0"/>
        <v>#REF!</v>
      </c>
      <c r="I367" s="88" t="e">
        <f t="shared" ca="1" si="1"/>
        <v>#REF!</v>
      </c>
      <c r="J367" t="str">
        <f ca="1">IFERROR(__xludf.DUMMYFUNCTION("""COMPUTED_VALUE"""),"")</f>
        <v/>
      </c>
      <c r="K367" t="str">
        <f ca="1">IFERROR(__xludf.DUMMYFUNCTION("""COMPUTED_VALUE"""),"")</f>
        <v/>
      </c>
      <c r="L367" s="92" t="str">
        <f ca="1">IFERROR(__xludf.DUMMYFUNCTION("""COMPUTED_VALUE"""),"10h40 au local")</f>
        <v>10h40 au local</v>
      </c>
    </row>
    <row r="368" spans="1:12" ht="15.75" customHeight="1" x14ac:dyDescent="0.2">
      <c r="A368" s="91" t="s">
        <v>125</v>
      </c>
      <c r="B368" s="88">
        <v>0</v>
      </c>
      <c r="C368" s="88">
        <v>1</v>
      </c>
      <c r="H368" s="88" t="e">
        <f t="shared" ca="1" si="0"/>
        <v>#REF!</v>
      </c>
      <c r="I368" s="88" t="e">
        <f t="shared" ca="1" si="1"/>
        <v>#REF!</v>
      </c>
      <c r="J368" t="str">
        <f ca="1">IFERROR(__xludf.DUMMYFUNCTION("""COMPUTED_VALUE"""),"")</f>
        <v/>
      </c>
      <c r="K368" t="str">
        <f ca="1">IFERROR(__xludf.DUMMYFUNCTION("""COMPUTED_VALUE"""),"")</f>
        <v/>
      </c>
      <c r="L368" s="92" t="str">
        <f ca="1">IFERROR(__xludf.DUMMYFUNCTION("""COMPUTED_VALUE"""),"10h40 au local-.")</f>
        <v>10h40 au local-.</v>
      </c>
    </row>
    <row r="369" spans="1:12" ht="15.75" customHeight="1" x14ac:dyDescent="0.2">
      <c r="A369" s="91" t="s">
        <v>387</v>
      </c>
      <c r="B369" s="88">
        <v>0</v>
      </c>
      <c r="C369" s="88">
        <v>1</v>
      </c>
      <c r="H369" s="88" t="e">
        <f t="shared" ca="1" si="0"/>
        <v>#REF!</v>
      </c>
      <c r="I369" s="88" t="e">
        <f t="shared" ca="1" si="1"/>
        <v>#REF!</v>
      </c>
      <c r="J369" t="str">
        <f ca="1">IFERROR(__xludf.DUMMYFUNCTION("""COMPUTED_VALUE"""),"")</f>
        <v/>
      </c>
      <c r="K369" t="str">
        <f ca="1">IFERROR(__xludf.DUMMYFUNCTION("""COMPUTED_VALUE"""),"")</f>
        <v/>
      </c>
      <c r="L369" s="92" t="str">
        <f ca="1">IFERROR(__xludf.DUMMYFUNCTION("""COMPUTED_VALUE"""),"Option 361")</f>
        <v>Option 361</v>
      </c>
    </row>
    <row r="370" spans="1:12" ht="15.75" customHeight="1" x14ac:dyDescent="0.2">
      <c r="A370" s="91"/>
    </row>
    <row r="371" spans="1:12" ht="15.75" customHeight="1" x14ac:dyDescent="0.2">
      <c r="A371" s="91"/>
    </row>
    <row r="372" spans="1:12" ht="15.75" customHeight="1" x14ac:dyDescent="0.2">
      <c r="A372" s="91"/>
    </row>
    <row r="373" spans="1:12" ht="15.75" customHeight="1" x14ac:dyDescent="0.2">
      <c r="A373" s="91"/>
    </row>
    <row r="374" spans="1:12" ht="15.75" customHeight="1" x14ac:dyDescent="0.2">
      <c r="A374" s="91"/>
    </row>
    <row r="375" spans="1:12" ht="15.75" customHeight="1" x14ac:dyDescent="0.2">
      <c r="A375" s="91"/>
    </row>
    <row r="376" spans="1:12" ht="15.75" customHeight="1" x14ac:dyDescent="0.2">
      <c r="A376" s="91"/>
    </row>
    <row r="377" spans="1:12" ht="15.75" customHeight="1" x14ac:dyDescent="0.2">
      <c r="A377" s="91"/>
    </row>
    <row r="378" spans="1:12" ht="15.75" customHeight="1" x14ac:dyDescent="0.2">
      <c r="A378" s="91"/>
    </row>
    <row r="379" spans="1:12" ht="15.75" customHeight="1" x14ac:dyDescent="0.2">
      <c r="A379" s="91"/>
    </row>
    <row r="380" spans="1:12" ht="15.75" customHeight="1" x14ac:dyDescent="0.2">
      <c r="A380" s="91"/>
    </row>
    <row r="381" spans="1:12" ht="15.75" customHeight="1" x14ac:dyDescent="0.2">
      <c r="A381" s="91"/>
    </row>
    <row r="382" spans="1:12" ht="15.75" customHeight="1" x14ac:dyDescent="0.2">
      <c r="A382" s="91"/>
    </row>
    <row r="383" spans="1:12" ht="15.75" customHeight="1" x14ac:dyDescent="0.2">
      <c r="A383" s="91"/>
    </row>
    <row r="384" spans="1:12" ht="15.75" customHeight="1" x14ac:dyDescent="0.2">
      <c r="A384" s="91"/>
    </row>
    <row r="385" spans="1:1" ht="15.75" customHeight="1" x14ac:dyDescent="0.2">
      <c r="A385" s="91"/>
    </row>
    <row r="386" spans="1:1" ht="15.75" customHeight="1" x14ac:dyDescent="0.2">
      <c r="A386" s="91"/>
    </row>
    <row r="387" spans="1:1" ht="15.75" customHeight="1" x14ac:dyDescent="0.2">
      <c r="A387" s="91"/>
    </row>
    <row r="388" spans="1:1" ht="15.75" customHeight="1" x14ac:dyDescent="0.2">
      <c r="A388" s="91"/>
    </row>
    <row r="389" spans="1:1" ht="15.75" customHeight="1" x14ac:dyDescent="0.2">
      <c r="A389" s="91"/>
    </row>
    <row r="390" spans="1:1" ht="15.75" customHeight="1" x14ac:dyDescent="0.2">
      <c r="A390" s="91"/>
    </row>
    <row r="391" spans="1:1" ht="15.75" customHeight="1" x14ac:dyDescent="0.2">
      <c r="A391" s="91"/>
    </row>
    <row r="392" spans="1:1" ht="15.75" customHeight="1" x14ac:dyDescent="0.2">
      <c r="A392" s="91"/>
    </row>
    <row r="393" spans="1:1" ht="15.75" customHeight="1" x14ac:dyDescent="0.2">
      <c r="A393" s="91"/>
    </row>
    <row r="394" spans="1:1" ht="15.75" customHeight="1" x14ac:dyDescent="0.2">
      <c r="A394" s="91"/>
    </row>
    <row r="395" spans="1:1" ht="15.75" customHeight="1" x14ac:dyDescent="0.2">
      <c r="A395" s="91"/>
    </row>
    <row r="396" spans="1:1" ht="15.75" customHeight="1" x14ac:dyDescent="0.2">
      <c r="A396" s="91"/>
    </row>
    <row r="397" spans="1:1" ht="15.75" customHeight="1" x14ac:dyDescent="0.2">
      <c r="A397" s="91"/>
    </row>
    <row r="398" spans="1:1" ht="15.75" customHeight="1" x14ac:dyDescent="0.2">
      <c r="A398" s="91"/>
    </row>
    <row r="399" spans="1:1" ht="15.75" customHeight="1" x14ac:dyDescent="0.2">
      <c r="A399" s="91"/>
    </row>
    <row r="400" spans="1:1" ht="15.75" customHeight="1" x14ac:dyDescent="0.2">
      <c r="A400" s="91"/>
    </row>
    <row r="401" spans="1:1" ht="15.75" customHeight="1" x14ac:dyDescent="0.2">
      <c r="A401" s="91"/>
    </row>
    <row r="402" spans="1:1" ht="15.75" customHeight="1" x14ac:dyDescent="0.2">
      <c r="A402" s="91"/>
    </row>
    <row r="403" spans="1:1" ht="15.75" customHeight="1" x14ac:dyDescent="0.2">
      <c r="A403" s="91"/>
    </row>
    <row r="404" spans="1:1" ht="15.75" customHeight="1" x14ac:dyDescent="0.2">
      <c r="A404" s="91"/>
    </row>
    <row r="405" spans="1:1" ht="15.75" customHeight="1" x14ac:dyDescent="0.2">
      <c r="A405" s="91"/>
    </row>
    <row r="406" spans="1:1" ht="15.75" customHeight="1" x14ac:dyDescent="0.2">
      <c r="A406" s="91"/>
    </row>
    <row r="407" spans="1:1" ht="15.75" customHeight="1" x14ac:dyDescent="0.2">
      <c r="A407" s="91"/>
    </row>
    <row r="408" spans="1:1" ht="15.75" customHeight="1" x14ac:dyDescent="0.2">
      <c r="A408" s="91"/>
    </row>
    <row r="409" spans="1:1" ht="15.75" customHeight="1" x14ac:dyDescent="0.2">
      <c r="A409" s="91"/>
    </row>
    <row r="410" spans="1:1" ht="15.75" customHeight="1" x14ac:dyDescent="0.2">
      <c r="A410" s="91"/>
    </row>
    <row r="411" spans="1:1" ht="15.75" customHeight="1" x14ac:dyDescent="0.2">
      <c r="A411" s="91"/>
    </row>
    <row r="412" spans="1:1" ht="15.75" customHeight="1" x14ac:dyDescent="0.2">
      <c r="A412" s="91"/>
    </row>
    <row r="413" spans="1:1" ht="15.75" customHeight="1" x14ac:dyDescent="0.2">
      <c r="A413" s="91"/>
    </row>
    <row r="414" spans="1:1" ht="15.75" customHeight="1" x14ac:dyDescent="0.2">
      <c r="A414" s="91"/>
    </row>
    <row r="415" spans="1:1" ht="15.75" customHeight="1" x14ac:dyDescent="0.2">
      <c r="A415" s="91"/>
    </row>
    <row r="416" spans="1:1" ht="15.75" customHeight="1" x14ac:dyDescent="0.2">
      <c r="A416" s="91"/>
    </row>
    <row r="417" spans="1:1" ht="15.75" customHeight="1" x14ac:dyDescent="0.2">
      <c r="A417" s="91"/>
    </row>
    <row r="418" spans="1:1" ht="15.75" customHeight="1" x14ac:dyDescent="0.2">
      <c r="A418" s="91"/>
    </row>
    <row r="419" spans="1:1" ht="15.75" customHeight="1" x14ac:dyDescent="0.2">
      <c r="A419" s="91"/>
    </row>
    <row r="420" spans="1:1" ht="15.75" customHeight="1" x14ac:dyDescent="0.2">
      <c r="A420" s="91"/>
    </row>
    <row r="421" spans="1:1" ht="15.75" customHeight="1" x14ac:dyDescent="0.2">
      <c r="A421" s="91"/>
    </row>
    <row r="422" spans="1:1" ht="15.75" customHeight="1" x14ac:dyDescent="0.2">
      <c r="A422" s="91"/>
    </row>
    <row r="423" spans="1:1" ht="15.75" customHeight="1" x14ac:dyDescent="0.2">
      <c r="A423" s="91"/>
    </row>
    <row r="424" spans="1:1" ht="15.75" customHeight="1" x14ac:dyDescent="0.2">
      <c r="A424" s="91"/>
    </row>
    <row r="425" spans="1:1" ht="15.75" customHeight="1" x14ac:dyDescent="0.2">
      <c r="A425" s="91"/>
    </row>
    <row r="426" spans="1:1" ht="15.75" customHeight="1" x14ac:dyDescent="0.2">
      <c r="A426" s="91"/>
    </row>
    <row r="427" spans="1:1" ht="15.75" customHeight="1" x14ac:dyDescent="0.2">
      <c r="A427" s="91"/>
    </row>
    <row r="428" spans="1:1" ht="15.75" customHeight="1" x14ac:dyDescent="0.2">
      <c r="A428" s="91"/>
    </row>
    <row r="429" spans="1:1" ht="15.75" customHeight="1" x14ac:dyDescent="0.2">
      <c r="A429" s="91"/>
    </row>
    <row r="430" spans="1:1" ht="15.75" customHeight="1" x14ac:dyDescent="0.2">
      <c r="A430" s="91"/>
    </row>
    <row r="431" spans="1:1" ht="15.75" customHeight="1" x14ac:dyDescent="0.2">
      <c r="A431" s="91"/>
    </row>
    <row r="432" spans="1:1" ht="15.75" customHeight="1" x14ac:dyDescent="0.2">
      <c r="A432" s="91"/>
    </row>
    <row r="433" spans="1:1" ht="15.75" customHeight="1" x14ac:dyDescent="0.2">
      <c r="A433" s="91"/>
    </row>
    <row r="434" spans="1:1" ht="15.75" customHeight="1" x14ac:dyDescent="0.2">
      <c r="A434" s="91"/>
    </row>
    <row r="435" spans="1:1" ht="15.75" customHeight="1" x14ac:dyDescent="0.2">
      <c r="A435" s="91"/>
    </row>
    <row r="436" spans="1:1" ht="15.75" customHeight="1" x14ac:dyDescent="0.2">
      <c r="A436" s="91"/>
    </row>
    <row r="437" spans="1:1" ht="15.75" customHeight="1" x14ac:dyDescent="0.2">
      <c r="A437" s="91"/>
    </row>
    <row r="438" spans="1:1" ht="15.75" customHeight="1" x14ac:dyDescent="0.2">
      <c r="A438" s="91"/>
    </row>
    <row r="439" spans="1:1" ht="15.75" customHeight="1" x14ac:dyDescent="0.2">
      <c r="A439" s="91"/>
    </row>
    <row r="440" spans="1:1" ht="15.75" customHeight="1" x14ac:dyDescent="0.2">
      <c r="A440" s="91"/>
    </row>
    <row r="441" spans="1:1" ht="15.75" customHeight="1" x14ac:dyDescent="0.2">
      <c r="A441" s="91"/>
    </row>
    <row r="442" spans="1:1" ht="15.75" customHeight="1" x14ac:dyDescent="0.2">
      <c r="A442" s="91"/>
    </row>
    <row r="443" spans="1:1" ht="15.75" customHeight="1" x14ac:dyDescent="0.2">
      <c r="A443" s="91"/>
    </row>
    <row r="444" spans="1:1" ht="15.75" customHeight="1" x14ac:dyDescent="0.2">
      <c r="A444" s="91"/>
    </row>
    <row r="445" spans="1:1" ht="15.75" customHeight="1" x14ac:dyDescent="0.2">
      <c r="A445" s="91"/>
    </row>
    <row r="446" spans="1:1" ht="15.75" customHeight="1" x14ac:dyDescent="0.2">
      <c r="A446" s="91"/>
    </row>
    <row r="447" spans="1:1" ht="15.75" customHeight="1" x14ac:dyDescent="0.2">
      <c r="A447" s="91"/>
    </row>
    <row r="448" spans="1:1" ht="15.75" customHeight="1" x14ac:dyDescent="0.2">
      <c r="A448" s="91"/>
    </row>
    <row r="449" spans="1:1" ht="15.75" customHeight="1" x14ac:dyDescent="0.2">
      <c r="A449" s="91"/>
    </row>
    <row r="450" spans="1:1" ht="15.75" customHeight="1" x14ac:dyDescent="0.2">
      <c r="A450" s="91"/>
    </row>
    <row r="451" spans="1:1" ht="15.75" customHeight="1" x14ac:dyDescent="0.2">
      <c r="A451" s="91"/>
    </row>
    <row r="452" spans="1:1" ht="15.75" customHeight="1" x14ac:dyDescent="0.2">
      <c r="A452" s="91"/>
    </row>
    <row r="453" spans="1:1" ht="15.75" customHeight="1" x14ac:dyDescent="0.2">
      <c r="A453" s="91"/>
    </row>
    <row r="454" spans="1:1" ht="15.75" customHeight="1" x14ac:dyDescent="0.2">
      <c r="A454" s="91"/>
    </row>
    <row r="455" spans="1:1" ht="15.75" customHeight="1" x14ac:dyDescent="0.2">
      <c r="A455" s="91"/>
    </row>
    <row r="456" spans="1:1" ht="15.75" customHeight="1" x14ac:dyDescent="0.2">
      <c r="A456" s="91"/>
    </row>
    <row r="457" spans="1:1" ht="15.75" customHeight="1" x14ac:dyDescent="0.2">
      <c r="A457" s="91"/>
    </row>
    <row r="458" spans="1:1" ht="15.75" customHeight="1" x14ac:dyDescent="0.2">
      <c r="A458" s="91"/>
    </row>
    <row r="459" spans="1:1" ht="15.75" customHeight="1" x14ac:dyDescent="0.2">
      <c r="A459" s="91"/>
    </row>
    <row r="460" spans="1:1" ht="15.75" customHeight="1" x14ac:dyDescent="0.2">
      <c r="A460" s="91"/>
    </row>
    <row r="461" spans="1:1" ht="15.75" customHeight="1" x14ac:dyDescent="0.2">
      <c r="A461" s="91"/>
    </row>
    <row r="462" spans="1:1" ht="15.75" customHeight="1" x14ac:dyDescent="0.2">
      <c r="A462" s="91"/>
    </row>
    <row r="463" spans="1:1" ht="15.75" customHeight="1" x14ac:dyDescent="0.2">
      <c r="A463" s="91"/>
    </row>
    <row r="464" spans="1:1" ht="15.75" customHeight="1" x14ac:dyDescent="0.2">
      <c r="A464" s="91"/>
    </row>
    <row r="465" spans="1:1" ht="15.75" customHeight="1" x14ac:dyDescent="0.2">
      <c r="A465" s="91"/>
    </row>
    <row r="466" spans="1:1" ht="15.75" customHeight="1" x14ac:dyDescent="0.2">
      <c r="A466" s="91"/>
    </row>
    <row r="467" spans="1:1" ht="15.75" customHeight="1" x14ac:dyDescent="0.2">
      <c r="A467" s="91"/>
    </row>
    <row r="468" spans="1:1" ht="15.75" customHeight="1" x14ac:dyDescent="0.2">
      <c r="A468" s="91"/>
    </row>
    <row r="469" spans="1:1" ht="15.75" customHeight="1" x14ac:dyDescent="0.2">
      <c r="A469" s="91"/>
    </row>
    <row r="470" spans="1:1" ht="15.75" customHeight="1" x14ac:dyDescent="0.2">
      <c r="A470" s="91"/>
    </row>
    <row r="471" spans="1:1" ht="15.75" customHeight="1" x14ac:dyDescent="0.2">
      <c r="A471" s="91"/>
    </row>
    <row r="472" spans="1:1" ht="15.75" customHeight="1" x14ac:dyDescent="0.2">
      <c r="A472" s="91"/>
    </row>
    <row r="473" spans="1:1" ht="15.75" customHeight="1" x14ac:dyDescent="0.2">
      <c r="A473" s="91"/>
    </row>
    <row r="474" spans="1:1" ht="15.75" customHeight="1" x14ac:dyDescent="0.2">
      <c r="A474" s="91"/>
    </row>
    <row r="475" spans="1:1" ht="15.75" customHeight="1" x14ac:dyDescent="0.2">
      <c r="A475" s="91"/>
    </row>
    <row r="476" spans="1:1" ht="15.75" customHeight="1" x14ac:dyDescent="0.2">
      <c r="A476" s="91"/>
    </row>
    <row r="477" spans="1:1" ht="15.75" customHeight="1" x14ac:dyDescent="0.2">
      <c r="A477" s="91"/>
    </row>
    <row r="478" spans="1:1" ht="15.75" customHeight="1" x14ac:dyDescent="0.2">
      <c r="A478" s="91"/>
    </row>
    <row r="479" spans="1:1" ht="15.75" customHeight="1" x14ac:dyDescent="0.2">
      <c r="A479" s="91"/>
    </row>
    <row r="480" spans="1:1" ht="15.75" customHeight="1" x14ac:dyDescent="0.2">
      <c r="A480" s="91"/>
    </row>
    <row r="481" spans="1:1" ht="15.75" customHeight="1" x14ac:dyDescent="0.2">
      <c r="A481" s="91"/>
    </row>
    <row r="482" spans="1:1" ht="15.75" customHeight="1" x14ac:dyDescent="0.2">
      <c r="A482" s="91"/>
    </row>
    <row r="483" spans="1:1" ht="15.75" customHeight="1" x14ac:dyDescent="0.2">
      <c r="A483" s="91"/>
    </row>
    <row r="484" spans="1:1" ht="15.75" customHeight="1" x14ac:dyDescent="0.2">
      <c r="A484" s="91"/>
    </row>
    <row r="485" spans="1:1" ht="15.75" customHeight="1" x14ac:dyDescent="0.2">
      <c r="A485" s="91"/>
    </row>
    <row r="486" spans="1:1" ht="15.75" customHeight="1" x14ac:dyDescent="0.2">
      <c r="A486" s="91"/>
    </row>
    <row r="487" spans="1:1" ht="15.75" customHeight="1" x14ac:dyDescent="0.2">
      <c r="A487" s="91"/>
    </row>
    <row r="488" spans="1:1" ht="15.75" customHeight="1" x14ac:dyDescent="0.2">
      <c r="A488" s="91"/>
    </row>
    <row r="489" spans="1:1" ht="15.75" customHeight="1" x14ac:dyDescent="0.2">
      <c r="A489" s="91"/>
    </row>
    <row r="490" spans="1:1" ht="15.75" customHeight="1" x14ac:dyDescent="0.2">
      <c r="A490" s="91"/>
    </row>
    <row r="491" spans="1:1" ht="15.75" customHeight="1" x14ac:dyDescent="0.2">
      <c r="A491" s="91"/>
    </row>
    <row r="492" spans="1:1" ht="15.75" customHeight="1" x14ac:dyDescent="0.2">
      <c r="A492" s="91"/>
    </row>
    <row r="493" spans="1:1" ht="15.75" customHeight="1" x14ac:dyDescent="0.2">
      <c r="A493" s="91"/>
    </row>
    <row r="494" spans="1:1" ht="15.75" customHeight="1" x14ac:dyDescent="0.2">
      <c r="A494" s="91"/>
    </row>
    <row r="495" spans="1:1" ht="15.75" customHeight="1" x14ac:dyDescent="0.2">
      <c r="A495" s="91"/>
    </row>
    <row r="496" spans="1:1" ht="15.75" customHeight="1" x14ac:dyDescent="0.2">
      <c r="A496" s="91"/>
    </row>
    <row r="497" spans="1:1" ht="15.75" customHeight="1" x14ac:dyDescent="0.2">
      <c r="A497" s="91"/>
    </row>
    <row r="498" spans="1:1" ht="15.75" customHeight="1" x14ac:dyDescent="0.2">
      <c r="A498" s="91"/>
    </row>
    <row r="499" spans="1:1" ht="15.75" customHeight="1" x14ac:dyDescent="0.2">
      <c r="A499" s="91"/>
    </row>
    <row r="500" spans="1:1" ht="15.75" customHeight="1" x14ac:dyDescent="0.2">
      <c r="A500" s="91"/>
    </row>
    <row r="501" spans="1:1" ht="15.75" customHeight="1" x14ac:dyDescent="0.2">
      <c r="A501" s="91"/>
    </row>
    <row r="502" spans="1:1" ht="15.75" customHeight="1" x14ac:dyDescent="0.2">
      <c r="A502" s="91"/>
    </row>
    <row r="503" spans="1:1" ht="15.75" customHeight="1" x14ac:dyDescent="0.2">
      <c r="A503" s="91"/>
    </row>
    <row r="504" spans="1:1" ht="15.75" customHeight="1" x14ac:dyDescent="0.2">
      <c r="A504" s="91"/>
    </row>
    <row r="505" spans="1:1" ht="15.75" customHeight="1" x14ac:dyDescent="0.2">
      <c r="A505" s="91"/>
    </row>
    <row r="506" spans="1:1" ht="15.75" customHeight="1" x14ac:dyDescent="0.2">
      <c r="A506" s="91"/>
    </row>
    <row r="507" spans="1:1" ht="15.75" customHeight="1" x14ac:dyDescent="0.2">
      <c r="A507" s="91"/>
    </row>
    <row r="508" spans="1:1" ht="15.75" customHeight="1" x14ac:dyDescent="0.2">
      <c r="A508" s="91"/>
    </row>
    <row r="509" spans="1:1" ht="15.75" customHeight="1" x14ac:dyDescent="0.2">
      <c r="A509" s="91"/>
    </row>
    <row r="510" spans="1:1" ht="15.75" customHeight="1" x14ac:dyDescent="0.2">
      <c r="A510" s="91"/>
    </row>
    <row r="511" spans="1:1" ht="15.75" customHeight="1" x14ac:dyDescent="0.2">
      <c r="A511" s="91"/>
    </row>
    <row r="512" spans="1:1" ht="15.75" customHeight="1" x14ac:dyDescent="0.2">
      <c r="A512" s="91"/>
    </row>
    <row r="513" spans="1:1" ht="15.75" customHeight="1" x14ac:dyDescent="0.2">
      <c r="A513" s="91"/>
    </row>
    <row r="514" spans="1:1" ht="15.75" customHeight="1" x14ac:dyDescent="0.2">
      <c r="A514" s="91"/>
    </row>
    <row r="515" spans="1:1" ht="15.75" customHeight="1" x14ac:dyDescent="0.2">
      <c r="A515" s="91"/>
    </row>
    <row r="516" spans="1:1" ht="15.75" customHeight="1" x14ac:dyDescent="0.2">
      <c r="A516" s="91"/>
    </row>
    <row r="517" spans="1:1" ht="15.75" customHeight="1" x14ac:dyDescent="0.2">
      <c r="A517" s="91"/>
    </row>
    <row r="518" spans="1:1" ht="15.75" customHeight="1" x14ac:dyDescent="0.2">
      <c r="A518" s="91"/>
    </row>
    <row r="519" spans="1:1" ht="15.75" customHeight="1" x14ac:dyDescent="0.2">
      <c r="A519" s="91"/>
    </row>
    <row r="520" spans="1:1" ht="15.75" customHeight="1" x14ac:dyDescent="0.2">
      <c r="A520" s="91"/>
    </row>
    <row r="521" spans="1:1" ht="15.75" customHeight="1" x14ac:dyDescent="0.2">
      <c r="A521" s="91"/>
    </row>
    <row r="522" spans="1:1" ht="15.75" customHeight="1" x14ac:dyDescent="0.2">
      <c r="A522" s="91"/>
    </row>
    <row r="523" spans="1:1" ht="15.75" customHeight="1" x14ac:dyDescent="0.2">
      <c r="A523" s="91"/>
    </row>
    <row r="524" spans="1:1" ht="15.75" customHeight="1" x14ac:dyDescent="0.2">
      <c r="A524" s="91"/>
    </row>
    <row r="525" spans="1:1" ht="15.75" customHeight="1" x14ac:dyDescent="0.2">
      <c r="A525" s="91"/>
    </row>
    <row r="526" spans="1:1" ht="15.75" customHeight="1" x14ac:dyDescent="0.2">
      <c r="A526" s="91"/>
    </row>
    <row r="527" spans="1:1" ht="15.75" customHeight="1" x14ac:dyDescent="0.2">
      <c r="A527" s="91"/>
    </row>
    <row r="528" spans="1:1" ht="15.75" customHeight="1" x14ac:dyDescent="0.2">
      <c r="A528" s="91"/>
    </row>
    <row r="529" spans="1:1" ht="15.75" customHeight="1" x14ac:dyDescent="0.2">
      <c r="A529" s="91"/>
    </row>
    <row r="530" spans="1:1" ht="15.75" customHeight="1" x14ac:dyDescent="0.2">
      <c r="A530" s="91"/>
    </row>
    <row r="531" spans="1:1" ht="15.75" customHeight="1" x14ac:dyDescent="0.2">
      <c r="A531" s="91"/>
    </row>
    <row r="532" spans="1:1" ht="15.75" customHeight="1" x14ac:dyDescent="0.2">
      <c r="A532" s="91"/>
    </row>
    <row r="533" spans="1:1" ht="15.75" customHeight="1" x14ac:dyDescent="0.2">
      <c r="A533" s="91"/>
    </row>
    <row r="534" spans="1:1" ht="15.75" customHeight="1" x14ac:dyDescent="0.2">
      <c r="A534" s="91"/>
    </row>
    <row r="535" spans="1:1" ht="15.75" customHeight="1" x14ac:dyDescent="0.2">
      <c r="A535" s="91"/>
    </row>
    <row r="536" spans="1:1" ht="15.75" customHeight="1" x14ac:dyDescent="0.2">
      <c r="A536" s="91"/>
    </row>
    <row r="537" spans="1:1" ht="15.75" customHeight="1" x14ac:dyDescent="0.2">
      <c r="A537" s="91"/>
    </row>
    <row r="538" spans="1:1" ht="15.75" customHeight="1" x14ac:dyDescent="0.2">
      <c r="A538" s="91"/>
    </row>
    <row r="539" spans="1:1" ht="15.75" customHeight="1" x14ac:dyDescent="0.2">
      <c r="A539" s="91"/>
    </row>
    <row r="540" spans="1:1" ht="15.75" customHeight="1" x14ac:dyDescent="0.2">
      <c r="A540" s="91"/>
    </row>
    <row r="541" spans="1:1" ht="15.75" customHeight="1" x14ac:dyDescent="0.2">
      <c r="A541" s="91"/>
    </row>
    <row r="542" spans="1:1" ht="15.75" customHeight="1" x14ac:dyDescent="0.2">
      <c r="A542" s="91"/>
    </row>
    <row r="543" spans="1:1" ht="15.75" customHeight="1" x14ac:dyDescent="0.2">
      <c r="A543" s="91"/>
    </row>
    <row r="544" spans="1:1" ht="15.75" customHeight="1" x14ac:dyDescent="0.2">
      <c r="A544" s="91"/>
    </row>
    <row r="545" spans="1:1" ht="15.75" customHeight="1" x14ac:dyDescent="0.2">
      <c r="A545" s="91"/>
    </row>
    <row r="546" spans="1:1" ht="15.75" customHeight="1" x14ac:dyDescent="0.2">
      <c r="A546" s="91"/>
    </row>
    <row r="547" spans="1:1" ht="15.75" customHeight="1" x14ac:dyDescent="0.2">
      <c r="A547" s="91"/>
    </row>
    <row r="548" spans="1:1" ht="15.75" customHeight="1" x14ac:dyDescent="0.2">
      <c r="A548" s="91"/>
    </row>
    <row r="549" spans="1:1" ht="15.75" customHeight="1" x14ac:dyDescent="0.2">
      <c r="A549" s="91"/>
    </row>
    <row r="550" spans="1:1" ht="15.75" customHeight="1" x14ac:dyDescent="0.2">
      <c r="A550" s="91"/>
    </row>
    <row r="551" spans="1:1" ht="15.75" customHeight="1" x14ac:dyDescent="0.2">
      <c r="A551" s="91"/>
    </row>
    <row r="552" spans="1:1" ht="15.75" customHeight="1" x14ac:dyDescent="0.2">
      <c r="A552" s="91"/>
    </row>
    <row r="553" spans="1:1" ht="15.75" customHeight="1" x14ac:dyDescent="0.2">
      <c r="A553" s="91"/>
    </row>
    <row r="554" spans="1:1" ht="15.75" customHeight="1" x14ac:dyDescent="0.2">
      <c r="A554" s="91"/>
    </row>
    <row r="555" spans="1:1" ht="15.75" customHeight="1" x14ac:dyDescent="0.2">
      <c r="A555" s="91"/>
    </row>
    <row r="556" spans="1:1" ht="15.75" customHeight="1" x14ac:dyDescent="0.2">
      <c r="A556" s="91"/>
    </row>
    <row r="557" spans="1:1" ht="15.75" customHeight="1" x14ac:dyDescent="0.2">
      <c r="A557" s="91"/>
    </row>
    <row r="558" spans="1:1" ht="15.75" customHeight="1" x14ac:dyDescent="0.2">
      <c r="A558" s="91"/>
    </row>
    <row r="559" spans="1:1" ht="15.75" customHeight="1" x14ac:dyDescent="0.2">
      <c r="A559" s="91"/>
    </row>
    <row r="560" spans="1:1" ht="15.75" customHeight="1" x14ac:dyDescent="0.2">
      <c r="A560" s="91"/>
    </row>
    <row r="561" spans="1:1" ht="15.75" customHeight="1" x14ac:dyDescent="0.2">
      <c r="A561" s="91"/>
    </row>
    <row r="562" spans="1:1" ht="15.75" customHeight="1" x14ac:dyDescent="0.2">
      <c r="A562" s="91"/>
    </row>
    <row r="563" spans="1:1" ht="15.75" customHeight="1" x14ac:dyDescent="0.2">
      <c r="A563" s="91"/>
    </row>
    <row r="564" spans="1:1" ht="15.75" customHeight="1" x14ac:dyDescent="0.2">
      <c r="A564" s="91"/>
    </row>
    <row r="565" spans="1:1" ht="15.75" customHeight="1" x14ac:dyDescent="0.2">
      <c r="A565" s="91"/>
    </row>
    <row r="566" spans="1:1" ht="15.75" customHeight="1" x14ac:dyDescent="0.2">
      <c r="A566" s="91"/>
    </row>
    <row r="567" spans="1:1" ht="15.75" customHeight="1" x14ac:dyDescent="0.2">
      <c r="A567" s="91"/>
    </row>
    <row r="568" spans="1:1" ht="15.75" customHeight="1" x14ac:dyDescent="0.2">
      <c r="A568" s="91"/>
    </row>
    <row r="569" spans="1:1" ht="15.75" customHeight="1" x14ac:dyDescent="0.2">
      <c r="A569" s="91"/>
    </row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Réponses au formulaire</vt:lpstr>
      <vt:lpstr>530366850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 M</dc:creator>
  <cp:lastModifiedBy>h2so4</cp:lastModifiedBy>
  <cp:lastPrinted>2019-10-25T16:08:33Z</cp:lastPrinted>
  <dcterms:created xsi:type="dcterms:W3CDTF">2019-09-25T09:02:52Z</dcterms:created>
  <dcterms:modified xsi:type="dcterms:W3CDTF">2021-03-22T13:44:45Z</dcterms:modified>
</cp:coreProperties>
</file>