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BF8D5240-B1FC-4D4D-A467-81B073972743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Réponses au formulaire" sheetId="1" r:id="rId1"/>
    <sheet name="530366850" sheetId="12" state="hidden" r:id="rId2"/>
  </sheets>
  <definedNames>
    <definedName name="_xlnm._FilterDatabase" localSheetId="0" hidden="1">'Réponses au formulaire'!$A$1:$M$1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" i="1" l="1" a="1"/>
  <c r="M5" i="1" s="1"/>
  <c r="M6" i="1" a="1"/>
  <c r="M6" i="1" s="1"/>
  <c r="M7" i="1" a="1"/>
  <c r="M7" i="1" s="1"/>
  <c r="M8" i="1" a="1"/>
  <c r="M8" i="1"/>
  <c r="M9" i="1" a="1"/>
  <c r="M9" i="1" s="1"/>
  <c r="M10" i="1" a="1"/>
  <c r="M10" i="1" s="1"/>
  <c r="M11" i="1" a="1"/>
  <c r="M11" i="1" s="1"/>
  <c r="M12" i="1" a="1"/>
  <c r="M12" i="1"/>
  <c r="M13" i="1" a="1"/>
  <c r="M13" i="1" s="1"/>
  <c r="M14" i="1" a="1"/>
  <c r="M14" i="1" s="1"/>
  <c r="M15" i="1" a="1"/>
  <c r="M15" i="1" s="1"/>
  <c r="M16" i="1" a="1"/>
  <c r="M16" i="1"/>
  <c r="M17" i="1" a="1"/>
  <c r="M17" i="1" s="1"/>
  <c r="M18" i="1" a="1"/>
  <c r="M18" i="1" s="1"/>
  <c r="M19" i="1" a="1"/>
  <c r="M19" i="1" s="1"/>
  <c r="M20" i="1" a="1"/>
  <c r="M20" i="1"/>
  <c r="M21" i="1" a="1"/>
  <c r="M21" i="1" s="1"/>
  <c r="M22" i="1" a="1"/>
  <c r="M22" i="1" s="1"/>
  <c r="M23" i="1" a="1"/>
  <c r="M23" i="1" s="1"/>
  <c r="M24" i="1" a="1"/>
  <c r="M24" i="1"/>
  <c r="M25" i="1" a="1"/>
  <c r="M25" i="1" s="1"/>
  <c r="M26" i="1" a="1"/>
  <c r="M26" i="1" s="1"/>
  <c r="M27" i="1" a="1"/>
  <c r="M27" i="1" s="1"/>
  <c r="M28" i="1" a="1"/>
  <c r="M28" i="1"/>
  <c r="M29" i="1" a="1"/>
  <c r="M29" i="1" s="1"/>
  <c r="M30" i="1" a="1"/>
  <c r="M30" i="1" s="1"/>
  <c r="M31" i="1" a="1"/>
  <c r="M31" i="1" s="1"/>
  <c r="M32" i="1" a="1"/>
  <c r="M32" i="1"/>
  <c r="M33" i="1" a="1"/>
  <c r="M33" i="1" s="1"/>
  <c r="M34" i="1" a="1"/>
  <c r="M34" i="1" s="1"/>
  <c r="M35" i="1" a="1"/>
  <c r="M35" i="1" s="1"/>
  <c r="M36" i="1" a="1"/>
  <c r="M36" i="1"/>
  <c r="M37" i="1" a="1"/>
  <c r="M37" i="1" s="1"/>
  <c r="M38" i="1" a="1"/>
  <c r="M38" i="1" s="1"/>
  <c r="M39" i="1" a="1"/>
  <c r="M39" i="1" s="1"/>
  <c r="M40" i="1" a="1"/>
  <c r="M40" i="1"/>
  <c r="M41" i="1" a="1"/>
  <c r="M41" i="1" s="1"/>
  <c r="M42" i="1" a="1"/>
  <c r="M42" i="1" s="1"/>
  <c r="M43" i="1" a="1"/>
  <c r="M43" i="1" s="1"/>
  <c r="M44" i="1" a="1"/>
  <c r="M44" i="1"/>
  <c r="M45" i="1" a="1"/>
  <c r="M45" i="1" s="1"/>
  <c r="M46" i="1" a="1"/>
  <c r="M46" i="1" s="1"/>
  <c r="M47" i="1" a="1"/>
  <c r="M47" i="1" s="1"/>
  <c r="M48" i="1" a="1"/>
  <c r="M48" i="1"/>
  <c r="M49" i="1" a="1"/>
  <c r="M49" i="1" s="1"/>
  <c r="M50" i="1" a="1"/>
  <c r="M50" i="1" s="1"/>
  <c r="M51" i="1" a="1"/>
  <c r="M51" i="1" s="1"/>
  <c r="M52" i="1" a="1"/>
  <c r="M52" i="1"/>
  <c r="M53" i="1" a="1"/>
  <c r="M53" i="1" s="1"/>
  <c r="M54" i="1" a="1"/>
  <c r="M54" i="1" s="1"/>
  <c r="M55" i="1" a="1"/>
  <c r="M55" i="1" s="1"/>
  <c r="M56" i="1" a="1"/>
  <c r="M56" i="1"/>
  <c r="M57" i="1" a="1"/>
  <c r="M57" i="1" s="1"/>
  <c r="M58" i="1" a="1"/>
  <c r="M58" i="1" s="1"/>
  <c r="M59" i="1" a="1"/>
  <c r="M59" i="1" s="1"/>
  <c r="M60" i="1" a="1"/>
  <c r="M60" i="1"/>
  <c r="M61" i="1" a="1"/>
  <c r="M61" i="1" s="1"/>
  <c r="M62" i="1" a="1"/>
  <c r="M62" i="1" s="1"/>
  <c r="M63" i="1" a="1"/>
  <c r="M63" i="1" s="1"/>
  <c r="M64" i="1" a="1"/>
  <c r="M64" i="1"/>
  <c r="M65" i="1" a="1"/>
  <c r="M65" i="1" s="1"/>
  <c r="M66" i="1" a="1"/>
  <c r="M66" i="1" s="1"/>
  <c r="M67" i="1" a="1"/>
  <c r="M67" i="1" s="1"/>
  <c r="M68" i="1" a="1"/>
  <c r="M68" i="1"/>
  <c r="M69" i="1" a="1"/>
  <c r="M69" i="1" s="1"/>
  <c r="M70" i="1" a="1"/>
  <c r="M70" i="1" s="1"/>
  <c r="M71" i="1" a="1"/>
  <c r="M71" i="1" s="1"/>
  <c r="M72" i="1" a="1"/>
  <c r="M72" i="1"/>
  <c r="M73" i="1" a="1"/>
  <c r="M73" i="1" s="1"/>
  <c r="M74" i="1" a="1"/>
  <c r="M74" i="1" s="1"/>
  <c r="M75" i="1" a="1"/>
  <c r="M75" i="1" s="1"/>
  <c r="M76" i="1" a="1"/>
  <c r="M76" i="1"/>
  <c r="M77" i="1" a="1"/>
  <c r="M77" i="1" s="1"/>
  <c r="M78" i="1" a="1"/>
  <c r="M78" i="1" s="1"/>
  <c r="M79" i="1" a="1"/>
  <c r="M79" i="1" s="1"/>
  <c r="M80" i="1" a="1"/>
  <c r="M80" i="1"/>
  <c r="M81" i="1" a="1"/>
  <c r="M81" i="1" s="1"/>
  <c r="M82" i="1" a="1"/>
  <c r="M82" i="1" s="1"/>
  <c r="M83" i="1" a="1"/>
  <c r="M83" i="1" s="1"/>
  <c r="M84" i="1" a="1"/>
  <c r="M84" i="1"/>
  <c r="M85" i="1" a="1"/>
  <c r="M85" i="1" s="1"/>
  <c r="M86" i="1" a="1"/>
  <c r="M86" i="1" s="1"/>
  <c r="M87" i="1" a="1"/>
  <c r="M87" i="1" s="1"/>
  <c r="M88" i="1" a="1"/>
  <c r="M88" i="1"/>
  <c r="M89" i="1" a="1"/>
  <c r="M89" i="1" s="1"/>
  <c r="M90" i="1" a="1"/>
  <c r="M90" i="1" s="1"/>
  <c r="M91" i="1" a="1"/>
  <c r="M91" i="1" s="1"/>
  <c r="M92" i="1" a="1"/>
  <c r="M92" i="1"/>
  <c r="M93" i="1" a="1"/>
  <c r="M93" i="1" s="1"/>
  <c r="M94" i="1" a="1"/>
  <c r="M94" i="1" s="1"/>
  <c r="M95" i="1" a="1"/>
  <c r="M95" i="1" s="1"/>
  <c r="M96" i="1" a="1"/>
  <c r="M96" i="1"/>
  <c r="M97" i="1" a="1"/>
  <c r="M97" i="1" s="1"/>
  <c r="M98" i="1" a="1"/>
  <c r="M98" i="1" s="1"/>
  <c r="M99" i="1" a="1"/>
  <c r="M99" i="1" s="1"/>
  <c r="M100" i="1" a="1"/>
  <c r="M100" i="1"/>
  <c r="M101" i="1" a="1"/>
  <c r="M101" i="1" s="1"/>
  <c r="M102" i="1" a="1"/>
  <c r="M102" i="1" s="1"/>
  <c r="M103" i="1" a="1"/>
  <c r="M103" i="1" s="1"/>
  <c r="M104" i="1" a="1"/>
  <c r="M104" i="1"/>
  <c r="M105" i="1" a="1"/>
  <c r="M105" i="1" s="1"/>
  <c r="M106" i="1" a="1"/>
  <c r="M106" i="1" s="1"/>
  <c r="M107" i="1" a="1"/>
  <c r="M107" i="1" s="1"/>
  <c r="M108" i="1" a="1"/>
  <c r="M108" i="1"/>
  <c r="M109" i="1" a="1"/>
  <c r="M109" i="1" s="1"/>
  <c r="M110" i="1" a="1"/>
  <c r="M110" i="1" s="1"/>
  <c r="M111" i="1" a="1"/>
  <c r="M111" i="1" s="1"/>
  <c r="M112" i="1" a="1"/>
  <c r="M112" i="1"/>
  <c r="M113" i="1" a="1"/>
  <c r="M113" i="1" s="1"/>
  <c r="M114" i="1" a="1"/>
  <c r="M114" i="1" s="1"/>
  <c r="M115" i="1" a="1"/>
  <c r="M115" i="1" s="1"/>
  <c r="M116" i="1" a="1"/>
  <c r="M116" i="1"/>
  <c r="M117" i="1" a="1"/>
  <c r="M117" i="1" s="1"/>
  <c r="M118" i="1" a="1"/>
  <c r="M118" i="1" s="1"/>
  <c r="M119" i="1" a="1"/>
  <c r="M119" i="1" s="1"/>
  <c r="M120" i="1" a="1"/>
  <c r="M120" i="1"/>
  <c r="M121" i="1" a="1"/>
  <c r="M121" i="1" s="1"/>
  <c r="M122" i="1" a="1"/>
  <c r="M122" i="1" s="1"/>
  <c r="M123" i="1" a="1"/>
  <c r="M123" i="1" s="1"/>
  <c r="M124" i="1" a="1"/>
  <c r="M124" i="1"/>
  <c r="M125" i="1" a="1"/>
  <c r="M125" i="1" s="1"/>
  <c r="M126" i="1" a="1"/>
  <c r="M126" i="1" s="1"/>
  <c r="M127" i="1" a="1"/>
  <c r="M127" i="1" s="1"/>
  <c r="M128" i="1" a="1"/>
  <c r="M128" i="1"/>
  <c r="M129" i="1" a="1"/>
  <c r="M129" i="1" s="1"/>
  <c r="M130" i="1" a="1"/>
  <c r="M130" i="1" s="1"/>
  <c r="M131" i="1" a="1"/>
  <c r="M131" i="1" s="1"/>
  <c r="M132" i="1" a="1"/>
  <c r="M132" i="1"/>
  <c r="M133" i="1" a="1"/>
  <c r="M133" i="1" s="1"/>
  <c r="M134" i="1" a="1"/>
  <c r="M134" i="1" s="1"/>
  <c r="M135" i="1" a="1"/>
  <c r="M135" i="1" s="1"/>
  <c r="M136" i="1" a="1"/>
  <c r="M136" i="1"/>
  <c r="M137" i="1" a="1"/>
  <c r="M137" i="1" s="1"/>
  <c r="M138" i="1" a="1"/>
  <c r="M138" i="1" s="1"/>
  <c r="M139" i="1" a="1"/>
  <c r="M139" i="1" s="1"/>
  <c r="M140" i="1" a="1"/>
  <c r="M140" i="1"/>
  <c r="M141" i="1" a="1"/>
  <c r="M141" i="1" s="1"/>
  <c r="M142" i="1" a="1"/>
  <c r="M142" i="1" s="1"/>
  <c r="M143" i="1" a="1"/>
  <c r="M143" i="1" s="1"/>
  <c r="M144" i="1" a="1"/>
  <c r="M144" i="1"/>
  <c r="M145" i="1" a="1"/>
  <c r="M145" i="1" s="1"/>
  <c r="M146" i="1" a="1"/>
  <c r="M146" i="1" s="1"/>
  <c r="M147" i="1" a="1"/>
  <c r="M147" i="1" s="1"/>
  <c r="M148" i="1" a="1"/>
  <c r="M148" i="1"/>
  <c r="M4" i="1" a="1"/>
  <c r="M4" i="1" s="1"/>
  <c r="L369" i="12"/>
  <c r="K369" i="12"/>
  <c r="J369" i="12"/>
  <c r="L368" i="12"/>
  <c r="K368" i="12"/>
  <c r="J368" i="12"/>
  <c r="L367" i="12"/>
  <c r="K367" i="12"/>
  <c r="J367" i="12"/>
  <c r="L366" i="12"/>
  <c r="K366" i="12"/>
  <c r="J366" i="12"/>
  <c r="L365" i="12"/>
  <c r="K365" i="12"/>
  <c r="J365" i="12"/>
  <c r="L364" i="12"/>
  <c r="K364" i="12"/>
  <c r="J364" i="12"/>
  <c r="L363" i="12"/>
  <c r="K363" i="12"/>
  <c r="J363" i="12"/>
  <c r="L362" i="12"/>
  <c r="K362" i="12"/>
  <c r="J362" i="12"/>
  <c r="L361" i="12"/>
  <c r="K361" i="12"/>
  <c r="J361" i="12"/>
  <c r="L360" i="12"/>
  <c r="K360" i="12"/>
  <c r="J360" i="12"/>
  <c r="L359" i="12"/>
  <c r="K359" i="12"/>
  <c r="J359" i="12"/>
  <c r="L358" i="12"/>
  <c r="K358" i="12"/>
  <c r="J358" i="12"/>
  <c r="L357" i="12"/>
  <c r="K357" i="12"/>
  <c r="J357" i="12"/>
  <c r="L356" i="12"/>
  <c r="K356" i="12"/>
  <c r="J356" i="12"/>
  <c r="L355" i="12"/>
  <c r="K355" i="12"/>
  <c r="J355" i="12"/>
  <c r="L354" i="12"/>
  <c r="K354" i="12"/>
  <c r="J354" i="12"/>
  <c r="L353" i="12"/>
  <c r="K353" i="12"/>
  <c r="J353" i="12"/>
  <c r="L352" i="12"/>
  <c r="K352" i="12"/>
  <c r="J352" i="12"/>
  <c r="L351" i="12"/>
  <c r="K351" i="12"/>
  <c r="J351" i="12"/>
  <c r="L350" i="12"/>
  <c r="K350" i="12"/>
  <c r="J350" i="12"/>
  <c r="L349" i="12"/>
  <c r="K349" i="12"/>
  <c r="J349" i="12"/>
  <c r="L348" i="12"/>
  <c r="K348" i="12"/>
  <c r="J348" i="12"/>
  <c r="L347" i="12"/>
  <c r="K347" i="12"/>
  <c r="J347" i="12"/>
  <c r="L346" i="12"/>
  <c r="K346" i="12"/>
  <c r="J346" i="12"/>
  <c r="L345" i="12"/>
  <c r="K345" i="12"/>
  <c r="J345" i="12"/>
  <c r="L344" i="12"/>
  <c r="K344" i="12"/>
  <c r="J344" i="12"/>
  <c r="L343" i="12"/>
  <c r="K343" i="12"/>
  <c r="J343" i="12"/>
  <c r="L342" i="12"/>
  <c r="K342" i="12"/>
  <c r="J342" i="12"/>
  <c r="L341" i="12"/>
  <c r="K341" i="12"/>
  <c r="J341" i="12"/>
  <c r="L340" i="12"/>
  <c r="K340" i="12"/>
  <c r="J340" i="12"/>
  <c r="L339" i="12"/>
  <c r="K339" i="12"/>
  <c r="J339" i="12"/>
  <c r="L338" i="12"/>
  <c r="K338" i="12"/>
  <c r="J338" i="12"/>
  <c r="L337" i="12"/>
  <c r="K337" i="12"/>
  <c r="J337" i="12"/>
  <c r="L336" i="12"/>
  <c r="K336" i="12"/>
  <c r="J336" i="12"/>
  <c r="L335" i="12"/>
  <c r="K335" i="12"/>
  <c r="J335" i="12"/>
  <c r="L334" i="12"/>
  <c r="K334" i="12"/>
  <c r="J334" i="12"/>
  <c r="L333" i="12"/>
  <c r="K333" i="12"/>
  <c r="J333" i="12"/>
  <c r="L332" i="12"/>
  <c r="K332" i="12"/>
  <c r="J332" i="12"/>
  <c r="L331" i="12"/>
  <c r="K331" i="12"/>
  <c r="J331" i="12"/>
  <c r="L330" i="12"/>
  <c r="K330" i="12"/>
  <c r="J330" i="12"/>
  <c r="L329" i="12"/>
  <c r="K329" i="12"/>
  <c r="J329" i="12"/>
  <c r="L328" i="12"/>
  <c r="K328" i="12"/>
  <c r="J328" i="12"/>
  <c r="L327" i="12"/>
  <c r="K327" i="12"/>
  <c r="J327" i="12"/>
  <c r="L326" i="12"/>
  <c r="K326" i="12"/>
  <c r="J326" i="12"/>
  <c r="L325" i="12"/>
  <c r="K325" i="12"/>
  <c r="J325" i="12"/>
  <c r="L324" i="12"/>
  <c r="K324" i="12"/>
  <c r="J324" i="12"/>
  <c r="L323" i="12"/>
  <c r="K323" i="12"/>
  <c r="J323" i="12"/>
  <c r="L322" i="12"/>
  <c r="K322" i="12"/>
  <c r="J322" i="12"/>
  <c r="L321" i="12"/>
  <c r="K321" i="12"/>
  <c r="J321" i="12"/>
  <c r="L320" i="12"/>
  <c r="K320" i="12"/>
  <c r="J320" i="12"/>
  <c r="L319" i="12"/>
  <c r="K319" i="12"/>
  <c r="J319" i="12"/>
  <c r="L318" i="12"/>
  <c r="K318" i="12"/>
  <c r="J318" i="12"/>
  <c r="L317" i="12"/>
  <c r="K317" i="12"/>
  <c r="J317" i="12"/>
  <c r="L316" i="12"/>
  <c r="K316" i="12"/>
  <c r="J316" i="12"/>
  <c r="L315" i="12"/>
  <c r="K315" i="12"/>
  <c r="J315" i="12"/>
  <c r="L314" i="12"/>
  <c r="K314" i="12"/>
  <c r="J314" i="12"/>
  <c r="L313" i="12"/>
  <c r="K313" i="12"/>
  <c r="J313" i="12"/>
  <c r="L312" i="12"/>
  <c r="K312" i="12"/>
  <c r="J312" i="12"/>
  <c r="L311" i="12"/>
  <c r="K311" i="12"/>
  <c r="J311" i="12"/>
  <c r="L310" i="12"/>
  <c r="K310" i="12"/>
  <c r="J310" i="12"/>
  <c r="L309" i="12"/>
  <c r="K309" i="12"/>
  <c r="J309" i="12"/>
  <c r="L308" i="12"/>
  <c r="K308" i="12"/>
  <c r="J308" i="12"/>
  <c r="L307" i="12"/>
  <c r="K307" i="12"/>
  <c r="J307" i="12"/>
  <c r="L306" i="12"/>
  <c r="K306" i="12"/>
  <c r="J306" i="12"/>
  <c r="L305" i="12"/>
  <c r="K305" i="12"/>
  <c r="J305" i="12"/>
  <c r="L304" i="12"/>
  <c r="K304" i="12"/>
  <c r="J304" i="12"/>
  <c r="L303" i="12"/>
  <c r="K303" i="12"/>
  <c r="J303" i="12"/>
  <c r="L302" i="12"/>
  <c r="K302" i="12"/>
  <c r="J302" i="12"/>
  <c r="L301" i="12"/>
  <c r="K301" i="12"/>
  <c r="J301" i="12"/>
  <c r="L300" i="12"/>
  <c r="K300" i="12"/>
  <c r="J300" i="12"/>
  <c r="L299" i="12"/>
  <c r="K299" i="12"/>
  <c r="J299" i="12"/>
  <c r="L298" i="12"/>
  <c r="K298" i="12"/>
  <c r="J298" i="12"/>
  <c r="L297" i="12"/>
  <c r="K297" i="12"/>
  <c r="J297" i="12"/>
  <c r="L296" i="12"/>
  <c r="K296" i="12"/>
  <c r="J296" i="12"/>
  <c r="L295" i="12"/>
  <c r="K295" i="12"/>
  <c r="J295" i="12"/>
  <c r="L294" i="12"/>
  <c r="K294" i="12"/>
  <c r="J294" i="12"/>
  <c r="L293" i="12"/>
  <c r="K293" i="12"/>
  <c r="J293" i="12"/>
  <c r="L292" i="12"/>
  <c r="K292" i="12"/>
  <c r="J292" i="12"/>
  <c r="L291" i="12"/>
  <c r="K291" i="12"/>
  <c r="J291" i="12"/>
  <c r="L290" i="12"/>
  <c r="K290" i="12"/>
  <c r="J290" i="12"/>
  <c r="L289" i="12"/>
  <c r="K289" i="12"/>
  <c r="J289" i="12"/>
  <c r="L288" i="12"/>
  <c r="K288" i="12"/>
  <c r="J288" i="12"/>
  <c r="L287" i="12"/>
  <c r="K287" i="12"/>
  <c r="J287" i="12"/>
  <c r="L286" i="12"/>
  <c r="K286" i="12"/>
  <c r="J286" i="12"/>
  <c r="L285" i="12"/>
  <c r="K285" i="12"/>
  <c r="J285" i="12"/>
  <c r="L284" i="12"/>
  <c r="K284" i="12"/>
  <c r="J284" i="12"/>
  <c r="L283" i="12"/>
  <c r="K283" i="12"/>
  <c r="J283" i="12"/>
  <c r="L282" i="12"/>
  <c r="K282" i="12"/>
  <c r="J282" i="12"/>
  <c r="L281" i="12"/>
  <c r="K281" i="12"/>
  <c r="J281" i="12"/>
  <c r="L280" i="12"/>
  <c r="K280" i="12"/>
  <c r="J280" i="12"/>
  <c r="L279" i="12"/>
  <c r="K279" i="12"/>
  <c r="J279" i="12"/>
  <c r="L278" i="12"/>
  <c r="K278" i="12"/>
  <c r="J278" i="12"/>
  <c r="L277" i="12"/>
  <c r="K277" i="12"/>
  <c r="J277" i="12"/>
  <c r="L276" i="12"/>
  <c r="K276" i="12"/>
  <c r="J276" i="12"/>
  <c r="L275" i="12"/>
  <c r="K275" i="12"/>
  <c r="J275" i="12"/>
  <c r="L274" i="12"/>
  <c r="K274" i="12"/>
  <c r="J274" i="12"/>
  <c r="L273" i="12"/>
  <c r="K273" i="12"/>
  <c r="J273" i="12"/>
  <c r="L272" i="12"/>
  <c r="K272" i="12"/>
  <c r="J272" i="12"/>
  <c r="L271" i="12"/>
  <c r="K271" i="12"/>
  <c r="J271" i="12"/>
  <c r="L270" i="12"/>
  <c r="K270" i="12"/>
  <c r="J270" i="12"/>
  <c r="L269" i="12"/>
  <c r="K269" i="12"/>
  <c r="J269" i="12"/>
  <c r="L268" i="12"/>
  <c r="K268" i="12"/>
  <c r="J268" i="12"/>
  <c r="L267" i="12"/>
  <c r="K267" i="12"/>
  <c r="J267" i="12"/>
  <c r="L266" i="12"/>
  <c r="K266" i="12"/>
  <c r="J266" i="12"/>
  <c r="L265" i="12"/>
  <c r="K265" i="12"/>
  <c r="J265" i="12"/>
  <c r="L264" i="12"/>
  <c r="K264" i="12"/>
  <c r="J264" i="12"/>
  <c r="L263" i="12"/>
  <c r="K263" i="12"/>
  <c r="J263" i="12"/>
  <c r="L262" i="12"/>
  <c r="K262" i="12"/>
  <c r="J262" i="12"/>
  <c r="L261" i="12"/>
  <c r="K261" i="12"/>
  <c r="J261" i="12"/>
  <c r="L260" i="12"/>
  <c r="K260" i="12"/>
  <c r="J260" i="12"/>
  <c r="L259" i="12"/>
  <c r="K259" i="12"/>
  <c r="J259" i="12"/>
  <c r="L258" i="12"/>
  <c r="K258" i="12"/>
  <c r="J258" i="12"/>
  <c r="L257" i="12"/>
  <c r="K257" i="12"/>
  <c r="J257" i="12"/>
  <c r="L256" i="12"/>
  <c r="K256" i="12"/>
  <c r="J256" i="12"/>
  <c r="L255" i="12"/>
  <c r="K255" i="12"/>
  <c r="J255" i="12"/>
  <c r="L254" i="12"/>
  <c r="K254" i="12"/>
  <c r="J254" i="12"/>
  <c r="L253" i="12"/>
  <c r="K253" i="12"/>
  <c r="J253" i="12"/>
  <c r="L252" i="12"/>
  <c r="K252" i="12"/>
  <c r="J252" i="12"/>
  <c r="L251" i="12"/>
  <c r="K251" i="12"/>
  <c r="J251" i="12"/>
  <c r="L250" i="12"/>
  <c r="K250" i="12"/>
  <c r="J250" i="12"/>
  <c r="L249" i="12"/>
  <c r="K249" i="12"/>
  <c r="J249" i="12"/>
  <c r="L248" i="12"/>
  <c r="K248" i="12"/>
  <c r="J248" i="12"/>
  <c r="L247" i="12"/>
  <c r="K247" i="12"/>
  <c r="J247" i="12"/>
  <c r="L246" i="12"/>
  <c r="K246" i="12"/>
  <c r="J246" i="12"/>
  <c r="L245" i="12"/>
  <c r="K245" i="12"/>
  <c r="J245" i="12"/>
  <c r="L244" i="12"/>
  <c r="K244" i="12"/>
  <c r="J244" i="12"/>
  <c r="L243" i="12"/>
  <c r="K243" i="12"/>
  <c r="J243" i="12"/>
  <c r="L242" i="12"/>
  <c r="K242" i="12"/>
  <c r="J242" i="12"/>
  <c r="L241" i="12"/>
  <c r="K241" i="12"/>
  <c r="J241" i="12"/>
  <c r="L240" i="12"/>
  <c r="K240" i="12"/>
  <c r="J240" i="12"/>
  <c r="L239" i="12"/>
  <c r="K239" i="12"/>
  <c r="J239" i="12"/>
  <c r="L238" i="12"/>
  <c r="K238" i="12"/>
  <c r="J238" i="12"/>
  <c r="L237" i="12"/>
  <c r="K237" i="12"/>
  <c r="J237" i="12"/>
  <c r="L236" i="12"/>
  <c r="K236" i="12"/>
  <c r="J236" i="12"/>
  <c r="L235" i="12"/>
  <c r="K235" i="12"/>
  <c r="J235" i="12"/>
  <c r="L234" i="12"/>
  <c r="K234" i="12"/>
  <c r="J234" i="12"/>
  <c r="L233" i="12"/>
  <c r="K233" i="12"/>
  <c r="J233" i="12"/>
  <c r="L232" i="12"/>
  <c r="K232" i="12"/>
  <c r="J232" i="12"/>
  <c r="L231" i="12"/>
  <c r="K231" i="12"/>
  <c r="J231" i="12"/>
  <c r="L230" i="12"/>
  <c r="K230" i="12"/>
  <c r="J230" i="12"/>
  <c r="L229" i="12"/>
  <c r="K229" i="12"/>
  <c r="J229" i="12"/>
  <c r="L228" i="12"/>
  <c r="K228" i="12"/>
  <c r="J228" i="12"/>
  <c r="L227" i="12"/>
  <c r="K227" i="12"/>
  <c r="J227" i="12"/>
  <c r="L226" i="12"/>
  <c r="K226" i="12"/>
  <c r="J226" i="12"/>
  <c r="L225" i="12"/>
  <c r="K225" i="12"/>
  <c r="J225" i="12"/>
  <c r="L224" i="12"/>
  <c r="K224" i="12"/>
  <c r="J224" i="12"/>
  <c r="L223" i="12"/>
  <c r="K223" i="12"/>
  <c r="J223" i="12"/>
  <c r="L222" i="12"/>
  <c r="K222" i="12"/>
  <c r="J222" i="12"/>
  <c r="L221" i="12"/>
  <c r="K221" i="12"/>
  <c r="J221" i="12"/>
  <c r="L220" i="12"/>
  <c r="K220" i="12"/>
  <c r="J220" i="12"/>
  <c r="L219" i="12"/>
  <c r="K219" i="12"/>
  <c r="J219" i="12"/>
  <c r="L218" i="12"/>
  <c r="K218" i="12"/>
  <c r="J218" i="12"/>
  <c r="L217" i="12"/>
  <c r="K217" i="12"/>
  <c r="J217" i="12"/>
  <c r="L216" i="12"/>
  <c r="K216" i="12"/>
  <c r="J216" i="12"/>
  <c r="L215" i="12"/>
  <c r="K215" i="12"/>
  <c r="J215" i="12"/>
  <c r="L214" i="12"/>
  <c r="K214" i="12"/>
  <c r="J214" i="12"/>
  <c r="L213" i="12"/>
  <c r="K213" i="12"/>
  <c r="J213" i="12"/>
  <c r="L212" i="12"/>
  <c r="K212" i="12"/>
  <c r="J212" i="12"/>
  <c r="L211" i="12"/>
  <c r="K211" i="12"/>
  <c r="J211" i="12"/>
  <c r="L210" i="12"/>
  <c r="K210" i="12"/>
  <c r="J210" i="12"/>
  <c r="L209" i="12"/>
  <c r="K209" i="12"/>
  <c r="J209" i="12"/>
  <c r="L208" i="12"/>
  <c r="K208" i="12"/>
  <c r="J208" i="12"/>
  <c r="L207" i="12"/>
  <c r="K207" i="12"/>
  <c r="J207" i="12"/>
  <c r="L206" i="12"/>
  <c r="K206" i="12"/>
  <c r="J206" i="12"/>
  <c r="L205" i="12"/>
  <c r="K205" i="12"/>
  <c r="J205" i="12"/>
  <c r="L204" i="12"/>
  <c r="K204" i="12"/>
  <c r="J204" i="12"/>
  <c r="L203" i="12"/>
  <c r="K203" i="12"/>
  <c r="J203" i="12"/>
  <c r="L202" i="12"/>
  <c r="K202" i="12"/>
  <c r="J202" i="12"/>
  <c r="L201" i="12"/>
  <c r="K201" i="12"/>
  <c r="J201" i="12"/>
  <c r="L200" i="12"/>
  <c r="K200" i="12"/>
  <c r="J200" i="12"/>
  <c r="L199" i="12"/>
  <c r="K199" i="12"/>
  <c r="J199" i="12"/>
  <c r="L198" i="12"/>
  <c r="K198" i="12"/>
  <c r="J198" i="12"/>
  <c r="L197" i="12"/>
  <c r="K197" i="12"/>
  <c r="J197" i="12"/>
  <c r="L196" i="12"/>
  <c r="K196" i="12"/>
  <c r="J196" i="12"/>
  <c r="L195" i="12"/>
  <c r="K195" i="12"/>
  <c r="J195" i="12"/>
  <c r="L194" i="12"/>
  <c r="K194" i="12"/>
  <c r="J194" i="12"/>
  <c r="L193" i="12"/>
  <c r="K193" i="12"/>
  <c r="J193" i="12"/>
  <c r="L192" i="12"/>
  <c r="K192" i="12"/>
  <c r="J192" i="12"/>
  <c r="L191" i="12"/>
  <c r="K191" i="12"/>
  <c r="J191" i="12"/>
  <c r="L190" i="12"/>
  <c r="K190" i="12"/>
  <c r="J190" i="12"/>
  <c r="L189" i="12"/>
  <c r="K189" i="12"/>
  <c r="J189" i="12"/>
  <c r="L188" i="12"/>
  <c r="K188" i="12"/>
  <c r="J188" i="12"/>
  <c r="L187" i="12"/>
  <c r="K187" i="12"/>
  <c r="J187" i="12"/>
  <c r="L186" i="12"/>
  <c r="K186" i="12"/>
  <c r="J186" i="12"/>
  <c r="L185" i="12"/>
  <c r="K185" i="12"/>
  <c r="J185" i="12"/>
  <c r="L184" i="12"/>
  <c r="K184" i="12"/>
  <c r="J184" i="12"/>
  <c r="L183" i="12"/>
  <c r="K183" i="12"/>
  <c r="J183" i="12"/>
  <c r="L182" i="12"/>
  <c r="K182" i="12"/>
  <c r="J182" i="12"/>
  <c r="L181" i="12"/>
  <c r="K181" i="12"/>
  <c r="J181" i="12"/>
  <c r="L180" i="12"/>
  <c r="K180" i="12"/>
  <c r="J180" i="12"/>
  <c r="L179" i="12"/>
  <c r="K179" i="12"/>
  <c r="J179" i="12"/>
  <c r="L178" i="12"/>
  <c r="K178" i="12"/>
  <c r="J178" i="12"/>
  <c r="L177" i="12"/>
  <c r="K177" i="12"/>
  <c r="J177" i="12"/>
  <c r="L176" i="12"/>
  <c r="K176" i="12"/>
  <c r="J176" i="12"/>
  <c r="L175" i="12"/>
  <c r="K175" i="12"/>
  <c r="J175" i="12"/>
  <c r="L174" i="12"/>
  <c r="K174" i="12"/>
  <c r="J174" i="12"/>
  <c r="L173" i="12"/>
  <c r="K173" i="12"/>
  <c r="J173" i="12"/>
  <c r="L172" i="12"/>
  <c r="K172" i="12"/>
  <c r="J172" i="12"/>
  <c r="L171" i="12"/>
  <c r="K171" i="12"/>
  <c r="J171" i="12"/>
  <c r="L170" i="12"/>
  <c r="K170" i="12"/>
  <c r="J170" i="12"/>
  <c r="L169" i="12"/>
  <c r="K169" i="12"/>
  <c r="J169" i="12"/>
  <c r="L168" i="12"/>
  <c r="K168" i="12"/>
  <c r="J168" i="12"/>
  <c r="L167" i="12"/>
  <c r="K167" i="12"/>
  <c r="J167" i="12"/>
  <c r="L166" i="12"/>
  <c r="K166" i="12"/>
  <c r="J166" i="12"/>
  <c r="L165" i="12"/>
  <c r="K165" i="12"/>
  <c r="J165" i="12"/>
  <c r="L164" i="12"/>
  <c r="K164" i="12"/>
  <c r="J164" i="12"/>
  <c r="L163" i="12"/>
  <c r="K163" i="12"/>
  <c r="J163" i="12"/>
  <c r="L162" i="12"/>
  <c r="K162" i="12"/>
  <c r="J162" i="12"/>
  <c r="L161" i="12"/>
  <c r="K161" i="12"/>
  <c r="J161" i="12"/>
  <c r="L160" i="12"/>
  <c r="K160" i="12"/>
  <c r="J160" i="12"/>
  <c r="L159" i="12"/>
  <c r="K159" i="12"/>
  <c r="J159" i="12"/>
  <c r="L158" i="12"/>
  <c r="K158" i="12"/>
  <c r="J158" i="12"/>
  <c r="L157" i="12"/>
  <c r="K157" i="12"/>
  <c r="J157" i="12"/>
  <c r="L156" i="12"/>
  <c r="K156" i="12"/>
  <c r="J156" i="12"/>
  <c r="L155" i="12"/>
  <c r="K155" i="12"/>
  <c r="J155" i="12"/>
  <c r="L154" i="12"/>
  <c r="K154" i="12"/>
  <c r="J154" i="12"/>
  <c r="L153" i="12"/>
  <c r="K153" i="12"/>
  <c r="J153" i="12"/>
  <c r="L152" i="12"/>
  <c r="K152" i="12"/>
  <c r="J152" i="12"/>
  <c r="L151" i="12"/>
  <c r="K151" i="12"/>
  <c r="J151" i="12"/>
  <c r="L150" i="12"/>
  <c r="K150" i="12"/>
  <c r="J150" i="12"/>
  <c r="L149" i="12"/>
  <c r="K149" i="12"/>
  <c r="J149" i="12"/>
  <c r="L148" i="12"/>
  <c r="K148" i="12"/>
  <c r="J148" i="12"/>
  <c r="L147" i="12"/>
  <c r="K147" i="12"/>
  <c r="J147" i="12"/>
  <c r="L146" i="12"/>
  <c r="K146" i="12"/>
  <c r="J146" i="12"/>
  <c r="L145" i="12"/>
  <c r="K145" i="12"/>
  <c r="J145" i="12"/>
  <c r="L144" i="12"/>
  <c r="K144" i="12"/>
  <c r="J144" i="12"/>
  <c r="L143" i="12"/>
  <c r="K143" i="12"/>
  <c r="J143" i="12"/>
  <c r="L142" i="12"/>
  <c r="K142" i="12"/>
  <c r="J142" i="12"/>
  <c r="L141" i="12"/>
  <c r="K141" i="12"/>
  <c r="J141" i="12"/>
  <c r="L140" i="12"/>
  <c r="K140" i="12"/>
  <c r="J140" i="12"/>
  <c r="L139" i="12"/>
  <c r="K139" i="12"/>
  <c r="J139" i="12"/>
  <c r="L138" i="12"/>
  <c r="K138" i="12"/>
  <c r="J138" i="12"/>
  <c r="L137" i="12"/>
  <c r="K137" i="12"/>
  <c r="J137" i="12"/>
  <c r="L136" i="12"/>
  <c r="K136" i="12"/>
  <c r="J136" i="12"/>
  <c r="L135" i="12"/>
  <c r="K135" i="12"/>
  <c r="J135" i="12"/>
  <c r="L134" i="12"/>
  <c r="K134" i="12"/>
  <c r="J134" i="12"/>
  <c r="L133" i="12"/>
  <c r="K133" i="12"/>
  <c r="J133" i="12"/>
  <c r="L132" i="12"/>
  <c r="K132" i="12"/>
  <c r="J132" i="12"/>
  <c r="L131" i="12"/>
  <c r="K131" i="12"/>
  <c r="J131" i="12"/>
  <c r="L130" i="12"/>
  <c r="K130" i="12"/>
  <c r="J130" i="12"/>
  <c r="L129" i="12"/>
  <c r="K129" i="12"/>
  <c r="J129" i="12"/>
  <c r="L128" i="12"/>
  <c r="K128" i="12"/>
  <c r="J128" i="12"/>
  <c r="L127" i="12"/>
  <c r="K127" i="12"/>
  <c r="J127" i="12"/>
  <c r="L126" i="12"/>
  <c r="K126" i="12"/>
  <c r="J126" i="12"/>
  <c r="L125" i="12"/>
  <c r="K125" i="12"/>
  <c r="J125" i="12"/>
  <c r="L124" i="12"/>
  <c r="K124" i="12"/>
  <c r="J124" i="12"/>
  <c r="L123" i="12"/>
  <c r="K123" i="12"/>
  <c r="J123" i="12"/>
  <c r="L122" i="12"/>
  <c r="K122" i="12"/>
  <c r="J122" i="12"/>
  <c r="L121" i="12"/>
  <c r="K121" i="12"/>
  <c r="J121" i="12"/>
  <c r="L120" i="12"/>
  <c r="K120" i="12"/>
  <c r="J120" i="12"/>
  <c r="L119" i="12"/>
  <c r="K119" i="12"/>
  <c r="J119" i="12"/>
  <c r="L118" i="12"/>
  <c r="K118" i="12"/>
  <c r="J118" i="12"/>
  <c r="L117" i="12"/>
  <c r="K117" i="12"/>
  <c r="J117" i="12"/>
  <c r="L116" i="12"/>
  <c r="K116" i="12"/>
  <c r="J116" i="12"/>
  <c r="L115" i="12"/>
  <c r="K115" i="12"/>
  <c r="J115" i="12"/>
  <c r="L114" i="12"/>
  <c r="K114" i="12"/>
  <c r="J114" i="12"/>
  <c r="L113" i="12"/>
  <c r="K113" i="12"/>
  <c r="J113" i="12"/>
  <c r="L112" i="12"/>
  <c r="K112" i="12"/>
  <c r="J112" i="12"/>
  <c r="L111" i="12"/>
  <c r="K111" i="12"/>
  <c r="J111" i="12"/>
  <c r="L110" i="12"/>
  <c r="K110" i="12"/>
  <c r="J110" i="12"/>
  <c r="L109" i="12"/>
  <c r="K109" i="12"/>
  <c r="J109" i="12"/>
  <c r="L108" i="12"/>
  <c r="K108" i="12"/>
  <c r="J108" i="12"/>
  <c r="L107" i="12"/>
  <c r="K107" i="12"/>
  <c r="J107" i="12"/>
  <c r="L106" i="12"/>
  <c r="K106" i="12"/>
  <c r="J106" i="12"/>
  <c r="L105" i="12"/>
  <c r="K105" i="12"/>
  <c r="J105" i="12"/>
  <c r="L104" i="12"/>
  <c r="K104" i="12"/>
  <c r="J104" i="12"/>
  <c r="L103" i="12"/>
  <c r="K103" i="12"/>
  <c r="J103" i="12"/>
  <c r="L102" i="12"/>
  <c r="K102" i="12"/>
  <c r="J102" i="12"/>
  <c r="L101" i="12"/>
  <c r="K101" i="12"/>
  <c r="J101" i="12"/>
  <c r="L100" i="12"/>
  <c r="K100" i="12"/>
  <c r="J100" i="12"/>
  <c r="L99" i="12"/>
  <c r="K99" i="12"/>
  <c r="J99" i="12"/>
  <c r="L98" i="12"/>
  <c r="K98" i="12"/>
  <c r="J98" i="12"/>
  <c r="L97" i="12"/>
  <c r="K97" i="12"/>
  <c r="J97" i="12"/>
  <c r="L96" i="12"/>
  <c r="K96" i="12"/>
  <c r="J96" i="12"/>
  <c r="L95" i="12"/>
  <c r="K95" i="12"/>
  <c r="J95" i="12"/>
  <c r="L94" i="12"/>
  <c r="K94" i="12"/>
  <c r="J94" i="12"/>
  <c r="L93" i="12"/>
  <c r="K93" i="12"/>
  <c r="J93" i="12"/>
  <c r="L92" i="12"/>
  <c r="K92" i="12"/>
  <c r="J92" i="12"/>
  <c r="L91" i="12"/>
  <c r="K91" i="12"/>
  <c r="J91" i="12"/>
  <c r="L90" i="12"/>
  <c r="K90" i="12"/>
  <c r="J90" i="12"/>
  <c r="L89" i="12"/>
  <c r="K89" i="12"/>
  <c r="J89" i="12"/>
  <c r="L88" i="12"/>
  <c r="K88" i="12"/>
  <c r="J88" i="12"/>
  <c r="L87" i="12"/>
  <c r="K87" i="12"/>
  <c r="J87" i="12"/>
  <c r="L86" i="12"/>
  <c r="K86" i="12"/>
  <c r="J86" i="12"/>
  <c r="L85" i="12"/>
  <c r="K85" i="12"/>
  <c r="J85" i="12"/>
  <c r="L84" i="12"/>
  <c r="K84" i="12"/>
  <c r="J84" i="12"/>
  <c r="L83" i="12"/>
  <c r="K83" i="12"/>
  <c r="J83" i="12"/>
  <c r="L82" i="12"/>
  <c r="K82" i="12"/>
  <c r="J82" i="12"/>
  <c r="L81" i="12"/>
  <c r="K81" i="12"/>
  <c r="J81" i="12"/>
  <c r="L80" i="12"/>
  <c r="K80" i="12"/>
  <c r="J80" i="12"/>
  <c r="L79" i="12"/>
  <c r="K79" i="12"/>
  <c r="J79" i="12"/>
  <c r="L78" i="12"/>
  <c r="K78" i="12"/>
  <c r="J78" i="12"/>
  <c r="L77" i="12"/>
  <c r="K77" i="12"/>
  <c r="J77" i="12"/>
  <c r="L76" i="12"/>
  <c r="K76" i="12"/>
  <c r="J76" i="12"/>
  <c r="L75" i="12"/>
  <c r="K75" i="12"/>
  <c r="J75" i="12"/>
  <c r="L74" i="12"/>
  <c r="K74" i="12"/>
  <c r="J74" i="12"/>
  <c r="L73" i="12"/>
  <c r="K73" i="12"/>
  <c r="J73" i="12"/>
  <c r="L72" i="12"/>
  <c r="K72" i="12"/>
  <c r="J72" i="12"/>
  <c r="L71" i="12"/>
  <c r="K71" i="12"/>
  <c r="J71" i="12"/>
  <c r="L70" i="12"/>
  <c r="K70" i="12"/>
  <c r="J70" i="12"/>
  <c r="L69" i="12"/>
  <c r="K69" i="12"/>
  <c r="J69" i="12"/>
  <c r="L68" i="12"/>
  <c r="K68" i="12"/>
  <c r="J68" i="12"/>
  <c r="L67" i="12"/>
  <c r="K67" i="12"/>
  <c r="J67" i="12"/>
  <c r="L66" i="12"/>
  <c r="K66" i="12"/>
  <c r="J66" i="12"/>
  <c r="L65" i="12"/>
  <c r="K65" i="12"/>
  <c r="J65" i="12"/>
  <c r="L64" i="12"/>
  <c r="K64" i="12"/>
  <c r="J64" i="12"/>
  <c r="L63" i="12"/>
  <c r="K63" i="12"/>
  <c r="J63" i="12"/>
  <c r="L62" i="12"/>
  <c r="K62" i="12"/>
  <c r="J62" i="12"/>
  <c r="L61" i="12"/>
  <c r="K61" i="12"/>
  <c r="J61" i="12"/>
  <c r="L60" i="12"/>
  <c r="K60" i="12"/>
  <c r="J60" i="12"/>
  <c r="L59" i="12"/>
  <c r="K59" i="12"/>
  <c r="J59" i="12"/>
  <c r="L58" i="12"/>
  <c r="K58" i="12"/>
  <c r="J58" i="12"/>
  <c r="L57" i="12"/>
  <c r="K57" i="12"/>
  <c r="J57" i="12"/>
  <c r="L56" i="12"/>
  <c r="K56" i="12"/>
  <c r="J56" i="12"/>
  <c r="L55" i="12"/>
  <c r="K55" i="12"/>
  <c r="J55" i="12"/>
  <c r="L54" i="12"/>
  <c r="K54" i="12"/>
  <c r="J54" i="12"/>
  <c r="L53" i="12"/>
  <c r="K53" i="12"/>
  <c r="J53" i="12"/>
  <c r="L52" i="12"/>
  <c r="K52" i="12"/>
  <c r="J52" i="12"/>
  <c r="L51" i="12"/>
  <c r="K51" i="12"/>
  <c r="J51" i="12"/>
  <c r="L50" i="12"/>
  <c r="K50" i="12"/>
  <c r="J50" i="12"/>
  <c r="L49" i="12"/>
  <c r="K49" i="12"/>
  <c r="J49" i="12"/>
  <c r="L48" i="12"/>
  <c r="K48" i="12"/>
  <c r="J48" i="12"/>
  <c r="L47" i="12"/>
  <c r="K47" i="12"/>
  <c r="J47" i="12"/>
  <c r="L46" i="12"/>
  <c r="K46" i="12"/>
  <c r="J46" i="12"/>
  <c r="L45" i="12"/>
  <c r="K45" i="12"/>
  <c r="J45" i="12"/>
  <c r="L44" i="12"/>
  <c r="K44" i="12"/>
  <c r="J44" i="12"/>
  <c r="L43" i="12"/>
  <c r="K43" i="12"/>
  <c r="J43" i="12"/>
  <c r="L42" i="12"/>
  <c r="K42" i="12"/>
  <c r="J42" i="12"/>
  <c r="L41" i="12"/>
  <c r="K41" i="12"/>
  <c r="J41" i="12"/>
  <c r="L40" i="12"/>
  <c r="K40" i="12"/>
  <c r="J40" i="12"/>
  <c r="L39" i="12"/>
  <c r="K39" i="12"/>
  <c r="J39" i="12"/>
  <c r="L38" i="12"/>
  <c r="K38" i="12"/>
  <c r="J38" i="12"/>
  <c r="L37" i="12"/>
  <c r="K37" i="12"/>
  <c r="J37" i="12"/>
  <c r="L36" i="12"/>
  <c r="K36" i="12"/>
  <c r="J36" i="12"/>
  <c r="L35" i="12"/>
  <c r="K35" i="12"/>
  <c r="J35" i="12"/>
  <c r="L34" i="12"/>
  <c r="K34" i="12"/>
  <c r="J34" i="12"/>
  <c r="L33" i="12"/>
  <c r="K33" i="12"/>
  <c r="J33" i="12"/>
  <c r="L32" i="12"/>
  <c r="K32" i="12"/>
  <c r="J32" i="12"/>
  <c r="L31" i="12"/>
  <c r="K31" i="12"/>
  <c r="J31" i="12"/>
  <c r="L30" i="12"/>
  <c r="K30" i="12"/>
  <c r="J30" i="12"/>
  <c r="L29" i="12"/>
  <c r="K29" i="12"/>
  <c r="J29" i="12"/>
  <c r="L28" i="12"/>
  <c r="K28" i="12"/>
  <c r="J28" i="12"/>
  <c r="L27" i="12"/>
  <c r="K27" i="12"/>
  <c r="J27" i="12"/>
  <c r="L26" i="12"/>
  <c r="K26" i="12"/>
  <c r="J26" i="12"/>
  <c r="L25" i="12"/>
  <c r="K25" i="12"/>
  <c r="J25" i="12"/>
  <c r="L24" i="12"/>
  <c r="K24" i="12"/>
  <c r="J24" i="12"/>
  <c r="L23" i="12"/>
  <c r="K23" i="12"/>
  <c r="J23" i="12"/>
  <c r="L22" i="12"/>
  <c r="K22" i="12"/>
  <c r="J22" i="12"/>
  <c r="L21" i="12"/>
  <c r="K21" i="12"/>
  <c r="J21" i="12"/>
  <c r="L20" i="12"/>
  <c r="K20" i="12"/>
  <c r="J20" i="12"/>
  <c r="L19" i="12"/>
  <c r="K19" i="12"/>
  <c r="J19" i="12"/>
  <c r="L18" i="12"/>
  <c r="K18" i="12"/>
  <c r="J18" i="12"/>
  <c r="L17" i="12"/>
  <c r="K17" i="12"/>
  <c r="J17" i="12"/>
  <c r="L16" i="12"/>
  <c r="K16" i="12"/>
  <c r="J16" i="12"/>
  <c r="L15" i="12"/>
  <c r="K15" i="12"/>
  <c r="J15" i="12"/>
  <c r="L14" i="12"/>
  <c r="K14" i="12"/>
  <c r="J14" i="12"/>
  <c r="L13" i="12"/>
  <c r="K13" i="12"/>
  <c r="J13" i="12"/>
  <c r="L12" i="12"/>
  <c r="K12" i="12"/>
  <c r="J12" i="12"/>
  <c r="L11" i="12"/>
  <c r="K11" i="12"/>
  <c r="J11" i="12"/>
  <c r="L10" i="12"/>
  <c r="K10" i="12"/>
  <c r="J10" i="12"/>
  <c r="L9" i="12"/>
  <c r="K9" i="12"/>
  <c r="J9" i="12"/>
  <c r="C5" i="12"/>
  <c r="G150" i="1"/>
  <c r="F150" i="1"/>
  <c r="F152" i="1" s="1"/>
  <c r="L148" i="1"/>
  <c r="K148" i="1"/>
  <c r="J148" i="1"/>
  <c r="I148" i="1"/>
  <c r="H148" i="1"/>
  <c r="L147" i="1"/>
  <c r="K147" i="1"/>
  <c r="J147" i="1"/>
  <c r="I147" i="1"/>
  <c r="H147" i="1"/>
  <c r="L146" i="1"/>
  <c r="K146" i="1"/>
  <c r="J146" i="1"/>
  <c r="I146" i="1"/>
  <c r="H146" i="1"/>
  <c r="L145" i="1"/>
  <c r="K145" i="1"/>
  <c r="J145" i="1"/>
  <c r="I145" i="1"/>
  <c r="H145" i="1"/>
  <c r="L144" i="1"/>
  <c r="K144" i="1"/>
  <c r="J144" i="1"/>
  <c r="I144" i="1"/>
  <c r="H144" i="1"/>
  <c r="L143" i="1"/>
  <c r="K143" i="1"/>
  <c r="J143" i="1"/>
  <c r="I143" i="1"/>
  <c r="H143" i="1"/>
  <c r="L142" i="1"/>
  <c r="K142" i="1"/>
  <c r="J142" i="1"/>
  <c r="I142" i="1"/>
  <c r="H142" i="1"/>
  <c r="L141" i="1"/>
  <c r="K141" i="1"/>
  <c r="J141" i="1"/>
  <c r="I141" i="1"/>
  <c r="H141" i="1"/>
  <c r="L140" i="1"/>
  <c r="K140" i="1"/>
  <c r="J140" i="1"/>
  <c r="I140" i="1"/>
  <c r="H140" i="1"/>
  <c r="L139" i="1"/>
  <c r="K139" i="1"/>
  <c r="J139" i="1"/>
  <c r="I139" i="1"/>
  <c r="H139" i="1"/>
  <c r="L138" i="1"/>
  <c r="K138" i="1"/>
  <c r="J138" i="1"/>
  <c r="I138" i="1"/>
  <c r="H138" i="1"/>
  <c r="L137" i="1"/>
  <c r="K137" i="1"/>
  <c r="J137" i="1"/>
  <c r="I137" i="1"/>
  <c r="H137" i="1"/>
  <c r="L136" i="1"/>
  <c r="K136" i="1"/>
  <c r="J136" i="1"/>
  <c r="I136" i="1"/>
  <c r="H136" i="1"/>
  <c r="L135" i="1"/>
  <c r="K135" i="1"/>
  <c r="J135" i="1"/>
  <c r="L134" i="1"/>
  <c r="K134" i="1"/>
  <c r="J134" i="1"/>
  <c r="I134" i="1"/>
  <c r="H134" i="1"/>
  <c r="L133" i="1"/>
  <c r="K133" i="1"/>
  <c r="J133" i="1"/>
  <c r="I133" i="1"/>
  <c r="H133" i="1"/>
  <c r="L132" i="1"/>
  <c r="K132" i="1"/>
  <c r="J132" i="1"/>
  <c r="I132" i="1"/>
  <c r="H132" i="1"/>
  <c r="L131" i="1"/>
  <c r="K131" i="1"/>
  <c r="J131" i="1"/>
  <c r="I131" i="1"/>
  <c r="H131" i="1"/>
  <c r="L130" i="1"/>
  <c r="K130" i="1"/>
  <c r="J130" i="1"/>
  <c r="I130" i="1"/>
  <c r="H130" i="1"/>
  <c r="L129" i="1"/>
  <c r="K129" i="1"/>
  <c r="J129" i="1"/>
  <c r="I129" i="1"/>
  <c r="H129" i="1"/>
  <c r="L128" i="1"/>
  <c r="K128" i="1"/>
  <c r="J128" i="1"/>
  <c r="I128" i="1"/>
  <c r="H128" i="1"/>
  <c r="L127" i="1"/>
  <c r="K127" i="1"/>
  <c r="J127" i="1"/>
  <c r="I127" i="1"/>
  <c r="H127" i="1"/>
  <c r="L126" i="1"/>
  <c r="K126" i="1"/>
  <c r="J126" i="1"/>
  <c r="I126" i="1"/>
  <c r="H126" i="1"/>
  <c r="L125" i="1"/>
  <c r="K125" i="1"/>
  <c r="J125" i="1"/>
  <c r="I125" i="1"/>
  <c r="H125" i="1"/>
  <c r="L124" i="1"/>
  <c r="K124" i="1"/>
  <c r="J124" i="1"/>
  <c r="I124" i="1"/>
  <c r="H124" i="1"/>
  <c r="L123" i="1"/>
  <c r="K123" i="1"/>
  <c r="J123" i="1"/>
  <c r="I123" i="1"/>
  <c r="H123" i="1"/>
  <c r="L122" i="1"/>
  <c r="K122" i="1"/>
  <c r="J122" i="1"/>
  <c r="I122" i="1"/>
  <c r="H122" i="1"/>
  <c r="L121" i="1"/>
  <c r="K121" i="1"/>
  <c r="J121" i="1"/>
  <c r="I121" i="1"/>
  <c r="H121" i="1"/>
  <c r="L120" i="1"/>
  <c r="K120" i="1"/>
  <c r="J120" i="1"/>
  <c r="I120" i="1"/>
  <c r="H120" i="1"/>
  <c r="L119" i="1"/>
  <c r="K119" i="1"/>
  <c r="J119" i="1"/>
  <c r="I119" i="1"/>
  <c r="H119" i="1"/>
  <c r="L118" i="1"/>
  <c r="K118" i="1"/>
  <c r="J118" i="1"/>
  <c r="I118" i="1"/>
  <c r="H118" i="1"/>
  <c r="L117" i="1"/>
  <c r="K117" i="1"/>
  <c r="J117" i="1"/>
  <c r="I117" i="1"/>
  <c r="H117" i="1"/>
  <c r="L116" i="1"/>
  <c r="K116" i="1"/>
  <c r="J116" i="1"/>
  <c r="I116" i="1"/>
  <c r="H116" i="1"/>
  <c r="L115" i="1"/>
  <c r="K115" i="1"/>
  <c r="I115" i="1"/>
  <c r="H115" i="1"/>
  <c r="L114" i="1"/>
  <c r="K114" i="1"/>
  <c r="J114" i="1"/>
  <c r="I114" i="1"/>
  <c r="H114" i="1"/>
  <c r="L113" i="1"/>
  <c r="K113" i="1"/>
  <c r="J113" i="1"/>
  <c r="I113" i="1"/>
  <c r="H113" i="1"/>
  <c r="L112" i="1"/>
  <c r="K112" i="1"/>
  <c r="J112" i="1"/>
  <c r="I112" i="1"/>
  <c r="H112" i="1"/>
  <c r="L111" i="1"/>
  <c r="K111" i="1"/>
  <c r="J111" i="1"/>
  <c r="I111" i="1"/>
  <c r="H111" i="1"/>
  <c r="L110" i="1"/>
  <c r="K110" i="1"/>
  <c r="J110" i="1"/>
  <c r="I110" i="1"/>
  <c r="H110" i="1"/>
  <c r="L109" i="1"/>
  <c r="K109" i="1"/>
  <c r="J109" i="1"/>
  <c r="I109" i="1"/>
  <c r="H109" i="1"/>
  <c r="L108" i="1"/>
  <c r="K108" i="1"/>
  <c r="J108" i="1"/>
  <c r="I108" i="1"/>
  <c r="H108" i="1"/>
  <c r="L107" i="1"/>
  <c r="K107" i="1"/>
  <c r="J107" i="1"/>
  <c r="I107" i="1"/>
  <c r="H107" i="1"/>
  <c r="L106" i="1"/>
  <c r="K106" i="1"/>
  <c r="J106" i="1"/>
  <c r="I106" i="1"/>
  <c r="H106" i="1"/>
  <c r="L105" i="1"/>
  <c r="K105" i="1"/>
  <c r="J105" i="1"/>
  <c r="I105" i="1"/>
  <c r="H105" i="1"/>
  <c r="L104" i="1"/>
  <c r="K104" i="1"/>
  <c r="J104" i="1"/>
  <c r="I104" i="1"/>
  <c r="H104" i="1"/>
  <c r="L103" i="1"/>
  <c r="K103" i="1"/>
  <c r="J103" i="1"/>
  <c r="I103" i="1"/>
  <c r="H103" i="1"/>
  <c r="L102" i="1"/>
  <c r="K102" i="1"/>
  <c r="J102" i="1"/>
  <c r="L101" i="1"/>
  <c r="K101" i="1"/>
  <c r="J101" i="1"/>
  <c r="I101" i="1"/>
  <c r="H101" i="1"/>
  <c r="L100" i="1"/>
  <c r="K100" i="1"/>
  <c r="J100" i="1"/>
  <c r="I100" i="1"/>
  <c r="H100" i="1"/>
  <c r="L99" i="1"/>
  <c r="K99" i="1"/>
  <c r="J99" i="1"/>
  <c r="I99" i="1"/>
  <c r="H99" i="1"/>
  <c r="L98" i="1"/>
  <c r="K98" i="1"/>
  <c r="J98" i="1"/>
  <c r="I98" i="1"/>
  <c r="H98" i="1"/>
  <c r="L97" i="1"/>
  <c r="K97" i="1"/>
  <c r="J97" i="1"/>
  <c r="I97" i="1"/>
  <c r="H97" i="1"/>
  <c r="L96" i="1"/>
  <c r="K96" i="1"/>
  <c r="J96" i="1"/>
  <c r="I96" i="1"/>
  <c r="H96" i="1"/>
  <c r="L95" i="1"/>
  <c r="K95" i="1"/>
  <c r="J95" i="1"/>
  <c r="I95" i="1"/>
  <c r="H95" i="1"/>
  <c r="L94" i="1"/>
  <c r="K94" i="1"/>
  <c r="J94" i="1"/>
  <c r="I94" i="1"/>
  <c r="H94" i="1"/>
  <c r="L93" i="1"/>
  <c r="K93" i="1"/>
  <c r="J93" i="1"/>
  <c r="I93" i="1"/>
  <c r="H93" i="1"/>
  <c r="L92" i="1"/>
  <c r="K92" i="1"/>
  <c r="J92" i="1"/>
  <c r="I92" i="1"/>
  <c r="H92" i="1"/>
  <c r="L91" i="1"/>
  <c r="K91" i="1"/>
  <c r="J91" i="1"/>
  <c r="I91" i="1"/>
  <c r="H91" i="1"/>
  <c r="L90" i="1"/>
  <c r="K90" i="1"/>
  <c r="J90" i="1"/>
  <c r="I90" i="1"/>
  <c r="H90" i="1"/>
  <c r="L89" i="1"/>
  <c r="K89" i="1"/>
  <c r="J89" i="1"/>
  <c r="I89" i="1"/>
  <c r="H89" i="1"/>
  <c r="L88" i="1"/>
  <c r="K88" i="1"/>
  <c r="J88" i="1"/>
  <c r="I88" i="1"/>
  <c r="H88" i="1"/>
  <c r="L87" i="1"/>
  <c r="K87" i="1"/>
  <c r="I87" i="1"/>
  <c r="H87" i="1"/>
  <c r="L86" i="1"/>
  <c r="K86" i="1"/>
  <c r="J86" i="1"/>
  <c r="I86" i="1"/>
  <c r="H86" i="1"/>
  <c r="L85" i="1"/>
  <c r="K85" i="1"/>
  <c r="J85" i="1"/>
  <c r="I85" i="1"/>
  <c r="H85" i="1"/>
  <c r="L84" i="1"/>
  <c r="K84" i="1"/>
  <c r="I84" i="1"/>
  <c r="H84" i="1"/>
  <c r="L83" i="1"/>
  <c r="K83" i="1"/>
  <c r="J83" i="1"/>
  <c r="I83" i="1"/>
  <c r="H83" i="1"/>
  <c r="L82" i="1"/>
  <c r="K82" i="1"/>
  <c r="J82" i="1"/>
  <c r="I82" i="1"/>
  <c r="H82" i="1"/>
  <c r="L81" i="1"/>
  <c r="K81" i="1"/>
  <c r="J81" i="1"/>
  <c r="I81" i="1"/>
  <c r="H81" i="1"/>
  <c r="L80" i="1"/>
  <c r="K80" i="1"/>
  <c r="J80" i="1"/>
  <c r="I80" i="1"/>
  <c r="H80" i="1"/>
  <c r="L79" i="1"/>
  <c r="K79" i="1"/>
  <c r="I79" i="1"/>
  <c r="H79" i="1"/>
  <c r="L78" i="1"/>
  <c r="K78" i="1"/>
  <c r="J78" i="1"/>
  <c r="I78" i="1"/>
  <c r="H78" i="1"/>
  <c r="L77" i="1"/>
  <c r="K77" i="1"/>
  <c r="J77" i="1"/>
  <c r="I77" i="1"/>
  <c r="H77" i="1"/>
  <c r="L76" i="1"/>
  <c r="K76" i="1"/>
  <c r="J76" i="1"/>
  <c r="I76" i="1"/>
  <c r="H76" i="1"/>
  <c r="L75" i="1"/>
  <c r="K75" i="1"/>
  <c r="J75" i="1"/>
  <c r="I75" i="1"/>
  <c r="H75" i="1"/>
  <c r="L74" i="1"/>
  <c r="K74" i="1"/>
  <c r="J74" i="1"/>
  <c r="I74" i="1"/>
  <c r="H74" i="1"/>
  <c r="L73" i="1"/>
  <c r="K73" i="1"/>
  <c r="J73" i="1"/>
  <c r="I73" i="1"/>
  <c r="H73" i="1"/>
  <c r="L72" i="1"/>
  <c r="K72" i="1"/>
  <c r="J72" i="1"/>
  <c r="I72" i="1"/>
  <c r="H72" i="1"/>
  <c r="L71" i="1"/>
  <c r="K71" i="1"/>
  <c r="J71" i="1"/>
  <c r="I71" i="1"/>
  <c r="H71" i="1"/>
  <c r="L70" i="1"/>
  <c r="K70" i="1"/>
  <c r="J70" i="1"/>
  <c r="I70" i="1"/>
  <c r="H70" i="1"/>
  <c r="L69" i="1"/>
  <c r="K69" i="1"/>
  <c r="J69" i="1"/>
  <c r="I69" i="1"/>
  <c r="H69" i="1"/>
  <c r="L68" i="1"/>
  <c r="K68" i="1"/>
  <c r="J68" i="1"/>
  <c r="I68" i="1"/>
  <c r="H68" i="1"/>
  <c r="L67" i="1"/>
  <c r="K67" i="1"/>
  <c r="J67" i="1"/>
  <c r="I67" i="1"/>
  <c r="H67" i="1"/>
  <c r="L66" i="1"/>
  <c r="K66" i="1"/>
  <c r="J66" i="1"/>
  <c r="I66" i="1"/>
  <c r="H66" i="1"/>
  <c r="L65" i="1"/>
  <c r="K65" i="1"/>
  <c r="J65" i="1"/>
  <c r="I65" i="1"/>
  <c r="H65" i="1"/>
  <c r="L64" i="1"/>
  <c r="K64" i="1"/>
  <c r="J64" i="1"/>
  <c r="I64" i="1"/>
  <c r="H64" i="1"/>
  <c r="L63" i="1"/>
  <c r="K63" i="1"/>
  <c r="J63" i="1"/>
  <c r="I63" i="1"/>
  <c r="H63" i="1"/>
  <c r="L62" i="1"/>
  <c r="K62" i="1"/>
  <c r="J62" i="1"/>
  <c r="I62" i="1"/>
  <c r="H62" i="1"/>
  <c r="L61" i="1"/>
  <c r="K61" i="1"/>
  <c r="J61" i="1"/>
  <c r="I61" i="1"/>
  <c r="H61" i="1"/>
  <c r="L60" i="1"/>
  <c r="K60" i="1"/>
  <c r="J60" i="1"/>
  <c r="I60" i="1"/>
  <c r="H60" i="1"/>
  <c r="L59" i="1"/>
  <c r="K59" i="1"/>
  <c r="J59" i="1"/>
  <c r="I59" i="1"/>
  <c r="H59" i="1"/>
  <c r="L58" i="1"/>
  <c r="K58" i="1"/>
  <c r="J58" i="1"/>
  <c r="I58" i="1"/>
  <c r="H58" i="1"/>
  <c r="L57" i="1"/>
  <c r="K57" i="1"/>
  <c r="J57" i="1"/>
  <c r="I57" i="1"/>
  <c r="H57" i="1"/>
  <c r="L56" i="1"/>
  <c r="K56" i="1"/>
  <c r="J56" i="1"/>
  <c r="I56" i="1"/>
  <c r="H56" i="1"/>
  <c r="L55" i="1"/>
  <c r="K55" i="1"/>
  <c r="J55" i="1"/>
  <c r="I55" i="1"/>
  <c r="H55" i="1"/>
  <c r="L54" i="1"/>
  <c r="K54" i="1"/>
  <c r="J54" i="1"/>
  <c r="I54" i="1"/>
  <c r="H54" i="1"/>
  <c r="L53" i="1"/>
  <c r="K53" i="1"/>
  <c r="J53" i="1"/>
  <c r="I53" i="1"/>
  <c r="H53" i="1"/>
  <c r="L52" i="1"/>
  <c r="K52" i="1"/>
  <c r="J52" i="1"/>
  <c r="I52" i="1"/>
  <c r="H52" i="1"/>
  <c r="L51" i="1"/>
  <c r="K51" i="1"/>
  <c r="J51" i="1"/>
  <c r="I51" i="1"/>
  <c r="H51" i="1"/>
  <c r="L50" i="1"/>
  <c r="K50" i="1"/>
  <c r="J50" i="1"/>
  <c r="I50" i="1"/>
  <c r="H50" i="1"/>
  <c r="L49" i="1"/>
  <c r="K49" i="1"/>
  <c r="J49" i="1"/>
  <c r="I49" i="1"/>
  <c r="H49" i="1"/>
  <c r="L48" i="1"/>
  <c r="K48" i="1"/>
  <c r="J48" i="1"/>
  <c r="I48" i="1"/>
  <c r="H48" i="1"/>
  <c r="L47" i="1"/>
  <c r="K47" i="1"/>
  <c r="J47" i="1"/>
  <c r="I47" i="1"/>
  <c r="H47" i="1"/>
  <c r="L46" i="1"/>
  <c r="K46" i="1"/>
  <c r="J46" i="1"/>
  <c r="I46" i="1"/>
  <c r="H46" i="1"/>
  <c r="L45" i="1"/>
  <c r="K45" i="1"/>
  <c r="J45" i="1"/>
  <c r="I45" i="1"/>
  <c r="H45" i="1"/>
  <c r="L44" i="1"/>
  <c r="K44" i="1"/>
  <c r="J44" i="1"/>
  <c r="I44" i="1"/>
  <c r="H44" i="1"/>
  <c r="L43" i="1"/>
  <c r="K43" i="1"/>
  <c r="J43" i="1"/>
  <c r="I43" i="1"/>
  <c r="H43" i="1"/>
  <c r="L42" i="1"/>
  <c r="K42" i="1"/>
  <c r="J42" i="1"/>
  <c r="I42" i="1"/>
  <c r="H42" i="1"/>
  <c r="L41" i="1"/>
  <c r="K41" i="1"/>
  <c r="J41" i="1"/>
  <c r="I41" i="1"/>
  <c r="H41" i="1"/>
  <c r="L40" i="1"/>
  <c r="K40" i="1"/>
  <c r="J40" i="1"/>
  <c r="I40" i="1"/>
  <c r="H40" i="1"/>
  <c r="L39" i="1"/>
  <c r="K39" i="1"/>
  <c r="J39" i="1"/>
  <c r="I39" i="1"/>
  <c r="H39" i="1"/>
  <c r="L38" i="1"/>
  <c r="K38" i="1"/>
  <c r="J38" i="1"/>
  <c r="I38" i="1"/>
  <c r="H38" i="1"/>
  <c r="L37" i="1"/>
  <c r="K37" i="1"/>
  <c r="J37" i="1"/>
  <c r="I37" i="1"/>
  <c r="H37" i="1"/>
  <c r="L36" i="1"/>
  <c r="K36" i="1"/>
  <c r="I36" i="1"/>
  <c r="H36" i="1"/>
  <c r="L35" i="1"/>
  <c r="K35" i="1"/>
  <c r="J35" i="1"/>
  <c r="L34" i="1"/>
  <c r="K34" i="1"/>
  <c r="I34" i="1"/>
  <c r="H34" i="1"/>
  <c r="L33" i="1"/>
  <c r="K33" i="1"/>
  <c r="J33" i="1"/>
  <c r="I33" i="1"/>
  <c r="H33" i="1"/>
  <c r="L32" i="1"/>
  <c r="K32" i="1"/>
  <c r="J32" i="1"/>
  <c r="I32" i="1"/>
  <c r="H32" i="1"/>
  <c r="L31" i="1"/>
  <c r="K31" i="1"/>
  <c r="J31" i="1"/>
  <c r="I31" i="1"/>
  <c r="H31" i="1"/>
  <c r="L30" i="1"/>
  <c r="K30" i="1"/>
  <c r="J30" i="1"/>
  <c r="I30" i="1"/>
  <c r="H30" i="1"/>
  <c r="L29" i="1"/>
  <c r="K29" i="1"/>
  <c r="J29" i="1"/>
  <c r="I29" i="1"/>
  <c r="H29" i="1"/>
  <c r="L28" i="1"/>
  <c r="K28" i="1"/>
  <c r="J28" i="1"/>
  <c r="I28" i="1"/>
  <c r="H28" i="1"/>
  <c r="L27" i="1"/>
  <c r="K27" i="1"/>
  <c r="J27" i="1"/>
  <c r="I27" i="1"/>
  <c r="H27" i="1"/>
  <c r="L26" i="1"/>
  <c r="K26" i="1"/>
  <c r="J26" i="1"/>
  <c r="I26" i="1"/>
  <c r="H26" i="1"/>
  <c r="L25" i="1"/>
  <c r="K25" i="1"/>
  <c r="J25" i="1"/>
  <c r="I25" i="1"/>
  <c r="H25" i="1"/>
  <c r="L24" i="1"/>
  <c r="K24" i="1"/>
  <c r="J24" i="1"/>
  <c r="I24" i="1"/>
  <c r="H24" i="1"/>
  <c r="L23" i="1"/>
  <c r="K23" i="1"/>
  <c r="I23" i="1"/>
  <c r="H23" i="1"/>
  <c r="L22" i="1"/>
  <c r="K22" i="1"/>
  <c r="J22" i="1"/>
  <c r="I22" i="1"/>
  <c r="H22" i="1"/>
  <c r="L21" i="1"/>
  <c r="K21" i="1"/>
  <c r="J21" i="1"/>
  <c r="I21" i="1"/>
  <c r="H21" i="1"/>
  <c r="L20" i="1"/>
  <c r="K20" i="1"/>
  <c r="J20" i="1"/>
  <c r="I20" i="1"/>
  <c r="H20" i="1"/>
  <c r="L19" i="1"/>
  <c r="K19" i="1"/>
  <c r="J19" i="1"/>
  <c r="I19" i="1"/>
  <c r="H19" i="1"/>
  <c r="L18" i="1"/>
  <c r="K18" i="1"/>
  <c r="J18" i="1"/>
  <c r="I18" i="1"/>
  <c r="H18" i="1"/>
  <c r="L17" i="1"/>
  <c r="K17" i="1"/>
  <c r="J17" i="1"/>
  <c r="I17" i="1"/>
  <c r="H17" i="1"/>
  <c r="L16" i="1"/>
  <c r="K16" i="1"/>
  <c r="J16" i="1"/>
  <c r="I16" i="1"/>
  <c r="H16" i="1"/>
  <c r="L15" i="1"/>
  <c r="K15" i="1"/>
  <c r="J15" i="1"/>
  <c r="I15" i="1"/>
  <c r="H15" i="1"/>
  <c r="L14" i="1"/>
  <c r="K14" i="1"/>
  <c r="J14" i="1"/>
  <c r="I14" i="1"/>
  <c r="H14" i="1"/>
  <c r="L13" i="1"/>
  <c r="K13" i="1"/>
  <c r="J13" i="1"/>
  <c r="I13" i="1"/>
  <c r="H13" i="1"/>
  <c r="L12" i="1"/>
  <c r="K12" i="1"/>
  <c r="J12" i="1"/>
  <c r="I12" i="1"/>
  <c r="H12" i="1"/>
  <c r="L11" i="1"/>
  <c r="K11" i="1"/>
  <c r="J11" i="1"/>
  <c r="I11" i="1"/>
  <c r="H11" i="1"/>
  <c r="L10" i="1"/>
  <c r="K10" i="1"/>
  <c r="J10" i="1"/>
  <c r="I10" i="1"/>
  <c r="H10" i="1"/>
  <c r="L9" i="1"/>
  <c r="K9" i="1"/>
  <c r="J9" i="1"/>
  <c r="I9" i="1"/>
  <c r="H9" i="1"/>
  <c r="L8" i="1"/>
  <c r="K8" i="1"/>
  <c r="I8" i="1"/>
  <c r="H8" i="1"/>
  <c r="L7" i="1"/>
  <c r="K7" i="1"/>
  <c r="J7" i="1"/>
  <c r="I7" i="1"/>
  <c r="H7" i="1"/>
  <c r="L6" i="1"/>
  <c r="K6" i="1"/>
  <c r="J6" i="1"/>
  <c r="I6" i="1"/>
  <c r="H6" i="1"/>
  <c r="L5" i="1"/>
  <c r="K5" i="1"/>
  <c r="J5" i="1"/>
  <c r="I5" i="1"/>
  <c r="H5" i="1"/>
  <c r="L4" i="1"/>
  <c r="K4" i="1"/>
  <c r="J4" i="1"/>
  <c r="I4" i="1"/>
  <c r="H4" i="1"/>
  <c r="B2" i="12"/>
  <c r="M150" i="1" l="1"/>
  <c r="H150" i="1"/>
  <c r="L150" i="1"/>
  <c r="I150" i="1"/>
  <c r="L7" i="12"/>
  <c r="J150" i="1"/>
  <c r="K150" i="1"/>
  <c r="K1048576" i="1" s="1"/>
  <c r="H337" i="12"/>
  <c r="H209" i="12"/>
  <c r="H283" i="12"/>
  <c r="H162" i="12"/>
  <c r="H34" i="12"/>
  <c r="H362" i="12"/>
  <c r="H298" i="12"/>
  <c r="H234" i="12"/>
  <c r="H170" i="12"/>
  <c r="H16" i="12"/>
  <c r="H31" i="12"/>
  <c r="H11" i="12"/>
  <c r="H367" i="12"/>
  <c r="B3" i="12"/>
  <c r="H228" i="12"/>
  <c r="H21" i="12"/>
  <c r="H285" i="12"/>
  <c r="H359" i="12"/>
  <c r="H231" i="12"/>
  <c r="H110" i="12"/>
  <c r="H145" i="12"/>
  <c r="H336" i="12"/>
  <c r="H272" i="12"/>
  <c r="H208" i="12"/>
  <c r="H124" i="12"/>
  <c r="H107" i="12"/>
  <c r="H28" i="12"/>
  <c r="H239" i="12"/>
  <c r="H324" i="12"/>
  <c r="H147" i="12"/>
  <c r="H329" i="12"/>
  <c r="H201" i="12"/>
  <c r="H275" i="12"/>
  <c r="H154" i="12"/>
  <c r="H26" i="12"/>
  <c r="H358" i="12"/>
  <c r="H294" i="12"/>
  <c r="H230" i="12"/>
  <c r="H160" i="12"/>
  <c r="H151" i="12"/>
  <c r="H23" i="12"/>
  <c r="H341" i="12"/>
  <c r="H207" i="12"/>
  <c r="H332" i="12"/>
  <c r="H148" i="12"/>
  <c r="H273" i="12"/>
  <c r="H98" i="12"/>
  <c r="H266" i="12"/>
  <c r="H293" i="12"/>
  <c r="H221" i="12"/>
  <c r="H81" i="12"/>
  <c r="H40" i="12"/>
  <c r="H339" i="12"/>
  <c r="H326" i="12"/>
  <c r="H67" i="12"/>
  <c r="H244" i="12"/>
  <c r="H35" i="12"/>
  <c r="H225" i="12"/>
  <c r="H47" i="12"/>
  <c r="H83" i="12"/>
  <c r="H344" i="12"/>
  <c r="H348" i="12"/>
  <c r="H42" i="12"/>
  <c r="H39" i="12"/>
  <c r="H321" i="12"/>
  <c r="H193" i="12"/>
  <c r="H267" i="12"/>
  <c r="H146" i="12"/>
  <c r="H18" i="12"/>
  <c r="H354" i="12"/>
  <c r="H290" i="12"/>
  <c r="H226" i="12"/>
  <c r="H169" i="12"/>
  <c r="H143" i="12"/>
  <c r="H15" i="12"/>
  <c r="H41" i="12"/>
  <c r="H319" i="12"/>
  <c r="H121" i="12"/>
  <c r="H196" i="12"/>
  <c r="H12" i="12"/>
  <c r="H269" i="12"/>
  <c r="H343" i="12"/>
  <c r="H215" i="12"/>
  <c r="H94" i="12"/>
  <c r="H129" i="12"/>
  <c r="H328" i="12"/>
  <c r="H264" i="12"/>
  <c r="H200" i="12"/>
  <c r="H108" i="12"/>
  <c r="H91" i="12"/>
  <c r="H73" i="12"/>
  <c r="H191" i="12"/>
  <c r="H300" i="12"/>
  <c r="H99" i="12"/>
  <c r="H313" i="12"/>
  <c r="H185" i="12"/>
  <c r="H259" i="12"/>
  <c r="H138" i="12"/>
  <c r="H10" i="12"/>
  <c r="H350" i="12"/>
  <c r="H286" i="12"/>
  <c r="H222" i="12"/>
  <c r="H152" i="12"/>
  <c r="H135" i="12"/>
  <c r="H159" i="12"/>
  <c r="H309" i="12"/>
  <c r="H166" i="12"/>
  <c r="H316" i="12"/>
  <c r="H84" i="12"/>
  <c r="H76" i="12"/>
  <c r="H141" i="12"/>
  <c r="H270" i="12"/>
  <c r="H103" i="12"/>
  <c r="H245" i="12"/>
  <c r="H115" i="12"/>
  <c r="H330" i="12"/>
  <c r="H95" i="12"/>
  <c r="H308" i="12"/>
  <c r="H295" i="12"/>
  <c r="H46" i="12"/>
  <c r="H176" i="12"/>
  <c r="H54" i="12"/>
  <c r="H212" i="12"/>
  <c r="H211" i="12"/>
  <c r="H262" i="12"/>
  <c r="H104" i="12"/>
  <c r="H22" i="12"/>
  <c r="H105" i="12"/>
  <c r="H171" i="12"/>
  <c r="H85" i="12"/>
  <c r="H242" i="12"/>
  <c r="H27" i="12"/>
  <c r="H252" i="12"/>
  <c r="H247" i="12"/>
  <c r="H216" i="12"/>
  <c r="H60" i="12"/>
  <c r="H217" i="12"/>
  <c r="H366" i="12"/>
  <c r="H32" i="12"/>
  <c r="H180" i="12"/>
  <c r="H305" i="12"/>
  <c r="H177" i="12"/>
  <c r="H251" i="12"/>
  <c r="H130" i="12"/>
  <c r="H165" i="12"/>
  <c r="H346" i="12"/>
  <c r="H282" i="12"/>
  <c r="H218" i="12"/>
  <c r="H144" i="12"/>
  <c r="H127" i="12"/>
  <c r="H68" i="12"/>
  <c r="H25" i="12"/>
  <c r="H255" i="12"/>
  <c r="H364" i="12"/>
  <c r="H172" i="12"/>
  <c r="H33" i="12"/>
  <c r="H253" i="12"/>
  <c r="H327" i="12"/>
  <c r="H199" i="12"/>
  <c r="H78" i="12"/>
  <c r="H113" i="12"/>
  <c r="H320" i="12"/>
  <c r="H256" i="12"/>
  <c r="H192" i="12"/>
  <c r="H92" i="12"/>
  <c r="H77" i="12"/>
  <c r="H57" i="12"/>
  <c r="H150" i="12"/>
  <c r="H260" i="12"/>
  <c r="H53" i="12"/>
  <c r="H297" i="12"/>
  <c r="H368" i="12"/>
  <c r="H243" i="12"/>
  <c r="H122" i="12"/>
  <c r="H157" i="12"/>
  <c r="H342" i="12"/>
  <c r="H278" i="12"/>
  <c r="H214" i="12"/>
  <c r="H136" i="12"/>
  <c r="H119" i="12"/>
  <c r="H52" i="12"/>
  <c r="H277" i="12"/>
  <c r="H134" i="12"/>
  <c r="H292" i="12"/>
  <c r="H24" i="12"/>
  <c r="H281" i="12"/>
  <c r="H206" i="12"/>
  <c r="H20" i="12"/>
  <c r="H276" i="12"/>
  <c r="H219" i="12"/>
  <c r="H112" i="12"/>
  <c r="H175" i="12"/>
  <c r="H100" i="12"/>
  <c r="H167" i="12"/>
  <c r="H240" i="12"/>
  <c r="H325" i="12"/>
  <c r="H65" i="12"/>
  <c r="H90" i="12"/>
  <c r="H198" i="12"/>
  <c r="H181" i="12"/>
  <c r="H69" i="12"/>
  <c r="H44" i="12"/>
  <c r="H50" i="12"/>
  <c r="H126" i="12"/>
  <c r="H140" i="12"/>
  <c r="H116" i="12"/>
  <c r="H291" i="12"/>
  <c r="H238" i="12"/>
  <c r="H271" i="12"/>
  <c r="H49" i="12"/>
  <c r="H289" i="12"/>
  <c r="H363" i="12"/>
  <c r="H235" i="12"/>
  <c r="H114" i="12"/>
  <c r="H149" i="12"/>
  <c r="H338" i="12"/>
  <c r="H274" i="12"/>
  <c r="H210" i="12"/>
  <c r="H128" i="12"/>
  <c r="H111" i="12"/>
  <c r="H36" i="12"/>
  <c r="H357" i="12"/>
  <c r="H223" i="12"/>
  <c r="H340" i="12"/>
  <c r="H132" i="12"/>
  <c r="H365" i="12"/>
  <c r="H237" i="12"/>
  <c r="H311" i="12"/>
  <c r="H183" i="12"/>
  <c r="H62" i="12"/>
  <c r="H97" i="12"/>
  <c r="H312" i="12"/>
  <c r="H248" i="12"/>
  <c r="H184" i="12"/>
  <c r="H72" i="12"/>
  <c r="H61" i="12"/>
  <c r="H9" i="12"/>
  <c r="H102" i="12"/>
  <c r="H236" i="12"/>
  <c r="H355" i="12"/>
  <c r="H227" i="12"/>
  <c r="H106" i="12"/>
  <c r="H334" i="12"/>
  <c r="H120" i="12"/>
  <c r="H86" i="12"/>
  <c r="H347" i="12"/>
  <c r="H133" i="12"/>
  <c r="H202" i="12"/>
  <c r="H75" i="12"/>
  <c r="H349" i="12"/>
  <c r="H304" i="12"/>
  <c r="H45" i="12"/>
  <c r="H265" i="12"/>
  <c r="H125" i="12"/>
  <c r="H87" i="12"/>
  <c r="H303" i="12"/>
  <c r="H299" i="12"/>
  <c r="H48" i="12"/>
  <c r="H38" i="12"/>
  <c r="H161" i="12"/>
  <c r="H287" i="12"/>
  <c r="H168" i="12"/>
  <c r="H19" i="12"/>
  <c r="H257" i="12"/>
  <c r="H331" i="12"/>
  <c r="H203" i="12"/>
  <c r="H82" i="12"/>
  <c r="H117" i="12"/>
  <c r="H322" i="12"/>
  <c r="H258" i="12"/>
  <c r="H194" i="12"/>
  <c r="H96" i="12"/>
  <c r="H79" i="12"/>
  <c r="H59" i="12"/>
  <c r="H261" i="12"/>
  <c r="H118" i="12"/>
  <c r="H284" i="12"/>
  <c r="H56" i="12"/>
  <c r="H333" i="12"/>
  <c r="H205" i="12"/>
  <c r="H279" i="12"/>
  <c r="H158" i="12"/>
  <c r="H30" i="12"/>
  <c r="H360" i="12"/>
  <c r="H296" i="12"/>
  <c r="H232" i="12"/>
  <c r="H164" i="12"/>
  <c r="H155" i="12"/>
  <c r="H29" i="12"/>
  <c r="H213" i="12"/>
  <c r="H137" i="12"/>
  <c r="H188" i="12"/>
  <c r="H17" i="12"/>
  <c r="H249" i="12"/>
  <c r="H323" i="12"/>
  <c r="H195" i="12"/>
  <c r="H74" i="12"/>
  <c r="H109" i="12"/>
  <c r="H318" i="12"/>
  <c r="H254" i="12"/>
  <c r="H190" i="12"/>
  <c r="H88" i="12"/>
  <c r="H71" i="12"/>
  <c r="H51" i="12"/>
  <c r="H351" i="12"/>
  <c r="H153" i="12"/>
  <c r="H220" i="12"/>
  <c r="H37" i="12"/>
  <c r="H369" i="12"/>
  <c r="H241" i="12"/>
  <c r="H315" i="12"/>
  <c r="H187" i="12"/>
  <c r="H66" i="12"/>
  <c r="H101" i="12"/>
  <c r="H314" i="12"/>
  <c r="H250" i="12"/>
  <c r="H186" i="12"/>
  <c r="H80" i="12"/>
  <c r="H63" i="12"/>
  <c r="H43" i="12"/>
  <c r="H229" i="12"/>
  <c r="H70" i="12"/>
  <c r="H268" i="12"/>
  <c r="H131" i="12"/>
  <c r="H317" i="12"/>
  <c r="H189" i="12"/>
  <c r="H263" i="12"/>
  <c r="H142" i="12"/>
  <c r="H14" i="12"/>
  <c r="H352" i="12"/>
  <c r="H288" i="12"/>
  <c r="H224" i="12"/>
  <c r="H163" i="12"/>
  <c r="H139" i="12"/>
  <c r="H13" i="12"/>
  <c r="H335" i="12"/>
  <c r="H89" i="12"/>
  <c r="H156" i="12"/>
  <c r="H361" i="12"/>
  <c r="H233" i="12"/>
  <c r="H307" i="12"/>
  <c r="H179" i="12"/>
  <c r="H58" i="12"/>
  <c r="H93" i="12"/>
  <c r="H310" i="12"/>
  <c r="H246" i="12"/>
  <c r="H182" i="12"/>
  <c r="H64" i="12"/>
  <c r="H55" i="12"/>
  <c r="H204" i="12"/>
  <c r="H353" i="12"/>
  <c r="H306" i="12"/>
  <c r="H178" i="12"/>
  <c r="H197" i="12"/>
  <c r="H301" i="12"/>
  <c r="H173" i="12"/>
  <c r="H280" i="12"/>
  <c r="H123" i="12"/>
  <c r="H345" i="12"/>
  <c r="H302" i="12"/>
  <c r="H174" i="12"/>
  <c r="H356" i="12"/>
  <c r="I356" i="12" l="1"/>
  <c r="I197" i="12"/>
  <c r="I246" i="12"/>
  <c r="I156" i="12"/>
  <c r="I352" i="12"/>
  <c r="I70" i="12"/>
  <c r="I101" i="12"/>
  <c r="I153" i="12"/>
  <c r="I109" i="12"/>
  <c r="I213" i="12"/>
  <c r="I158" i="12"/>
  <c r="I59" i="12"/>
  <c r="I203" i="12"/>
  <c r="I48" i="12"/>
  <c r="I349" i="12"/>
  <c r="I106" i="12"/>
  <c r="I184" i="12"/>
  <c r="I365" i="12"/>
  <c r="I210" i="12"/>
  <c r="I49" i="12"/>
  <c r="I44" i="12"/>
  <c r="I167" i="12"/>
  <c r="I281" i="12"/>
  <c r="I214" i="12"/>
  <c r="I53" i="12"/>
  <c r="I320" i="12"/>
  <c r="I364" i="12"/>
  <c r="I346" i="12"/>
  <c r="I366" i="12"/>
  <c r="I85" i="12"/>
  <c r="I54" i="12"/>
  <c r="I245" i="12"/>
  <c r="I309" i="12"/>
  <c r="I138" i="12"/>
  <c r="I91" i="12"/>
  <c r="I343" i="12"/>
  <c r="I143" i="12"/>
  <c r="I193" i="12"/>
  <c r="I225" i="12"/>
  <c r="I221" i="12"/>
  <c r="I341" i="12"/>
  <c r="I154" i="12"/>
  <c r="I107" i="12"/>
  <c r="I359" i="12"/>
  <c r="I170" i="12"/>
  <c r="I337" i="12"/>
  <c r="I259" i="12"/>
  <c r="I321" i="12"/>
  <c r="I23" i="12"/>
  <c r="I285" i="12"/>
  <c r="I118" i="12"/>
  <c r="I325" i="12"/>
  <c r="I218" i="12"/>
  <c r="I191" i="12"/>
  <c r="I332" i="12"/>
  <c r="I283" i="12"/>
  <c r="I174" i="12"/>
  <c r="I178" i="12"/>
  <c r="I310" i="12"/>
  <c r="I89" i="12"/>
  <c r="I14" i="12"/>
  <c r="I229" i="12"/>
  <c r="I66" i="12"/>
  <c r="I351" i="12"/>
  <c r="I74" i="12"/>
  <c r="I29" i="12"/>
  <c r="I279" i="12"/>
  <c r="I79" i="12"/>
  <c r="I331" i="12"/>
  <c r="I299" i="12"/>
  <c r="I75" i="12"/>
  <c r="I227" i="12"/>
  <c r="I248" i="12"/>
  <c r="I132" i="12"/>
  <c r="I274" i="12"/>
  <c r="I271" i="12"/>
  <c r="I69" i="12"/>
  <c r="I100" i="12"/>
  <c r="I24" i="12"/>
  <c r="I278" i="12"/>
  <c r="I260" i="12"/>
  <c r="I113" i="12"/>
  <c r="I255" i="12"/>
  <c r="I165" i="12"/>
  <c r="I217" i="12"/>
  <c r="I171" i="12"/>
  <c r="I176" i="12"/>
  <c r="I103" i="12"/>
  <c r="I159" i="12"/>
  <c r="I108" i="12"/>
  <c r="I269" i="12"/>
  <c r="I169" i="12"/>
  <c r="I35" i="12"/>
  <c r="I275" i="12"/>
  <c r="I234" i="12"/>
  <c r="I45" i="12"/>
  <c r="I119" i="12"/>
  <c r="I180" i="12"/>
  <c r="I41" i="12"/>
  <c r="I239" i="12"/>
  <c r="I302" i="12"/>
  <c r="I306" i="12"/>
  <c r="I93" i="12"/>
  <c r="I335" i="12"/>
  <c r="I142" i="12"/>
  <c r="I43" i="12"/>
  <c r="I187" i="12"/>
  <c r="I51" i="12"/>
  <c r="I195" i="12"/>
  <c r="I155" i="12"/>
  <c r="I205" i="12"/>
  <c r="I96" i="12"/>
  <c r="I257" i="12"/>
  <c r="I303" i="12"/>
  <c r="I202" i="12"/>
  <c r="I355" i="12"/>
  <c r="I312" i="12"/>
  <c r="I340" i="12"/>
  <c r="I338" i="12"/>
  <c r="I238" i="12"/>
  <c r="I181" i="12"/>
  <c r="I175" i="12"/>
  <c r="I292" i="12"/>
  <c r="I342" i="12"/>
  <c r="I150" i="12"/>
  <c r="I78" i="12"/>
  <c r="I25" i="12"/>
  <c r="I130" i="12"/>
  <c r="I60" i="12"/>
  <c r="I105" i="12"/>
  <c r="I46" i="12"/>
  <c r="I270" i="12"/>
  <c r="I135" i="12"/>
  <c r="I185" i="12"/>
  <c r="I200" i="12"/>
  <c r="I12" i="12"/>
  <c r="I226" i="12"/>
  <c r="I39" i="12"/>
  <c r="I244" i="12"/>
  <c r="I266" i="12"/>
  <c r="I151" i="12"/>
  <c r="I201" i="12"/>
  <c r="I208" i="12"/>
  <c r="I21" i="12"/>
  <c r="I298" i="12"/>
  <c r="I68" i="12"/>
  <c r="I295" i="12"/>
  <c r="I152" i="12"/>
  <c r="I264" i="12"/>
  <c r="I290" i="12"/>
  <c r="I67" i="12"/>
  <c r="I160" i="12"/>
  <c r="I329" i="12"/>
  <c r="I228" i="12"/>
  <c r="I188" i="12"/>
  <c r="I363" i="12"/>
  <c r="I33" i="12"/>
  <c r="I330" i="12"/>
  <c r="I83" i="12"/>
  <c r="I345" i="12"/>
  <c r="I353" i="12"/>
  <c r="I58" i="12"/>
  <c r="I13" i="12"/>
  <c r="I263" i="12"/>
  <c r="I63" i="12"/>
  <c r="I315" i="12"/>
  <c r="I71" i="12"/>
  <c r="I323" i="12"/>
  <c r="I164" i="12"/>
  <c r="I333" i="12"/>
  <c r="I194" i="12"/>
  <c r="I19" i="12"/>
  <c r="I87" i="12"/>
  <c r="I133" i="12"/>
  <c r="I236" i="12"/>
  <c r="I97" i="12"/>
  <c r="I223" i="12"/>
  <c r="I149" i="12"/>
  <c r="I291" i="12"/>
  <c r="I198" i="12"/>
  <c r="I112" i="12"/>
  <c r="I134" i="12"/>
  <c r="I157" i="12"/>
  <c r="I57" i="12"/>
  <c r="I199" i="12"/>
  <c r="I251" i="12"/>
  <c r="I216" i="12"/>
  <c r="I22" i="12"/>
  <c r="I141" i="12"/>
  <c r="I313" i="12"/>
  <c r="I196" i="12"/>
  <c r="I42" i="12"/>
  <c r="I98" i="12"/>
  <c r="I272" i="12"/>
  <c r="I362" i="12"/>
  <c r="I161" i="12"/>
  <c r="I20" i="12"/>
  <c r="I27" i="12"/>
  <c r="I94" i="12"/>
  <c r="I110" i="12"/>
  <c r="I123" i="12"/>
  <c r="I204" i="12"/>
  <c r="I179" i="12"/>
  <c r="I139" i="12"/>
  <c r="I189" i="12"/>
  <c r="I80" i="12"/>
  <c r="I241" i="12"/>
  <c r="I88" i="12"/>
  <c r="I249" i="12"/>
  <c r="I232" i="12"/>
  <c r="I56" i="12"/>
  <c r="I258" i="12"/>
  <c r="I168" i="12"/>
  <c r="I125" i="12"/>
  <c r="I347" i="12"/>
  <c r="I102" i="12"/>
  <c r="I62" i="12"/>
  <c r="I357" i="12"/>
  <c r="I114" i="12"/>
  <c r="I116" i="12"/>
  <c r="I90" i="12"/>
  <c r="I219" i="12"/>
  <c r="I277" i="12"/>
  <c r="I122" i="12"/>
  <c r="I77" i="12"/>
  <c r="I327" i="12"/>
  <c r="I127" i="12"/>
  <c r="I177" i="12"/>
  <c r="I247" i="12"/>
  <c r="I104" i="12"/>
  <c r="I308" i="12"/>
  <c r="I76" i="12"/>
  <c r="I222" i="12"/>
  <c r="I99" i="12"/>
  <c r="I328" i="12"/>
  <c r="I121" i="12"/>
  <c r="I354" i="12"/>
  <c r="I348" i="12"/>
  <c r="I326" i="12"/>
  <c r="I273" i="12"/>
  <c r="I230" i="12"/>
  <c r="I147" i="12"/>
  <c r="I336" i="12"/>
  <c r="I367" i="12"/>
  <c r="I34" i="12"/>
  <c r="I64" i="12"/>
  <c r="I37" i="12"/>
  <c r="I117" i="12"/>
  <c r="I311" i="12"/>
  <c r="I111" i="12"/>
  <c r="I368" i="12"/>
  <c r="I211" i="12"/>
  <c r="I146" i="12"/>
  <c r="I358" i="12"/>
  <c r="I280" i="12"/>
  <c r="I55" i="12"/>
  <c r="I307" i="12"/>
  <c r="I163" i="12"/>
  <c r="I317" i="12"/>
  <c r="I186" i="12"/>
  <c r="I369" i="12"/>
  <c r="I190" i="12"/>
  <c r="I17" i="12"/>
  <c r="I296" i="12"/>
  <c r="I284" i="12"/>
  <c r="I322" i="12"/>
  <c r="I287" i="12"/>
  <c r="I265" i="12"/>
  <c r="I86" i="12"/>
  <c r="I9" i="12"/>
  <c r="I183" i="12"/>
  <c r="I36" i="12"/>
  <c r="I235" i="12"/>
  <c r="I140" i="12"/>
  <c r="I65" i="12"/>
  <c r="I276" i="12"/>
  <c r="I52" i="12"/>
  <c r="I243" i="12"/>
  <c r="I92" i="12"/>
  <c r="I253" i="12"/>
  <c r="I144" i="12"/>
  <c r="I305" i="12"/>
  <c r="I252" i="12"/>
  <c r="I262" i="12"/>
  <c r="I95" i="12"/>
  <c r="I84" i="12"/>
  <c r="I286" i="12"/>
  <c r="I300" i="12"/>
  <c r="I129" i="12"/>
  <c r="I319" i="12"/>
  <c r="I18" i="12"/>
  <c r="I344" i="12"/>
  <c r="I339" i="12"/>
  <c r="I148" i="12"/>
  <c r="I294" i="12"/>
  <c r="I324" i="12"/>
  <c r="I145" i="12"/>
  <c r="I11" i="12"/>
  <c r="I162" i="12"/>
  <c r="I173" i="12"/>
  <c r="I233" i="12"/>
  <c r="I224" i="12"/>
  <c r="I131" i="12"/>
  <c r="I250" i="12"/>
  <c r="I254" i="12"/>
  <c r="I360" i="12"/>
  <c r="I61" i="12"/>
  <c r="I126" i="12"/>
  <c r="I192" i="12"/>
  <c r="I316" i="12"/>
  <c r="I40" i="12"/>
  <c r="I301" i="12"/>
  <c r="I182" i="12"/>
  <c r="I361" i="12"/>
  <c r="I288" i="12"/>
  <c r="I268" i="12"/>
  <c r="I314" i="12"/>
  <c r="I220" i="12"/>
  <c r="I318" i="12"/>
  <c r="I137" i="12"/>
  <c r="I30" i="12"/>
  <c r="I261" i="12"/>
  <c r="I82" i="12"/>
  <c r="I38" i="12"/>
  <c r="I304" i="12"/>
  <c r="I334" i="12"/>
  <c r="I72" i="12"/>
  <c r="I237" i="12"/>
  <c r="I128" i="12"/>
  <c r="I289" i="12"/>
  <c r="I50" i="12"/>
  <c r="I240" i="12"/>
  <c r="I206" i="12"/>
  <c r="I136" i="12"/>
  <c r="I297" i="12"/>
  <c r="I256" i="12"/>
  <c r="I172" i="12"/>
  <c r="I282" i="12"/>
  <c r="I32" i="12"/>
  <c r="I242" i="12"/>
  <c r="I212" i="12"/>
  <c r="I115" i="12"/>
  <c r="I166" i="12"/>
  <c r="I10" i="12"/>
  <c r="I73" i="12"/>
  <c r="I215" i="12"/>
  <c r="I15" i="12"/>
  <c r="I267" i="12"/>
  <c r="I47" i="12"/>
  <c r="I81" i="12"/>
  <c r="I207" i="12"/>
  <c r="I26" i="12"/>
  <c r="I28" i="12"/>
  <c r="I231" i="12"/>
  <c r="I16" i="12"/>
  <c r="I209" i="12"/>
  <c r="I293" i="12"/>
  <c r="I124" i="12"/>
  <c r="I120" i="12"/>
  <c r="I350" i="12"/>
  <c r="I31" i="1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<sst xmlns="http://schemas.openxmlformats.org/spreadsheetml/2006/main" count="539" uniqueCount="400">
  <si>
    <t>Formule(s) Choisie(s)</t>
  </si>
  <si>
    <t xml:space="preserve"> Pain(s) au Chocolat</t>
  </si>
  <si>
    <t>Croissant(s)</t>
  </si>
  <si>
    <t>Viennoiseries</t>
  </si>
  <si>
    <t>Baguette</t>
  </si>
  <si>
    <t>Brioche</t>
  </si>
  <si>
    <t>Jus d'Orange</t>
  </si>
  <si>
    <t>Chouquette</t>
  </si>
  <si>
    <t>Tarif</t>
  </si>
  <si>
    <t>07h00 85100 Les Sables d'Olonne ( la Chaume)</t>
  </si>
  <si>
    <t>2 x Familiale = 8 Viennoiseries + 4 Baguettes à l'Ancienne + 2 Brioches = 20€00</t>
  </si>
  <si>
    <t>07h25 85100 Les Sables d'Olonne ( la Chaume)</t>
  </si>
  <si>
    <t>1 x Familiale = 4 Viennoiseries + 2 Baguettes à l'Ancienne + 1 Brioche = 10€00</t>
  </si>
  <si>
    <t>07h55 85100 Les Sables d'Olonne ( la Chaume)</t>
  </si>
  <si>
    <t>1 x P'tit Déj' = 2 Viennoiseries + 2 Baguettes à l'Ancienne + 12 Chouquettes = 6€50</t>
  </si>
  <si>
    <t>08h00 85100 Les Sables d'Olonne ( la Chaume)</t>
  </si>
  <si>
    <t>08h05 85100 Les Sables d'Olonne ( la Chaume)</t>
  </si>
  <si>
    <t>1 x P'tite Faim = 2 Viennoiseries + 1 Baguette à l'Ancienne = 4€50</t>
  </si>
  <si>
    <t>08h15 85100 Les Sables d'Olonne ( la Chaume)</t>
  </si>
  <si>
    <t>08h25 85100 Les Sables d'Olonne ( la Chaume)</t>
  </si>
  <si>
    <t>08h30 85100 Les Sables d'Olonne ( la Chaume)</t>
  </si>
  <si>
    <t>08h55 85100 Les Sables d'Olonne ( la Chaume)</t>
  </si>
  <si>
    <t>09h00 85100 Les Sables d'Olonne ( la Chaume)</t>
  </si>
  <si>
    <t>07h00 85100 Les Sables d'Olonne (les Sables d'Olonne)-.</t>
  </si>
  <si>
    <t>07h05 85100 Les Sables d'Olonne (les Sables d'Olonne)-.</t>
  </si>
  <si>
    <t>07h20 85100 Les Sables d'Olonne (les Sables d'Olonne)-.</t>
  </si>
  <si>
    <t>07h30 85100 Les Sables d'Olonne (les Sables d'Olonne)</t>
  </si>
  <si>
    <t>08h15 85100 Les Sables d'Olonne (les Sables d'Olonne)-.</t>
  </si>
  <si>
    <t>08h30 85100 Les Sables d'Olonne (les Sables d'Olonne)</t>
  </si>
  <si>
    <t>08h30 85100 Les Sables d'Olonne (les Sables d'Olonne)-.</t>
  </si>
  <si>
    <t>08h55 85100 Les Sables d'Olonne (les Sables d'Olonne)-.</t>
  </si>
  <si>
    <t>09h00 85100 Les Sables d'Olonne (les Sables d'Olonne)-.</t>
  </si>
  <si>
    <t>09h05 85100 Les Sables d'Olonne (les Sables d'Olonne)-.</t>
  </si>
  <si>
    <t>09h10 85100 Les Sables d'Olonne (les Sables d'Olonne)-.</t>
  </si>
  <si>
    <t>09h30 85100 Les Sables d'Olonne (les Sables d'Olonne)</t>
  </si>
  <si>
    <t>08h35 85150 Saint-Mathurin</t>
  </si>
  <si>
    <t>08h40 85150 Saint-Mathurin</t>
  </si>
  <si>
    <t>08h45 85150 Saint-Mathurin</t>
  </si>
  <si>
    <t>08h50 85150 Saint-Mathurin</t>
  </si>
  <si>
    <t>08h55 85150 Saint-Mathurin</t>
  </si>
  <si>
    <t>09h00 85150 Saint-Mathurin</t>
  </si>
  <si>
    <t>09h05 85150 Saint-Mathurin</t>
  </si>
  <si>
    <t>09h10 85150 Saint-Mathurin</t>
  </si>
  <si>
    <t>09h15 85150 Saint-Mathurin</t>
  </si>
  <si>
    <t>07h00 85180 Les Sables d'Olonne (le Château d'Olonne)-.</t>
  </si>
  <si>
    <t>07h05 85180 Les Sables d'Olonne (le Château d'Olonne)-.</t>
  </si>
  <si>
    <t>07h30 85180 Les Sables d'Olonne (le Château d'Olonne)-.</t>
  </si>
  <si>
    <t>07h50 85180 Les Sables d'Olonne (le Château d'Olonne)</t>
  </si>
  <si>
    <t>07h55 85180 Les Sables d'Olonne (le Château d'Olonne)</t>
  </si>
  <si>
    <t>08h00 85180 Les Sables d'Olonne (le Château d'Olonne)-.</t>
  </si>
  <si>
    <t>08h05 85180 Les Sables d'Olonne (le Château d'Olonne)</t>
  </si>
  <si>
    <t>08h10 85180 Les Sables d'Olonne (le Château d'Olonne)</t>
  </si>
  <si>
    <t>08h10 85180 Les Sables d'Olonne (le Château d'Olonne)-.</t>
  </si>
  <si>
    <t>2 x P'tite Faim = 4 Viennoiseries + 2 Baguettes à l'Ancienne = 9€00</t>
  </si>
  <si>
    <t>08h15 85180 Les Sables d'Olonne (le Château d'Olonne)-.</t>
  </si>
  <si>
    <t>08h25 85180 Les Sables d'Olonne (le Château d'Olonne)</t>
  </si>
  <si>
    <t>08h25 85180 Les Sables d'Olonne (le Château d'Olonne)-.</t>
  </si>
  <si>
    <t>08h30 85180 Les Sables d'Olonne (le Château d'Olonne)-.</t>
  </si>
  <si>
    <t>08h35 85180 Les Sables d'Olonne (le Château d'Olonne)-.</t>
  </si>
  <si>
    <t>08h45 85180 Les Sables d'Olonne (le Château d'Olonne)-.</t>
  </si>
  <si>
    <t>08h50 85180 Les Sables d'Olonne (le Château d'Olonne)-.</t>
  </si>
  <si>
    <t>08h55 85180 Les Sables d'Olonne (le Château d'Olonne)</t>
  </si>
  <si>
    <t>08h55 85180 Les Sables d'Olonne (le Château d'Olonne)-.</t>
  </si>
  <si>
    <t>09h00 85180 Les Sables d'Olonne (le Château d'Olonne)</t>
  </si>
  <si>
    <t>09h00 85180 Les Sables d'Olonne (le Château d'Olonne)-.</t>
  </si>
  <si>
    <t>09h05 85180 Les Sables d'Olonne (le Château d'Olonne)-.</t>
  </si>
  <si>
    <t>09h10 85180 Les Sables d'Olonne (le Château d'Olonne)</t>
  </si>
  <si>
    <t>09h10 85180 Les Sables d'Olonne (le Château d'Olonne)-.</t>
  </si>
  <si>
    <t>09h15 85180 Les Sables d'Olonne (le Château d'Olonne)</t>
  </si>
  <si>
    <t>09h15 85180 Les Sables d'Olonne (le Château d'Olonne)-.</t>
  </si>
  <si>
    <t>09h30 85180 Les Sables d'Olonne (le Château d'Olonne)-.</t>
  </si>
  <si>
    <t>09h35 85180 Les Sables d'Olonne (le Château d'Olonne)-.</t>
  </si>
  <si>
    <t>09h45 85180 Les Sables d'Olonne (le Château d'Olonne)-.</t>
  </si>
  <si>
    <t>10h10 85180 Les Sables d'Olonne (le Château d'Olonne)-.</t>
  </si>
  <si>
    <t>10h30 85180 Les Sables d'Olonne (le Château d'Olonne)</t>
  </si>
  <si>
    <t>10h30 85180 Les Sables d'Olonne (le Château d'Olonne)-.</t>
  </si>
  <si>
    <t>07h00 85340 Les Sables d'Olonne (Olonne sur Mer)</t>
  </si>
  <si>
    <t>07h00 85340 Les Sables d'Olonne (Olonne sur Mer)-.</t>
  </si>
  <si>
    <t>07h05 85340 Les Sables d'Olonne (Olonne sur Mer)-.</t>
  </si>
  <si>
    <t>07h10 85340 Les Sables d'Olonne (Olonne sur Mer)-.</t>
  </si>
  <si>
    <t>07h15 85340 Les Sables d'Olonne (Olonne sur Mer)-.</t>
  </si>
  <si>
    <t>07h20 85340 Les Sables d'Olonne (Olonne sur Mer)-.</t>
  </si>
  <si>
    <t>07h25 85340 Les Sables d'Olonne (Olonne sur Mer)-.</t>
  </si>
  <si>
    <t>07h35 85340 Les Sables d'Olonne (Olonne sur Mer)</t>
  </si>
  <si>
    <t>07h45 85340 Les Sables d'Olonne (Olonne sur Mer)</t>
  </si>
  <si>
    <t>07h50 85340 Les Sables d'Olonne (Olonne sur Mer)</t>
  </si>
  <si>
    <t>07h50 85340 Les Sables d'Olonne (Olonne sur Mer)-.</t>
  </si>
  <si>
    <t>07h55 85340 Les Sables d'Olonne (Olonne sur Mer)</t>
  </si>
  <si>
    <t>07h55 85340 Les Sables d'Olonne (Olonne sur Mer)-.</t>
  </si>
  <si>
    <t>08h00 85340 Les Sables d'Olonne (Olonne sur Mer)</t>
  </si>
  <si>
    <t>08h00 85340 Les Sables d'Olonne (Olonne sur Mer)-.</t>
  </si>
  <si>
    <t>08h05 85340 Les Sables d'Olonne (Olonne sur Mer)</t>
  </si>
  <si>
    <t>08h05 85340 Les Sables d'Olonne (Olonne sur Mer)-.</t>
  </si>
  <si>
    <t>08h10 85340 Les Sables d'Olonne (Olonne sur Mer)-.</t>
  </si>
  <si>
    <t>08h15 85340 Les Sables d'Olonne (Olonne sur Mer)</t>
  </si>
  <si>
    <t>08h15 85340 Les Sables d'Olonne (Olonne sur Mer)-.</t>
  </si>
  <si>
    <t>08h20 85340 Les Sables d'Olonne (Olonne sur Mer)-.</t>
  </si>
  <si>
    <t>08h25 85340 Les Sables d'Olonne (Olonne sur Mer)</t>
  </si>
  <si>
    <t>08h25 85340 Les Sables d'Olonne (Olonne sur Mer)-.</t>
  </si>
  <si>
    <t>08h30 85340 Les Sables d'Olonne (Olonne sur Mer)-.</t>
  </si>
  <si>
    <t>08h35 85340 Les Sables d'Olonne (Olonne sur Mer)-.</t>
  </si>
  <si>
    <t>08h40 85340 Les Sables d'Olonne (Olonne sur Mer)</t>
  </si>
  <si>
    <t>08h40 85340 Les Sables d'Olonne (Olonne sur Mer)-.</t>
  </si>
  <si>
    <t>08h45 85340 Les Sables d'Olonne (Olonne sur Mer)-.</t>
  </si>
  <si>
    <t>08h50 85340 Les Sables d'Olonne (Olonne sur Mer)</t>
  </si>
  <si>
    <t>08h50 85340 Les Sables d'Olonne (Olonne sur Mer)-.</t>
  </si>
  <si>
    <t>08h55 85340 Les Sables d'Olonne (Olonne sur Mer)</t>
  </si>
  <si>
    <t>08h55 85340 Les Sables d'Olonne (Olonne sur Mer)-.</t>
  </si>
  <si>
    <t>09h00 85340 Les Sables d'Olonne (Olonne sur Mer)-.</t>
  </si>
  <si>
    <t>1 x P'tite Faim = 2 Viennoiseries + 1 Baguette à l'Ancienne = 4€50, 1 x P'tit Déj' = 2 Viennoiseries + 2 Baguettes à l'Ancienne + 12 Chouquettes = 6€50</t>
  </si>
  <si>
    <t>09h05 85340 Les Sables d'Olonne (Olonne sur Mer)</t>
  </si>
  <si>
    <t>09h05 85340 Les Sables d'Olonne (Olonne sur Mer)-.</t>
  </si>
  <si>
    <t>09h10 85340 Les Sables d'Olonne (Olonne sur Mer)-.</t>
  </si>
  <si>
    <t>09h15 85340 Les Sables d'Olonne (Olonne sur Mer)</t>
  </si>
  <si>
    <t>09h15 85340 Les Sables d'Olonne (Olonne sur Mer)-.</t>
  </si>
  <si>
    <t>09h20 85340 Les Sables d'Olonne (Olonne sur Mer)-.</t>
  </si>
  <si>
    <t>09h25 85340 Les Sables d'Olonne (Olonne sur Mer)-.</t>
  </si>
  <si>
    <t>09h30 85340 Les Sables d'Olonne (Olonne sur Mer)-.</t>
  </si>
  <si>
    <t>09h35 85340 Les Sables d'Olonne (Olonne sur Mer)-.</t>
  </si>
  <si>
    <t>09h40 85340 Les Sables d'Olonne (Olonne sur Mer)-.</t>
  </si>
  <si>
    <t>09h45 85340 Les Sables d'Olonne (Olonne sur Mer)-.</t>
  </si>
  <si>
    <t>09h50 85340 Les Sables d'Olonne (Olonne sur Mer)</t>
  </si>
  <si>
    <t>10h00 85340 Les Sables d'Olonne (Olonne sur Mer)</t>
  </si>
  <si>
    <t>10h00 85340 Les Sables d'Olonne (Olonne sur Mer)-.</t>
  </si>
  <si>
    <t>10h15 85340 Les Sables d'Olonne (Olonne sur Mer)-.</t>
  </si>
  <si>
    <t>10h25 85340 Les Sables d'Olonne (Olonne sur Mer)</t>
  </si>
  <si>
    <t>10h25 85340 Les Sables d'Olonne (Olonne sur Mer)-.</t>
  </si>
  <si>
    <t>10h30 85340 Les Sables d'Olonne (Olonne sur Mer)</t>
  </si>
  <si>
    <t>10h30 85340 Les Sables d'Olonne (Olonne sur Mer)-.</t>
  </si>
  <si>
    <t>10h31 au local-.</t>
  </si>
  <si>
    <t>10h32 au local</t>
  </si>
  <si>
    <t>10h40 au local</t>
  </si>
  <si>
    <t>10h40 au local-.</t>
  </si>
  <si>
    <t>07h05 85340 l'Île d'Olonne</t>
  </si>
  <si>
    <t>1 x P'tite Faim = 2 Viennoiseries + 1 Baguette à l'Ancienne = 4€50, 1 x Familiale = 4 Viennoiseries + 2 Baguettes à l'Ancienne + 1 Brioche = 10€00</t>
  </si>
  <si>
    <t>07h10 85340 l'Île d'Olonne</t>
  </si>
  <si>
    <t>07h30 85340 l'Île d'Olonne</t>
  </si>
  <si>
    <t>07h45 85340 l'Île d'Olonne</t>
  </si>
  <si>
    <t>07h50 85340 l'Île d'Olonne</t>
  </si>
  <si>
    <t>07h55 85340 l'Île d'Olonne</t>
  </si>
  <si>
    <t>08h00 85340 l'Île d'Olonne</t>
  </si>
  <si>
    <t>08h05 85340 l'Île d'Olonne</t>
  </si>
  <si>
    <t>08h10 85340 l'Île d'Olonne</t>
  </si>
  <si>
    <t>08h15 85340 l'Île d'Olonne</t>
  </si>
  <si>
    <t>08h20 85340 l'Île d'Olonne</t>
  </si>
  <si>
    <t>08h25 85340 l'Île d'Olonne</t>
  </si>
  <si>
    <t>08h30 85340 l'Île d'Olonne</t>
  </si>
  <si>
    <t>07h25 85340 Les Sables d'Olonne (Olonne sur Mer)</t>
  </si>
  <si>
    <t>Data Sheet</t>
  </si>
  <si>
    <t>Réponses au formulaire 1</t>
  </si>
  <si>
    <t>Column</t>
  </si>
  <si>
    <t>Question Title</t>
  </si>
  <si>
    <t>Question Id</t>
  </si>
  <si>
    <t>Question Type</t>
  </si>
  <si>
    <t>LIST</t>
  </si>
  <si>
    <t>Backup Text</t>
  </si>
  <si>
    <t>No More Options</t>
  </si>
  <si>
    <t>Choices</t>
  </si>
  <si>
    <t>ROffset</t>
  </si>
  <si>
    <t>RLimit</t>
  </si>
  <si>
    <t>PageNavigationType</t>
  </si>
  <si>
    <t>GoToPage ID</t>
  </si>
  <si>
    <t>GoToPage Title</t>
  </si>
  <si>
    <t>RCountTotal</t>
  </si>
  <si>
    <t>RCount</t>
  </si>
  <si>
    <t>Combined PNT</t>
  </si>
  <si>
    <t>Combined GTPId</t>
  </si>
  <si>
    <t>Combined</t>
  </si>
  <si>
    <t>07h00 85100 Les Sables d'Olonne (les Sables d'Olonne)</t>
  </si>
  <si>
    <t>07h00 85180 Les Sables d'Olonne (le Château d'Olonne)</t>
  </si>
  <si>
    <t>07h00 85340 l'Île d'Olonne</t>
  </si>
  <si>
    <t>07h05 85100 Les Sables d'Olonne (les Sables d'Olonne)</t>
  </si>
  <si>
    <t>07h05 85100 Les Sables d'Olonne ( la Chaume)</t>
  </si>
  <si>
    <t>07h05 85340 Les Sables d'Olonne (Olonne sur Mer)</t>
  </si>
  <si>
    <t>07h05 85180 Les Sables d'Olonne (le Château d'Olonne)</t>
  </si>
  <si>
    <t>07h10 85100 Les Sables d'Olonne (les Sables d'Olonne)-.</t>
  </si>
  <si>
    <t>07h10 85100 Les Sables d'Olonne (les Sables d'Olonne)</t>
  </si>
  <si>
    <t>07h10 85100 Les Sables d'Olonne ( la Chaume)</t>
  </si>
  <si>
    <t>07h10 85340 Les Sables d'Olonne (Olonne sur Mer)</t>
  </si>
  <si>
    <t>07h10 85180 Les Sables d'Olonne (le Château d'Olonne)-.</t>
  </si>
  <si>
    <t>07h10 85180 Les Sables d'Olonne (le Château d'Olonne)</t>
  </si>
  <si>
    <t>07h15 85100 Les Sables d'Olonne (les Sables d'Olonne)-.</t>
  </si>
  <si>
    <t>07h15 85100 Les Sables d'Olonne (les Sables d'Olonne)</t>
  </si>
  <si>
    <t>07h15 85100 Les Sables d'Olonne ( la Chaume)</t>
  </si>
  <si>
    <t>07h15 85340 Les Sables d'Olonne (Olonne sur Mer)</t>
  </si>
  <si>
    <t>07h15 85180 Les Sables d'Olonne (le Château d'Olonne)-.</t>
  </si>
  <si>
    <t>07h15 85180 Les Sables d'Olonne (le Château d'Olonne)</t>
  </si>
  <si>
    <t>07h15 85340 l'Île d'Olonne</t>
  </si>
  <si>
    <t>07h20 85100 Les Sables d'Olonne (les Sables d'Olonne)</t>
  </si>
  <si>
    <t>07h20 85100 Les Sables d'Olonne ( la Chaume)</t>
  </si>
  <si>
    <t>07h20 85340 Les Sables d'Olonne (Olonne sur Mer)</t>
  </si>
  <si>
    <t>07h20 85180 Les Sables d'Olonne (le Château d'Olonne)-.</t>
  </si>
  <si>
    <t>07h20 85180 Les Sables d'Olonne (le Château d'Olonne)</t>
  </si>
  <si>
    <t>07h20 85340 l'Île d'Olonne</t>
  </si>
  <si>
    <t>07h25 85100 Les Sables d'Olonne (les Sables d'Olonne)-.</t>
  </si>
  <si>
    <t>07h25 85100 Les Sables d'Olonne (les Sables d'Olonne)</t>
  </si>
  <si>
    <t>07h25 85180 Les Sables d'Olonne (le Château d'Olonne)-.</t>
  </si>
  <si>
    <t>07h25 85180 Les Sables d'Olonne (le Château d'Olonne)</t>
  </si>
  <si>
    <t>07h25 85340 l'Île d'Olonne</t>
  </si>
  <si>
    <t>07h30 85100 Les Sables d'Olonne (les Sables d'Olonne)-.</t>
  </si>
  <si>
    <t>07h30 85100 Les Sables d'Olonne ( la Chaume)</t>
  </si>
  <si>
    <t>07h30 85340 Les Sables d'Olonne (Olonne sur Mer)-.</t>
  </si>
  <si>
    <t>07h30 85340 Les Sables d'Olonne (Olonne sur Mer)</t>
  </si>
  <si>
    <t>07h30 85180 Les Sables d'Olonne (le Château d'Olonne)</t>
  </si>
  <si>
    <t>07h35 85100 Les Sables d'Olonne (les Sables d'Olonne)-.</t>
  </si>
  <si>
    <t>07h35 85100 Les Sables d'Olonne (les Sables d'Olonne)</t>
  </si>
  <si>
    <t>07h35 85100 Les Sables d'Olonne ( la Chaume)</t>
  </si>
  <si>
    <t>07h35 85340 Les Sables d'Olonne (Olonne sur Mer)-.</t>
  </si>
  <si>
    <t>07h35 85180 Les Sables d'Olonne (le Château d'Olonne)-.</t>
  </si>
  <si>
    <t>07h35 85180 Les Sables d'Olonne (le Château d'Olonne)</t>
  </si>
  <si>
    <t>07h35 85340 l'Île d'Olonne</t>
  </si>
  <si>
    <t>07h40 85100 Les Sables d'Olonne (les Sables d'Olonne)-.</t>
  </si>
  <si>
    <t>07h40 85100 Les Sables d'Olonne (les Sables d'Olonne)</t>
  </si>
  <si>
    <t>07h40 85100 Les Sables d'Olonne ( la Chaume)</t>
  </si>
  <si>
    <t>07h40 85340 Les Sables d'Olonne (Olonne sur Mer)-.</t>
  </si>
  <si>
    <t>07h40 85340 Les Sables d'Olonne (Olonne sur Mer)</t>
  </si>
  <si>
    <t>07h40 85180 Les Sables d'Olonne (le Château d'Olonne)-.</t>
  </si>
  <si>
    <t>07h40 85180 Les Sables d'Olonne (le Château d'Olonne)</t>
  </si>
  <si>
    <t>07h40 85340 l'Île d'Olonne</t>
  </si>
  <si>
    <t>07h45 85100 Les Sables d'Olonne (les Sables d'Olonne)-.</t>
  </si>
  <si>
    <t>07h45 85100 Les Sables d'Olonne (les Sables d'Olonne)</t>
  </si>
  <si>
    <t>07h45 85100 Les Sables d'Olonne ( la Chaume)</t>
  </si>
  <si>
    <t>07h45 85340 Les Sables d'Olonne (Olonne sur Mer)-.</t>
  </si>
  <si>
    <t>07h45 85180 Les Sables d'Olonne (le Château d'Olonne)-.</t>
  </si>
  <si>
    <t>07h45 85180 Les Sables d'Olonne (le Château d'Olonne)</t>
  </si>
  <si>
    <t>07h50 85100 Les Sables d'Olonne (les Sables d'Olonne)-.</t>
  </si>
  <si>
    <t>07h50 85100 Les Sables d'Olonne (les Sables d'Olonne)</t>
  </si>
  <si>
    <t>07h50 85100 Les Sables d'Olonne ( la Chaume)</t>
  </si>
  <si>
    <t>07h50 85180 Les Sables d'Olonne (le Château d'Olonne)-.</t>
  </si>
  <si>
    <t>07h55 85100 Les Sables d'Olonne (les Sables d'Olonne)-.</t>
  </si>
  <si>
    <t>07h55 85100 Les Sables d'Olonne (les Sables d'Olonne)</t>
  </si>
  <si>
    <t>07h55 85180 Les Sables d'Olonne (le Château d'Olonne)-.</t>
  </si>
  <si>
    <t>08h00 85100 Les Sables d'Olonne (les Sables d'Olonne)-.</t>
  </si>
  <si>
    <t>08h00 85100 Les Sables d'Olonne (les Sables d'Olonne)</t>
  </si>
  <si>
    <t>08h00 85180 Les Sables d'Olonne (le Château d'Olonne)</t>
  </si>
  <si>
    <t>08h05 85100 Les Sables d'Olonne (les Sables d'Olonne)-.</t>
  </si>
  <si>
    <t>08h05 85100 Les Sables d'Olonne (les Sables d'Olonne)</t>
  </si>
  <si>
    <t>08h05 85180 Les Sables d'Olonne (le Château d'Olonne)-.</t>
  </si>
  <si>
    <t>08h10 85100 Les Sables d'Olonne (les Sables d'Olonne)-.</t>
  </si>
  <si>
    <t>08h10 85100 Les Sables d'Olonne (les Sables d'Olonne)</t>
  </si>
  <si>
    <t>08h10 85100 Les Sables d'Olonne ( la Chaume)</t>
  </si>
  <si>
    <t>08h10 85340 Les Sables d'Olonne (Olonne sur Mer)</t>
  </si>
  <si>
    <t>08h15 85100 Les Sables d'Olonne (les Sables d'Olonne)</t>
  </si>
  <si>
    <t>08h15 85180 Les Sables d'Olonne (le Château d'Olonne)</t>
  </si>
  <si>
    <t>08h20 85100 Les Sables d'Olonne (les Sables d'Olonne)-.</t>
  </si>
  <si>
    <t>08h20 85100 Les Sables d'Olonne (les Sables d'Olonne)</t>
  </si>
  <si>
    <t>08h20 85100 Les Sables d'Olonne ( la Chaume)</t>
  </si>
  <si>
    <t>08h20 85340 Les Sables d'Olonne (Olonne sur Mer)</t>
  </si>
  <si>
    <t>08h20 85180 Les Sables d'Olonne (le Château d'Olonne)-.</t>
  </si>
  <si>
    <t>08h20 85180 Les Sables d'Olonne (le Château d'Olonne)</t>
  </si>
  <si>
    <t>08h25 85100 Les Sables d'Olonne (les Sables d'Olonne)-.</t>
  </si>
  <si>
    <t>08h25 85100 Les Sables d'Olonne (les Sables d'Olonne)</t>
  </si>
  <si>
    <t>08h30 85340 Les Sables d'Olonne (Olonne sur Mer)</t>
  </si>
  <si>
    <t>08h30 85180 Les Sables d'Olonne (le Château d'Olonne)</t>
  </si>
  <si>
    <t>08h35 85100 Les Sables d'Olonne (les Sables d'Olonne)-.</t>
  </si>
  <si>
    <t>08h35 85100 Les Sables d'Olonne (les Sables d'Olonne)</t>
  </si>
  <si>
    <t>08h35 85100 Les Sables d'Olonne ( la Chaume)</t>
  </si>
  <si>
    <t>08h35 85340 Les Sables d'Olonne (Olonne sur Mer)</t>
  </si>
  <si>
    <t>08h35 85180 Les Sables d'Olonne (le Château d'Olonne)</t>
  </si>
  <si>
    <t>08h40 85100 Les Sables d'Olonne (les Sables d'Olonne)-.</t>
  </si>
  <si>
    <t>08h40 85100 Les Sables d'Olonne (les Sables d'Olonne)</t>
  </si>
  <si>
    <t>08h40 85100 Les Sables d'Olonne ( la Chaume)</t>
  </si>
  <si>
    <t>08h40 85180 Les Sables d'Olonne (le Château d'Olonne)-.</t>
  </si>
  <si>
    <t>08h40 85180 Les Sables d'Olonne (le Château d'Olonne)</t>
  </si>
  <si>
    <t>08h45 85100 Les Sables d'Olonne (les Sables d'Olonne)-.</t>
  </si>
  <si>
    <t>08h45 85100 Les Sables d'Olonne (les Sables d'Olonne)</t>
  </si>
  <si>
    <t>08h45 85100 Les Sables d'Olonne ( la Chaume)</t>
  </si>
  <si>
    <t>08h45 85340 Les Sables d'Olonne (Olonne sur Mer)</t>
  </si>
  <si>
    <t>08h45 85180 Les Sables d'Olonne (le Château d'Olonne)</t>
  </si>
  <si>
    <t>08h50 85100 Les Sables d'Olonne (les Sables d'Olonne)-.</t>
  </si>
  <si>
    <t>08h50 85100 Les Sables d'Olonne (les Sables d'Olonne)</t>
  </si>
  <si>
    <t>08h50 85100 Les Sables d'Olonne ( la Chaume)</t>
  </si>
  <si>
    <t>08h50 85180 Les Sables d'Olonne (le Château d'Olonne)</t>
  </si>
  <si>
    <t>08h55 85100 Les Sables d'Olonne (les Sables d'Olonne)</t>
  </si>
  <si>
    <t>09h00 85100 Les Sables d'Olonne (les Sables d'Olonne)</t>
  </si>
  <si>
    <t>09h00 85340 Les Sables d'Olonne (Olonne sur Mer)</t>
  </si>
  <si>
    <t>09h05 85100 Les Sables d'Olonne (les Sables d'Olonne)</t>
  </si>
  <si>
    <t>09h05 85100 Les Sables d'Olonne ( la Chaume)</t>
  </si>
  <si>
    <t>09h05 85180 Les Sables d'Olonne (le Château d'Olonne)</t>
  </si>
  <si>
    <t>09h10 85100 Les Sables d'Olonne (les Sables d'Olonne)</t>
  </si>
  <si>
    <t>09h10 85100 Les Sables d'Olonne ( la Chaume)</t>
  </si>
  <si>
    <t>09h10 85340 Les Sables d'Olonne (Olonne sur Mer)</t>
  </si>
  <si>
    <t>09h15 85100 Les Sables d'Olonne (les Sables d'Olonne)-.</t>
  </si>
  <si>
    <t>09h15 85100 Les Sables d'Olonne (les Sables d'Olonne)</t>
  </si>
  <si>
    <t>09h15 85100 Les Sables d'Olonne ( la Chaume)</t>
  </si>
  <si>
    <t>09h20 85100 Les Sables d'Olonne (les Sables d'Olonne)-.</t>
  </si>
  <si>
    <t>09h20 85100 Les Sables d'Olonne (les Sables d'Olonne)</t>
  </si>
  <si>
    <t>09h20 85100 Les Sables d'Olonne ( la Chaume)</t>
  </si>
  <si>
    <t>09h20 85340 Les Sables d'Olonne (Olonne sur Mer)</t>
  </si>
  <si>
    <t>09h20 85180 Les Sables d'Olonne (le Château d'Olonne)-.</t>
  </si>
  <si>
    <t>09h20 85180 Les Sables d'Olonne (le Château d'Olonne)</t>
  </si>
  <si>
    <t>09h20 85150 Saint-Mathurin</t>
  </si>
  <si>
    <t>09h25 85100 Les Sables d'Olonne (les Sables d'Olonne)-.</t>
  </si>
  <si>
    <t>09h25 85100 Les Sables d'Olonne (les Sables d'Olonne)</t>
  </si>
  <si>
    <t>09h25 85100 Les Sables d'Olonne ( la Chaume)</t>
  </si>
  <si>
    <t>09h25 85340 Les Sables d'Olonne (Olonne sur Mer)</t>
  </si>
  <si>
    <t>09h25 85180 Les Sables d'Olonne (le Château d'Olonne)-.</t>
  </si>
  <si>
    <t>09h25 85180 Les Sables d'Olonne (le Château d'Olonne)</t>
  </si>
  <si>
    <t>09h25 85150 Saint-Mathurin</t>
  </si>
  <si>
    <t>09h30 85100 Les Sables d'Olonne (les Sables d'Olonne)-.</t>
  </si>
  <si>
    <t>09h30 85100 Les Sables d'Olonne ( la Chaume)</t>
  </si>
  <si>
    <t>09h30 85340 Les Sables d'Olonne (Olonne sur Mer)</t>
  </si>
  <si>
    <t>09h30 85180 Les Sables d'Olonne (le Château d'Olonne)</t>
  </si>
  <si>
    <t>09h30 85150 Saint-Mathurin</t>
  </si>
  <si>
    <t>09h35 85100 Les Sables d'Olonne (les Sables d'Olonne)-.</t>
  </si>
  <si>
    <t>09h35 85100 Les Sables d'Olonne (les Sables d'Olonne)</t>
  </si>
  <si>
    <t>09h35 85100 Les Sables d'Olonne ( la Chaume)</t>
  </si>
  <si>
    <t>09h35 85340 Les Sables d'Olonne (Olonne sur Mer)</t>
  </si>
  <si>
    <t>09h35 85180 Les Sables d'Olonne (le Château d'Olonne)</t>
  </si>
  <si>
    <t>09h35 85150 Saint-Mathurin</t>
  </si>
  <si>
    <t>09h40 85100 Les Sables d'Olonne (les Sables d'Olonne)-.</t>
  </si>
  <si>
    <t>09h40 85100 Les Sables d'Olonne (les Sables d'Olonne)</t>
  </si>
  <si>
    <t>09h40 85100 Les Sables d'Olonne ( la Chaume)</t>
  </si>
  <si>
    <t>09h40 85340 Les Sables d'Olonne (Olonne sur Mer)</t>
  </si>
  <si>
    <t>09h40 85180 Les Sables d'Olonne (le Château d'Olonne)-.</t>
  </si>
  <si>
    <t>09h40 85180 Les Sables d'Olonne (le Château d'Olonne)</t>
  </si>
  <si>
    <t>09h40 85150 Saint-Mathurin</t>
  </si>
  <si>
    <t>09h45 85100 Les Sables d'Olonne (les Sables d'Olonne)-.</t>
  </si>
  <si>
    <t>09h45 85100 Les Sables d'Olonne (les Sables d'Olonne)</t>
  </si>
  <si>
    <t>09h45 85100 Les Sables d'Olonne ( la Chaume)</t>
  </si>
  <si>
    <t>09h45 85340 Les Sables d'Olonne (Olonne sur Mer)</t>
  </si>
  <si>
    <t>09h45 85180 Les Sables d'Olonne (le Château d'Olonne)</t>
  </si>
  <si>
    <t>09h45 85150 Saint-Mathurin</t>
  </si>
  <si>
    <t>09h50 85100 Les Sables d'Olonne (les Sables d'Olonne)-.</t>
  </si>
  <si>
    <t>09h50 85100 Les Sables d'Olonne (les Sables d'Olonne)</t>
  </si>
  <si>
    <t>09h50 85100 Les Sables d'Olonne ( la Chaume)</t>
  </si>
  <si>
    <t>09h50 85340 Les Sables d'Olonne (Olonne sur Mer)-.</t>
  </si>
  <si>
    <t>09h50 85180 Les Sables d'Olonne (le Château d'Olonne)-.</t>
  </si>
  <si>
    <t>09h50 85180 Les Sables d'Olonne (le Château d'Olonne)</t>
  </si>
  <si>
    <t>09h50 85150 Saint-Mathurin</t>
  </si>
  <si>
    <t>09h55 85100 Les Sables d'Olonne (les Sables d'Olonne)-.</t>
  </si>
  <si>
    <t>09h55 85100 Les Sables d'Olonne (les Sables d'Olonne)</t>
  </si>
  <si>
    <t>09h55 85100 Les Sables d'Olonne ( la Chaume)</t>
  </si>
  <si>
    <t>09h55 85340 Les Sables d'Olonne (Olonne sur Mer)-.</t>
  </si>
  <si>
    <t>09h55 85340 Les Sables d'Olonne (Olonne sur Mer)</t>
  </si>
  <si>
    <t>09h55 85180 Les Sables d'Olonne (le Château d'Olonne)-.</t>
  </si>
  <si>
    <t>09h55 85180 Les Sables d'Olonne (le Château d'Olonne)</t>
  </si>
  <si>
    <t>09h55 85150 Saint-Mathurin</t>
  </si>
  <si>
    <t>10h00 85100 Les Sables d'Olonne (les Sables d'Olonne)-.</t>
  </si>
  <si>
    <t>10h00 85100 Les Sables d'Olonne (les Sables d'Olonne)</t>
  </si>
  <si>
    <t>10h00 85100 Les Sables d'Olonne ( la Chaume)</t>
  </si>
  <si>
    <t>10h00 85180 Les Sables d'Olonne (le Château d'Olonne)-.</t>
  </si>
  <si>
    <t>10h00 85180 Les Sables d'Olonne (le Château d'Olonne)</t>
  </si>
  <si>
    <t>10h00 85150 Saint-Mathurin</t>
  </si>
  <si>
    <t>10h05 85100 Les Sables d'Olonne (les Sables d'Olonne)-.</t>
  </si>
  <si>
    <t>10h05 85100 Les Sables d'Olonne (les Sables d'Olonne)</t>
  </si>
  <si>
    <t>10h05 85100 Les Sables d'Olonne ( la Chaume)</t>
  </si>
  <si>
    <t>10h05 85340 Les Sables d'Olonne (Olonne sur Mer)-.</t>
  </si>
  <si>
    <t>10h05 85340 Les Sables d'Olonne (Olonne sur Mer)</t>
  </si>
  <si>
    <t>10h05 85180 Les Sables d'Olonne (le Château d'Olonne)-.</t>
  </si>
  <si>
    <t>10h05 85180 Les Sables d'Olonne (le Château d'Olonne)</t>
  </si>
  <si>
    <t>10h05 85150 Saint-Mathurin</t>
  </si>
  <si>
    <t>10h10 85100 Les Sables d'Olonne (les Sables d'Olonne)-.</t>
  </si>
  <si>
    <t>10h10 85100 Les Sables d'Olonne (les Sables d'Olonne)</t>
  </si>
  <si>
    <t>10h10 85100 Les Sables d'Olonne ( la Chaume)</t>
  </si>
  <si>
    <t>10h10 85340 Les Sables d'Olonne (Olonne sur Mer)-.</t>
  </si>
  <si>
    <t>10h10 85340 Les Sables d'Olonne (Olonne sur Mer)</t>
  </si>
  <si>
    <t>10h10 85180 Les Sables d'Olonne (le Château d'Olonne)</t>
  </si>
  <si>
    <t>10h10 85150 Saint-Mathurin</t>
  </si>
  <si>
    <t>10h15 85100 Les Sables d'Olonne (les Sables d'Olonne)-.</t>
  </si>
  <si>
    <t>10h15 85100 Les Sables d'Olonne (les Sables d'Olonne)</t>
  </si>
  <si>
    <t>10h15 85100 Les Sables d'Olonne ( la Chaume)</t>
  </si>
  <si>
    <t>10h15 85340 Les Sables d'Olonne (Olonne sur Mer)</t>
  </si>
  <si>
    <t>10h15 85180 Les Sables d'Olonne (le Château d'Olonne)-.</t>
  </si>
  <si>
    <t>10h15 85180 Les Sables d'Olonne (le Château d'Olonne)</t>
  </si>
  <si>
    <t>10h15 85150 Saint-Mathurin</t>
  </si>
  <si>
    <t>10h20 85100 Les Sables d'Olonne (les Sables d'Olonne)-.</t>
  </si>
  <si>
    <t>10h20 85100 Les Sables d'Olonne (les Sables d'Olonne)</t>
  </si>
  <si>
    <t>10h20 85100 Les Sables d'Olonne ( la Chaume)</t>
  </si>
  <si>
    <t>10h20 85340 Les Sables d'Olonne (Olonne sur Mer)-.</t>
  </si>
  <si>
    <t>10h20 85340 Les Sables d'Olonne (Olonne sur Mer)</t>
  </si>
  <si>
    <t>10h20 85180 Les Sables d'Olonne (le Château d'Olonne)-.</t>
  </si>
  <si>
    <t>10h20 85180 Les Sables d'Olonne (le Château d'Olonne)</t>
  </si>
  <si>
    <t>10h20 85150 Saint-Mathurin</t>
  </si>
  <si>
    <t>10h25 85100 Les Sables d'Olonne (les Sables d'Olonne)-.</t>
  </si>
  <si>
    <t>10h25 85100 Les Sables d'Olonne (les Sables d'Olonne)</t>
  </si>
  <si>
    <t>10h25 85100 Les Sables d'Olonne ( la Chaume)</t>
  </si>
  <si>
    <t>10h25 85180 Les Sables d'Olonne (le Château d'Olonne)-.</t>
  </si>
  <si>
    <t>10h25 85180 Les Sables d'Olonne (le Château d'Olonne)</t>
  </si>
  <si>
    <t>10h25 85150 Saint-Mathurin</t>
  </si>
  <si>
    <t>10h30 85100 Les Sables d'Olonne (les Sables d'Olonne)-.</t>
  </si>
  <si>
    <t>10h30 85100 Les Sables d'Olonne (les Sables d'Olonne)</t>
  </si>
  <si>
    <t>10h30 85100 Les Sables d'Olonne ( la Chaume)</t>
  </si>
  <si>
    <t>10h30 85150 Saint-Mathurin</t>
  </si>
  <si>
    <t>10h31 au local</t>
  </si>
  <si>
    <t>10h32 au local-.</t>
  </si>
  <si>
    <t>10h33 au local-.</t>
  </si>
  <si>
    <t>10h34 au local</t>
  </si>
  <si>
    <t>10h34 au local-.</t>
  </si>
  <si>
    <t>10h35 au local</t>
  </si>
  <si>
    <t>10h35 au local-.</t>
  </si>
  <si>
    <t>10h36 au local</t>
  </si>
  <si>
    <t>10h36 au local-.</t>
  </si>
  <si>
    <t>10h37 au local-.</t>
  </si>
  <si>
    <t>10h37 au local</t>
  </si>
  <si>
    <t>Option 361</t>
  </si>
  <si>
    <t>1 € [Nombre de Viennoiseries en plus]</t>
  </si>
  <si>
    <t>5,5 €  [Nombre de Brioches en plus]</t>
  </si>
  <si>
    <t>2 € [Nombre de Bouteilles de Jus d'Orange]</t>
  </si>
  <si>
    <t>2,5 € [Nombre de 12 x Chouquettes en plus]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</si>
</sst>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7" formatCode="0;0;&quot;0 = Non&quot;"/>
  </numFmts>
  <fonts count="13" x14ac:knownFonts="1">
    <font>
      <sz val="10"/>
      <color rgb="FF000000"/>
      <name val="Arial"/>
    </font>
    <font>
      <b/>
      <sz val="12"/>
      <name val="Arial"/>
    </font>
    <font>
      <b/>
      <sz val="11"/>
      <name val="Arial"/>
    </font>
    <font>
      <sz val="12"/>
      <color rgb="FF000000"/>
      <name val="Arial"/>
    </font>
    <font>
      <b/>
      <sz val="11"/>
      <color rgb="FF000000"/>
      <name val="Arial"/>
    </font>
    <font>
      <sz val="10"/>
      <color rgb="FFFFFFFF"/>
      <name val="Arial"/>
    </font>
    <font>
      <sz val="12"/>
      <color rgb="FFFFFFFF"/>
      <name val="Arial"/>
    </font>
    <font>
      <sz val="10"/>
      <color rgb="FFFF0000"/>
      <name val="Arial"/>
    </font>
    <font>
      <sz val="12"/>
      <color rgb="FFFF0000"/>
      <name val="Arial"/>
    </font>
    <font>
      <sz val="10"/>
      <color rgb="FF7030A0"/>
      <name val="Arial"/>
    </font>
    <font>
      <sz val="12"/>
      <color rgb="FF7030A0"/>
      <name val="Arial"/>
    </font>
    <font>
      <b/>
      <sz val="8"/>
      <color rgb="FFFF0000"/>
      <name val="Arial"/>
    </font>
    <font>
      <sz val="10"/>
      <name val="Arial"/>
    </font>
  </fonts>
  <fills count="8">
    <fill>
      <patternFill patternType="none"/>
    </fill>
    <fill>
      <patternFill patternType="gray125"/>
    </fill>
    <fill>
      <patternFill patternType="solid">
        <fgColor rgb="FFA6E3B6"/>
        <bgColor rgb="FFA6E3B6"/>
      </patternFill>
    </fill>
    <fill>
      <patternFill patternType="solid">
        <fgColor rgb="FF277E3E"/>
        <bgColor rgb="FF277E3E"/>
      </patternFill>
    </fill>
    <fill>
      <patternFill patternType="solid">
        <fgColor rgb="FFB4E4E8"/>
        <bgColor rgb="FFB4E4E8"/>
      </patternFill>
    </fill>
    <fill>
      <patternFill patternType="solid">
        <fgColor rgb="FFFF0000"/>
        <bgColor rgb="FFFF0000"/>
      </patternFill>
    </fill>
    <fill>
      <patternFill patternType="solid">
        <fgColor rgb="FF8DB5F8"/>
        <bgColor rgb="FF8DB5F8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">
    <xf numFmtId="0" fontId="0" fillId="0" borderId="0"/>
  </cellStyleXfs>
  <cellXfs count="126">
    <xf numFmtId="0" fontId="0" fillId="0" borderId="0" xfId="0" applyFont="1" applyAlignment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0" fillId="2" borderId="1" xfId="0" applyFont="1" applyFill="1" applyBorder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left"/>
    </xf>
    <xf numFmtId="0" fontId="0" fillId="4" borderId="1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left" wrapText="1"/>
    </xf>
    <xf numFmtId="0" fontId="0" fillId="4" borderId="1" xfId="0" applyFont="1" applyFill="1" applyBorder="1" applyAlignment="1">
      <alignment horizontal="center" wrapText="1"/>
    </xf>
    <xf numFmtId="0" fontId="0" fillId="4" borderId="3" xfId="0" applyFont="1" applyFill="1" applyBorder="1" applyAlignment="1">
      <alignment horizontal="center" wrapText="1"/>
    </xf>
    <xf numFmtId="0" fontId="5" fillId="5" borderId="1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left"/>
    </xf>
    <xf numFmtId="0" fontId="5" fillId="5" borderId="1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wrapText="1"/>
    </xf>
    <xf numFmtId="0" fontId="0" fillId="6" borderId="1" xfId="0" applyFont="1" applyFill="1" applyBorder="1" applyAlignment="1">
      <alignment horizontal="left" vertical="center"/>
    </xf>
    <xf numFmtId="0" fontId="0" fillId="6" borderId="1" xfId="0" applyFont="1" applyFill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left"/>
    </xf>
    <xf numFmtId="0" fontId="0" fillId="6" borderId="1" xfId="0" applyFont="1" applyFill="1" applyBorder="1" applyAlignment="1">
      <alignment horizontal="center"/>
    </xf>
    <xf numFmtId="0" fontId="0" fillId="6" borderId="3" xfId="0" applyFont="1" applyFill="1" applyBorder="1" applyAlignment="1">
      <alignment horizontal="center"/>
    </xf>
    <xf numFmtId="0" fontId="0" fillId="6" borderId="6" xfId="0" applyFont="1" applyFill="1" applyBorder="1" applyAlignment="1">
      <alignment horizontal="left" vertical="center"/>
    </xf>
    <xf numFmtId="0" fontId="0" fillId="6" borderId="6" xfId="0" applyFont="1" applyFill="1" applyBorder="1" applyAlignment="1">
      <alignment horizontal="center" vertical="center"/>
    </xf>
    <xf numFmtId="0" fontId="0" fillId="6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left"/>
    </xf>
    <xf numFmtId="0" fontId="0" fillId="6" borderId="6" xfId="0" applyFont="1" applyFill="1" applyBorder="1" applyAlignment="1">
      <alignment horizontal="center"/>
    </xf>
    <xf numFmtId="0" fontId="0" fillId="6" borderId="7" xfId="0" applyFont="1" applyFill="1" applyBorder="1" applyAlignment="1">
      <alignment horizontal="center"/>
    </xf>
    <xf numFmtId="0" fontId="0" fillId="6" borderId="10" xfId="0" applyFont="1" applyFill="1" applyBorder="1" applyAlignment="1">
      <alignment horizontal="left" vertical="center"/>
    </xf>
    <xf numFmtId="0" fontId="0" fillId="6" borderId="10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left" vertical="center"/>
    </xf>
    <xf numFmtId="0" fontId="9" fillId="6" borderId="1" xfId="0" applyFont="1" applyFill="1" applyBorder="1" applyAlignment="1">
      <alignment horizontal="center" wrapText="1"/>
    </xf>
    <xf numFmtId="0" fontId="10" fillId="6" borderId="8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2" xfId="0" applyFont="1" applyBorder="1" applyAlignment="1">
      <alignment horizontal="left"/>
    </xf>
    <xf numFmtId="0" fontId="0" fillId="0" borderId="2" xfId="0" applyFont="1" applyBorder="1" applyAlignment="1">
      <alignment horizontal="center" vertical="center"/>
    </xf>
    <xf numFmtId="0" fontId="0" fillId="7" borderId="1" xfId="0" applyFont="1" applyFill="1" applyBorder="1" applyAlignment="1">
      <alignment horizontal="left"/>
    </xf>
    <xf numFmtId="0" fontId="0" fillId="7" borderId="1" xfId="0" applyFont="1" applyFill="1" applyBorder="1" applyAlignment="1">
      <alignment horizontal="center"/>
    </xf>
    <xf numFmtId="0" fontId="3" fillId="7" borderId="8" xfId="0" applyFont="1" applyFill="1" applyBorder="1" applyAlignment="1">
      <alignment horizontal="center" vertical="center"/>
    </xf>
    <xf numFmtId="0" fontId="3" fillId="7" borderId="9" xfId="0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left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/>
    </xf>
    <xf numFmtId="0" fontId="0" fillId="7" borderId="6" xfId="0" applyFont="1" applyFill="1" applyBorder="1" applyAlignment="1">
      <alignment horizontal="center" vertical="center"/>
    </xf>
    <xf numFmtId="0" fontId="0" fillId="7" borderId="6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49" fontId="0" fillId="0" borderId="0" xfId="0" applyNumberFormat="1" applyFont="1"/>
    <xf numFmtId="49" fontId="12" fillId="0" borderId="0" xfId="0" applyNumberFormat="1" applyFont="1"/>
    <xf numFmtId="0" fontId="0" fillId="0" borderId="0" xfId="0" applyFont="1" applyAlignment="1"/>
    <xf numFmtId="0" fontId="0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167" fontId="0" fillId="2" borderId="1" xfId="0" applyNumberFormat="1" applyFont="1" applyFill="1" applyBorder="1" applyAlignment="1">
      <alignment horizontal="center" vertical="center"/>
    </xf>
    <xf numFmtId="167" fontId="5" fillId="3" borderId="1" xfId="0" applyNumberFormat="1" applyFont="1" applyFill="1" applyBorder="1" applyAlignment="1">
      <alignment horizontal="center"/>
    </xf>
    <xf numFmtId="167" fontId="5" fillId="3" borderId="1" xfId="0" applyNumberFormat="1" applyFont="1" applyFill="1" applyBorder="1" applyAlignment="1">
      <alignment horizontal="center" vertical="center"/>
    </xf>
    <xf numFmtId="167" fontId="5" fillId="3" borderId="1" xfId="0" applyNumberFormat="1" applyFont="1" applyFill="1" applyBorder="1" applyAlignment="1">
      <alignment horizontal="center" wrapText="1"/>
    </xf>
    <xf numFmtId="167" fontId="0" fillId="4" borderId="1" xfId="0" applyNumberFormat="1" applyFont="1" applyFill="1" applyBorder="1" applyAlignment="1">
      <alignment horizontal="center" vertical="center"/>
    </xf>
    <xf numFmtId="167" fontId="0" fillId="4" borderId="1" xfId="0" applyNumberFormat="1" applyFont="1" applyFill="1" applyBorder="1" applyAlignment="1">
      <alignment horizontal="center"/>
    </xf>
    <xf numFmtId="167" fontId="0" fillId="4" borderId="1" xfId="0" applyNumberFormat="1" applyFont="1" applyFill="1" applyBorder="1" applyAlignment="1">
      <alignment horizontal="center" wrapText="1"/>
    </xf>
    <xf numFmtId="167" fontId="5" fillId="5" borderId="1" xfId="0" applyNumberFormat="1" applyFont="1" applyFill="1" applyBorder="1" applyAlignment="1">
      <alignment horizontal="center" vertical="center"/>
    </xf>
    <xf numFmtId="167" fontId="5" fillId="5" borderId="1" xfId="0" applyNumberFormat="1" applyFont="1" applyFill="1" applyBorder="1" applyAlignment="1">
      <alignment horizontal="center"/>
    </xf>
    <xf numFmtId="167" fontId="5" fillId="5" borderId="1" xfId="0" applyNumberFormat="1" applyFont="1" applyFill="1" applyBorder="1" applyAlignment="1">
      <alignment horizontal="center" wrapText="1"/>
    </xf>
    <xf numFmtId="167" fontId="0" fillId="6" borderId="1" xfId="0" applyNumberFormat="1" applyFont="1" applyFill="1" applyBorder="1" applyAlignment="1">
      <alignment horizontal="center" vertical="center"/>
    </xf>
    <xf numFmtId="167" fontId="0" fillId="6" borderId="1" xfId="0" applyNumberFormat="1" applyFont="1" applyFill="1" applyBorder="1" applyAlignment="1">
      <alignment horizontal="center"/>
    </xf>
    <xf numFmtId="167" fontId="0" fillId="6" borderId="6" xfId="0" applyNumberFormat="1" applyFont="1" applyFill="1" applyBorder="1" applyAlignment="1">
      <alignment horizontal="center" vertical="center"/>
    </xf>
    <xf numFmtId="167" fontId="0" fillId="6" borderId="6" xfId="0" applyNumberFormat="1" applyFont="1" applyFill="1" applyBorder="1" applyAlignment="1">
      <alignment horizontal="center"/>
    </xf>
    <xf numFmtId="167" fontId="0" fillId="6" borderId="10" xfId="0" applyNumberFormat="1" applyFont="1" applyFill="1" applyBorder="1" applyAlignment="1">
      <alignment horizontal="center" vertical="center"/>
    </xf>
    <xf numFmtId="167" fontId="7" fillId="6" borderId="1" xfId="0" applyNumberFormat="1" applyFont="1" applyFill="1" applyBorder="1" applyAlignment="1">
      <alignment horizontal="center" vertical="center"/>
    </xf>
    <xf numFmtId="167" fontId="9" fillId="6" borderId="1" xfId="0" applyNumberFormat="1" applyFont="1" applyFill="1" applyBorder="1" applyAlignment="1">
      <alignment horizontal="center" wrapText="1"/>
    </xf>
    <xf numFmtId="167" fontId="0" fillId="0" borderId="1" xfId="0" applyNumberFormat="1" applyFont="1" applyBorder="1" applyAlignment="1">
      <alignment horizontal="center"/>
    </xf>
    <xf numFmtId="167" fontId="0" fillId="0" borderId="1" xfId="0" applyNumberFormat="1" applyFont="1" applyBorder="1" applyAlignment="1">
      <alignment horizontal="center" vertical="center"/>
    </xf>
    <xf numFmtId="167" fontId="0" fillId="0" borderId="2" xfId="0" applyNumberFormat="1" applyFont="1" applyBorder="1" applyAlignment="1">
      <alignment horizontal="center" vertical="center"/>
    </xf>
    <xf numFmtId="167" fontId="0" fillId="7" borderId="1" xfId="0" applyNumberFormat="1" applyFont="1" applyFill="1" applyBorder="1" applyAlignment="1">
      <alignment horizontal="center"/>
    </xf>
    <xf numFmtId="167" fontId="0" fillId="7" borderId="1" xfId="0" applyNumberFormat="1" applyFont="1" applyFill="1" applyBorder="1" applyAlignment="1">
      <alignment horizontal="center" vertical="center"/>
    </xf>
    <xf numFmtId="167" fontId="0" fillId="7" borderId="6" xfId="0" applyNumberFormat="1" applyFont="1" applyFill="1" applyBorder="1" applyAlignment="1">
      <alignment horizontal="center"/>
    </xf>
    <xf numFmtId="167" fontId="0" fillId="7" borderId="6" xfId="0" applyNumberFormat="1" applyFont="1" applyFill="1" applyBorder="1" applyAlignment="1">
      <alignment horizontal="center" vertical="center"/>
    </xf>
    <xf numFmtId="167" fontId="0" fillId="7" borderId="6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1048576"/>
  <sheetViews>
    <sheetView tabSelected="1" workbookViewId="0">
      <pane ySplit="2" topLeftCell="A3" activePane="bottomLeft" state="frozen"/>
      <selection pane="bottomLeft" activeCell="M4" sqref="M4:M148"/>
    </sheetView>
  </sheetViews>
  <sheetFormatPr defaultColWidth="12.5703125" defaultRowHeight="15" customHeight="1" x14ac:dyDescent="0.2"/>
  <cols>
    <col min="1" max="1" width="74" customWidth="1"/>
    <col min="2" max="2" width="10.28515625" customWidth="1"/>
    <col min="3" max="3" width="11.140625" customWidth="1"/>
    <col min="4" max="4" width="9" customWidth="1"/>
    <col min="5" max="5" width="9.140625" customWidth="1"/>
    <col min="6" max="6" width="7.28515625" customWidth="1"/>
    <col min="7" max="7" width="7.85546875" customWidth="1"/>
    <col min="8" max="8" width="8" customWidth="1"/>
    <col min="9" max="9" width="7.85546875" customWidth="1"/>
    <col min="10" max="10" width="9.42578125" customWidth="1"/>
    <col min="11" max="11" width="8.140625" customWidth="1"/>
    <col min="12" max="12" width="7.85546875" customWidth="1"/>
    <col min="13" max="13" width="10.28515625" bestFit="1" customWidth="1"/>
  </cols>
  <sheetData>
    <row r="1" spans="1:18" ht="82.5" customHeight="1" x14ac:dyDescent="0.2">
      <c r="A1" s="1" t="s">
        <v>0</v>
      </c>
      <c r="B1" s="2" t="s">
        <v>396</v>
      </c>
      <c r="C1" s="2" t="s">
        <v>397</v>
      </c>
      <c r="D1" s="2" t="s">
        <v>398</v>
      </c>
      <c r="E1" s="2" t="s">
        <v>399</v>
      </c>
      <c r="F1" s="2" t="s">
        <v>1</v>
      </c>
      <c r="G1" s="2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4" t="s">
        <v>8</v>
      </c>
      <c r="N1" s="96"/>
    </row>
    <row r="2" spans="1:18" ht="15.75" hidden="1" customHeight="1" x14ac:dyDescent="0.2">
      <c r="A2" s="1"/>
      <c r="B2" s="5"/>
      <c r="C2" s="5"/>
      <c r="D2" s="5"/>
      <c r="E2" s="5"/>
      <c r="F2" s="5"/>
      <c r="G2" s="5"/>
      <c r="H2" s="6"/>
      <c r="I2" s="6"/>
      <c r="J2" s="6"/>
      <c r="K2" s="6"/>
      <c r="L2" s="6"/>
      <c r="M2" s="7"/>
    </row>
    <row r="3" spans="1:18" ht="15.75" customHeight="1" thickBot="1" x14ac:dyDescent="0.25">
      <c r="A3" s="1"/>
      <c r="B3" s="5">
        <v>1</v>
      </c>
      <c r="C3" s="5">
        <v>5.5</v>
      </c>
      <c r="D3" s="5">
        <v>2</v>
      </c>
      <c r="E3" s="5">
        <v>2.5</v>
      </c>
      <c r="F3" s="5"/>
      <c r="G3" s="97"/>
      <c r="H3" s="98"/>
      <c r="I3" s="98"/>
      <c r="J3" s="98"/>
      <c r="K3" s="98"/>
      <c r="L3" s="98"/>
      <c r="M3" s="7"/>
    </row>
    <row r="4" spans="1:18" ht="15.75" customHeight="1" thickBot="1" x14ac:dyDescent="0.25">
      <c r="A4" s="8" t="s">
        <v>10</v>
      </c>
      <c r="B4" s="101">
        <v>0</v>
      </c>
      <c r="C4" s="101">
        <v>0</v>
      </c>
      <c r="D4" s="101">
        <v>2</v>
      </c>
      <c r="E4" s="101">
        <v>0</v>
      </c>
      <c r="F4" s="9">
        <v>4</v>
      </c>
      <c r="G4" s="10">
        <v>4</v>
      </c>
      <c r="H4" s="11">
        <f t="shared" ref="H4:H34" si="0">IFERROR(VALUE(SUBSTITUTE(MID($A4,SEARCH(H$1,$A4)-3,2)," ","")),0)+IF(ISNUMBER(B4),B4,0)</f>
        <v>8</v>
      </c>
      <c r="I4" s="11">
        <f t="shared" ref="I4:I34" si="1">IFERROR(VALUE(SUBSTITUTE(MID($A4,SEARCH(I$1,$A4)-3,2)," ","")),0)</f>
        <v>4</v>
      </c>
      <c r="J4" s="11">
        <f t="shared" ref="J4:J7" si="2">IFERROR(VALUE(SUBSTITUTE(MID($A4,SEARCH(J$1,$A4)-3,2)," ","")),0)+IF(ISNUMBER(C4),D4,0)</f>
        <v>4</v>
      </c>
      <c r="K4" s="11">
        <f t="shared" ref="K4:K148" si="3">SUM(D4)</f>
        <v>2</v>
      </c>
      <c r="L4" s="12">
        <f t="shared" ref="L4:L148" si="4">IFERROR(VALUE(SUBSTITUTE(MID($A4,SEARCH(L$1,$A4)-3,2)," ","")),0)+IF(ISNUMBER(E4),E4*12,0)</f>
        <v>0</v>
      </c>
      <c r="M4" s="13" t="e" cm="1">
        <f t="array" ref="M4">SUMPRODUCT(B4:E4*$B$3:$E$3)+SUBSTITUTE(RIGHT(A4,5),"€",",")</f>
        <v>#VALUE!</v>
      </c>
      <c r="O4" s="96"/>
      <c r="P4" s="96"/>
      <c r="Q4" s="96"/>
      <c r="R4" s="96"/>
    </row>
    <row r="5" spans="1:18" ht="15.75" customHeight="1" thickBot="1" x14ac:dyDescent="0.25">
      <c r="A5" s="8" t="s">
        <v>12</v>
      </c>
      <c r="B5" s="101">
        <v>0</v>
      </c>
      <c r="C5" s="101">
        <v>0</v>
      </c>
      <c r="D5" s="101">
        <v>0</v>
      </c>
      <c r="E5" s="101">
        <v>0</v>
      </c>
      <c r="F5" s="9">
        <v>4</v>
      </c>
      <c r="G5" s="10">
        <v>0</v>
      </c>
      <c r="H5" s="11">
        <f t="shared" si="0"/>
        <v>4</v>
      </c>
      <c r="I5" s="11">
        <f t="shared" si="1"/>
        <v>2</v>
      </c>
      <c r="J5" s="11">
        <f t="shared" si="2"/>
        <v>1</v>
      </c>
      <c r="K5" s="11">
        <f t="shared" si="3"/>
        <v>0</v>
      </c>
      <c r="L5" s="12">
        <f t="shared" si="4"/>
        <v>0</v>
      </c>
      <c r="M5" s="13" t="e" cm="1">
        <f t="array" ref="M5">SUMPRODUCT(B5:E5*$B$3:$E$3)+SUBSTITUTE(RIGHT(A5,5),"€",",")</f>
        <v>#VALUE!</v>
      </c>
    </row>
    <row r="6" spans="1:18" ht="15.75" customHeight="1" thickBot="1" x14ac:dyDescent="0.25">
      <c r="A6" s="8" t="s">
        <v>14</v>
      </c>
      <c r="B6" s="101">
        <v>0</v>
      </c>
      <c r="C6" s="101">
        <v>0</v>
      </c>
      <c r="D6" s="101">
        <v>0</v>
      </c>
      <c r="E6" s="101">
        <v>0</v>
      </c>
      <c r="F6" s="9">
        <v>0</v>
      </c>
      <c r="G6" s="10">
        <v>2</v>
      </c>
      <c r="H6" s="11">
        <f t="shared" si="0"/>
        <v>2</v>
      </c>
      <c r="I6" s="11">
        <f t="shared" si="1"/>
        <v>2</v>
      </c>
      <c r="J6" s="11">
        <f t="shared" si="2"/>
        <v>0</v>
      </c>
      <c r="K6" s="11">
        <f t="shared" si="3"/>
        <v>0</v>
      </c>
      <c r="L6" s="12">
        <f t="shared" si="4"/>
        <v>12</v>
      </c>
      <c r="M6" s="13" t="e" cm="1">
        <f t="array" ref="M6">SUMPRODUCT(B6:E6*$B$3:$E$3)+SUBSTITUTE(RIGHT(A6,5),"€",",")</f>
        <v>#VALUE!</v>
      </c>
    </row>
    <row r="7" spans="1:18" ht="15.75" customHeight="1" thickBot="1" x14ac:dyDescent="0.25">
      <c r="A7" s="8" t="s">
        <v>12</v>
      </c>
      <c r="B7" s="101">
        <v>0</v>
      </c>
      <c r="C7" s="101">
        <v>0</v>
      </c>
      <c r="D7" s="101">
        <v>0</v>
      </c>
      <c r="E7" s="101">
        <v>0</v>
      </c>
      <c r="F7" s="9">
        <v>0</v>
      </c>
      <c r="G7" s="10">
        <v>4</v>
      </c>
      <c r="H7" s="11">
        <f t="shared" si="0"/>
        <v>4</v>
      </c>
      <c r="I7" s="11">
        <f t="shared" si="1"/>
        <v>2</v>
      </c>
      <c r="J7" s="11">
        <f t="shared" si="2"/>
        <v>1</v>
      </c>
      <c r="K7" s="11">
        <f t="shared" si="3"/>
        <v>0</v>
      </c>
      <c r="L7" s="12">
        <f t="shared" si="4"/>
        <v>0</v>
      </c>
      <c r="M7" s="13" t="e" cm="1">
        <f t="array" ref="M7">SUMPRODUCT(B7:E7*$B$3:$E$3)+SUBSTITUTE(RIGHT(A7,5),"€",",")</f>
        <v>#VALUE!</v>
      </c>
    </row>
    <row r="8" spans="1:18" ht="15.75" customHeight="1" thickBot="1" x14ac:dyDescent="0.25">
      <c r="A8" s="8" t="s">
        <v>17</v>
      </c>
      <c r="B8" s="101">
        <v>0</v>
      </c>
      <c r="C8" s="101">
        <v>1</v>
      </c>
      <c r="D8" s="101">
        <v>0</v>
      </c>
      <c r="E8" s="101">
        <v>0</v>
      </c>
      <c r="F8" s="9">
        <v>1</v>
      </c>
      <c r="G8" s="10">
        <v>1</v>
      </c>
      <c r="H8" s="11">
        <f t="shared" si="0"/>
        <v>2</v>
      </c>
      <c r="I8" s="11">
        <f t="shared" si="1"/>
        <v>1</v>
      </c>
      <c r="J8" s="11">
        <v>1</v>
      </c>
      <c r="K8" s="11">
        <f t="shared" si="3"/>
        <v>0</v>
      </c>
      <c r="L8" s="12">
        <f t="shared" si="4"/>
        <v>0</v>
      </c>
      <c r="M8" s="13" t="e" cm="1">
        <f t="array" ref="M8">SUMPRODUCT(B8:E8*$B$3:$E$3)+SUBSTITUTE(RIGHT(A8,5),"€",",")</f>
        <v>#VALUE!</v>
      </c>
    </row>
    <row r="9" spans="1:18" ht="15.75" customHeight="1" thickBot="1" x14ac:dyDescent="0.25">
      <c r="A9" s="8" t="s">
        <v>17</v>
      </c>
      <c r="B9" s="101">
        <v>2</v>
      </c>
      <c r="C9" s="101">
        <v>0</v>
      </c>
      <c r="D9" s="101">
        <v>0</v>
      </c>
      <c r="E9" s="101">
        <v>1</v>
      </c>
      <c r="F9" s="9">
        <v>1</v>
      </c>
      <c r="G9" s="10">
        <v>3</v>
      </c>
      <c r="H9" s="11">
        <f t="shared" si="0"/>
        <v>4</v>
      </c>
      <c r="I9" s="11">
        <f t="shared" si="1"/>
        <v>1</v>
      </c>
      <c r="J9" s="11">
        <f t="shared" ref="J9:J22" si="5">IFERROR(VALUE(SUBSTITUTE(MID($A9,SEARCH(J$1,$A9)-3,2)," ","")),0)+IF(ISNUMBER(C9),D9,0)</f>
        <v>0</v>
      </c>
      <c r="K9" s="11">
        <f t="shared" si="3"/>
        <v>0</v>
      </c>
      <c r="L9" s="12">
        <f t="shared" si="4"/>
        <v>12</v>
      </c>
      <c r="M9" s="13" t="e" cm="1">
        <f t="array" ref="M9">SUMPRODUCT(B9:E9*$B$3:$E$3)+SUBSTITUTE(RIGHT(A9,5),"€",",")</f>
        <v>#VALUE!</v>
      </c>
    </row>
    <row r="10" spans="1:18" ht="15.75" customHeight="1" thickBot="1" x14ac:dyDescent="0.25">
      <c r="A10" s="8" t="s">
        <v>10</v>
      </c>
      <c r="B10" s="101">
        <v>0</v>
      </c>
      <c r="C10" s="101">
        <v>0</v>
      </c>
      <c r="D10" s="101">
        <v>0</v>
      </c>
      <c r="E10" s="101">
        <v>0</v>
      </c>
      <c r="F10" s="9">
        <v>5</v>
      </c>
      <c r="G10" s="10">
        <v>3</v>
      </c>
      <c r="H10" s="11">
        <f t="shared" si="0"/>
        <v>8</v>
      </c>
      <c r="I10" s="11">
        <f t="shared" si="1"/>
        <v>4</v>
      </c>
      <c r="J10" s="11">
        <f t="shared" si="5"/>
        <v>2</v>
      </c>
      <c r="K10" s="11">
        <f t="shared" si="3"/>
        <v>0</v>
      </c>
      <c r="L10" s="12">
        <f t="shared" si="4"/>
        <v>0</v>
      </c>
      <c r="M10" s="13" t="e" cm="1">
        <f t="array" ref="M10">SUMPRODUCT(B10:E10*$B$3:$E$3)+SUBSTITUTE(RIGHT(A10,5),"€",",")</f>
        <v>#VALUE!</v>
      </c>
    </row>
    <row r="11" spans="1:18" ht="15.75" customHeight="1" thickBot="1" x14ac:dyDescent="0.25">
      <c r="A11" s="8" t="s">
        <v>12</v>
      </c>
      <c r="B11" s="101">
        <v>0</v>
      </c>
      <c r="C11" s="101">
        <v>0</v>
      </c>
      <c r="D11" s="101">
        <v>0</v>
      </c>
      <c r="E11" s="101">
        <v>0</v>
      </c>
      <c r="F11" s="9">
        <v>2</v>
      </c>
      <c r="G11" s="10">
        <v>2</v>
      </c>
      <c r="H11" s="11">
        <f t="shared" si="0"/>
        <v>4</v>
      </c>
      <c r="I11" s="11">
        <f t="shared" si="1"/>
        <v>2</v>
      </c>
      <c r="J11" s="11">
        <f t="shared" si="5"/>
        <v>1</v>
      </c>
      <c r="K11" s="11">
        <f t="shared" si="3"/>
        <v>0</v>
      </c>
      <c r="L11" s="12">
        <f t="shared" si="4"/>
        <v>0</v>
      </c>
      <c r="M11" s="13" t="e" cm="1">
        <f t="array" ref="M11">SUMPRODUCT(B11:E11*$B$3:$E$3)+SUBSTITUTE(RIGHT(A11,5),"€",",")</f>
        <v>#VALUE!</v>
      </c>
    </row>
    <row r="12" spans="1:18" ht="15.75" customHeight="1" thickBot="1" x14ac:dyDescent="0.25">
      <c r="A12" s="8" t="s">
        <v>12</v>
      </c>
      <c r="B12" s="101">
        <v>0</v>
      </c>
      <c r="C12" s="101">
        <v>0</v>
      </c>
      <c r="D12" s="101">
        <v>0</v>
      </c>
      <c r="E12" s="101">
        <v>0</v>
      </c>
      <c r="F12" s="9">
        <v>2</v>
      </c>
      <c r="G12" s="10">
        <v>2</v>
      </c>
      <c r="H12" s="11">
        <f t="shared" si="0"/>
        <v>4</v>
      </c>
      <c r="I12" s="11">
        <f t="shared" si="1"/>
        <v>2</v>
      </c>
      <c r="J12" s="11">
        <f t="shared" si="5"/>
        <v>1</v>
      </c>
      <c r="K12" s="11">
        <f t="shared" si="3"/>
        <v>0</v>
      </c>
      <c r="L12" s="12">
        <f t="shared" si="4"/>
        <v>0</v>
      </c>
      <c r="M12" s="13" t="e" cm="1">
        <f t="array" ref="M12">SUMPRODUCT(B12:E12*$B$3:$E$3)+SUBSTITUTE(RIGHT(A12,5),"€",",")</f>
        <v>#VALUE!</v>
      </c>
    </row>
    <row r="13" spans="1:18" ht="15.75" customHeight="1" thickBot="1" x14ac:dyDescent="0.25">
      <c r="A13" s="8" t="s">
        <v>12</v>
      </c>
      <c r="B13" s="101">
        <v>0</v>
      </c>
      <c r="C13" s="101">
        <v>0</v>
      </c>
      <c r="D13" s="101">
        <v>0</v>
      </c>
      <c r="E13" s="101">
        <v>0</v>
      </c>
      <c r="F13" s="9">
        <v>4</v>
      </c>
      <c r="G13" s="10">
        <v>0</v>
      </c>
      <c r="H13" s="11">
        <f t="shared" si="0"/>
        <v>4</v>
      </c>
      <c r="I13" s="11">
        <f t="shared" si="1"/>
        <v>2</v>
      </c>
      <c r="J13" s="11">
        <f t="shared" si="5"/>
        <v>1</v>
      </c>
      <c r="K13" s="11">
        <f t="shared" si="3"/>
        <v>0</v>
      </c>
      <c r="L13" s="12">
        <f t="shared" si="4"/>
        <v>0</v>
      </c>
      <c r="M13" s="13" t="e" cm="1">
        <f t="array" ref="M13">SUMPRODUCT(B13:E13*$B$3:$E$3)+SUBSTITUTE(RIGHT(A13,5),"€",",")</f>
        <v>#VALUE!</v>
      </c>
    </row>
    <row r="14" spans="1:18" ht="15.75" customHeight="1" thickBot="1" x14ac:dyDescent="0.25">
      <c r="A14" s="14" t="s">
        <v>12</v>
      </c>
      <c r="B14" s="102">
        <v>0</v>
      </c>
      <c r="C14" s="102">
        <v>0</v>
      </c>
      <c r="D14" s="102">
        <v>0</v>
      </c>
      <c r="E14" s="102">
        <v>0</v>
      </c>
      <c r="F14" s="15">
        <v>2</v>
      </c>
      <c r="G14" s="16">
        <v>2</v>
      </c>
      <c r="H14" s="17">
        <f t="shared" si="0"/>
        <v>4</v>
      </c>
      <c r="I14" s="17">
        <f t="shared" si="1"/>
        <v>2</v>
      </c>
      <c r="J14" s="17">
        <f t="shared" si="5"/>
        <v>1</v>
      </c>
      <c r="K14" s="17">
        <f t="shared" si="3"/>
        <v>0</v>
      </c>
      <c r="L14" s="18">
        <f t="shared" si="4"/>
        <v>0</v>
      </c>
      <c r="M14" s="13" t="e" cm="1">
        <f t="array" ref="M14">SUMPRODUCT(B14:E14*$B$3:$E$3)+SUBSTITUTE(RIGHT(A14,5),"€",",")</f>
        <v>#VALUE!</v>
      </c>
    </row>
    <row r="15" spans="1:18" ht="15.75" customHeight="1" thickBot="1" x14ac:dyDescent="0.25">
      <c r="A15" s="19" t="s">
        <v>12</v>
      </c>
      <c r="B15" s="103">
        <v>2</v>
      </c>
      <c r="C15" s="103">
        <v>0</v>
      </c>
      <c r="D15" s="103">
        <v>0</v>
      </c>
      <c r="E15" s="103">
        <v>2</v>
      </c>
      <c r="F15" s="20">
        <v>3</v>
      </c>
      <c r="G15" s="21">
        <v>3</v>
      </c>
      <c r="H15" s="17">
        <f t="shared" si="0"/>
        <v>6</v>
      </c>
      <c r="I15" s="17">
        <f t="shared" si="1"/>
        <v>2</v>
      </c>
      <c r="J15" s="17">
        <f t="shared" si="5"/>
        <v>1</v>
      </c>
      <c r="K15" s="17">
        <f t="shared" si="3"/>
        <v>0</v>
      </c>
      <c r="L15" s="18">
        <f t="shared" si="4"/>
        <v>24</v>
      </c>
      <c r="M15" s="13" t="e" cm="1">
        <f t="array" ref="M15">SUMPRODUCT(B15:E15*$B$3:$E$3)+SUBSTITUTE(RIGHT(A15,5),"€",",")</f>
        <v>#VALUE!</v>
      </c>
    </row>
    <row r="16" spans="1:18" ht="15.75" customHeight="1" thickBot="1" x14ac:dyDescent="0.25">
      <c r="A16" s="19" t="s">
        <v>17</v>
      </c>
      <c r="B16" s="103">
        <v>2</v>
      </c>
      <c r="C16" s="103">
        <v>0</v>
      </c>
      <c r="D16" s="103">
        <v>0</v>
      </c>
      <c r="E16" s="103">
        <v>0</v>
      </c>
      <c r="F16" s="20">
        <v>0</v>
      </c>
      <c r="G16" s="21">
        <v>4</v>
      </c>
      <c r="H16" s="17">
        <f t="shared" si="0"/>
        <v>4</v>
      </c>
      <c r="I16" s="17">
        <f t="shared" si="1"/>
        <v>1</v>
      </c>
      <c r="J16" s="17">
        <f t="shared" si="5"/>
        <v>0</v>
      </c>
      <c r="K16" s="17">
        <f t="shared" si="3"/>
        <v>0</v>
      </c>
      <c r="L16" s="18">
        <f t="shared" si="4"/>
        <v>0</v>
      </c>
      <c r="M16" s="13" t="e" cm="1">
        <f t="array" ref="M16">SUMPRODUCT(B16:E16*$B$3:$E$3)+SUBSTITUTE(RIGHT(A16,5),"€",",")</f>
        <v>#VALUE!</v>
      </c>
    </row>
    <row r="17" spans="1:13" ht="15.75" customHeight="1" thickBot="1" x14ac:dyDescent="0.25">
      <c r="A17" s="19" t="s">
        <v>14</v>
      </c>
      <c r="B17" s="103">
        <v>0</v>
      </c>
      <c r="C17" s="103">
        <v>0</v>
      </c>
      <c r="D17" s="103">
        <v>0</v>
      </c>
      <c r="E17" s="103">
        <v>0</v>
      </c>
      <c r="F17" s="20">
        <v>0</v>
      </c>
      <c r="G17" s="21">
        <v>2</v>
      </c>
      <c r="H17" s="17">
        <f t="shared" si="0"/>
        <v>2</v>
      </c>
      <c r="I17" s="17">
        <f t="shared" si="1"/>
        <v>2</v>
      </c>
      <c r="J17" s="17">
        <f t="shared" si="5"/>
        <v>0</v>
      </c>
      <c r="K17" s="17">
        <f t="shared" si="3"/>
        <v>0</v>
      </c>
      <c r="L17" s="18">
        <f t="shared" si="4"/>
        <v>12</v>
      </c>
      <c r="M17" s="13" t="e" cm="1">
        <f t="array" ref="M17">SUMPRODUCT(B17:E17*$B$3:$E$3)+SUBSTITUTE(RIGHT(A17,5),"€",",")</f>
        <v>#VALUE!</v>
      </c>
    </row>
    <row r="18" spans="1:13" ht="15.75" customHeight="1" thickBot="1" x14ac:dyDescent="0.25">
      <c r="A18" s="14" t="s">
        <v>17</v>
      </c>
      <c r="B18" s="102">
        <v>0</v>
      </c>
      <c r="C18" s="102">
        <v>0</v>
      </c>
      <c r="D18" s="102">
        <v>0</v>
      </c>
      <c r="E18" s="102">
        <v>0</v>
      </c>
      <c r="F18" s="15">
        <v>0</v>
      </c>
      <c r="G18" s="16">
        <v>2</v>
      </c>
      <c r="H18" s="17">
        <f t="shared" si="0"/>
        <v>2</v>
      </c>
      <c r="I18" s="17">
        <f t="shared" si="1"/>
        <v>1</v>
      </c>
      <c r="J18" s="17">
        <f t="shared" si="5"/>
        <v>0</v>
      </c>
      <c r="K18" s="17">
        <f t="shared" si="3"/>
        <v>0</v>
      </c>
      <c r="L18" s="18">
        <f t="shared" si="4"/>
        <v>0</v>
      </c>
      <c r="M18" s="13" t="e" cm="1">
        <f t="array" ref="M18">SUMPRODUCT(B18:E18*$B$3:$E$3)+SUBSTITUTE(RIGHT(A18,5),"€",",")</f>
        <v>#VALUE!</v>
      </c>
    </row>
    <row r="19" spans="1:13" ht="15.75" customHeight="1" thickBot="1" x14ac:dyDescent="0.25">
      <c r="A19" s="14" t="s">
        <v>17</v>
      </c>
      <c r="B19" s="102">
        <v>0</v>
      </c>
      <c r="C19" s="102">
        <v>0</v>
      </c>
      <c r="D19" s="102">
        <v>0</v>
      </c>
      <c r="E19" s="102">
        <v>1</v>
      </c>
      <c r="F19" s="15">
        <v>0</v>
      </c>
      <c r="G19" s="16">
        <v>2</v>
      </c>
      <c r="H19" s="17">
        <f t="shared" si="0"/>
        <v>2</v>
      </c>
      <c r="I19" s="17">
        <f t="shared" si="1"/>
        <v>1</v>
      </c>
      <c r="J19" s="17">
        <f t="shared" si="5"/>
        <v>0</v>
      </c>
      <c r="K19" s="17">
        <f t="shared" si="3"/>
        <v>0</v>
      </c>
      <c r="L19" s="18">
        <f t="shared" si="4"/>
        <v>12</v>
      </c>
      <c r="M19" s="13" t="e" cm="1">
        <f t="array" ref="M19">SUMPRODUCT(B19:E19*$B$3:$E$3)+SUBSTITUTE(RIGHT(A19,5),"€",",")</f>
        <v>#VALUE!</v>
      </c>
    </row>
    <row r="20" spans="1:13" ht="15.75" customHeight="1" thickBot="1" x14ac:dyDescent="0.25">
      <c r="A20" s="14" t="s">
        <v>14</v>
      </c>
      <c r="B20" s="102">
        <v>0</v>
      </c>
      <c r="C20" s="102">
        <v>0</v>
      </c>
      <c r="D20" s="102">
        <v>0</v>
      </c>
      <c r="E20" s="102">
        <v>0</v>
      </c>
      <c r="F20" s="15">
        <v>0</v>
      </c>
      <c r="G20" s="16">
        <v>2</v>
      </c>
      <c r="H20" s="17">
        <f t="shared" si="0"/>
        <v>2</v>
      </c>
      <c r="I20" s="17">
        <f t="shared" si="1"/>
        <v>2</v>
      </c>
      <c r="J20" s="17">
        <f t="shared" si="5"/>
        <v>0</v>
      </c>
      <c r="K20" s="17">
        <f t="shared" si="3"/>
        <v>0</v>
      </c>
      <c r="L20" s="18">
        <f t="shared" si="4"/>
        <v>12</v>
      </c>
      <c r="M20" s="13" t="e" cm="1">
        <f t="array" ref="M20">SUMPRODUCT(B20:E20*$B$3:$E$3)+SUBSTITUTE(RIGHT(A20,5),"€",",")</f>
        <v>#VALUE!</v>
      </c>
    </row>
    <row r="21" spans="1:13" ht="15.75" customHeight="1" thickBot="1" x14ac:dyDescent="0.25">
      <c r="A21" s="14" t="s">
        <v>14</v>
      </c>
      <c r="B21" s="104">
        <v>0</v>
      </c>
      <c r="C21" s="104">
        <v>0</v>
      </c>
      <c r="D21" s="104">
        <v>0</v>
      </c>
      <c r="E21" s="104">
        <v>0</v>
      </c>
      <c r="F21" s="22">
        <v>1</v>
      </c>
      <c r="G21" s="23">
        <v>1</v>
      </c>
      <c r="H21" s="17">
        <f t="shared" si="0"/>
        <v>2</v>
      </c>
      <c r="I21" s="17">
        <f t="shared" si="1"/>
        <v>2</v>
      </c>
      <c r="J21" s="17">
        <f t="shared" si="5"/>
        <v>0</v>
      </c>
      <c r="K21" s="17">
        <f t="shared" si="3"/>
        <v>0</v>
      </c>
      <c r="L21" s="18">
        <f t="shared" si="4"/>
        <v>12</v>
      </c>
      <c r="M21" s="13" t="e" cm="1">
        <f t="array" ref="M21">SUMPRODUCT(B21:E21*$B$3:$E$3)+SUBSTITUTE(RIGHT(A21,5),"€",",")</f>
        <v>#VALUE!</v>
      </c>
    </row>
    <row r="22" spans="1:13" ht="15.75" customHeight="1" thickBot="1" x14ac:dyDescent="0.25">
      <c r="A22" s="19" t="s">
        <v>12</v>
      </c>
      <c r="B22" s="103">
        <v>0</v>
      </c>
      <c r="C22" s="103">
        <v>0</v>
      </c>
      <c r="D22" s="103">
        <v>1</v>
      </c>
      <c r="E22" s="103">
        <v>1</v>
      </c>
      <c r="F22" s="20">
        <v>2</v>
      </c>
      <c r="G22" s="21">
        <v>2</v>
      </c>
      <c r="H22" s="17">
        <f t="shared" si="0"/>
        <v>4</v>
      </c>
      <c r="I22" s="17">
        <f t="shared" si="1"/>
        <v>2</v>
      </c>
      <c r="J22" s="17">
        <f t="shared" si="5"/>
        <v>2</v>
      </c>
      <c r="K22" s="17">
        <f t="shared" si="3"/>
        <v>1</v>
      </c>
      <c r="L22" s="18">
        <f t="shared" si="4"/>
        <v>12</v>
      </c>
      <c r="M22" s="13" t="e" cm="1">
        <f t="array" ref="M22">SUMPRODUCT(B22:E22*$B$3:$E$3)+SUBSTITUTE(RIGHT(A22,5),"€",",")</f>
        <v>#VALUE!</v>
      </c>
    </row>
    <row r="23" spans="1:13" ht="15.75" customHeight="1" thickBot="1" x14ac:dyDescent="0.25">
      <c r="A23" s="14" t="s">
        <v>17</v>
      </c>
      <c r="B23" s="104">
        <v>0</v>
      </c>
      <c r="C23" s="104">
        <v>1</v>
      </c>
      <c r="D23" s="104">
        <v>0</v>
      </c>
      <c r="E23" s="104">
        <v>0</v>
      </c>
      <c r="F23" s="22">
        <v>0</v>
      </c>
      <c r="G23" s="23">
        <v>2</v>
      </c>
      <c r="H23" s="17">
        <f t="shared" si="0"/>
        <v>2</v>
      </c>
      <c r="I23" s="17">
        <f t="shared" si="1"/>
        <v>1</v>
      </c>
      <c r="J23" s="17">
        <v>1</v>
      </c>
      <c r="K23" s="17">
        <f t="shared" si="3"/>
        <v>0</v>
      </c>
      <c r="L23" s="18">
        <f t="shared" si="4"/>
        <v>0</v>
      </c>
      <c r="M23" s="13" t="e" cm="1">
        <f t="array" ref="M23">SUMPRODUCT(B23:E23*$B$3:$E$3)+SUBSTITUTE(RIGHT(A23,5),"€",",")</f>
        <v>#VALUE!</v>
      </c>
    </row>
    <row r="24" spans="1:13" ht="15.75" customHeight="1" thickBot="1" x14ac:dyDescent="0.25">
      <c r="A24" s="14" t="s">
        <v>17</v>
      </c>
      <c r="B24" s="104">
        <v>0</v>
      </c>
      <c r="C24" s="104">
        <v>0</v>
      </c>
      <c r="D24" s="104">
        <v>0</v>
      </c>
      <c r="E24" s="104">
        <v>0</v>
      </c>
      <c r="F24" s="22">
        <v>1</v>
      </c>
      <c r="G24" s="23">
        <v>1</v>
      </c>
      <c r="H24" s="17">
        <f t="shared" si="0"/>
        <v>2</v>
      </c>
      <c r="I24" s="17">
        <f t="shared" si="1"/>
        <v>1</v>
      </c>
      <c r="J24" s="17">
        <f t="shared" ref="J24:J33" si="6">IFERROR(VALUE(SUBSTITUTE(MID($A24,SEARCH(J$1,$A24)-3,2)," ","")),0)+IF(ISNUMBER(C24),D24,0)</f>
        <v>0</v>
      </c>
      <c r="K24" s="17">
        <f t="shared" si="3"/>
        <v>0</v>
      </c>
      <c r="L24" s="18">
        <f t="shared" si="4"/>
        <v>0</v>
      </c>
      <c r="M24" s="13" t="e" cm="1">
        <f t="array" ref="M24">SUMPRODUCT(B24:E24*$B$3:$E$3)+SUBSTITUTE(RIGHT(A24,5),"€",",")</f>
        <v>#VALUE!</v>
      </c>
    </row>
    <row r="25" spans="1:13" ht="15.75" customHeight="1" thickBot="1" x14ac:dyDescent="0.25">
      <c r="A25" s="19" t="s">
        <v>12</v>
      </c>
      <c r="B25" s="103">
        <v>1</v>
      </c>
      <c r="C25" s="103">
        <v>0</v>
      </c>
      <c r="D25" s="103">
        <v>1</v>
      </c>
      <c r="E25" s="103">
        <v>0</v>
      </c>
      <c r="F25" s="20">
        <v>2</v>
      </c>
      <c r="G25" s="21">
        <v>3</v>
      </c>
      <c r="H25" s="17">
        <f t="shared" si="0"/>
        <v>5</v>
      </c>
      <c r="I25" s="17">
        <f t="shared" si="1"/>
        <v>2</v>
      </c>
      <c r="J25" s="17">
        <f t="shared" si="6"/>
        <v>2</v>
      </c>
      <c r="K25" s="17">
        <f t="shared" si="3"/>
        <v>1</v>
      </c>
      <c r="L25" s="18">
        <f t="shared" si="4"/>
        <v>0</v>
      </c>
      <c r="M25" s="13" t="e" cm="1">
        <f t="array" ref="M25">SUMPRODUCT(B25:E25*$B$3:$E$3)+SUBSTITUTE(RIGHT(A25,5),"€",",")</f>
        <v>#VALUE!</v>
      </c>
    </row>
    <row r="26" spans="1:13" ht="15.75" customHeight="1" thickBot="1" x14ac:dyDescent="0.25">
      <c r="A26" s="24" t="s">
        <v>12</v>
      </c>
      <c r="B26" s="105">
        <v>1</v>
      </c>
      <c r="C26" s="105">
        <v>0</v>
      </c>
      <c r="D26" s="105">
        <v>0</v>
      </c>
      <c r="E26" s="105">
        <v>1</v>
      </c>
      <c r="F26" s="25">
        <v>0</v>
      </c>
      <c r="G26" s="26">
        <v>5</v>
      </c>
      <c r="H26" s="27">
        <f t="shared" si="0"/>
        <v>5</v>
      </c>
      <c r="I26" s="27">
        <f t="shared" si="1"/>
        <v>2</v>
      </c>
      <c r="J26" s="27">
        <f t="shared" si="6"/>
        <v>1</v>
      </c>
      <c r="K26" s="27">
        <f t="shared" si="3"/>
        <v>0</v>
      </c>
      <c r="L26" s="28">
        <f t="shared" si="4"/>
        <v>12</v>
      </c>
      <c r="M26" s="13" t="e" cm="1">
        <f t="array" ref="M26">SUMPRODUCT(B26:E26*$B$3:$E$3)+SUBSTITUTE(RIGHT(A26,5),"€",",")</f>
        <v>#VALUE!</v>
      </c>
    </row>
    <row r="27" spans="1:13" ht="15.75" customHeight="1" thickBot="1" x14ac:dyDescent="0.25">
      <c r="A27" s="24" t="s">
        <v>14</v>
      </c>
      <c r="B27" s="105">
        <v>1</v>
      </c>
      <c r="C27" s="105">
        <v>0</v>
      </c>
      <c r="D27" s="105">
        <v>0</v>
      </c>
      <c r="E27" s="105">
        <v>0</v>
      </c>
      <c r="F27" s="25">
        <v>1</v>
      </c>
      <c r="G27" s="26">
        <v>2</v>
      </c>
      <c r="H27" s="27">
        <f t="shared" si="0"/>
        <v>3</v>
      </c>
      <c r="I27" s="27">
        <f t="shared" si="1"/>
        <v>2</v>
      </c>
      <c r="J27" s="27">
        <f t="shared" si="6"/>
        <v>0</v>
      </c>
      <c r="K27" s="27">
        <f t="shared" si="3"/>
        <v>0</v>
      </c>
      <c r="L27" s="28">
        <f t="shared" si="4"/>
        <v>12</v>
      </c>
      <c r="M27" s="13" t="e" cm="1">
        <f t="array" ref="M27">SUMPRODUCT(B27:E27*$B$3:$E$3)+SUBSTITUTE(RIGHT(A27,5),"€",",")</f>
        <v>#VALUE!</v>
      </c>
    </row>
    <row r="28" spans="1:13" ht="15.75" customHeight="1" thickBot="1" x14ac:dyDescent="0.25">
      <c r="A28" s="29" t="s">
        <v>14</v>
      </c>
      <c r="B28" s="106">
        <v>0</v>
      </c>
      <c r="C28" s="106">
        <v>0</v>
      </c>
      <c r="D28" s="106">
        <v>0</v>
      </c>
      <c r="E28" s="106">
        <v>0</v>
      </c>
      <c r="F28" s="30">
        <v>2</v>
      </c>
      <c r="G28" s="31">
        <v>0</v>
      </c>
      <c r="H28" s="27">
        <f t="shared" si="0"/>
        <v>2</v>
      </c>
      <c r="I28" s="27">
        <f t="shared" si="1"/>
        <v>2</v>
      </c>
      <c r="J28" s="27">
        <f t="shared" si="6"/>
        <v>0</v>
      </c>
      <c r="K28" s="27">
        <f t="shared" si="3"/>
        <v>0</v>
      </c>
      <c r="L28" s="28">
        <f t="shared" si="4"/>
        <v>12</v>
      </c>
      <c r="M28" s="13" t="e" cm="1">
        <f t="array" ref="M28">SUMPRODUCT(B28:E28*$B$3:$E$3)+SUBSTITUTE(RIGHT(A28,5),"€",",")</f>
        <v>#VALUE!</v>
      </c>
    </row>
    <row r="29" spans="1:13" ht="15.75" customHeight="1" thickBot="1" x14ac:dyDescent="0.25">
      <c r="A29" s="32" t="s">
        <v>12</v>
      </c>
      <c r="B29" s="107">
        <v>0</v>
      </c>
      <c r="C29" s="107">
        <v>0</v>
      </c>
      <c r="D29" s="107">
        <v>0</v>
      </c>
      <c r="E29" s="107">
        <v>0</v>
      </c>
      <c r="F29" s="33">
        <v>2</v>
      </c>
      <c r="G29" s="34">
        <v>2</v>
      </c>
      <c r="H29" s="27">
        <f t="shared" si="0"/>
        <v>4</v>
      </c>
      <c r="I29" s="27">
        <f t="shared" si="1"/>
        <v>2</v>
      </c>
      <c r="J29" s="27">
        <f t="shared" si="6"/>
        <v>1</v>
      </c>
      <c r="K29" s="27">
        <f t="shared" si="3"/>
        <v>0</v>
      </c>
      <c r="L29" s="28">
        <f t="shared" si="4"/>
        <v>0</v>
      </c>
      <c r="M29" s="13" t="e" cm="1">
        <f t="array" ref="M29">SUMPRODUCT(B29:E29*$B$3:$E$3)+SUBSTITUTE(RIGHT(A29,5),"€",",")</f>
        <v>#VALUE!</v>
      </c>
    </row>
    <row r="30" spans="1:13" ht="15.75" customHeight="1" thickBot="1" x14ac:dyDescent="0.25">
      <c r="A30" s="24" t="s">
        <v>12</v>
      </c>
      <c r="B30" s="105">
        <v>4</v>
      </c>
      <c r="C30" s="105">
        <v>0</v>
      </c>
      <c r="D30" s="105">
        <v>0</v>
      </c>
      <c r="E30" s="105">
        <v>0</v>
      </c>
      <c r="F30" s="25">
        <v>4</v>
      </c>
      <c r="G30" s="26">
        <v>4</v>
      </c>
      <c r="H30" s="27">
        <f t="shared" si="0"/>
        <v>8</v>
      </c>
      <c r="I30" s="27">
        <f t="shared" si="1"/>
        <v>2</v>
      </c>
      <c r="J30" s="27">
        <f t="shared" si="6"/>
        <v>1</v>
      </c>
      <c r="K30" s="27">
        <f t="shared" si="3"/>
        <v>0</v>
      </c>
      <c r="L30" s="28">
        <f t="shared" si="4"/>
        <v>0</v>
      </c>
      <c r="M30" s="13" t="e" cm="1">
        <f t="array" ref="M30">SUMPRODUCT(B30:E30*$B$3:$E$3)+SUBSTITUTE(RIGHT(A30,5),"€",",")</f>
        <v>#VALUE!</v>
      </c>
    </row>
    <row r="31" spans="1:13" ht="15.75" customHeight="1" thickBot="1" x14ac:dyDescent="0.25">
      <c r="A31" s="24" t="s">
        <v>12</v>
      </c>
      <c r="B31" s="105">
        <v>3</v>
      </c>
      <c r="C31" s="105">
        <v>0</v>
      </c>
      <c r="D31" s="105">
        <v>0</v>
      </c>
      <c r="E31" s="105">
        <v>1</v>
      </c>
      <c r="F31" s="25">
        <v>5</v>
      </c>
      <c r="G31" s="26">
        <v>2</v>
      </c>
      <c r="H31" s="27">
        <f t="shared" si="0"/>
        <v>7</v>
      </c>
      <c r="I31" s="27">
        <f t="shared" si="1"/>
        <v>2</v>
      </c>
      <c r="J31" s="27">
        <f t="shared" si="6"/>
        <v>1</v>
      </c>
      <c r="K31" s="27">
        <f t="shared" si="3"/>
        <v>0</v>
      </c>
      <c r="L31" s="28">
        <f t="shared" si="4"/>
        <v>12</v>
      </c>
      <c r="M31" s="13" t="e" cm="1">
        <f t="array" ref="M31">SUMPRODUCT(B31:E31*$B$3:$E$3)+SUBSTITUTE(RIGHT(A31,5),"€",",")</f>
        <v>#VALUE!</v>
      </c>
    </row>
    <row r="32" spans="1:13" ht="15.75" customHeight="1" thickBot="1" x14ac:dyDescent="0.25">
      <c r="A32" s="24" t="s">
        <v>12</v>
      </c>
      <c r="B32" s="105">
        <v>4</v>
      </c>
      <c r="C32" s="105">
        <v>0</v>
      </c>
      <c r="D32" s="105">
        <v>0</v>
      </c>
      <c r="E32" s="105">
        <v>0</v>
      </c>
      <c r="F32" s="25">
        <v>4</v>
      </c>
      <c r="G32" s="26">
        <v>4</v>
      </c>
      <c r="H32" s="27">
        <f t="shared" si="0"/>
        <v>8</v>
      </c>
      <c r="I32" s="27">
        <f t="shared" si="1"/>
        <v>2</v>
      </c>
      <c r="J32" s="27">
        <f t="shared" si="6"/>
        <v>1</v>
      </c>
      <c r="K32" s="27">
        <f t="shared" si="3"/>
        <v>0</v>
      </c>
      <c r="L32" s="28">
        <f t="shared" si="4"/>
        <v>0</v>
      </c>
      <c r="M32" s="13" t="e" cm="1">
        <f t="array" ref="M32">SUMPRODUCT(B32:E32*$B$3:$E$3)+SUBSTITUTE(RIGHT(A32,5),"€",",")</f>
        <v>#VALUE!</v>
      </c>
    </row>
    <row r="33" spans="1:13" ht="15.75" customHeight="1" thickBot="1" x14ac:dyDescent="0.25">
      <c r="A33" s="29" t="s">
        <v>12</v>
      </c>
      <c r="B33" s="106">
        <v>4</v>
      </c>
      <c r="C33" s="106">
        <v>0</v>
      </c>
      <c r="D33" s="106">
        <v>0</v>
      </c>
      <c r="E33" s="106">
        <v>0</v>
      </c>
      <c r="F33" s="30">
        <v>4</v>
      </c>
      <c r="G33" s="31">
        <v>4</v>
      </c>
      <c r="H33" s="27">
        <f t="shared" si="0"/>
        <v>8</v>
      </c>
      <c r="I33" s="27">
        <f t="shared" si="1"/>
        <v>2</v>
      </c>
      <c r="J33" s="27">
        <f t="shared" si="6"/>
        <v>1</v>
      </c>
      <c r="K33" s="27">
        <f t="shared" si="3"/>
        <v>0</v>
      </c>
      <c r="L33" s="28">
        <f t="shared" si="4"/>
        <v>0</v>
      </c>
      <c r="M33" s="13" t="e" cm="1">
        <f t="array" ref="M33">SUMPRODUCT(B33:E33*$B$3:$E$3)+SUBSTITUTE(RIGHT(A33,5),"€",",")</f>
        <v>#VALUE!</v>
      </c>
    </row>
    <row r="34" spans="1:13" ht="15.75" customHeight="1" thickBot="1" x14ac:dyDescent="0.25">
      <c r="A34" s="24" t="s">
        <v>14</v>
      </c>
      <c r="B34" s="105">
        <v>2</v>
      </c>
      <c r="C34" s="105">
        <v>1</v>
      </c>
      <c r="D34" s="105">
        <v>0</v>
      </c>
      <c r="E34" s="105">
        <v>0</v>
      </c>
      <c r="F34" s="25">
        <v>2</v>
      </c>
      <c r="G34" s="26">
        <v>2</v>
      </c>
      <c r="H34" s="27">
        <f t="shared" si="0"/>
        <v>4</v>
      </c>
      <c r="I34" s="27">
        <f t="shared" si="1"/>
        <v>2</v>
      </c>
      <c r="J34" s="27">
        <v>1</v>
      </c>
      <c r="K34" s="27">
        <f t="shared" si="3"/>
        <v>0</v>
      </c>
      <c r="L34" s="28">
        <f t="shared" si="4"/>
        <v>12</v>
      </c>
      <c r="M34" s="13" t="e" cm="1">
        <f t="array" ref="M34">SUMPRODUCT(B34:E34*$B$3:$E$3)+SUBSTITUTE(RIGHT(A34,5),"€",",")</f>
        <v>#VALUE!</v>
      </c>
    </row>
    <row r="35" spans="1:13" ht="15.75" customHeight="1" thickBot="1" x14ac:dyDescent="0.25">
      <c r="A35" s="35" t="s">
        <v>12</v>
      </c>
      <c r="B35" s="108">
        <v>0</v>
      </c>
      <c r="C35" s="108">
        <v>0</v>
      </c>
      <c r="D35" s="108">
        <v>1</v>
      </c>
      <c r="E35" s="108">
        <v>0</v>
      </c>
      <c r="F35" s="36">
        <v>0</v>
      </c>
      <c r="G35" s="37">
        <v>0</v>
      </c>
      <c r="H35" s="38">
        <v>0</v>
      </c>
      <c r="I35" s="38">
        <v>3</v>
      </c>
      <c r="J35" s="38">
        <f>IFERROR(VALUE(SUBSTITUTE(MID($A35,SEARCH(J$1,$A35)-3,2)," ","")),0)+IF(ISNUMBER(C35),D35,0)</f>
        <v>2</v>
      </c>
      <c r="K35" s="38">
        <f t="shared" si="3"/>
        <v>1</v>
      </c>
      <c r="L35" s="39">
        <f t="shared" si="4"/>
        <v>0</v>
      </c>
      <c r="M35" s="13" t="e" cm="1">
        <f t="array" ref="M35">SUMPRODUCT(B35:E35*$B$3:$E$3)+SUBSTITUTE(RIGHT(A35,5),"€",",")</f>
        <v>#VALUE!</v>
      </c>
    </row>
    <row r="36" spans="1:13" ht="15.75" customHeight="1" thickBot="1" x14ac:dyDescent="0.25">
      <c r="A36" s="40" t="s">
        <v>14</v>
      </c>
      <c r="B36" s="109">
        <v>0</v>
      </c>
      <c r="C36" s="109">
        <v>1</v>
      </c>
      <c r="D36" s="109">
        <v>0</v>
      </c>
      <c r="E36" s="109">
        <v>0</v>
      </c>
      <c r="F36" s="41">
        <v>1</v>
      </c>
      <c r="G36" s="42">
        <v>1</v>
      </c>
      <c r="H36" s="38">
        <f t="shared" ref="H36:H101" si="7">IFERROR(VALUE(SUBSTITUTE(MID($A36,SEARCH(H$1,$A36)-3,2)," ","")),0)+IF(ISNUMBER(B36),B36,0)</f>
        <v>2</v>
      </c>
      <c r="I36" s="38">
        <f t="shared" ref="I36:I101" si="8">IFERROR(VALUE(SUBSTITUTE(MID($A36,SEARCH(I$1,$A36)-3,2)," ","")),0)</f>
        <v>2</v>
      </c>
      <c r="J36" s="38">
        <v>1</v>
      </c>
      <c r="K36" s="38">
        <f t="shared" si="3"/>
        <v>0</v>
      </c>
      <c r="L36" s="39">
        <f t="shared" si="4"/>
        <v>12</v>
      </c>
      <c r="M36" s="13" t="e" cm="1">
        <f t="array" ref="M36">SUMPRODUCT(B36:E36*$B$3:$E$3)+SUBSTITUTE(RIGHT(A36,5),"€",",")</f>
        <v>#VALUE!</v>
      </c>
    </row>
    <row r="37" spans="1:13" ht="15.75" customHeight="1" thickBot="1" x14ac:dyDescent="0.25">
      <c r="A37" s="35" t="s">
        <v>12</v>
      </c>
      <c r="B37" s="108">
        <v>0</v>
      </c>
      <c r="C37" s="108">
        <v>0</v>
      </c>
      <c r="D37" s="108">
        <v>0</v>
      </c>
      <c r="E37" s="108">
        <v>0</v>
      </c>
      <c r="F37" s="36">
        <v>2</v>
      </c>
      <c r="G37" s="37">
        <v>2</v>
      </c>
      <c r="H37" s="38">
        <f t="shared" si="7"/>
        <v>4</v>
      </c>
      <c r="I37" s="38">
        <f t="shared" si="8"/>
        <v>2</v>
      </c>
      <c r="J37" s="38">
        <f t="shared" ref="J37:J78" si="9">IFERROR(VALUE(SUBSTITUTE(MID($A37,SEARCH(J$1,$A37)-3,2)," ","")),0)+IF(ISNUMBER(C37),D37,0)</f>
        <v>1</v>
      </c>
      <c r="K37" s="38">
        <f t="shared" si="3"/>
        <v>0</v>
      </c>
      <c r="L37" s="39">
        <f t="shared" si="4"/>
        <v>0</v>
      </c>
      <c r="M37" s="13" t="e" cm="1">
        <f t="array" ref="M37">SUMPRODUCT(B37:E37*$B$3:$E$3)+SUBSTITUTE(RIGHT(A37,5),"€",",")</f>
        <v>#VALUE!</v>
      </c>
    </row>
    <row r="38" spans="1:13" ht="15.75" customHeight="1" thickBot="1" x14ac:dyDescent="0.25">
      <c r="A38" s="35" t="s">
        <v>10</v>
      </c>
      <c r="B38" s="108">
        <v>0</v>
      </c>
      <c r="C38" s="108">
        <v>0</v>
      </c>
      <c r="D38" s="108">
        <v>0</v>
      </c>
      <c r="E38" s="108">
        <v>1</v>
      </c>
      <c r="F38" s="36">
        <v>0</v>
      </c>
      <c r="G38" s="37">
        <v>8</v>
      </c>
      <c r="H38" s="38">
        <f t="shared" si="7"/>
        <v>8</v>
      </c>
      <c r="I38" s="38">
        <f t="shared" si="8"/>
        <v>4</v>
      </c>
      <c r="J38" s="38">
        <f t="shared" si="9"/>
        <v>2</v>
      </c>
      <c r="K38" s="38">
        <f t="shared" si="3"/>
        <v>0</v>
      </c>
      <c r="L38" s="39">
        <f t="shared" si="4"/>
        <v>12</v>
      </c>
      <c r="M38" s="13" t="e" cm="1">
        <f t="array" ref="M38">SUMPRODUCT(B38:E38*$B$3:$E$3)+SUBSTITUTE(RIGHT(A38,5),"€",",")</f>
        <v>#VALUE!</v>
      </c>
    </row>
    <row r="39" spans="1:13" ht="15.75" customHeight="1" thickBot="1" x14ac:dyDescent="0.25">
      <c r="A39" s="35" t="s">
        <v>10</v>
      </c>
      <c r="B39" s="108">
        <v>0</v>
      </c>
      <c r="C39" s="108">
        <v>0</v>
      </c>
      <c r="D39" s="108">
        <v>0</v>
      </c>
      <c r="E39" s="108">
        <v>0</v>
      </c>
      <c r="F39" s="36">
        <v>4</v>
      </c>
      <c r="G39" s="37">
        <v>4</v>
      </c>
      <c r="H39" s="38">
        <f t="shared" si="7"/>
        <v>8</v>
      </c>
      <c r="I39" s="38">
        <f t="shared" si="8"/>
        <v>4</v>
      </c>
      <c r="J39" s="38">
        <f t="shared" si="9"/>
        <v>2</v>
      </c>
      <c r="K39" s="38">
        <f t="shared" si="3"/>
        <v>0</v>
      </c>
      <c r="L39" s="39">
        <f t="shared" si="4"/>
        <v>0</v>
      </c>
      <c r="M39" s="13" t="e" cm="1">
        <f t="array" ref="M39">SUMPRODUCT(B39:E39*$B$3:$E$3)+SUBSTITUTE(RIGHT(A39,5),"€",",")</f>
        <v>#VALUE!</v>
      </c>
    </row>
    <row r="40" spans="1:13" ht="15.75" customHeight="1" thickBot="1" x14ac:dyDescent="0.25">
      <c r="A40" s="35" t="s">
        <v>14</v>
      </c>
      <c r="B40" s="108">
        <v>0</v>
      </c>
      <c r="C40" s="108">
        <v>0</v>
      </c>
      <c r="D40" s="108">
        <v>0</v>
      </c>
      <c r="E40" s="108">
        <v>0</v>
      </c>
      <c r="F40" s="36">
        <v>2</v>
      </c>
      <c r="G40" s="37">
        <v>0</v>
      </c>
      <c r="H40" s="38">
        <f t="shared" si="7"/>
        <v>2</v>
      </c>
      <c r="I40" s="38">
        <f t="shared" si="8"/>
        <v>2</v>
      </c>
      <c r="J40" s="38">
        <f t="shared" si="9"/>
        <v>0</v>
      </c>
      <c r="K40" s="38">
        <f t="shared" si="3"/>
        <v>0</v>
      </c>
      <c r="L40" s="39">
        <f t="shared" si="4"/>
        <v>12</v>
      </c>
      <c r="M40" s="13" t="e" cm="1">
        <f t="array" ref="M40">SUMPRODUCT(B40:E40*$B$3:$E$3)+SUBSTITUTE(RIGHT(A40,5),"€",",")</f>
        <v>#VALUE!</v>
      </c>
    </row>
    <row r="41" spans="1:13" ht="15.75" customHeight="1" thickBot="1" x14ac:dyDescent="0.25">
      <c r="A41" s="35" t="s">
        <v>17</v>
      </c>
      <c r="B41" s="108">
        <v>2</v>
      </c>
      <c r="C41" s="108">
        <v>0</v>
      </c>
      <c r="D41" s="108">
        <v>0</v>
      </c>
      <c r="E41" s="108">
        <v>0</v>
      </c>
      <c r="F41" s="36">
        <v>2</v>
      </c>
      <c r="G41" s="37">
        <v>2</v>
      </c>
      <c r="H41" s="38">
        <f t="shared" si="7"/>
        <v>4</v>
      </c>
      <c r="I41" s="38">
        <f t="shared" si="8"/>
        <v>1</v>
      </c>
      <c r="J41" s="38">
        <f t="shared" si="9"/>
        <v>0</v>
      </c>
      <c r="K41" s="38">
        <f t="shared" si="3"/>
        <v>0</v>
      </c>
      <c r="L41" s="39">
        <f t="shared" si="4"/>
        <v>0</v>
      </c>
      <c r="M41" s="13" t="e" cm="1">
        <f t="array" ref="M41">SUMPRODUCT(B41:E41*$B$3:$E$3)+SUBSTITUTE(RIGHT(A41,5),"€",",")</f>
        <v>#VALUE!</v>
      </c>
    </row>
    <row r="42" spans="1:13" ht="15.75" customHeight="1" thickBot="1" x14ac:dyDescent="0.25">
      <c r="A42" s="35" t="s">
        <v>12</v>
      </c>
      <c r="B42" s="108">
        <v>0</v>
      </c>
      <c r="C42" s="108">
        <v>0</v>
      </c>
      <c r="D42" s="108">
        <v>0</v>
      </c>
      <c r="E42" s="108">
        <v>0</v>
      </c>
      <c r="F42" s="36">
        <v>2</v>
      </c>
      <c r="G42" s="37">
        <v>2</v>
      </c>
      <c r="H42" s="38">
        <f t="shared" si="7"/>
        <v>4</v>
      </c>
      <c r="I42" s="38">
        <f t="shared" si="8"/>
        <v>2</v>
      </c>
      <c r="J42" s="38">
        <f t="shared" si="9"/>
        <v>1</v>
      </c>
      <c r="K42" s="38">
        <f t="shared" si="3"/>
        <v>0</v>
      </c>
      <c r="L42" s="39">
        <f t="shared" si="4"/>
        <v>0</v>
      </c>
      <c r="M42" s="13" t="e" cm="1">
        <f t="array" ref="M42">SUMPRODUCT(B42:E42*$B$3:$E$3)+SUBSTITUTE(RIGHT(A42,5),"€",",")</f>
        <v>#VALUE!</v>
      </c>
    </row>
    <row r="43" spans="1:13" ht="15.75" customHeight="1" thickBot="1" x14ac:dyDescent="0.25">
      <c r="A43" s="35" t="s">
        <v>53</v>
      </c>
      <c r="B43" s="108">
        <v>0</v>
      </c>
      <c r="C43" s="108">
        <v>0</v>
      </c>
      <c r="D43" s="108">
        <v>0</v>
      </c>
      <c r="E43" s="108">
        <v>0</v>
      </c>
      <c r="F43" s="36">
        <v>4</v>
      </c>
      <c r="G43" s="37">
        <v>0</v>
      </c>
      <c r="H43" s="38">
        <f t="shared" si="7"/>
        <v>4</v>
      </c>
      <c r="I43" s="38">
        <f t="shared" si="8"/>
        <v>2</v>
      </c>
      <c r="J43" s="38">
        <f t="shared" si="9"/>
        <v>0</v>
      </c>
      <c r="K43" s="38">
        <f t="shared" si="3"/>
        <v>0</v>
      </c>
      <c r="L43" s="39">
        <f t="shared" si="4"/>
        <v>0</v>
      </c>
      <c r="M43" s="13" t="e" cm="1">
        <f t="array" ref="M43">SUMPRODUCT(B43:E43*$B$3:$E$3)+SUBSTITUTE(RIGHT(A43,5),"€",",")</f>
        <v>#VALUE!</v>
      </c>
    </row>
    <row r="44" spans="1:13" ht="15.75" customHeight="1" thickBot="1" x14ac:dyDescent="0.25">
      <c r="A44" s="40" t="s">
        <v>12</v>
      </c>
      <c r="B44" s="109">
        <v>0</v>
      </c>
      <c r="C44" s="109">
        <v>0</v>
      </c>
      <c r="D44" s="109">
        <v>0</v>
      </c>
      <c r="E44" s="109">
        <v>0</v>
      </c>
      <c r="F44" s="41">
        <v>2</v>
      </c>
      <c r="G44" s="42">
        <v>2</v>
      </c>
      <c r="H44" s="38">
        <f t="shared" si="7"/>
        <v>4</v>
      </c>
      <c r="I44" s="38">
        <f t="shared" si="8"/>
        <v>2</v>
      </c>
      <c r="J44" s="38">
        <f t="shared" si="9"/>
        <v>1</v>
      </c>
      <c r="K44" s="38">
        <f t="shared" si="3"/>
        <v>0</v>
      </c>
      <c r="L44" s="39">
        <f t="shared" si="4"/>
        <v>0</v>
      </c>
      <c r="M44" s="13" t="e" cm="1">
        <f t="array" ref="M44">SUMPRODUCT(B44:E44*$B$3:$E$3)+SUBSTITUTE(RIGHT(A44,5),"€",",")</f>
        <v>#VALUE!</v>
      </c>
    </row>
    <row r="45" spans="1:13" ht="15.75" customHeight="1" thickBot="1" x14ac:dyDescent="0.25">
      <c r="A45" s="40" t="s">
        <v>17</v>
      </c>
      <c r="B45" s="109">
        <v>2</v>
      </c>
      <c r="C45" s="109">
        <v>0</v>
      </c>
      <c r="D45" s="109">
        <v>0</v>
      </c>
      <c r="E45" s="109">
        <v>0</v>
      </c>
      <c r="F45" s="41">
        <v>4</v>
      </c>
      <c r="G45" s="42">
        <v>0</v>
      </c>
      <c r="H45" s="38">
        <f t="shared" si="7"/>
        <v>4</v>
      </c>
      <c r="I45" s="38">
        <f t="shared" si="8"/>
        <v>1</v>
      </c>
      <c r="J45" s="38">
        <f t="shared" si="9"/>
        <v>0</v>
      </c>
      <c r="K45" s="38">
        <f t="shared" si="3"/>
        <v>0</v>
      </c>
      <c r="L45" s="39">
        <f t="shared" si="4"/>
        <v>0</v>
      </c>
      <c r="M45" s="13" t="e" cm="1">
        <f t="array" ref="M45">SUMPRODUCT(B45:E45*$B$3:$E$3)+SUBSTITUTE(RIGHT(A45,5),"€",",")</f>
        <v>#VALUE!</v>
      </c>
    </row>
    <row r="46" spans="1:13" ht="15.75" customHeight="1" thickBot="1" x14ac:dyDescent="0.25">
      <c r="A46" s="35" t="s">
        <v>14</v>
      </c>
      <c r="B46" s="108">
        <v>0</v>
      </c>
      <c r="C46" s="108">
        <v>0</v>
      </c>
      <c r="D46" s="108">
        <v>0</v>
      </c>
      <c r="E46" s="108">
        <v>0</v>
      </c>
      <c r="F46" s="36">
        <v>2</v>
      </c>
      <c r="G46" s="37">
        <v>0</v>
      </c>
      <c r="H46" s="38">
        <f t="shared" si="7"/>
        <v>2</v>
      </c>
      <c r="I46" s="38">
        <f t="shared" si="8"/>
        <v>2</v>
      </c>
      <c r="J46" s="38">
        <f t="shared" si="9"/>
        <v>0</v>
      </c>
      <c r="K46" s="38">
        <f t="shared" si="3"/>
        <v>0</v>
      </c>
      <c r="L46" s="39">
        <f t="shared" si="4"/>
        <v>12</v>
      </c>
      <c r="M46" s="13" t="e" cm="1">
        <f t="array" ref="M46">SUMPRODUCT(B46:E46*$B$3:$E$3)+SUBSTITUTE(RIGHT(A46,5),"€",",")</f>
        <v>#VALUE!</v>
      </c>
    </row>
    <row r="47" spans="1:13" ht="15.75" customHeight="1" thickBot="1" x14ac:dyDescent="0.25">
      <c r="A47" s="35" t="s">
        <v>53</v>
      </c>
      <c r="B47" s="108">
        <v>0</v>
      </c>
      <c r="C47" s="108">
        <v>0</v>
      </c>
      <c r="D47" s="108">
        <v>0</v>
      </c>
      <c r="E47" s="108">
        <v>1</v>
      </c>
      <c r="F47" s="36">
        <v>4</v>
      </c>
      <c r="G47" s="37">
        <v>0</v>
      </c>
      <c r="H47" s="38">
        <f t="shared" si="7"/>
        <v>4</v>
      </c>
      <c r="I47" s="38">
        <f t="shared" si="8"/>
        <v>2</v>
      </c>
      <c r="J47" s="38">
        <f t="shared" si="9"/>
        <v>0</v>
      </c>
      <c r="K47" s="38">
        <f t="shared" si="3"/>
        <v>0</v>
      </c>
      <c r="L47" s="39">
        <f t="shared" si="4"/>
        <v>12</v>
      </c>
      <c r="M47" s="13" t="e" cm="1">
        <f t="array" ref="M47">SUMPRODUCT(B47:E47*$B$3:$E$3)+SUBSTITUTE(RIGHT(A47,5),"€",",")</f>
        <v>#VALUE!</v>
      </c>
    </row>
    <row r="48" spans="1:13" ht="15.75" customHeight="1" thickBot="1" x14ac:dyDescent="0.25">
      <c r="A48" s="35" t="s">
        <v>12</v>
      </c>
      <c r="B48" s="108">
        <v>0</v>
      </c>
      <c r="C48" s="108">
        <v>0</v>
      </c>
      <c r="D48" s="108">
        <v>0</v>
      </c>
      <c r="E48" s="108">
        <v>1</v>
      </c>
      <c r="F48" s="36">
        <v>4</v>
      </c>
      <c r="G48" s="37">
        <v>0</v>
      </c>
      <c r="H48" s="38">
        <f t="shared" si="7"/>
        <v>4</v>
      </c>
      <c r="I48" s="38">
        <f t="shared" si="8"/>
        <v>2</v>
      </c>
      <c r="J48" s="38">
        <f t="shared" si="9"/>
        <v>1</v>
      </c>
      <c r="K48" s="38">
        <f t="shared" si="3"/>
        <v>0</v>
      </c>
      <c r="L48" s="39">
        <f t="shared" si="4"/>
        <v>12</v>
      </c>
      <c r="M48" s="13" t="e" cm="1">
        <f t="array" ref="M48">SUMPRODUCT(B48:E48*$B$3:$E$3)+SUBSTITUTE(RIGHT(A48,5),"€",",")</f>
        <v>#VALUE!</v>
      </c>
    </row>
    <row r="49" spans="1:13" ht="15.75" customHeight="1" thickBot="1" x14ac:dyDescent="0.25">
      <c r="A49" s="35" t="s">
        <v>12</v>
      </c>
      <c r="B49" s="108">
        <v>4</v>
      </c>
      <c r="C49" s="108">
        <v>0</v>
      </c>
      <c r="D49" s="108">
        <v>0</v>
      </c>
      <c r="E49" s="108">
        <v>0</v>
      </c>
      <c r="F49" s="36">
        <v>4</v>
      </c>
      <c r="G49" s="37">
        <v>4</v>
      </c>
      <c r="H49" s="38">
        <f t="shared" si="7"/>
        <v>8</v>
      </c>
      <c r="I49" s="38">
        <f t="shared" si="8"/>
        <v>2</v>
      </c>
      <c r="J49" s="38">
        <f t="shared" si="9"/>
        <v>1</v>
      </c>
      <c r="K49" s="38">
        <f t="shared" si="3"/>
        <v>0</v>
      </c>
      <c r="L49" s="39">
        <f t="shared" si="4"/>
        <v>0</v>
      </c>
      <c r="M49" s="13" t="e" cm="1">
        <f t="array" ref="M49">SUMPRODUCT(B49:E49*$B$3:$E$3)+SUBSTITUTE(RIGHT(A49,5),"€",",")</f>
        <v>#VALUE!</v>
      </c>
    </row>
    <row r="50" spans="1:13" ht="15.75" customHeight="1" thickBot="1" x14ac:dyDescent="0.25">
      <c r="A50" s="40" t="s">
        <v>12</v>
      </c>
      <c r="B50" s="109">
        <v>0</v>
      </c>
      <c r="C50" s="109">
        <v>0</v>
      </c>
      <c r="D50" s="109">
        <v>0</v>
      </c>
      <c r="E50" s="109">
        <v>0</v>
      </c>
      <c r="F50" s="41">
        <v>3</v>
      </c>
      <c r="G50" s="42">
        <v>1</v>
      </c>
      <c r="H50" s="38">
        <f t="shared" si="7"/>
        <v>4</v>
      </c>
      <c r="I50" s="38">
        <f t="shared" si="8"/>
        <v>2</v>
      </c>
      <c r="J50" s="38">
        <f t="shared" si="9"/>
        <v>1</v>
      </c>
      <c r="K50" s="38">
        <f t="shared" si="3"/>
        <v>0</v>
      </c>
      <c r="L50" s="39">
        <f t="shared" si="4"/>
        <v>0</v>
      </c>
      <c r="M50" s="13" t="e" cm="1">
        <f t="array" ref="M50">SUMPRODUCT(B50:E50*$B$3:$E$3)+SUBSTITUTE(RIGHT(A50,5),"€",",")</f>
        <v>#VALUE!</v>
      </c>
    </row>
    <row r="51" spans="1:13" ht="15.75" customHeight="1" thickBot="1" x14ac:dyDescent="0.25">
      <c r="A51" s="40" t="s">
        <v>17</v>
      </c>
      <c r="B51" s="109">
        <v>2</v>
      </c>
      <c r="C51" s="109">
        <v>0</v>
      </c>
      <c r="D51" s="109">
        <v>0</v>
      </c>
      <c r="E51" s="109">
        <v>0</v>
      </c>
      <c r="F51" s="41">
        <v>0</v>
      </c>
      <c r="G51" s="42">
        <v>4</v>
      </c>
      <c r="H51" s="38">
        <f t="shared" si="7"/>
        <v>4</v>
      </c>
      <c r="I51" s="38">
        <f t="shared" si="8"/>
        <v>1</v>
      </c>
      <c r="J51" s="38">
        <f t="shared" si="9"/>
        <v>0</v>
      </c>
      <c r="K51" s="38">
        <f t="shared" si="3"/>
        <v>0</v>
      </c>
      <c r="L51" s="39">
        <f t="shared" si="4"/>
        <v>0</v>
      </c>
      <c r="M51" s="13" t="e" cm="1">
        <f t="array" ref="M51">SUMPRODUCT(B51:E51*$B$3:$E$3)+SUBSTITUTE(RIGHT(A51,5),"€",",")</f>
        <v>#VALUE!</v>
      </c>
    </row>
    <row r="52" spans="1:13" ht="15.75" customHeight="1" thickBot="1" x14ac:dyDescent="0.25">
      <c r="A52" s="35" t="s">
        <v>14</v>
      </c>
      <c r="B52" s="108">
        <v>0</v>
      </c>
      <c r="C52" s="108">
        <v>0</v>
      </c>
      <c r="D52" s="108">
        <v>0</v>
      </c>
      <c r="E52" s="108">
        <v>0</v>
      </c>
      <c r="F52" s="36">
        <v>2</v>
      </c>
      <c r="G52" s="37">
        <v>0</v>
      </c>
      <c r="H52" s="38">
        <f t="shared" si="7"/>
        <v>2</v>
      </c>
      <c r="I52" s="38">
        <f t="shared" si="8"/>
        <v>2</v>
      </c>
      <c r="J52" s="38">
        <f t="shared" si="9"/>
        <v>0</v>
      </c>
      <c r="K52" s="38">
        <f t="shared" si="3"/>
        <v>0</v>
      </c>
      <c r="L52" s="39">
        <f t="shared" si="4"/>
        <v>12</v>
      </c>
      <c r="M52" s="13" t="e" cm="1">
        <f t="array" ref="M52">SUMPRODUCT(B52:E52*$B$3:$E$3)+SUBSTITUTE(RIGHT(A52,5),"€",",")</f>
        <v>#VALUE!</v>
      </c>
    </row>
    <row r="53" spans="1:13" ht="15.75" customHeight="1" thickBot="1" x14ac:dyDescent="0.25">
      <c r="A53" s="35" t="s">
        <v>12</v>
      </c>
      <c r="B53" s="108">
        <v>0</v>
      </c>
      <c r="C53" s="108">
        <v>0</v>
      </c>
      <c r="D53" s="108">
        <v>0</v>
      </c>
      <c r="E53" s="108">
        <v>0</v>
      </c>
      <c r="F53" s="36">
        <v>3</v>
      </c>
      <c r="G53" s="37">
        <v>1</v>
      </c>
      <c r="H53" s="38">
        <f t="shared" si="7"/>
        <v>4</v>
      </c>
      <c r="I53" s="38">
        <f t="shared" si="8"/>
        <v>2</v>
      </c>
      <c r="J53" s="38">
        <f t="shared" si="9"/>
        <v>1</v>
      </c>
      <c r="K53" s="38">
        <f t="shared" si="3"/>
        <v>0</v>
      </c>
      <c r="L53" s="39">
        <f t="shared" si="4"/>
        <v>0</v>
      </c>
      <c r="M53" s="13" t="e" cm="1">
        <f t="array" ref="M53">SUMPRODUCT(B53:E53*$B$3:$E$3)+SUBSTITUTE(RIGHT(A53,5),"€",",")</f>
        <v>#VALUE!</v>
      </c>
    </row>
    <row r="54" spans="1:13" ht="15.75" customHeight="1" thickBot="1" x14ac:dyDescent="0.25">
      <c r="A54" s="35" t="s">
        <v>12</v>
      </c>
      <c r="B54" s="108">
        <v>0</v>
      </c>
      <c r="C54" s="108">
        <v>0</v>
      </c>
      <c r="D54" s="108">
        <v>0</v>
      </c>
      <c r="E54" s="108">
        <v>0</v>
      </c>
      <c r="F54" s="36">
        <v>2</v>
      </c>
      <c r="G54" s="37">
        <v>2</v>
      </c>
      <c r="H54" s="38">
        <f t="shared" si="7"/>
        <v>4</v>
      </c>
      <c r="I54" s="38">
        <f t="shared" si="8"/>
        <v>2</v>
      </c>
      <c r="J54" s="38">
        <f t="shared" si="9"/>
        <v>1</v>
      </c>
      <c r="K54" s="38">
        <f t="shared" si="3"/>
        <v>0</v>
      </c>
      <c r="L54" s="39">
        <f t="shared" si="4"/>
        <v>0</v>
      </c>
      <c r="M54" s="13" t="e" cm="1">
        <f t="array" ref="M54">SUMPRODUCT(B54:E54*$B$3:$E$3)+SUBSTITUTE(RIGHT(A54,5),"€",",")</f>
        <v>#VALUE!</v>
      </c>
    </row>
    <row r="55" spans="1:13" ht="15.75" customHeight="1" thickBot="1" x14ac:dyDescent="0.25">
      <c r="A55" s="40" t="s">
        <v>12</v>
      </c>
      <c r="B55" s="109">
        <v>0</v>
      </c>
      <c r="C55" s="109">
        <v>0</v>
      </c>
      <c r="D55" s="109">
        <v>0</v>
      </c>
      <c r="E55" s="109">
        <v>0</v>
      </c>
      <c r="F55" s="41">
        <v>4</v>
      </c>
      <c r="G55" s="42">
        <v>0</v>
      </c>
      <c r="H55" s="38">
        <f t="shared" si="7"/>
        <v>4</v>
      </c>
      <c r="I55" s="38">
        <f t="shared" si="8"/>
        <v>2</v>
      </c>
      <c r="J55" s="38">
        <f t="shared" si="9"/>
        <v>1</v>
      </c>
      <c r="K55" s="38">
        <f t="shared" si="3"/>
        <v>0</v>
      </c>
      <c r="L55" s="39">
        <f t="shared" si="4"/>
        <v>0</v>
      </c>
      <c r="M55" s="13" t="e" cm="1">
        <f t="array" ref="M55">SUMPRODUCT(B55:E55*$B$3:$E$3)+SUBSTITUTE(RIGHT(A55,5),"€",",")</f>
        <v>#VALUE!</v>
      </c>
    </row>
    <row r="56" spans="1:13" ht="15.75" customHeight="1" thickBot="1" x14ac:dyDescent="0.25">
      <c r="A56" s="40" t="s">
        <v>12</v>
      </c>
      <c r="B56" s="109">
        <v>1</v>
      </c>
      <c r="C56" s="109">
        <v>0</v>
      </c>
      <c r="D56" s="109">
        <v>0</v>
      </c>
      <c r="E56" s="109">
        <v>1</v>
      </c>
      <c r="F56" s="41">
        <v>3</v>
      </c>
      <c r="G56" s="42">
        <v>2</v>
      </c>
      <c r="H56" s="38">
        <f t="shared" si="7"/>
        <v>5</v>
      </c>
      <c r="I56" s="38">
        <f t="shared" si="8"/>
        <v>2</v>
      </c>
      <c r="J56" s="38">
        <f t="shared" si="9"/>
        <v>1</v>
      </c>
      <c r="K56" s="38">
        <f t="shared" si="3"/>
        <v>0</v>
      </c>
      <c r="L56" s="39">
        <f t="shared" si="4"/>
        <v>12</v>
      </c>
      <c r="M56" s="13" t="e" cm="1">
        <f t="array" ref="M56">SUMPRODUCT(B56:E56*$B$3:$E$3)+SUBSTITUTE(RIGHT(A56,5),"€",",")</f>
        <v>#VALUE!</v>
      </c>
    </row>
    <row r="57" spans="1:13" ht="15.75" customHeight="1" thickBot="1" x14ac:dyDescent="0.25">
      <c r="A57" s="40" t="s">
        <v>14</v>
      </c>
      <c r="B57" s="109">
        <v>2</v>
      </c>
      <c r="C57" s="109">
        <v>0</v>
      </c>
      <c r="D57" s="109">
        <v>0</v>
      </c>
      <c r="E57" s="109">
        <v>0</v>
      </c>
      <c r="F57" s="41">
        <v>2</v>
      </c>
      <c r="G57" s="42">
        <v>2</v>
      </c>
      <c r="H57" s="38">
        <f t="shared" si="7"/>
        <v>4</v>
      </c>
      <c r="I57" s="38">
        <f t="shared" si="8"/>
        <v>2</v>
      </c>
      <c r="J57" s="38">
        <f t="shared" si="9"/>
        <v>0</v>
      </c>
      <c r="K57" s="38">
        <f t="shared" si="3"/>
        <v>0</v>
      </c>
      <c r="L57" s="39">
        <f t="shared" si="4"/>
        <v>12</v>
      </c>
      <c r="M57" s="13" t="e" cm="1">
        <f t="array" ref="M57">SUMPRODUCT(B57:E57*$B$3:$E$3)+SUBSTITUTE(RIGHT(A57,5),"€",",")</f>
        <v>#VALUE!</v>
      </c>
    </row>
    <row r="58" spans="1:13" ht="15.75" customHeight="1" thickBot="1" x14ac:dyDescent="0.25">
      <c r="A58" s="40" t="s">
        <v>17</v>
      </c>
      <c r="B58" s="109">
        <v>8</v>
      </c>
      <c r="C58" s="109">
        <v>0</v>
      </c>
      <c r="D58" s="109">
        <v>0</v>
      </c>
      <c r="E58" s="109">
        <v>0</v>
      </c>
      <c r="F58" s="41">
        <v>5</v>
      </c>
      <c r="G58" s="42">
        <v>5</v>
      </c>
      <c r="H58" s="38">
        <f t="shared" si="7"/>
        <v>10</v>
      </c>
      <c r="I58" s="38">
        <f t="shared" si="8"/>
        <v>1</v>
      </c>
      <c r="J58" s="38">
        <f t="shared" si="9"/>
        <v>0</v>
      </c>
      <c r="K58" s="38">
        <f t="shared" si="3"/>
        <v>0</v>
      </c>
      <c r="L58" s="39">
        <f t="shared" si="4"/>
        <v>0</v>
      </c>
      <c r="M58" s="13" t="e" cm="1">
        <f t="array" ref="M58">SUMPRODUCT(B58:E58*$B$3:$E$3)+SUBSTITUTE(RIGHT(A58,5),"€",",")</f>
        <v>#VALUE!</v>
      </c>
    </row>
    <row r="59" spans="1:13" ht="15.75" customHeight="1" thickBot="1" x14ac:dyDescent="0.25">
      <c r="A59" s="35" t="s">
        <v>12</v>
      </c>
      <c r="B59" s="108">
        <v>0</v>
      </c>
      <c r="C59" s="108">
        <v>0</v>
      </c>
      <c r="D59" s="108">
        <v>0</v>
      </c>
      <c r="E59" s="108">
        <v>2</v>
      </c>
      <c r="F59" s="36">
        <v>3</v>
      </c>
      <c r="G59" s="37">
        <v>1</v>
      </c>
      <c r="H59" s="38">
        <f t="shared" si="7"/>
        <v>4</v>
      </c>
      <c r="I59" s="38">
        <f t="shared" si="8"/>
        <v>2</v>
      </c>
      <c r="J59" s="38">
        <f t="shared" si="9"/>
        <v>1</v>
      </c>
      <c r="K59" s="38">
        <f t="shared" si="3"/>
        <v>0</v>
      </c>
      <c r="L59" s="39">
        <f t="shared" si="4"/>
        <v>24</v>
      </c>
      <c r="M59" s="13" t="e" cm="1">
        <f t="array" ref="M59">SUMPRODUCT(B59:E59*$B$3:$E$3)+SUBSTITUTE(RIGHT(A59,5),"€",",")</f>
        <v>#VALUE!</v>
      </c>
    </row>
    <row r="60" spans="1:13" ht="15.75" customHeight="1" thickBot="1" x14ac:dyDescent="0.25">
      <c r="A60" s="35" t="s">
        <v>12</v>
      </c>
      <c r="B60" s="108">
        <v>0</v>
      </c>
      <c r="C60" s="108">
        <v>0</v>
      </c>
      <c r="D60" s="108">
        <v>0</v>
      </c>
      <c r="E60" s="108">
        <v>1</v>
      </c>
      <c r="F60" s="36">
        <v>2</v>
      </c>
      <c r="G60" s="37">
        <v>2</v>
      </c>
      <c r="H60" s="38">
        <f t="shared" si="7"/>
        <v>4</v>
      </c>
      <c r="I60" s="38">
        <f t="shared" si="8"/>
        <v>2</v>
      </c>
      <c r="J60" s="38">
        <f t="shared" si="9"/>
        <v>1</v>
      </c>
      <c r="K60" s="38">
        <f t="shared" si="3"/>
        <v>0</v>
      </c>
      <c r="L60" s="39">
        <f t="shared" si="4"/>
        <v>12</v>
      </c>
      <c r="M60" s="13" t="e" cm="1">
        <f t="array" ref="M60">SUMPRODUCT(B60:E60*$B$3:$E$3)+SUBSTITUTE(RIGHT(A60,5),"€",",")</f>
        <v>#VALUE!</v>
      </c>
    </row>
    <row r="61" spans="1:13" ht="15.75" customHeight="1" thickBot="1" x14ac:dyDescent="0.25">
      <c r="A61" s="35" t="s">
        <v>12</v>
      </c>
      <c r="B61" s="108">
        <v>0</v>
      </c>
      <c r="C61" s="108">
        <v>0</v>
      </c>
      <c r="D61" s="108">
        <v>0</v>
      </c>
      <c r="E61" s="108">
        <v>0</v>
      </c>
      <c r="F61" s="36">
        <v>2</v>
      </c>
      <c r="G61" s="37">
        <v>2</v>
      </c>
      <c r="H61" s="38">
        <f t="shared" si="7"/>
        <v>4</v>
      </c>
      <c r="I61" s="38">
        <f t="shared" si="8"/>
        <v>2</v>
      </c>
      <c r="J61" s="38">
        <f t="shared" si="9"/>
        <v>1</v>
      </c>
      <c r="K61" s="38">
        <f t="shared" si="3"/>
        <v>0</v>
      </c>
      <c r="L61" s="39">
        <f t="shared" si="4"/>
        <v>0</v>
      </c>
      <c r="M61" s="13" t="e" cm="1">
        <f t="array" ref="M61">SUMPRODUCT(B61:E61*$B$3:$E$3)+SUBSTITUTE(RIGHT(A61,5),"€",",")</f>
        <v>#VALUE!</v>
      </c>
    </row>
    <row r="62" spans="1:13" ht="15.75" customHeight="1" thickBot="1" x14ac:dyDescent="0.25">
      <c r="A62" s="35" t="s">
        <v>12</v>
      </c>
      <c r="B62" s="108">
        <v>0</v>
      </c>
      <c r="C62" s="108">
        <v>0</v>
      </c>
      <c r="D62" s="108">
        <v>0</v>
      </c>
      <c r="E62" s="108">
        <v>0</v>
      </c>
      <c r="F62" s="36">
        <v>2</v>
      </c>
      <c r="G62" s="37">
        <v>2</v>
      </c>
      <c r="H62" s="38">
        <f t="shared" si="7"/>
        <v>4</v>
      </c>
      <c r="I62" s="38">
        <f t="shared" si="8"/>
        <v>2</v>
      </c>
      <c r="J62" s="38">
        <f t="shared" si="9"/>
        <v>1</v>
      </c>
      <c r="K62" s="38">
        <f t="shared" si="3"/>
        <v>0</v>
      </c>
      <c r="L62" s="39">
        <f t="shared" si="4"/>
        <v>0</v>
      </c>
      <c r="M62" s="13" t="e" cm="1">
        <f t="array" ref="M62">SUMPRODUCT(B62:E62*$B$3:$E$3)+SUBSTITUTE(RIGHT(A62,5),"€",",")</f>
        <v>#VALUE!</v>
      </c>
    </row>
    <row r="63" spans="1:13" ht="15.75" customHeight="1" thickBot="1" x14ac:dyDescent="0.25">
      <c r="A63" s="35" t="s">
        <v>53</v>
      </c>
      <c r="B63" s="108">
        <v>4</v>
      </c>
      <c r="C63" s="108">
        <v>0</v>
      </c>
      <c r="D63" s="108">
        <v>2</v>
      </c>
      <c r="E63" s="108">
        <v>0</v>
      </c>
      <c r="F63" s="36">
        <v>4</v>
      </c>
      <c r="G63" s="37">
        <v>4</v>
      </c>
      <c r="H63" s="38">
        <f t="shared" si="7"/>
        <v>8</v>
      </c>
      <c r="I63" s="38">
        <f t="shared" si="8"/>
        <v>2</v>
      </c>
      <c r="J63" s="38">
        <f t="shared" si="9"/>
        <v>2</v>
      </c>
      <c r="K63" s="38">
        <f t="shared" si="3"/>
        <v>2</v>
      </c>
      <c r="L63" s="39">
        <f t="shared" si="4"/>
        <v>0</v>
      </c>
      <c r="M63" s="13" t="e" cm="1">
        <f t="array" ref="M63">SUMPRODUCT(B63:E63*$B$3:$E$3)+SUBSTITUTE(RIGHT(A63,5),"€",",")</f>
        <v>#VALUE!</v>
      </c>
    </row>
    <row r="64" spans="1:13" ht="15.75" customHeight="1" thickBot="1" x14ac:dyDescent="0.25">
      <c r="A64" s="35" t="s">
        <v>14</v>
      </c>
      <c r="B64" s="108">
        <v>0</v>
      </c>
      <c r="C64" s="108">
        <v>0</v>
      </c>
      <c r="D64" s="108">
        <v>0</v>
      </c>
      <c r="E64" s="108">
        <v>0</v>
      </c>
      <c r="F64" s="36">
        <v>2</v>
      </c>
      <c r="G64" s="37">
        <v>0</v>
      </c>
      <c r="H64" s="38">
        <f t="shared" si="7"/>
        <v>2</v>
      </c>
      <c r="I64" s="38">
        <f t="shared" si="8"/>
        <v>2</v>
      </c>
      <c r="J64" s="38">
        <f t="shared" si="9"/>
        <v>0</v>
      </c>
      <c r="K64" s="38">
        <f t="shared" si="3"/>
        <v>0</v>
      </c>
      <c r="L64" s="39">
        <f t="shared" si="4"/>
        <v>12</v>
      </c>
      <c r="M64" s="13" t="e" cm="1">
        <f t="array" ref="M64">SUMPRODUCT(B64:E64*$B$3:$E$3)+SUBSTITUTE(RIGHT(A64,5),"€",",")</f>
        <v>#VALUE!</v>
      </c>
    </row>
    <row r="65" spans="1:13" ht="15.75" customHeight="1" thickBot="1" x14ac:dyDescent="0.25">
      <c r="A65" s="40" t="s">
        <v>53</v>
      </c>
      <c r="B65" s="110">
        <v>2</v>
      </c>
      <c r="C65" s="110">
        <v>0</v>
      </c>
      <c r="D65" s="110">
        <v>0</v>
      </c>
      <c r="E65" s="110">
        <v>0</v>
      </c>
      <c r="F65" s="43">
        <v>2</v>
      </c>
      <c r="G65" s="44">
        <v>4</v>
      </c>
      <c r="H65" s="38">
        <f t="shared" si="7"/>
        <v>6</v>
      </c>
      <c r="I65" s="38">
        <f t="shared" si="8"/>
        <v>2</v>
      </c>
      <c r="J65" s="38">
        <f t="shared" si="9"/>
        <v>0</v>
      </c>
      <c r="K65" s="38">
        <f t="shared" si="3"/>
        <v>0</v>
      </c>
      <c r="L65" s="39">
        <f t="shared" si="4"/>
        <v>0</v>
      </c>
      <c r="M65" s="13" t="e" cm="1">
        <f t="array" ref="M65">SUMPRODUCT(B65:E65*$B$3:$E$3)+SUBSTITUTE(RIGHT(A65,5),"€",",")</f>
        <v>#VALUE!</v>
      </c>
    </row>
    <row r="66" spans="1:13" ht="15.75" customHeight="1" thickBot="1" x14ac:dyDescent="0.25">
      <c r="A66" s="40" t="s">
        <v>17</v>
      </c>
      <c r="B66" s="110">
        <v>0</v>
      </c>
      <c r="C66" s="110">
        <v>0</v>
      </c>
      <c r="D66" s="110">
        <v>0</v>
      </c>
      <c r="E66" s="110">
        <v>0</v>
      </c>
      <c r="F66" s="43">
        <v>1</v>
      </c>
      <c r="G66" s="44">
        <v>1</v>
      </c>
      <c r="H66" s="38">
        <f t="shared" si="7"/>
        <v>2</v>
      </c>
      <c r="I66" s="38">
        <f t="shared" si="8"/>
        <v>1</v>
      </c>
      <c r="J66" s="38">
        <f t="shared" si="9"/>
        <v>0</v>
      </c>
      <c r="K66" s="38">
        <f t="shared" si="3"/>
        <v>0</v>
      </c>
      <c r="L66" s="39">
        <f t="shared" si="4"/>
        <v>0</v>
      </c>
      <c r="M66" s="13" t="e" cm="1">
        <f t="array" ref="M66">SUMPRODUCT(B66:E66*$B$3:$E$3)+SUBSTITUTE(RIGHT(A66,5),"€",",")</f>
        <v>#VALUE!</v>
      </c>
    </row>
    <row r="67" spans="1:13" ht="15.75" customHeight="1" thickBot="1" x14ac:dyDescent="0.25">
      <c r="A67" s="45" t="s">
        <v>12</v>
      </c>
      <c r="B67" s="111">
        <v>0</v>
      </c>
      <c r="C67" s="111">
        <v>0</v>
      </c>
      <c r="D67" s="111">
        <v>1</v>
      </c>
      <c r="E67" s="111">
        <v>0</v>
      </c>
      <c r="F67" s="46">
        <v>2</v>
      </c>
      <c r="G67" s="47">
        <v>2</v>
      </c>
      <c r="H67" s="48">
        <f t="shared" si="7"/>
        <v>4</v>
      </c>
      <c r="I67" s="48">
        <f t="shared" si="8"/>
        <v>2</v>
      </c>
      <c r="J67" s="48">
        <f t="shared" si="9"/>
        <v>2</v>
      </c>
      <c r="K67" s="48">
        <f t="shared" si="3"/>
        <v>1</v>
      </c>
      <c r="L67" s="49">
        <f t="shared" si="4"/>
        <v>0</v>
      </c>
      <c r="M67" s="13" t="e" cm="1">
        <f t="array" ref="M67">SUMPRODUCT(B67:E67*$B$3:$E$3)+SUBSTITUTE(RIGHT(A67,5),"€",",")</f>
        <v>#VALUE!</v>
      </c>
    </row>
    <row r="68" spans="1:13" ht="15.75" customHeight="1" thickBot="1" x14ac:dyDescent="0.25">
      <c r="A68" s="50" t="s">
        <v>12</v>
      </c>
      <c r="B68" s="112">
        <v>0</v>
      </c>
      <c r="C68" s="112">
        <v>0</v>
      </c>
      <c r="D68" s="112">
        <v>0</v>
      </c>
      <c r="E68" s="112">
        <v>0</v>
      </c>
      <c r="F68" s="51">
        <v>2</v>
      </c>
      <c r="G68" s="52">
        <v>2</v>
      </c>
      <c r="H68" s="48">
        <f t="shared" si="7"/>
        <v>4</v>
      </c>
      <c r="I68" s="48">
        <f t="shared" si="8"/>
        <v>2</v>
      </c>
      <c r="J68" s="48">
        <f t="shared" si="9"/>
        <v>1</v>
      </c>
      <c r="K68" s="48">
        <f t="shared" si="3"/>
        <v>0</v>
      </c>
      <c r="L68" s="49">
        <f t="shared" si="4"/>
        <v>0</v>
      </c>
      <c r="M68" s="13" t="e" cm="1">
        <f t="array" ref="M68">SUMPRODUCT(B68:E68*$B$3:$E$3)+SUBSTITUTE(RIGHT(A68,5),"€",",")</f>
        <v>#VALUE!</v>
      </c>
    </row>
    <row r="69" spans="1:13" ht="15.75" customHeight="1" thickBot="1" x14ac:dyDescent="0.25">
      <c r="A69" s="45" t="s">
        <v>12</v>
      </c>
      <c r="B69" s="111">
        <v>8</v>
      </c>
      <c r="C69" s="111">
        <v>0</v>
      </c>
      <c r="D69" s="111">
        <v>0</v>
      </c>
      <c r="E69" s="111">
        <v>0</v>
      </c>
      <c r="F69" s="46">
        <v>6</v>
      </c>
      <c r="G69" s="47">
        <v>6</v>
      </c>
      <c r="H69" s="48">
        <f t="shared" si="7"/>
        <v>12</v>
      </c>
      <c r="I69" s="48">
        <f t="shared" si="8"/>
        <v>2</v>
      </c>
      <c r="J69" s="48">
        <f t="shared" si="9"/>
        <v>1</v>
      </c>
      <c r="K69" s="48">
        <f t="shared" si="3"/>
        <v>0</v>
      </c>
      <c r="L69" s="49">
        <f t="shared" si="4"/>
        <v>0</v>
      </c>
      <c r="M69" s="13" t="e" cm="1">
        <f t="array" ref="M69">SUMPRODUCT(B69:E69*$B$3:$E$3)+SUBSTITUTE(RIGHT(A69,5),"€",",")</f>
        <v>#VALUE!</v>
      </c>
    </row>
    <row r="70" spans="1:13" ht="15.75" customHeight="1" thickBot="1" x14ac:dyDescent="0.25">
      <c r="A70" s="45" t="s">
        <v>14</v>
      </c>
      <c r="B70" s="111">
        <v>0</v>
      </c>
      <c r="C70" s="111">
        <v>0</v>
      </c>
      <c r="D70" s="111">
        <v>0</v>
      </c>
      <c r="E70" s="111">
        <v>0</v>
      </c>
      <c r="F70" s="46">
        <v>1</v>
      </c>
      <c r="G70" s="47">
        <v>1</v>
      </c>
      <c r="H70" s="48">
        <f t="shared" si="7"/>
        <v>2</v>
      </c>
      <c r="I70" s="48">
        <f t="shared" si="8"/>
        <v>2</v>
      </c>
      <c r="J70" s="48">
        <f t="shared" si="9"/>
        <v>0</v>
      </c>
      <c r="K70" s="48">
        <f t="shared" si="3"/>
        <v>0</v>
      </c>
      <c r="L70" s="49">
        <f t="shared" si="4"/>
        <v>12</v>
      </c>
      <c r="M70" s="13" t="e" cm="1">
        <f t="array" ref="M70">SUMPRODUCT(B70:E70*$B$3:$E$3)+SUBSTITUTE(RIGHT(A70,5),"€",",")</f>
        <v>#VALUE!</v>
      </c>
    </row>
    <row r="71" spans="1:13" ht="15.75" customHeight="1" thickBot="1" x14ac:dyDescent="0.25">
      <c r="A71" s="45" t="s">
        <v>12</v>
      </c>
      <c r="B71" s="111">
        <v>1</v>
      </c>
      <c r="C71" s="111">
        <v>0</v>
      </c>
      <c r="D71" s="111">
        <v>1</v>
      </c>
      <c r="E71" s="111">
        <v>0</v>
      </c>
      <c r="F71" s="46">
        <v>1</v>
      </c>
      <c r="G71" s="47">
        <v>4</v>
      </c>
      <c r="H71" s="48">
        <f t="shared" si="7"/>
        <v>5</v>
      </c>
      <c r="I71" s="48">
        <f t="shared" si="8"/>
        <v>2</v>
      </c>
      <c r="J71" s="48">
        <f t="shared" si="9"/>
        <v>2</v>
      </c>
      <c r="K71" s="48">
        <f t="shared" si="3"/>
        <v>1</v>
      </c>
      <c r="L71" s="49">
        <f t="shared" si="4"/>
        <v>0</v>
      </c>
      <c r="M71" s="13" t="e" cm="1">
        <f t="array" ref="M71">SUMPRODUCT(B71:E71*$B$3:$E$3)+SUBSTITUTE(RIGHT(A71,5),"€",",")</f>
        <v>#VALUE!</v>
      </c>
    </row>
    <row r="72" spans="1:13" ht="15.75" customHeight="1" thickBot="1" x14ac:dyDescent="0.25">
      <c r="A72" s="45" t="s">
        <v>12</v>
      </c>
      <c r="B72" s="111">
        <v>0</v>
      </c>
      <c r="C72" s="111">
        <v>0</v>
      </c>
      <c r="D72" s="111">
        <v>0</v>
      </c>
      <c r="E72" s="111">
        <v>0</v>
      </c>
      <c r="F72" s="46">
        <v>2</v>
      </c>
      <c r="G72" s="47">
        <v>2</v>
      </c>
      <c r="H72" s="48">
        <f t="shared" si="7"/>
        <v>4</v>
      </c>
      <c r="I72" s="48">
        <f t="shared" si="8"/>
        <v>2</v>
      </c>
      <c r="J72" s="48">
        <f t="shared" si="9"/>
        <v>1</v>
      </c>
      <c r="K72" s="48">
        <f t="shared" si="3"/>
        <v>0</v>
      </c>
      <c r="L72" s="49">
        <f t="shared" si="4"/>
        <v>0</v>
      </c>
      <c r="M72" s="13" t="e" cm="1">
        <f t="array" ref="M72">SUMPRODUCT(B72:E72*$B$3:$E$3)+SUBSTITUTE(RIGHT(A72,5),"€",",")</f>
        <v>#VALUE!</v>
      </c>
    </row>
    <row r="73" spans="1:13" ht="15.75" customHeight="1" thickBot="1" x14ac:dyDescent="0.25">
      <c r="A73" s="45" t="s">
        <v>10</v>
      </c>
      <c r="B73" s="111">
        <v>0</v>
      </c>
      <c r="C73" s="111">
        <v>0</v>
      </c>
      <c r="D73" s="111">
        <v>0</v>
      </c>
      <c r="E73" s="111">
        <v>0</v>
      </c>
      <c r="F73" s="46">
        <v>4</v>
      </c>
      <c r="G73" s="47">
        <v>4</v>
      </c>
      <c r="H73" s="48">
        <f t="shared" si="7"/>
        <v>8</v>
      </c>
      <c r="I73" s="48">
        <f t="shared" si="8"/>
        <v>4</v>
      </c>
      <c r="J73" s="48">
        <f t="shared" si="9"/>
        <v>2</v>
      </c>
      <c r="K73" s="48">
        <f t="shared" si="3"/>
        <v>0</v>
      </c>
      <c r="L73" s="49">
        <f t="shared" si="4"/>
        <v>0</v>
      </c>
      <c r="M73" s="13" t="e" cm="1">
        <f t="array" ref="M73">SUMPRODUCT(B73:E73*$B$3:$E$3)+SUBSTITUTE(RIGHT(A73,5),"€",",")</f>
        <v>#VALUE!</v>
      </c>
    </row>
    <row r="74" spans="1:13" ht="15.75" customHeight="1" thickBot="1" x14ac:dyDescent="0.25">
      <c r="A74" s="50" t="s">
        <v>17</v>
      </c>
      <c r="B74" s="112">
        <v>0</v>
      </c>
      <c r="C74" s="112">
        <v>0</v>
      </c>
      <c r="D74" s="112">
        <v>0</v>
      </c>
      <c r="E74" s="112">
        <v>0</v>
      </c>
      <c r="F74" s="51">
        <v>0</v>
      </c>
      <c r="G74" s="52">
        <v>2</v>
      </c>
      <c r="H74" s="48">
        <f t="shared" si="7"/>
        <v>2</v>
      </c>
      <c r="I74" s="48">
        <f t="shared" si="8"/>
        <v>1</v>
      </c>
      <c r="J74" s="48">
        <f t="shared" si="9"/>
        <v>0</v>
      </c>
      <c r="K74" s="48">
        <f t="shared" si="3"/>
        <v>0</v>
      </c>
      <c r="L74" s="49">
        <f t="shared" si="4"/>
        <v>0</v>
      </c>
      <c r="M74" s="13" t="e" cm="1">
        <f t="array" ref="M74">SUMPRODUCT(B74:E74*$B$3:$E$3)+SUBSTITUTE(RIGHT(A74,5),"€",",")</f>
        <v>#VALUE!</v>
      </c>
    </row>
    <row r="75" spans="1:13" ht="15.75" customHeight="1" thickBot="1" x14ac:dyDescent="0.25">
      <c r="A75" s="50" t="s">
        <v>12</v>
      </c>
      <c r="B75" s="112">
        <v>4</v>
      </c>
      <c r="C75" s="112">
        <v>0</v>
      </c>
      <c r="D75" s="112">
        <v>0</v>
      </c>
      <c r="E75" s="112">
        <v>0</v>
      </c>
      <c r="F75" s="51">
        <v>4</v>
      </c>
      <c r="G75" s="52">
        <v>4</v>
      </c>
      <c r="H75" s="48">
        <f t="shared" si="7"/>
        <v>8</v>
      </c>
      <c r="I75" s="48">
        <f t="shared" si="8"/>
        <v>2</v>
      </c>
      <c r="J75" s="48">
        <f t="shared" si="9"/>
        <v>1</v>
      </c>
      <c r="K75" s="48">
        <f t="shared" si="3"/>
        <v>0</v>
      </c>
      <c r="L75" s="49">
        <f t="shared" si="4"/>
        <v>0</v>
      </c>
      <c r="M75" s="13" t="e" cm="1">
        <f t="array" ref="M75">SUMPRODUCT(B75:E75*$B$3:$E$3)+SUBSTITUTE(RIGHT(A75,5),"€",",")</f>
        <v>#VALUE!</v>
      </c>
    </row>
    <row r="76" spans="1:13" ht="15.75" customHeight="1" thickBot="1" x14ac:dyDescent="0.25">
      <c r="A76" s="50" t="s">
        <v>14</v>
      </c>
      <c r="B76" s="112">
        <v>1</v>
      </c>
      <c r="C76" s="112">
        <v>0</v>
      </c>
      <c r="D76" s="112">
        <v>0</v>
      </c>
      <c r="E76" s="112">
        <v>0</v>
      </c>
      <c r="F76" s="51">
        <v>1</v>
      </c>
      <c r="G76" s="52">
        <v>2</v>
      </c>
      <c r="H76" s="48">
        <f t="shared" si="7"/>
        <v>3</v>
      </c>
      <c r="I76" s="48">
        <f t="shared" si="8"/>
        <v>2</v>
      </c>
      <c r="J76" s="48">
        <f t="shared" si="9"/>
        <v>0</v>
      </c>
      <c r="K76" s="48">
        <f t="shared" si="3"/>
        <v>0</v>
      </c>
      <c r="L76" s="49">
        <f t="shared" si="4"/>
        <v>12</v>
      </c>
      <c r="M76" s="13" t="e" cm="1">
        <f t="array" ref="M76">SUMPRODUCT(B76:E76*$B$3:$E$3)+SUBSTITUTE(RIGHT(A76,5),"€",",")</f>
        <v>#VALUE!</v>
      </c>
    </row>
    <row r="77" spans="1:13" ht="15.75" customHeight="1" thickBot="1" x14ac:dyDescent="0.25">
      <c r="A77" s="45" t="s">
        <v>14</v>
      </c>
      <c r="B77" s="111">
        <v>2</v>
      </c>
      <c r="C77" s="111">
        <v>0</v>
      </c>
      <c r="D77" s="111">
        <v>0</v>
      </c>
      <c r="E77" s="111">
        <v>0</v>
      </c>
      <c r="F77" s="46">
        <v>2</v>
      </c>
      <c r="G77" s="47">
        <v>2</v>
      </c>
      <c r="H77" s="48">
        <f t="shared" si="7"/>
        <v>4</v>
      </c>
      <c r="I77" s="48">
        <f t="shared" si="8"/>
        <v>2</v>
      </c>
      <c r="J77" s="48">
        <f t="shared" si="9"/>
        <v>0</v>
      </c>
      <c r="K77" s="48">
        <f t="shared" si="3"/>
        <v>0</v>
      </c>
      <c r="L77" s="49">
        <f t="shared" si="4"/>
        <v>12</v>
      </c>
      <c r="M77" s="13" t="e" cm="1">
        <f t="array" ref="M77">SUMPRODUCT(B77:E77*$B$3:$E$3)+SUBSTITUTE(RIGHT(A77,5),"€",",")</f>
        <v>#VALUE!</v>
      </c>
    </row>
    <row r="78" spans="1:13" ht="15.75" customHeight="1" thickBot="1" x14ac:dyDescent="0.25">
      <c r="A78" s="50" t="s">
        <v>53</v>
      </c>
      <c r="B78" s="112">
        <v>0</v>
      </c>
      <c r="C78" s="112">
        <v>0</v>
      </c>
      <c r="D78" s="112">
        <v>0</v>
      </c>
      <c r="E78" s="112">
        <v>0</v>
      </c>
      <c r="F78" s="51">
        <v>2</v>
      </c>
      <c r="G78" s="52">
        <v>2</v>
      </c>
      <c r="H78" s="48">
        <f t="shared" si="7"/>
        <v>4</v>
      </c>
      <c r="I78" s="48">
        <f t="shared" si="8"/>
        <v>2</v>
      </c>
      <c r="J78" s="48">
        <f t="shared" si="9"/>
        <v>0</v>
      </c>
      <c r="K78" s="48">
        <f t="shared" si="3"/>
        <v>0</v>
      </c>
      <c r="L78" s="49">
        <f t="shared" si="4"/>
        <v>0</v>
      </c>
      <c r="M78" s="13" t="e" cm="1">
        <f t="array" ref="M78">SUMPRODUCT(B78:E78*$B$3:$E$3)+SUBSTITUTE(RIGHT(A78,5),"€",",")</f>
        <v>#VALUE!</v>
      </c>
    </row>
    <row r="79" spans="1:13" ht="15.75" customHeight="1" thickBot="1" x14ac:dyDescent="0.25">
      <c r="A79" s="45" t="s">
        <v>14</v>
      </c>
      <c r="B79" s="111">
        <v>1</v>
      </c>
      <c r="C79" s="111">
        <v>1</v>
      </c>
      <c r="D79" s="111">
        <v>0</v>
      </c>
      <c r="E79" s="111">
        <v>1</v>
      </c>
      <c r="F79" s="46">
        <v>3</v>
      </c>
      <c r="G79" s="47">
        <v>0</v>
      </c>
      <c r="H79" s="48">
        <f t="shared" si="7"/>
        <v>3</v>
      </c>
      <c r="I79" s="48">
        <f t="shared" si="8"/>
        <v>2</v>
      </c>
      <c r="J79" s="48">
        <v>1</v>
      </c>
      <c r="K79" s="48">
        <f t="shared" si="3"/>
        <v>0</v>
      </c>
      <c r="L79" s="49">
        <f t="shared" si="4"/>
        <v>24</v>
      </c>
      <c r="M79" s="13" t="e" cm="1">
        <f t="array" ref="M79">SUMPRODUCT(B79:E79*$B$3:$E$3)+SUBSTITUTE(RIGHT(A79,5),"€",",")</f>
        <v>#VALUE!</v>
      </c>
    </row>
    <row r="80" spans="1:13" ht="15.75" customHeight="1" thickBot="1" x14ac:dyDescent="0.25">
      <c r="A80" s="45" t="s">
        <v>14</v>
      </c>
      <c r="B80" s="111">
        <v>0</v>
      </c>
      <c r="C80" s="111">
        <v>0</v>
      </c>
      <c r="D80" s="111">
        <v>1</v>
      </c>
      <c r="E80" s="111">
        <v>0</v>
      </c>
      <c r="F80" s="46">
        <v>1</v>
      </c>
      <c r="G80" s="47">
        <v>1</v>
      </c>
      <c r="H80" s="48">
        <f t="shared" si="7"/>
        <v>2</v>
      </c>
      <c r="I80" s="48">
        <f t="shared" si="8"/>
        <v>2</v>
      </c>
      <c r="J80" s="48">
        <f t="shared" ref="J80:J83" si="10">IFERROR(VALUE(SUBSTITUTE(MID($A80,SEARCH(J$1,$A80)-3,2)," ","")),0)+IF(ISNUMBER(C80),D80,0)</f>
        <v>1</v>
      </c>
      <c r="K80" s="48">
        <f t="shared" si="3"/>
        <v>1</v>
      </c>
      <c r="L80" s="49">
        <f t="shared" si="4"/>
        <v>12</v>
      </c>
      <c r="M80" s="13" t="e" cm="1">
        <f t="array" ref="M80">SUMPRODUCT(B80:E80*$B$3:$E$3)+SUBSTITUTE(RIGHT(A80,5),"€",",")</f>
        <v>#VALUE!</v>
      </c>
    </row>
    <row r="81" spans="1:13" ht="15.75" customHeight="1" thickBot="1" x14ac:dyDescent="0.25">
      <c r="A81" s="53" t="s">
        <v>12</v>
      </c>
      <c r="B81" s="113">
        <v>2</v>
      </c>
      <c r="C81" s="113">
        <v>0</v>
      </c>
      <c r="D81" s="113">
        <v>0</v>
      </c>
      <c r="E81" s="113">
        <v>2</v>
      </c>
      <c r="F81" s="54">
        <v>2</v>
      </c>
      <c r="G81" s="55">
        <v>4</v>
      </c>
      <c r="H81" s="56">
        <f t="shared" si="7"/>
        <v>6</v>
      </c>
      <c r="I81" s="56">
        <f t="shared" si="8"/>
        <v>2</v>
      </c>
      <c r="J81" s="56">
        <f t="shared" si="10"/>
        <v>1</v>
      </c>
      <c r="K81" s="56">
        <f t="shared" si="3"/>
        <v>0</v>
      </c>
      <c r="L81" s="57">
        <f t="shared" si="4"/>
        <v>24</v>
      </c>
      <c r="M81" s="13" t="e" cm="1">
        <f t="array" ref="M81">SUMPRODUCT(B81:E81*$B$3:$E$3)+SUBSTITUTE(RIGHT(A81,5),"€",",")</f>
        <v>#VALUE!</v>
      </c>
    </row>
    <row r="82" spans="1:13" ht="15.75" customHeight="1" thickBot="1" x14ac:dyDescent="0.25">
      <c r="A82" s="45" t="s">
        <v>17</v>
      </c>
      <c r="B82" s="111">
        <v>1</v>
      </c>
      <c r="C82" s="111">
        <v>0</v>
      </c>
      <c r="D82" s="111">
        <v>0</v>
      </c>
      <c r="E82" s="111">
        <v>0</v>
      </c>
      <c r="F82" s="46">
        <v>2</v>
      </c>
      <c r="G82" s="47">
        <v>1</v>
      </c>
      <c r="H82" s="48">
        <f t="shared" si="7"/>
        <v>3</v>
      </c>
      <c r="I82" s="48">
        <f t="shared" si="8"/>
        <v>1</v>
      </c>
      <c r="J82" s="48">
        <f t="shared" si="10"/>
        <v>0</v>
      </c>
      <c r="K82" s="48">
        <f t="shared" si="3"/>
        <v>0</v>
      </c>
      <c r="L82" s="49">
        <f t="shared" si="4"/>
        <v>0</v>
      </c>
      <c r="M82" s="13" t="e" cm="1">
        <f t="array" ref="M82">SUMPRODUCT(B82:E82*$B$3:$E$3)+SUBSTITUTE(RIGHT(A82,5),"€",",")</f>
        <v>#VALUE!</v>
      </c>
    </row>
    <row r="83" spans="1:13" ht="15.75" customHeight="1" thickBot="1" x14ac:dyDescent="0.25">
      <c r="A83" s="50" t="s">
        <v>17</v>
      </c>
      <c r="B83" s="112">
        <v>0</v>
      </c>
      <c r="C83" s="112">
        <v>0</v>
      </c>
      <c r="D83" s="112">
        <v>0</v>
      </c>
      <c r="E83" s="112">
        <v>0</v>
      </c>
      <c r="F83" s="51">
        <v>1</v>
      </c>
      <c r="G83" s="52">
        <v>1</v>
      </c>
      <c r="H83" s="48">
        <f t="shared" si="7"/>
        <v>2</v>
      </c>
      <c r="I83" s="48">
        <f t="shared" si="8"/>
        <v>1</v>
      </c>
      <c r="J83" s="48">
        <f t="shared" si="10"/>
        <v>0</v>
      </c>
      <c r="K83" s="48">
        <f t="shared" si="3"/>
        <v>0</v>
      </c>
      <c r="L83" s="49">
        <f t="shared" si="4"/>
        <v>0</v>
      </c>
      <c r="M83" s="13" t="e" cm="1">
        <f t="array" ref="M83">SUMPRODUCT(B83:E83*$B$3:$E$3)+SUBSTITUTE(RIGHT(A83,5),"€",",")</f>
        <v>#VALUE!</v>
      </c>
    </row>
    <row r="84" spans="1:13" ht="15.75" customHeight="1" thickBot="1" x14ac:dyDescent="0.25">
      <c r="A84" s="50" t="s">
        <v>12</v>
      </c>
      <c r="B84" s="112">
        <v>2</v>
      </c>
      <c r="C84" s="112">
        <v>1</v>
      </c>
      <c r="D84" s="112">
        <v>0</v>
      </c>
      <c r="E84" s="112">
        <v>0</v>
      </c>
      <c r="F84" s="51">
        <v>3</v>
      </c>
      <c r="G84" s="52">
        <v>3</v>
      </c>
      <c r="H84" s="48">
        <f t="shared" si="7"/>
        <v>6</v>
      </c>
      <c r="I84" s="48">
        <f t="shared" si="8"/>
        <v>2</v>
      </c>
      <c r="J84" s="48">
        <v>2</v>
      </c>
      <c r="K84" s="48">
        <f t="shared" si="3"/>
        <v>0</v>
      </c>
      <c r="L84" s="49">
        <f t="shared" si="4"/>
        <v>0</v>
      </c>
      <c r="M84" s="13" t="e" cm="1">
        <f t="array" ref="M84">SUMPRODUCT(B84:E84*$B$3:$E$3)+SUBSTITUTE(RIGHT(A84,5),"€",",")</f>
        <v>#VALUE!</v>
      </c>
    </row>
    <row r="85" spans="1:13" ht="15.75" customHeight="1" thickBot="1" x14ac:dyDescent="0.25">
      <c r="A85" s="45" t="s">
        <v>14</v>
      </c>
      <c r="B85" s="111">
        <v>0</v>
      </c>
      <c r="C85" s="111">
        <v>0</v>
      </c>
      <c r="D85" s="111">
        <v>0</v>
      </c>
      <c r="E85" s="111">
        <v>0</v>
      </c>
      <c r="F85" s="46">
        <v>2</v>
      </c>
      <c r="G85" s="47">
        <v>0</v>
      </c>
      <c r="H85" s="48">
        <f t="shared" si="7"/>
        <v>2</v>
      </c>
      <c r="I85" s="48">
        <f t="shared" si="8"/>
        <v>2</v>
      </c>
      <c r="J85" s="48">
        <f t="shared" ref="J85:J86" si="11">IFERROR(VALUE(SUBSTITUTE(MID($A85,SEARCH(J$1,$A85)-3,2)," ","")),0)+IF(ISNUMBER(C85),D85,0)</f>
        <v>0</v>
      </c>
      <c r="K85" s="48">
        <f t="shared" si="3"/>
        <v>0</v>
      </c>
      <c r="L85" s="49">
        <f t="shared" si="4"/>
        <v>12</v>
      </c>
      <c r="M85" s="13" t="e" cm="1">
        <f t="array" ref="M85">SUMPRODUCT(B85:E85*$B$3:$E$3)+SUBSTITUTE(RIGHT(A85,5),"€",",")</f>
        <v>#VALUE!</v>
      </c>
    </row>
    <row r="86" spans="1:13" ht="15.75" customHeight="1" thickBot="1" x14ac:dyDescent="0.25">
      <c r="A86" s="50" t="s">
        <v>12</v>
      </c>
      <c r="B86" s="112">
        <v>1</v>
      </c>
      <c r="C86" s="112">
        <v>0</v>
      </c>
      <c r="D86" s="112">
        <v>0</v>
      </c>
      <c r="E86" s="112">
        <v>0</v>
      </c>
      <c r="F86" s="51">
        <v>2</v>
      </c>
      <c r="G86" s="52">
        <v>3</v>
      </c>
      <c r="H86" s="48">
        <f t="shared" si="7"/>
        <v>5</v>
      </c>
      <c r="I86" s="48">
        <f t="shared" si="8"/>
        <v>2</v>
      </c>
      <c r="J86" s="48">
        <f t="shared" si="11"/>
        <v>1</v>
      </c>
      <c r="K86" s="48">
        <f t="shared" si="3"/>
        <v>0</v>
      </c>
      <c r="L86" s="49">
        <f t="shared" si="4"/>
        <v>0</v>
      </c>
      <c r="M86" s="13" t="e" cm="1">
        <f t="array" ref="M86">SUMPRODUCT(B86:E86*$B$3:$E$3)+SUBSTITUTE(RIGHT(A86,5),"€",",")</f>
        <v>#VALUE!</v>
      </c>
    </row>
    <row r="87" spans="1:13" ht="15.75" customHeight="1" thickBot="1" x14ac:dyDescent="0.25">
      <c r="A87" s="50" t="s">
        <v>12</v>
      </c>
      <c r="B87" s="112">
        <v>0</v>
      </c>
      <c r="C87" s="112">
        <v>1</v>
      </c>
      <c r="D87" s="112">
        <v>0</v>
      </c>
      <c r="E87" s="112">
        <v>0</v>
      </c>
      <c r="F87" s="51">
        <v>2</v>
      </c>
      <c r="G87" s="52">
        <v>2</v>
      </c>
      <c r="H87" s="48">
        <f t="shared" si="7"/>
        <v>4</v>
      </c>
      <c r="I87" s="48">
        <f t="shared" si="8"/>
        <v>2</v>
      </c>
      <c r="J87" s="48">
        <v>2</v>
      </c>
      <c r="K87" s="48">
        <f t="shared" si="3"/>
        <v>0</v>
      </c>
      <c r="L87" s="49">
        <f t="shared" si="4"/>
        <v>0</v>
      </c>
      <c r="M87" s="13" t="e" cm="1">
        <f t="array" ref="M87">SUMPRODUCT(B87:E87*$B$3:$E$3)+SUBSTITUTE(RIGHT(A87,5),"€",",")</f>
        <v>#VALUE!</v>
      </c>
    </row>
    <row r="88" spans="1:13" ht="15.75" customHeight="1" thickBot="1" x14ac:dyDescent="0.25">
      <c r="A88" s="50" t="s">
        <v>10</v>
      </c>
      <c r="B88" s="112">
        <v>2</v>
      </c>
      <c r="C88" s="112">
        <v>0</v>
      </c>
      <c r="D88" s="112">
        <v>0</v>
      </c>
      <c r="E88" s="112">
        <v>0</v>
      </c>
      <c r="F88" s="51">
        <v>5</v>
      </c>
      <c r="G88" s="52">
        <v>5</v>
      </c>
      <c r="H88" s="48">
        <f t="shared" si="7"/>
        <v>10</v>
      </c>
      <c r="I88" s="48">
        <f t="shared" si="8"/>
        <v>4</v>
      </c>
      <c r="J88" s="48">
        <f t="shared" ref="J88:J114" si="12">IFERROR(VALUE(SUBSTITUTE(MID($A88,SEARCH(J$1,$A88)-3,2)," ","")),0)+IF(ISNUMBER(C88),D88,0)</f>
        <v>2</v>
      </c>
      <c r="K88" s="48">
        <f t="shared" si="3"/>
        <v>0</v>
      </c>
      <c r="L88" s="49">
        <f t="shared" si="4"/>
        <v>0</v>
      </c>
      <c r="M88" s="13" t="e" cm="1">
        <f t="array" ref="M88">SUMPRODUCT(B88:E88*$B$3:$E$3)+SUBSTITUTE(RIGHT(A88,5),"€",",")</f>
        <v>#VALUE!</v>
      </c>
    </row>
    <row r="89" spans="1:13" ht="15.75" customHeight="1" thickBot="1" x14ac:dyDescent="0.25">
      <c r="A89" s="45" t="s">
        <v>17</v>
      </c>
      <c r="B89" s="111">
        <v>0</v>
      </c>
      <c r="C89" s="111">
        <v>0</v>
      </c>
      <c r="D89" s="111">
        <v>0</v>
      </c>
      <c r="E89" s="111">
        <v>0</v>
      </c>
      <c r="F89" s="46">
        <v>2</v>
      </c>
      <c r="G89" s="47">
        <v>0</v>
      </c>
      <c r="H89" s="48">
        <f t="shared" si="7"/>
        <v>2</v>
      </c>
      <c r="I89" s="48">
        <f t="shared" si="8"/>
        <v>1</v>
      </c>
      <c r="J89" s="48">
        <f t="shared" si="12"/>
        <v>0</v>
      </c>
      <c r="K89" s="48">
        <f t="shared" si="3"/>
        <v>0</v>
      </c>
      <c r="L89" s="49">
        <f t="shared" si="4"/>
        <v>0</v>
      </c>
      <c r="M89" s="13" t="e" cm="1">
        <f t="array" ref="M89">SUMPRODUCT(B89:E89*$B$3:$E$3)+SUBSTITUTE(RIGHT(A89,5),"€",",")</f>
        <v>#VALUE!</v>
      </c>
    </row>
    <row r="90" spans="1:13" ht="15.75" customHeight="1" thickBot="1" x14ac:dyDescent="0.25">
      <c r="A90" s="45" t="s">
        <v>14</v>
      </c>
      <c r="B90" s="111">
        <v>2</v>
      </c>
      <c r="C90" s="111">
        <v>0</v>
      </c>
      <c r="D90" s="111">
        <v>0</v>
      </c>
      <c r="E90" s="111">
        <v>0</v>
      </c>
      <c r="F90" s="46">
        <v>2</v>
      </c>
      <c r="G90" s="47">
        <v>2</v>
      </c>
      <c r="H90" s="48">
        <f t="shared" si="7"/>
        <v>4</v>
      </c>
      <c r="I90" s="48">
        <f t="shared" si="8"/>
        <v>2</v>
      </c>
      <c r="J90" s="48">
        <f t="shared" si="12"/>
        <v>0</v>
      </c>
      <c r="K90" s="48">
        <f t="shared" si="3"/>
        <v>0</v>
      </c>
      <c r="L90" s="49">
        <f t="shared" si="4"/>
        <v>12</v>
      </c>
      <c r="M90" s="13" t="e" cm="1">
        <f t="array" ref="M90">SUMPRODUCT(B90:E90*$B$3:$E$3)+SUBSTITUTE(RIGHT(A90,5),"€",",")</f>
        <v>#VALUE!</v>
      </c>
    </row>
    <row r="91" spans="1:13" ht="15.75" customHeight="1" thickBot="1" x14ac:dyDescent="0.25">
      <c r="A91" s="45" t="s">
        <v>12</v>
      </c>
      <c r="B91" s="111">
        <v>0</v>
      </c>
      <c r="C91" s="111">
        <v>0</v>
      </c>
      <c r="D91" s="111">
        <v>1</v>
      </c>
      <c r="E91" s="111">
        <v>0</v>
      </c>
      <c r="F91" s="46">
        <v>2</v>
      </c>
      <c r="G91" s="47">
        <v>2</v>
      </c>
      <c r="H91" s="48">
        <f t="shared" si="7"/>
        <v>4</v>
      </c>
      <c r="I91" s="48">
        <f t="shared" si="8"/>
        <v>2</v>
      </c>
      <c r="J91" s="48">
        <f t="shared" si="12"/>
        <v>2</v>
      </c>
      <c r="K91" s="48">
        <f t="shared" si="3"/>
        <v>1</v>
      </c>
      <c r="L91" s="49">
        <f t="shared" si="4"/>
        <v>0</v>
      </c>
      <c r="M91" s="13" t="e" cm="1">
        <f t="array" ref="M91">SUMPRODUCT(B91:E91*$B$3:$E$3)+SUBSTITUTE(RIGHT(A91,5),"€",",")</f>
        <v>#VALUE!</v>
      </c>
    </row>
    <row r="92" spans="1:13" ht="15.75" customHeight="1" thickBot="1" x14ac:dyDescent="0.25">
      <c r="A92" s="45" t="s">
        <v>12</v>
      </c>
      <c r="B92" s="111">
        <v>0</v>
      </c>
      <c r="C92" s="111">
        <v>0</v>
      </c>
      <c r="D92" s="111">
        <v>0</v>
      </c>
      <c r="E92" s="111">
        <v>0</v>
      </c>
      <c r="F92" s="46">
        <v>1</v>
      </c>
      <c r="G92" s="47">
        <v>3</v>
      </c>
      <c r="H92" s="48">
        <f t="shared" si="7"/>
        <v>4</v>
      </c>
      <c r="I92" s="48">
        <f t="shared" si="8"/>
        <v>2</v>
      </c>
      <c r="J92" s="48">
        <f t="shared" si="12"/>
        <v>1</v>
      </c>
      <c r="K92" s="48">
        <f t="shared" si="3"/>
        <v>0</v>
      </c>
      <c r="L92" s="49">
        <f t="shared" si="4"/>
        <v>0</v>
      </c>
      <c r="M92" s="13" t="e" cm="1">
        <f t="array" ref="M92">SUMPRODUCT(B92:E92*$B$3:$E$3)+SUBSTITUTE(RIGHT(A92,5),"€",",")</f>
        <v>#VALUE!</v>
      </c>
    </row>
    <row r="93" spans="1:13" ht="15.75" customHeight="1" thickBot="1" x14ac:dyDescent="0.25">
      <c r="A93" s="45" t="s">
        <v>14</v>
      </c>
      <c r="B93" s="111">
        <v>0</v>
      </c>
      <c r="C93" s="111">
        <v>0</v>
      </c>
      <c r="D93" s="111">
        <v>0</v>
      </c>
      <c r="E93" s="111">
        <v>0</v>
      </c>
      <c r="F93" s="46">
        <v>2</v>
      </c>
      <c r="G93" s="47">
        <v>0</v>
      </c>
      <c r="H93" s="48">
        <f t="shared" si="7"/>
        <v>2</v>
      </c>
      <c r="I93" s="48">
        <f t="shared" si="8"/>
        <v>2</v>
      </c>
      <c r="J93" s="48">
        <f t="shared" si="12"/>
        <v>0</v>
      </c>
      <c r="K93" s="48">
        <f t="shared" si="3"/>
        <v>0</v>
      </c>
      <c r="L93" s="49">
        <f t="shared" si="4"/>
        <v>12</v>
      </c>
      <c r="M93" s="13" t="e" cm="1">
        <f t="array" ref="M93">SUMPRODUCT(B93:E93*$B$3:$E$3)+SUBSTITUTE(RIGHT(A93,5),"€",",")</f>
        <v>#VALUE!</v>
      </c>
    </row>
    <row r="94" spans="1:13" ht="15.75" customHeight="1" thickBot="1" x14ac:dyDescent="0.25">
      <c r="A94" s="50" t="s">
        <v>53</v>
      </c>
      <c r="B94" s="112">
        <v>0</v>
      </c>
      <c r="C94" s="112">
        <v>0</v>
      </c>
      <c r="D94" s="112">
        <v>0</v>
      </c>
      <c r="E94" s="112">
        <v>0</v>
      </c>
      <c r="F94" s="51">
        <v>3</v>
      </c>
      <c r="G94" s="52">
        <v>1</v>
      </c>
      <c r="H94" s="48">
        <f t="shared" si="7"/>
        <v>4</v>
      </c>
      <c r="I94" s="48">
        <f t="shared" si="8"/>
        <v>2</v>
      </c>
      <c r="J94" s="48">
        <f t="shared" si="12"/>
        <v>0</v>
      </c>
      <c r="K94" s="48">
        <f t="shared" si="3"/>
        <v>0</v>
      </c>
      <c r="L94" s="49">
        <f t="shared" si="4"/>
        <v>0</v>
      </c>
      <c r="M94" s="13" t="e" cm="1">
        <f t="array" ref="M94">SUMPRODUCT(B94:E94*$B$3:$E$3)+SUBSTITUTE(RIGHT(A94,5),"€",",")</f>
        <v>#VALUE!</v>
      </c>
    </row>
    <row r="95" spans="1:13" ht="15.75" customHeight="1" thickBot="1" x14ac:dyDescent="0.25">
      <c r="A95" s="50" t="s">
        <v>12</v>
      </c>
      <c r="B95" s="112">
        <v>0</v>
      </c>
      <c r="C95" s="112">
        <v>0</v>
      </c>
      <c r="D95" s="112">
        <v>0</v>
      </c>
      <c r="E95" s="112">
        <v>0</v>
      </c>
      <c r="F95" s="51">
        <v>2</v>
      </c>
      <c r="G95" s="52">
        <v>2</v>
      </c>
      <c r="H95" s="48">
        <f t="shared" si="7"/>
        <v>4</v>
      </c>
      <c r="I95" s="48">
        <f t="shared" si="8"/>
        <v>2</v>
      </c>
      <c r="J95" s="48">
        <f t="shared" si="12"/>
        <v>1</v>
      </c>
      <c r="K95" s="48">
        <f t="shared" si="3"/>
        <v>0</v>
      </c>
      <c r="L95" s="49">
        <f t="shared" si="4"/>
        <v>0</v>
      </c>
      <c r="M95" s="13" t="e" cm="1">
        <f t="array" ref="M95">SUMPRODUCT(B95:E95*$B$3:$E$3)+SUBSTITUTE(RIGHT(A95,5),"€",",")</f>
        <v>#VALUE!</v>
      </c>
    </row>
    <row r="96" spans="1:13" ht="15.75" customHeight="1" thickBot="1" x14ac:dyDescent="0.25">
      <c r="A96" s="45" t="s">
        <v>12</v>
      </c>
      <c r="B96" s="111">
        <v>0</v>
      </c>
      <c r="C96" s="111">
        <v>0</v>
      </c>
      <c r="D96" s="111">
        <v>0</v>
      </c>
      <c r="E96" s="111">
        <v>1</v>
      </c>
      <c r="F96" s="46">
        <v>2</v>
      </c>
      <c r="G96" s="47">
        <v>2</v>
      </c>
      <c r="H96" s="48">
        <f t="shared" si="7"/>
        <v>4</v>
      </c>
      <c r="I96" s="48">
        <f t="shared" si="8"/>
        <v>2</v>
      </c>
      <c r="J96" s="48">
        <f t="shared" si="12"/>
        <v>1</v>
      </c>
      <c r="K96" s="48">
        <f t="shared" si="3"/>
        <v>0</v>
      </c>
      <c r="L96" s="49">
        <f t="shared" si="4"/>
        <v>12</v>
      </c>
      <c r="M96" s="13" t="e" cm="1">
        <f t="array" ref="M96">SUMPRODUCT(B96:E96*$B$3:$E$3)+SUBSTITUTE(RIGHT(A96,5),"€",",")</f>
        <v>#VALUE!</v>
      </c>
    </row>
    <row r="97" spans="1:13" ht="15.75" customHeight="1" thickBot="1" x14ac:dyDescent="0.25">
      <c r="A97" s="45" t="s">
        <v>12</v>
      </c>
      <c r="B97" s="111">
        <v>0</v>
      </c>
      <c r="C97" s="111">
        <v>0</v>
      </c>
      <c r="D97" s="111">
        <v>0</v>
      </c>
      <c r="E97" s="111">
        <v>0</v>
      </c>
      <c r="F97" s="46">
        <v>2</v>
      </c>
      <c r="G97" s="47">
        <v>2</v>
      </c>
      <c r="H97" s="48">
        <f t="shared" si="7"/>
        <v>4</v>
      </c>
      <c r="I97" s="48">
        <f t="shared" si="8"/>
        <v>2</v>
      </c>
      <c r="J97" s="48">
        <f t="shared" si="12"/>
        <v>1</v>
      </c>
      <c r="K97" s="48">
        <f t="shared" si="3"/>
        <v>0</v>
      </c>
      <c r="L97" s="49">
        <f t="shared" si="4"/>
        <v>0</v>
      </c>
      <c r="M97" s="13" t="e" cm="1">
        <f t="array" ref="M97">SUMPRODUCT(B97:E97*$B$3:$E$3)+SUBSTITUTE(RIGHT(A97,5),"€",",")</f>
        <v>#VALUE!</v>
      </c>
    </row>
    <row r="98" spans="1:13" ht="15.75" customHeight="1" thickBot="1" x14ac:dyDescent="0.25">
      <c r="A98" s="50" t="s">
        <v>12</v>
      </c>
      <c r="B98" s="112">
        <v>0</v>
      </c>
      <c r="C98" s="112">
        <v>0</v>
      </c>
      <c r="D98" s="112">
        <v>0</v>
      </c>
      <c r="E98" s="112">
        <v>1</v>
      </c>
      <c r="F98" s="51">
        <v>2</v>
      </c>
      <c r="G98" s="52">
        <v>2</v>
      </c>
      <c r="H98" s="48">
        <f t="shared" si="7"/>
        <v>4</v>
      </c>
      <c r="I98" s="48">
        <f t="shared" si="8"/>
        <v>2</v>
      </c>
      <c r="J98" s="48">
        <f t="shared" si="12"/>
        <v>1</v>
      </c>
      <c r="K98" s="48">
        <f t="shared" si="3"/>
        <v>0</v>
      </c>
      <c r="L98" s="49">
        <f t="shared" si="4"/>
        <v>12</v>
      </c>
      <c r="M98" s="13" t="e" cm="1">
        <f t="array" ref="M98">SUMPRODUCT(B98:E98*$B$3:$E$3)+SUBSTITUTE(RIGHT(A98,5),"€",",")</f>
        <v>#VALUE!</v>
      </c>
    </row>
    <row r="99" spans="1:13" ht="15.75" customHeight="1" thickBot="1" x14ac:dyDescent="0.25">
      <c r="A99" s="45" t="s">
        <v>12</v>
      </c>
      <c r="B99" s="111">
        <v>1</v>
      </c>
      <c r="C99" s="111">
        <v>0</v>
      </c>
      <c r="D99" s="111">
        <v>0</v>
      </c>
      <c r="E99" s="111">
        <v>0</v>
      </c>
      <c r="F99" s="46">
        <v>5</v>
      </c>
      <c r="G99" s="47">
        <v>0</v>
      </c>
      <c r="H99" s="48">
        <f t="shared" si="7"/>
        <v>5</v>
      </c>
      <c r="I99" s="48">
        <f t="shared" si="8"/>
        <v>2</v>
      </c>
      <c r="J99" s="48">
        <f t="shared" si="12"/>
        <v>1</v>
      </c>
      <c r="K99" s="48">
        <f t="shared" si="3"/>
        <v>0</v>
      </c>
      <c r="L99" s="49">
        <f t="shared" si="4"/>
        <v>0</v>
      </c>
      <c r="M99" s="13" t="e" cm="1">
        <f t="array" ref="M99">SUMPRODUCT(B99:E99*$B$3:$E$3)+SUBSTITUTE(RIGHT(A99,5),"€",",")</f>
        <v>#VALUE!</v>
      </c>
    </row>
    <row r="100" spans="1:13" ht="15.75" customHeight="1" thickBot="1" x14ac:dyDescent="0.25">
      <c r="A100" s="50" t="s">
        <v>14</v>
      </c>
      <c r="B100" s="112">
        <v>0</v>
      </c>
      <c r="C100" s="112">
        <v>0</v>
      </c>
      <c r="D100" s="112">
        <v>0</v>
      </c>
      <c r="E100" s="112">
        <v>0</v>
      </c>
      <c r="F100" s="51">
        <v>2</v>
      </c>
      <c r="G100" s="52">
        <v>0</v>
      </c>
      <c r="H100" s="48">
        <f t="shared" si="7"/>
        <v>2</v>
      </c>
      <c r="I100" s="48">
        <f t="shared" si="8"/>
        <v>2</v>
      </c>
      <c r="J100" s="48">
        <f t="shared" si="12"/>
        <v>0</v>
      </c>
      <c r="K100" s="48">
        <f t="shared" si="3"/>
        <v>0</v>
      </c>
      <c r="L100" s="49">
        <f t="shared" si="4"/>
        <v>12</v>
      </c>
      <c r="M100" s="13" t="e" cm="1">
        <f t="array" ref="M100">SUMPRODUCT(B100:E100*$B$3:$E$3)+SUBSTITUTE(RIGHT(A100,5),"€",",")</f>
        <v>#VALUE!</v>
      </c>
    </row>
    <row r="101" spans="1:13" ht="15.75" customHeight="1" thickBot="1" x14ac:dyDescent="0.25">
      <c r="A101" s="45" t="s">
        <v>53</v>
      </c>
      <c r="B101" s="111">
        <v>0</v>
      </c>
      <c r="C101" s="111">
        <v>0</v>
      </c>
      <c r="D101" s="111">
        <v>0</v>
      </c>
      <c r="E101" s="111">
        <v>0</v>
      </c>
      <c r="F101" s="46">
        <v>2</v>
      </c>
      <c r="G101" s="47">
        <v>2</v>
      </c>
      <c r="H101" s="48">
        <f t="shared" si="7"/>
        <v>4</v>
      </c>
      <c r="I101" s="48">
        <f t="shared" si="8"/>
        <v>2</v>
      </c>
      <c r="J101" s="48">
        <f t="shared" si="12"/>
        <v>0</v>
      </c>
      <c r="K101" s="48">
        <f t="shared" si="3"/>
        <v>0</v>
      </c>
      <c r="L101" s="49">
        <f t="shared" si="4"/>
        <v>0</v>
      </c>
      <c r="M101" s="13" t="e" cm="1">
        <f t="array" ref="M101">SUMPRODUCT(B101:E101*$B$3:$E$3)+SUBSTITUTE(RIGHT(A101,5),"€",",")</f>
        <v>#VALUE!</v>
      </c>
    </row>
    <row r="102" spans="1:13" ht="15.75" customHeight="1" thickBot="1" x14ac:dyDescent="0.25">
      <c r="A102" s="45" t="s">
        <v>109</v>
      </c>
      <c r="B102" s="111">
        <v>1</v>
      </c>
      <c r="C102" s="111">
        <v>0</v>
      </c>
      <c r="D102" s="111">
        <v>0</v>
      </c>
      <c r="E102" s="111">
        <v>1</v>
      </c>
      <c r="F102" s="46">
        <v>2</v>
      </c>
      <c r="G102" s="47">
        <v>3</v>
      </c>
      <c r="H102" s="48">
        <v>5</v>
      </c>
      <c r="I102" s="48">
        <v>3</v>
      </c>
      <c r="J102" s="48">
        <f t="shared" si="12"/>
        <v>0</v>
      </c>
      <c r="K102" s="48">
        <f t="shared" si="3"/>
        <v>0</v>
      </c>
      <c r="L102" s="49">
        <f t="shared" si="4"/>
        <v>24</v>
      </c>
      <c r="M102" s="13" t="e" cm="1">
        <f t="array" ref="M102">SUMPRODUCT(B102:E102*$B$3:$E$3)+SUBSTITUTE(RIGHT(A102,5),"€",",")</f>
        <v>#VALUE!</v>
      </c>
    </row>
    <row r="103" spans="1:13" ht="15.75" customHeight="1" thickBot="1" x14ac:dyDescent="0.25">
      <c r="A103" s="45" t="s">
        <v>14</v>
      </c>
      <c r="B103" s="111">
        <v>0</v>
      </c>
      <c r="C103" s="111">
        <v>0</v>
      </c>
      <c r="D103" s="111">
        <v>1</v>
      </c>
      <c r="E103" s="111">
        <v>0</v>
      </c>
      <c r="F103" s="46">
        <v>2</v>
      </c>
      <c r="G103" s="47">
        <v>0</v>
      </c>
      <c r="H103" s="48">
        <f t="shared" ref="H103:H134" si="13">IFERROR(VALUE(SUBSTITUTE(MID($A103,SEARCH(H$1,$A103)-3,2)," ","")),0)+IF(ISNUMBER(B103),B103,0)</f>
        <v>2</v>
      </c>
      <c r="I103" s="48">
        <f t="shared" ref="I103:I134" si="14">IFERROR(VALUE(SUBSTITUTE(MID($A103,SEARCH(I$1,$A103)-3,2)," ","")),0)</f>
        <v>2</v>
      </c>
      <c r="J103" s="48">
        <f t="shared" si="12"/>
        <v>1</v>
      </c>
      <c r="K103" s="48">
        <f t="shared" si="3"/>
        <v>1</v>
      </c>
      <c r="L103" s="49">
        <f t="shared" si="4"/>
        <v>12</v>
      </c>
      <c r="M103" s="13" t="e" cm="1">
        <f t="array" ref="M103">SUMPRODUCT(B103:E103*$B$3:$E$3)+SUBSTITUTE(RIGHT(A103,5),"€",",")</f>
        <v>#VALUE!</v>
      </c>
    </row>
    <row r="104" spans="1:13" ht="15.75" customHeight="1" thickBot="1" x14ac:dyDescent="0.25">
      <c r="A104" s="45" t="s">
        <v>12</v>
      </c>
      <c r="B104" s="111">
        <v>0</v>
      </c>
      <c r="C104" s="111">
        <v>0</v>
      </c>
      <c r="D104" s="111">
        <v>0</v>
      </c>
      <c r="E104" s="111">
        <v>0</v>
      </c>
      <c r="F104" s="46">
        <v>2</v>
      </c>
      <c r="G104" s="47">
        <v>2</v>
      </c>
      <c r="H104" s="48">
        <f t="shared" si="13"/>
        <v>4</v>
      </c>
      <c r="I104" s="48">
        <f t="shared" si="14"/>
        <v>2</v>
      </c>
      <c r="J104" s="48">
        <f t="shared" si="12"/>
        <v>1</v>
      </c>
      <c r="K104" s="48">
        <f t="shared" si="3"/>
        <v>0</v>
      </c>
      <c r="L104" s="49">
        <f t="shared" si="4"/>
        <v>0</v>
      </c>
      <c r="M104" s="13" t="e" cm="1">
        <f t="array" ref="M104">SUMPRODUCT(B104:E104*$B$3:$E$3)+SUBSTITUTE(RIGHT(A104,5),"€",",")</f>
        <v>#VALUE!</v>
      </c>
    </row>
    <row r="105" spans="1:13" ht="15.75" customHeight="1" thickBot="1" x14ac:dyDescent="0.25">
      <c r="A105" s="45" t="s">
        <v>17</v>
      </c>
      <c r="B105" s="111">
        <v>0</v>
      </c>
      <c r="C105" s="111">
        <v>0</v>
      </c>
      <c r="D105" s="111">
        <v>0</v>
      </c>
      <c r="E105" s="111">
        <v>0</v>
      </c>
      <c r="F105" s="46">
        <v>1</v>
      </c>
      <c r="G105" s="47">
        <v>1</v>
      </c>
      <c r="H105" s="48">
        <f t="shared" si="13"/>
        <v>2</v>
      </c>
      <c r="I105" s="48">
        <f t="shared" si="14"/>
        <v>1</v>
      </c>
      <c r="J105" s="48">
        <f t="shared" si="12"/>
        <v>0</v>
      </c>
      <c r="K105" s="48">
        <f t="shared" si="3"/>
        <v>0</v>
      </c>
      <c r="L105" s="49">
        <f t="shared" si="4"/>
        <v>0</v>
      </c>
      <c r="M105" s="13" t="e" cm="1">
        <f t="array" ref="M105">SUMPRODUCT(B105:E105*$B$3:$E$3)+SUBSTITUTE(RIGHT(A105,5),"€",",")</f>
        <v>#VALUE!</v>
      </c>
    </row>
    <row r="106" spans="1:13" ht="15.75" customHeight="1" thickBot="1" x14ac:dyDescent="0.25">
      <c r="A106" s="45" t="s">
        <v>10</v>
      </c>
      <c r="B106" s="111">
        <v>1</v>
      </c>
      <c r="C106" s="111">
        <v>0</v>
      </c>
      <c r="D106" s="111">
        <v>0</v>
      </c>
      <c r="E106" s="111">
        <v>1</v>
      </c>
      <c r="F106" s="46">
        <v>0</v>
      </c>
      <c r="G106" s="47">
        <v>9</v>
      </c>
      <c r="H106" s="48">
        <f t="shared" si="13"/>
        <v>9</v>
      </c>
      <c r="I106" s="48">
        <f t="shared" si="14"/>
        <v>4</v>
      </c>
      <c r="J106" s="48">
        <f t="shared" si="12"/>
        <v>2</v>
      </c>
      <c r="K106" s="48">
        <f t="shared" si="3"/>
        <v>0</v>
      </c>
      <c r="L106" s="49">
        <f t="shared" si="4"/>
        <v>12</v>
      </c>
      <c r="M106" s="13" t="e" cm="1">
        <f t="array" ref="M106">SUMPRODUCT(B106:E106*$B$3:$E$3)+SUBSTITUTE(RIGHT(A106,5),"€",",")</f>
        <v>#VALUE!</v>
      </c>
    </row>
    <row r="107" spans="1:13" ht="15.75" customHeight="1" thickBot="1" x14ac:dyDescent="0.25">
      <c r="A107" s="45" t="s">
        <v>12</v>
      </c>
      <c r="B107" s="111">
        <v>0</v>
      </c>
      <c r="C107" s="111">
        <v>0</v>
      </c>
      <c r="D107" s="111">
        <v>0</v>
      </c>
      <c r="E107" s="111">
        <v>0</v>
      </c>
      <c r="F107" s="46">
        <v>4</v>
      </c>
      <c r="G107" s="47">
        <v>0</v>
      </c>
      <c r="H107" s="48">
        <f t="shared" si="13"/>
        <v>4</v>
      </c>
      <c r="I107" s="48">
        <f t="shared" si="14"/>
        <v>2</v>
      </c>
      <c r="J107" s="48">
        <f t="shared" si="12"/>
        <v>1</v>
      </c>
      <c r="K107" s="48">
        <f t="shared" si="3"/>
        <v>0</v>
      </c>
      <c r="L107" s="49">
        <f t="shared" si="4"/>
        <v>0</v>
      </c>
      <c r="M107" s="13" t="e" cm="1">
        <f t="array" ref="M107">SUMPRODUCT(B107:E107*$B$3:$E$3)+SUBSTITUTE(RIGHT(A107,5),"€",",")</f>
        <v>#VALUE!</v>
      </c>
    </row>
    <row r="108" spans="1:13" ht="15.75" customHeight="1" thickBot="1" x14ac:dyDescent="0.25">
      <c r="A108" s="45" t="s">
        <v>12</v>
      </c>
      <c r="B108" s="111">
        <v>0</v>
      </c>
      <c r="C108" s="111">
        <v>0</v>
      </c>
      <c r="D108" s="111">
        <v>0</v>
      </c>
      <c r="E108" s="111">
        <v>0</v>
      </c>
      <c r="F108" s="46">
        <v>2</v>
      </c>
      <c r="G108" s="47">
        <v>2</v>
      </c>
      <c r="H108" s="48">
        <f t="shared" si="13"/>
        <v>4</v>
      </c>
      <c r="I108" s="48">
        <f t="shared" si="14"/>
        <v>2</v>
      </c>
      <c r="J108" s="48">
        <f t="shared" si="12"/>
        <v>1</v>
      </c>
      <c r="K108" s="48">
        <f t="shared" si="3"/>
        <v>0</v>
      </c>
      <c r="L108" s="49">
        <f t="shared" si="4"/>
        <v>0</v>
      </c>
      <c r="M108" s="13" t="e" cm="1">
        <f t="array" ref="M108">SUMPRODUCT(B108:E108*$B$3:$E$3)+SUBSTITUTE(RIGHT(A108,5),"€",",")</f>
        <v>#VALUE!</v>
      </c>
    </row>
    <row r="109" spans="1:13" ht="15.75" customHeight="1" thickBot="1" x14ac:dyDescent="0.25">
      <c r="A109" s="45" t="s">
        <v>12</v>
      </c>
      <c r="B109" s="111">
        <v>0</v>
      </c>
      <c r="C109" s="111">
        <v>0</v>
      </c>
      <c r="D109" s="111">
        <v>0</v>
      </c>
      <c r="E109" s="111">
        <v>0</v>
      </c>
      <c r="F109" s="46">
        <v>4</v>
      </c>
      <c r="G109" s="47">
        <v>0</v>
      </c>
      <c r="H109" s="48">
        <f t="shared" si="13"/>
        <v>4</v>
      </c>
      <c r="I109" s="48">
        <f t="shared" si="14"/>
        <v>2</v>
      </c>
      <c r="J109" s="48">
        <f t="shared" si="12"/>
        <v>1</v>
      </c>
      <c r="K109" s="48">
        <f t="shared" si="3"/>
        <v>0</v>
      </c>
      <c r="L109" s="49">
        <f t="shared" si="4"/>
        <v>0</v>
      </c>
      <c r="M109" s="13" t="e" cm="1">
        <f t="array" ref="M109">SUMPRODUCT(B109:E109*$B$3:$E$3)+SUBSTITUTE(RIGHT(A109,5),"€",",")</f>
        <v>#VALUE!</v>
      </c>
    </row>
    <row r="110" spans="1:13" ht="15.75" customHeight="1" thickBot="1" x14ac:dyDescent="0.25">
      <c r="A110" s="45" t="s">
        <v>17</v>
      </c>
      <c r="B110" s="111">
        <v>0</v>
      </c>
      <c r="C110" s="111">
        <v>0</v>
      </c>
      <c r="D110" s="111">
        <v>0</v>
      </c>
      <c r="E110" s="111">
        <v>0</v>
      </c>
      <c r="F110" s="46">
        <v>2</v>
      </c>
      <c r="G110" s="47">
        <v>0</v>
      </c>
      <c r="H110" s="48">
        <f t="shared" si="13"/>
        <v>2</v>
      </c>
      <c r="I110" s="48">
        <f t="shared" si="14"/>
        <v>1</v>
      </c>
      <c r="J110" s="48">
        <f t="shared" si="12"/>
        <v>0</v>
      </c>
      <c r="K110" s="48">
        <f t="shared" si="3"/>
        <v>0</v>
      </c>
      <c r="L110" s="49">
        <f t="shared" si="4"/>
        <v>0</v>
      </c>
      <c r="M110" s="13" t="e" cm="1">
        <f t="array" ref="M110">SUMPRODUCT(B110:E110*$B$3:$E$3)+SUBSTITUTE(RIGHT(A110,5),"€",",")</f>
        <v>#VALUE!</v>
      </c>
    </row>
    <row r="111" spans="1:13" ht="15.75" customHeight="1" thickBot="1" x14ac:dyDescent="0.25">
      <c r="A111" s="58" t="s">
        <v>14</v>
      </c>
      <c r="B111" s="114">
        <v>0</v>
      </c>
      <c r="C111" s="114">
        <v>0</v>
      </c>
      <c r="D111" s="114">
        <v>1</v>
      </c>
      <c r="E111" s="114">
        <v>0</v>
      </c>
      <c r="F111" s="59">
        <v>0</v>
      </c>
      <c r="G111" s="60">
        <v>2</v>
      </c>
      <c r="H111" s="56">
        <f t="shared" si="13"/>
        <v>2</v>
      </c>
      <c r="I111" s="56">
        <f t="shared" si="14"/>
        <v>2</v>
      </c>
      <c r="J111" s="56">
        <f t="shared" si="12"/>
        <v>1</v>
      </c>
      <c r="K111" s="56">
        <f t="shared" si="3"/>
        <v>1</v>
      </c>
      <c r="L111" s="57">
        <f t="shared" si="4"/>
        <v>12</v>
      </c>
      <c r="M111" s="13" t="e" cm="1">
        <f t="array" ref="M111">SUMPRODUCT(B111:E111*$B$3:$E$3)+SUBSTITUTE(RIGHT(A111,5),"€",",")</f>
        <v>#VALUE!</v>
      </c>
    </row>
    <row r="112" spans="1:13" ht="15.75" customHeight="1" thickBot="1" x14ac:dyDescent="0.25">
      <c r="A112" s="50" t="s">
        <v>12</v>
      </c>
      <c r="B112" s="112">
        <v>4</v>
      </c>
      <c r="C112" s="112">
        <v>0</v>
      </c>
      <c r="D112" s="112">
        <v>0</v>
      </c>
      <c r="E112" s="112">
        <v>0</v>
      </c>
      <c r="F112" s="51">
        <v>4</v>
      </c>
      <c r="G112" s="51">
        <v>4</v>
      </c>
      <c r="H112" s="56">
        <f t="shared" si="13"/>
        <v>8</v>
      </c>
      <c r="I112" s="56">
        <f t="shared" si="14"/>
        <v>2</v>
      </c>
      <c r="J112" s="56">
        <f t="shared" si="12"/>
        <v>1</v>
      </c>
      <c r="K112" s="56">
        <f t="shared" si="3"/>
        <v>0</v>
      </c>
      <c r="L112" s="57">
        <f t="shared" si="4"/>
        <v>0</v>
      </c>
      <c r="M112" s="13" t="e" cm="1">
        <f t="array" ref="M112">SUMPRODUCT(B112:E112*$B$3:$E$3)+SUBSTITUTE(RIGHT(A112,5),"€",",")</f>
        <v>#VALUE!</v>
      </c>
    </row>
    <row r="113" spans="1:13" ht="15.75" customHeight="1" thickBot="1" x14ac:dyDescent="0.25">
      <c r="A113" s="61" t="s">
        <v>12</v>
      </c>
      <c r="B113" s="115">
        <v>0</v>
      </c>
      <c r="C113" s="115">
        <v>0</v>
      </c>
      <c r="D113" s="115">
        <v>0</v>
      </c>
      <c r="E113" s="115">
        <v>0</v>
      </c>
      <c r="F113" s="62">
        <v>2</v>
      </c>
      <c r="G113" s="63">
        <v>2</v>
      </c>
      <c r="H113" s="56">
        <f t="shared" si="13"/>
        <v>4</v>
      </c>
      <c r="I113" s="56">
        <f t="shared" si="14"/>
        <v>2</v>
      </c>
      <c r="J113" s="56">
        <f t="shared" si="12"/>
        <v>1</v>
      </c>
      <c r="K113" s="56">
        <f t="shared" si="3"/>
        <v>0</v>
      </c>
      <c r="L113" s="57">
        <f t="shared" si="4"/>
        <v>0</v>
      </c>
      <c r="M113" s="13" t="e" cm="1">
        <f t="array" ref="M113">SUMPRODUCT(B113:E113*$B$3:$E$3)+SUBSTITUTE(RIGHT(A113,5),"€",",")</f>
        <v>#VALUE!</v>
      </c>
    </row>
    <row r="114" spans="1:13" ht="15.75" customHeight="1" thickBot="1" x14ac:dyDescent="0.25">
      <c r="A114" s="45" t="s">
        <v>12</v>
      </c>
      <c r="B114" s="111">
        <v>0</v>
      </c>
      <c r="C114" s="111">
        <v>0</v>
      </c>
      <c r="D114" s="111">
        <v>1</v>
      </c>
      <c r="E114" s="111">
        <v>0</v>
      </c>
      <c r="F114" s="46">
        <v>2</v>
      </c>
      <c r="G114" s="47">
        <v>2</v>
      </c>
      <c r="H114" s="56">
        <f t="shared" si="13"/>
        <v>4</v>
      </c>
      <c r="I114" s="56">
        <f t="shared" si="14"/>
        <v>2</v>
      </c>
      <c r="J114" s="56">
        <f t="shared" si="12"/>
        <v>2</v>
      </c>
      <c r="K114" s="56">
        <f t="shared" si="3"/>
        <v>1</v>
      </c>
      <c r="L114" s="57">
        <f t="shared" si="4"/>
        <v>0</v>
      </c>
      <c r="M114" s="13" t="e" cm="1">
        <f t="array" ref="M114">SUMPRODUCT(B114:E114*$B$3:$E$3)+SUBSTITUTE(RIGHT(A114,5),"€",",")</f>
        <v>#VALUE!</v>
      </c>
    </row>
    <row r="115" spans="1:13" ht="15.75" customHeight="1" thickBot="1" x14ac:dyDescent="0.25">
      <c r="A115" s="64" t="s">
        <v>12</v>
      </c>
      <c r="B115" s="116">
        <v>0</v>
      </c>
      <c r="C115" s="116">
        <v>0</v>
      </c>
      <c r="D115" s="116">
        <v>0</v>
      </c>
      <c r="E115" s="116">
        <v>0</v>
      </c>
      <c r="F115" s="65">
        <v>0</v>
      </c>
      <c r="G115" s="65">
        <v>4</v>
      </c>
      <c r="H115" s="66">
        <f t="shared" si="13"/>
        <v>4</v>
      </c>
      <c r="I115" s="66">
        <f t="shared" si="14"/>
        <v>2</v>
      </c>
      <c r="J115" s="66">
        <v>2</v>
      </c>
      <c r="K115" s="66">
        <f t="shared" si="3"/>
        <v>0</v>
      </c>
      <c r="L115" s="67">
        <f t="shared" si="4"/>
        <v>0</v>
      </c>
      <c r="M115" s="13" t="e" cm="1">
        <f t="array" ref="M115">SUMPRODUCT(B115:E115*$B$3:$E$3)+SUBSTITUTE(RIGHT(A115,5),"€",",")</f>
        <v>#VALUE!</v>
      </c>
    </row>
    <row r="116" spans="1:13" ht="15.75" customHeight="1" thickBot="1" x14ac:dyDescent="0.25">
      <c r="A116" s="45" t="s">
        <v>14</v>
      </c>
      <c r="B116" s="111">
        <v>0</v>
      </c>
      <c r="C116" s="111">
        <v>0</v>
      </c>
      <c r="D116" s="111">
        <v>0</v>
      </c>
      <c r="E116" s="111">
        <v>0</v>
      </c>
      <c r="F116" s="46">
        <v>0</v>
      </c>
      <c r="G116" s="46">
        <v>2</v>
      </c>
      <c r="H116" s="56">
        <f t="shared" si="13"/>
        <v>2</v>
      </c>
      <c r="I116" s="56">
        <f t="shared" si="14"/>
        <v>2</v>
      </c>
      <c r="J116" s="56">
        <f t="shared" ref="J116:J148" si="15">IFERROR(VALUE(SUBSTITUTE(MID($A116,SEARCH(J$1,$A116)-3,2)," ","")),0)+IF(ISNUMBER(C116),D116,0)</f>
        <v>0</v>
      </c>
      <c r="K116" s="56">
        <f t="shared" si="3"/>
        <v>0</v>
      </c>
      <c r="L116" s="57">
        <f t="shared" si="4"/>
        <v>12</v>
      </c>
      <c r="M116" s="13" t="e" cm="1">
        <f t="array" ref="M116">SUMPRODUCT(B116:E116*$B$3:$E$3)+SUBSTITUTE(RIGHT(A116,5),"€",",")</f>
        <v>#VALUE!</v>
      </c>
    </row>
    <row r="117" spans="1:13" ht="15.75" customHeight="1" thickBot="1" x14ac:dyDescent="0.25">
      <c r="A117" s="68" t="s">
        <v>12</v>
      </c>
      <c r="B117" s="117">
        <v>0</v>
      </c>
      <c r="C117" s="117">
        <v>0</v>
      </c>
      <c r="D117" s="117">
        <v>0</v>
      </c>
      <c r="E117" s="117">
        <v>0</v>
      </c>
      <c r="F117" s="69">
        <v>2</v>
      </c>
      <c r="G117" s="69">
        <v>2</v>
      </c>
      <c r="H117" s="70">
        <f t="shared" si="13"/>
        <v>4</v>
      </c>
      <c r="I117" s="70">
        <f t="shared" si="14"/>
        <v>2</v>
      </c>
      <c r="J117" s="70">
        <f t="shared" si="15"/>
        <v>1</v>
      </c>
      <c r="K117" s="70">
        <f t="shared" si="3"/>
        <v>0</v>
      </c>
      <c r="L117" s="71">
        <f t="shared" si="4"/>
        <v>0</v>
      </c>
      <c r="M117" s="13" t="e" cm="1">
        <f t="array" ref="M117">SUMPRODUCT(B117:E117*$B$3:$E$3)+SUBSTITUTE(RIGHT(A117,5),"€",",")</f>
        <v>#VALUE!</v>
      </c>
    </row>
    <row r="118" spans="1:13" ht="15.75" customHeight="1" thickBot="1" x14ac:dyDescent="0.25">
      <c r="A118" s="50" t="s">
        <v>12</v>
      </c>
      <c r="B118" s="112">
        <v>0</v>
      </c>
      <c r="C118" s="112">
        <v>0</v>
      </c>
      <c r="D118" s="112">
        <v>0</v>
      </c>
      <c r="E118" s="112">
        <v>0</v>
      </c>
      <c r="F118" s="51">
        <v>3</v>
      </c>
      <c r="G118" s="51">
        <v>1</v>
      </c>
      <c r="H118" s="56">
        <f t="shared" si="13"/>
        <v>4</v>
      </c>
      <c r="I118" s="56">
        <f t="shared" si="14"/>
        <v>2</v>
      </c>
      <c r="J118" s="56">
        <f t="shared" si="15"/>
        <v>1</v>
      </c>
      <c r="K118" s="56">
        <f t="shared" si="3"/>
        <v>0</v>
      </c>
      <c r="L118" s="57">
        <f t="shared" si="4"/>
        <v>0</v>
      </c>
      <c r="M118" s="13" t="e" cm="1">
        <f t="array" ref="M118">SUMPRODUCT(B118:E118*$B$3:$E$3)+SUBSTITUTE(RIGHT(A118,5),"€",",")</f>
        <v>#VALUE!</v>
      </c>
    </row>
    <row r="119" spans="1:13" ht="15.75" customHeight="1" thickBot="1" x14ac:dyDescent="0.25">
      <c r="A119" s="45" t="s">
        <v>12</v>
      </c>
      <c r="B119" s="111">
        <v>0</v>
      </c>
      <c r="C119" s="111">
        <v>0</v>
      </c>
      <c r="D119" s="111">
        <v>0</v>
      </c>
      <c r="E119" s="111">
        <v>0</v>
      </c>
      <c r="F119" s="46">
        <v>2</v>
      </c>
      <c r="G119" s="46">
        <v>2</v>
      </c>
      <c r="H119" s="56">
        <f t="shared" si="13"/>
        <v>4</v>
      </c>
      <c r="I119" s="56">
        <f t="shared" si="14"/>
        <v>2</v>
      </c>
      <c r="J119" s="56">
        <f t="shared" si="15"/>
        <v>1</v>
      </c>
      <c r="K119" s="56">
        <f t="shared" si="3"/>
        <v>0</v>
      </c>
      <c r="L119" s="57">
        <f t="shared" si="4"/>
        <v>0</v>
      </c>
      <c r="M119" s="13" t="e" cm="1">
        <f t="array" ref="M119">SUMPRODUCT(B119:E119*$B$3:$E$3)+SUBSTITUTE(RIGHT(A119,5),"€",",")</f>
        <v>#VALUE!</v>
      </c>
    </row>
    <row r="120" spans="1:13" ht="15.75" customHeight="1" thickBot="1" x14ac:dyDescent="0.25">
      <c r="A120" s="45" t="s">
        <v>12</v>
      </c>
      <c r="B120" s="111">
        <v>0</v>
      </c>
      <c r="C120" s="111">
        <v>0</v>
      </c>
      <c r="D120" s="111">
        <v>0</v>
      </c>
      <c r="E120" s="111">
        <v>0</v>
      </c>
      <c r="F120" s="46">
        <v>2</v>
      </c>
      <c r="G120" s="46">
        <v>2</v>
      </c>
      <c r="H120" s="56">
        <f t="shared" si="13"/>
        <v>4</v>
      </c>
      <c r="I120" s="56">
        <f t="shared" si="14"/>
        <v>2</v>
      </c>
      <c r="J120" s="56">
        <f t="shared" si="15"/>
        <v>1</v>
      </c>
      <c r="K120" s="56">
        <f t="shared" si="3"/>
        <v>0</v>
      </c>
      <c r="L120" s="57">
        <f t="shared" si="4"/>
        <v>0</v>
      </c>
      <c r="M120" s="13" t="e" cm="1">
        <f t="array" ref="M120">SUMPRODUCT(B120:E120*$B$3:$E$3)+SUBSTITUTE(RIGHT(A120,5),"€",",")</f>
        <v>#VALUE!</v>
      </c>
    </row>
    <row r="121" spans="1:13" ht="15.75" customHeight="1" thickBot="1" x14ac:dyDescent="0.25">
      <c r="A121" s="45" t="s">
        <v>14</v>
      </c>
      <c r="B121" s="111">
        <v>0</v>
      </c>
      <c r="C121" s="111">
        <v>0</v>
      </c>
      <c r="D121" s="111">
        <v>0</v>
      </c>
      <c r="E121" s="111">
        <v>0</v>
      </c>
      <c r="F121" s="46">
        <v>2</v>
      </c>
      <c r="G121" s="46">
        <v>0</v>
      </c>
      <c r="H121" s="56">
        <f t="shared" si="13"/>
        <v>2</v>
      </c>
      <c r="I121" s="56">
        <f t="shared" si="14"/>
        <v>2</v>
      </c>
      <c r="J121" s="56">
        <f t="shared" si="15"/>
        <v>0</v>
      </c>
      <c r="K121" s="56">
        <f t="shared" si="3"/>
        <v>0</v>
      </c>
      <c r="L121" s="57">
        <f t="shared" si="4"/>
        <v>12</v>
      </c>
      <c r="M121" s="13" t="e" cm="1">
        <f t="array" ref="M121">SUMPRODUCT(B121:E121*$B$3:$E$3)+SUBSTITUTE(RIGHT(A121,5),"€",",")</f>
        <v>#VALUE!</v>
      </c>
    </row>
    <row r="122" spans="1:13" ht="15.75" customHeight="1" thickBot="1" x14ac:dyDescent="0.25">
      <c r="A122" s="53" t="s">
        <v>17</v>
      </c>
      <c r="B122" s="113">
        <v>0</v>
      </c>
      <c r="C122" s="113">
        <v>0</v>
      </c>
      <c r="D122" s="113">
        <v>0</v>
      </c>
      <c r="E122" s="113">
        <v>0</v>
      </c>
      <c r="F122" s="54">
        <v>2</v>
      </c>
      <c r="G122" s="54">
        <v>0</v>
      </c>
      <c r="H122" s="56">
        <f t="shared" si="13"/>
        <v>2</v>
      </c>
      <c r="I122" s="56">
        <f t="shared" si="14"/>
        <v>1</v>
      </c>
      <c r="J122" s="56">
        <f t="shared" si="15"/>
        <v>0</v>
      </c>
      <c r="K122" s="56">
        <f t="shared" si="3"/>
        <v>0</v>
      </c>
      <c r="L122" s="57">
        <f t="shared" si="4"/>
        <v>0</v>
      </c>
      <c r="M122" s="13" t="e" cm="1">
        <f t="array" ref="M122">SUMPRODUCT(B122:E122*$B$3:$E$3)+SUBSTITUTE(RIGHT(A122,5),"€",",")</f>
        <v>#VALUE!</v>
      </c>
    </row>
    <row r="123" spans="1:13" ht="15.75" customHeight="1" thickBot="1" x14ac:dyDescent="0.25">
      <c r="A123" s="45" t="s">
        <v>10</v>
      </c>
      <c r="B123" s="111">
        <v>0</v>
      </c>
      <c r="C123" s="111">
        <v>0</v>
      </c>
      <c r="D123" s="111">
        <v>0</v>
      </c>
      <c r="E123" s="111">
        <v>0</v>
      </c>
      <c r="F123" s="46">
        <v>4</v>
      </c>
      <c r="G123" s="46">
        <v>4</v>
      </c>
      <c r="H123" s="56">
        <f t="shared" si="13"/>
        <v>8</v>
      </c>
      <c r="I123" s="56">
        <f t="shared" si="14"/>
        <v>4</v>
      </c>
      <c r="J123" s="56">
        <f t="shared" si="15"/>
        <v>2</v>
      </c>
      <c r="K123" s="56">
        <f t="shared" si="3"/>
        <v>0</v>
      </c>
      <c r="L123" s="57">
        <f t="shared" si="4"/>
        <v>0</v>
      </c>
      <c r="M123" s="13" t="e" cm="1">
        <f t="array" ref="M123">SUMPRODUCT(B123:E123*$B$3:$E$3)+SUBSTITUTE(RIGHT(A123,5),"€",",")</f>
        <v>#VALUE!</v>
      </c>
    </row>
    <row r="124" spans="1:13" ht="15.75" customHeight="1" thickBot="1" x14ac:dyDescent="0.25">
      <c r="A124" s="72" t="s">
        <v>14</v>
      </c>
      <c r="B124" s="118">
        <v>0</v>
      </c>
      <c r="C124" s="118">
        <v>0</v>
      </c>
      <c r="D124" s="118">
        <v>0</v>
      </c>
      <c r="E124" s="118">
        <v>0</v>
      </c>
      <c r="F124" s="73">
        <v>2</v>
      </c>
      <c r="G124" s="73">
        <v>0</v>
      </c>
      <c r="H124" s="74">
        <f t="shared" si="13"/>
        <v>2</v>
      </c>
      <c r="I124" s="74">
        <f t="shared" si="14"/>
        <v>2</v>
      </c>
      <c r="J124" s="74">
        <f t="shared" si="15"/>
        <v>0</v>
      </c>
      <c r="K124" s="74">
        <f t="shared" si="3"/>
        <v>0</v>
      </c>
      <c r="L124" s="75">
        <f t="shared" si="4"/>
        <v>12</v>
      </c>
      <c r="M124" s="13" t="e" cm="1">
        <f t="array" ref="M124">SUMPRODUCT(B124:E124*$B$3:$E$3)+SUBSTITUTE(RIGHT(A124,5),"€",",")</f>
        <v>#VALUE!</v>
      </c>
    </row>
    <row r="125" spans="1:13" ht="15.75" customHeight="1" thickBot="1" x14ac:dyDescent="0.25">
      <c r="A125" s="1" t="s">
        <v>53</v>
      </c>
      <c r="B125" s="119">
        <v>1</v>
      </c>
      <c r="C125" s="119">
        <v>0</v>
      </c>
      <c r="D125" s="119">
        <v>0</v>
      </c>
      <c r="E125" s="119">
        <v>0</v>
      </c>
      <c r="F125" s="5">
        <v>5</v>
      </c>
      <c r="G125" s="5">
        <v>0</v>
      </c>
      <c r="H125" s="74">
        <f t="shared" si="13"/>
        <v>5</v>
      </c>
      <c r="I125" s="74">
        <f t="shared" si="14"/>
        <v>2</v>
      </c>
      <c r="J125" s="74">
        <f t="shared" si="15"/>
        <v>0</v>
      </c>
      <c r="K125" s="74">
        <f t="shared" si="3"/>
        <v>0</v>
      </c>
      <c r="L125" s="75">
        <f t="shared" si="4"/>
        <v>0</v>
      </c>
      <c r="M125" s="13" t="e" cm="1">
        <f t="array" ref="M125">SUMPRODUCT(B125:E125*$B$3:$E$3)+SUBSTITUTE(RIGHT(A125,5),"€",",")</f>
        <v>#VALUE!</v>
      </c>
    </row>
    <row r="126" spans="1:13" ht="15.75" customHeight="1" thickBot="1" x14ac:dyDescent="0.25">
      <c r="A126" s="72" t="s">
        <v>14</v>
      </c>
      <c r="B126" s="118">
        <v>2</v>
      </c>
      <c r="C126" s="118">
        <v>0</v>
      </c>
      <c r="D126" s="118">
        <v>0</v>
      </c>
      <c r="E126" s="118">
        <v>0</v>
      </c>
      <c r="F126" s="73">
        <v>4</v>
      </c>
      <c r="G126" s="73">
        <v>0</v>
      </c>
      <c r="H126" s="74">
        <f t="shared" si="13"/>
        <v>4</v>
      </c>
      <c r="I126" s="74">
        <f t="shared" si="14"/>
        <v>2</v>
      </c>
      <c r="J126" s="74">
        <f t="shared" si="15"/>
        <v>0</v>
      </c>
      <c r="K126" s="74">
        <f t="shared" si="3"/>
        <v>0</v>
      </c>
      <c r="L126" s="75">
        <f t="shared" si="4"/>
        <v>12</v>
      </c>
      <c r="M126" s="13" t="e" cm="1">
        <f t="array" ref="M126">SUMPRODUCT(B126:E126*$B$3:$E$3)+SUBSTITUTE(RIGHT(A126,5),"€",",")</f>
        <v>#VALUE!</v>
      </c>
    </row>
    <row r="127" spans="1:13" ht="15.75" customHeight="1" thickBot="1" x14ac:dyDescent="0.25">
      <c r="A127" s="1" t="s">
        <v>14</v>
      </c>
      <c r="B127" s="119">
        <v>0</v>
      </c>
      <c r="C127" s="119">
        <v>0</v>
      </c>
      <c r="D127" s="119">
        <v>1</v>
      </c>
      <c r="E127" s="119">
        <v>0</v>
      </c>
      <c r="F127" s="5">
        <v>1</v>
      </c>
      <c r="G127" s="5">
        <v>1</v>
      </c>
      <c r="H127" s="74">
        <f t="shared" si="13"/>
        <v>2</v>
      </c>
      <c r="I127" s="74">
        <f t="shared" si="14"/>
        <v>2</v>
      </c>
      <c r="J127" s="74">
        <f t="shared" si="15"/>
        <v>1</v>
      </c>
      <c r="K127" s="74">
        <f t="shared" si="3"/>
        <v>1</v>
      </c>
      <c r="L127" s="75">
        <f t="shared" si="4"/>
        <v>12</v>
      </c>
      <c r="M127" s="13" t="e" cm="1">
        <f t="array" ref="M127">SUMPRODUCT(B127:E127*$B$3:$E$3)+SUBSTITUTE(RIGHT(A127,5),"€",",")</f>
        <v>#VALUE!</v>
      </c>
    </row>
    <row r="128" spans="1:13" ht="15.75" customHeight="1" thickBot="1" x14ac:dyDescent="0.25">
      <c r="A128" s="72" t="s">
        <v>14</v>
      </c>
      <c r="B128" s="119">
        <v>0</v>
      </c>
      <c r="C128" s="119">
        <v>0</v>
      </c>
      <c r="D128" s="119">
        <v>1</v>
      </c>
      <c r="E128" s="119">
        <v>0</v>
      </c>
      <c r="F128" s="5">
        <v>1</v>
      </c>
      <c r="G128" s="5">
        <v>1</v>
      </c>
      <c r="H128" s="74">
        <f t="shared" si="13"/>
        <v>2</v>
      </c>
      <c r="I128" s="74">
        <f t="shared" si="14"/>
        <v>2</v>
      </c>
      <c r="J128" s="74">
        <f t="shared" si="15"/>
        <v>1</v>
      </c>
      <c r="K128" s="74">
        <f t="shared" si="3"/>
        <v>1</v>
      </c>
      <c r="L128" s="75">
        <f t="shared" si="4"/>
        <v>12</v>
      </c>
      <c r="M128" s="13" t="e" cm="1">
        <f t="array" ref="M128">SUMPRODUCT(B128:E128*$B$3:$E$3)+SUBSTITUTE(RIGHT(A128,5),"€",",")</f>
        <v>#VALUE!</v>
      </c>
    </row>
    <row r="129" spans="1:13" ht="15.75" customHeight="1" thickBot="1" x14ac:dyDescent="0.25">
      <c r="A129" s="72" t="s">
        <v>14</v>
      </c>
      <c r="B129" s="119">
        <v>0</v>
      </c>
      <c r="C129" s="119">
        <v>0</v>
      </c>
      <c r="D129" s="119">
        <v>1</v>
      </c>
      <c r="E129" s="119">
        <v>0</v>
      </c>
      <c r="F129" s="5">
        <v>1</v>
      </c>
      <c r="G129" s="5">
        <v>1</v>
      </c>
      <c r="H129" s="74">
        <f t="shared" si="13"/>
        <v>2</v>
      </c>
      <c r="I129" s="74">
        <f t="shared" si="14"/>
        <v>2</v>
      </c>
      <c r="J129" s="74">
        <f t="shared" si="15"/>
        <v>1</v>
      </c>
      <c r="K129" s="74">
        <f t="shared" si="3"/>
        <v>1</v>
      </c>
      <c r="L129" s="75">
        <f t="shared" si="4"/>
        <v>12</v>
      </c>
      <c r="M129" s="13" t="e" cm="1">
        <f t="array" ref="M129">SUMPRODUCT(B129:E129*$B$3:$E$3)+SUBSTITUTE(RIGHT(A129,5),"€",",")</f>
        <v>#VALUE!</v>
      </c>
    </row>
    <row r="130" spans="1:13" ht="15.75" customHeight="1" thickBot="1" x14ac:dyDescent="0.25">
      <c r="A130" s="72" t="s">
        <v>14</v>
      </c>
      <c r="B130" s="119">
        <v>0</v>
      </c>
      <c r="C130" s="119">
        <v>0</v>
      </c>
      <c r="D130" s="119">
        <v>1</v>
      </c>
      <c r="E130" s="119">
        <v>0</v>
      </c>
      <c r="F130" s="5">
        <v>1</v>
      </c>
      <c r="G130" s="5">
        <v>1</v>
      </c>
      <c r="H130" s="74">
        <f t="shared" si="13"/>
        <v>2</v>
      </c>
      <c r="I130" s="74">
        <f t="shared" si="14"/>
        <v>2</v>
      </c>
      <c r="J130" s="74">
        <f t="shared" si="15"/>
        <v>1</v>
      </c>
      <c r="K130" s="74">
        <f t="shared" si="3"/>
        <v>1</v>
      </c>
      <c r="L130" s="75">
        <f t="shared" si="4"/>
        <v>12</v>
      </c>
      <c r="M130" s="13" t="e" cm="1">
        <f t="array" ref="M130">SUMPRODUCT(B130:E130*$B$3:$E$3)+SUBSTITUTE(RIGHT(A130,5),"€",",")</f>
        <v>#VALUE!</v>
      </c>
    </row>
    <row r="131" spans="1:13" ht="15.75" customHeight="1" thickBot="1" x14ac:dyDescent="0.25">
      <c r="A131" s="72" t="s">
        <v>14</v>
      </c>
      <c r="B131" s="119">
        <v>0</v>
      </c>
      <c r="C131" s="119">
        <v>0</v>
      </c>
      <c r="D131" s="119">
        <v>1</v>
      </c>
      <c r="E131" s="119">
        <v>0</v>
      </c>
      <c r="F131" s="5">
        <v>1</v>
      </c>
      <c r="G131" s="5">
        <v>1</v>
      </c>
      <c r="H131" s="74">
        <f t="shared" si="13"/>
        <v>2</v>
      </c>
      <c r="I131" s="74">
        <f t="shared" si="14"/>
        <v>2</v>
      </c>
      <c r="J131" s="74">
        <f t="shared" si="15"/>
        <v>1</v>
      </c>
      <c r="K131" s="74">
        <f t="shared" si="3"/>
        <v>1</v>
      </c>
      <c r="L131" s="75">
        <f t="shared" si="4"/>
        <v>12</v>
      </c>
      <c r="M131" s="13" t="e" cm="1">
        <f t="array" ref="M131">SUMPRODUCT(B131:E131*$B$3:$E$3)+SUBSTITUTE(RIGHT(A131,5),"€",",")</f>
        <v>#VALUE!</v>
      </c>
    </row>
    <row r="132" spans="1:13" ht="15.75" customHeight="1" thickBot="1" x14ac:dyDescent="0.25">
      <c r="A132" s="72" t="s">
        <v>14</v>
      </c>
      <c r="B132" s="119">
        <v>0</v>
      </c>
      <c r="C132" s="119">
        <v>0</v>
      </c>
      <c r="D132" s="119">
        <v>1</v>
      </c>
      <c r="E132" s="119">
        <v>0</v>
      </c>
      <c r="F132" s="5">
        <v>1</v>
      </c>
      <c r="G132" s="5">
        <v>1</v>
      </c>
      <c r="H132" s="74">
        <f t="shared" si="13"/>
        <v>2</v>
      </c>
      <c r="I132" s="74">
        <f t="shared" si="14"/>
        <v>2</v>
      </c>
      <c r="J132" s="74">
        <f t="shared" si="15"/>
        <v>1</v>
      </c>
      <c r="K132" s="74">
        <f t="shared" si="3"/>
        <v>1</v>
      </c>
      <c r="L132" s="75">
        <f t="shared" si="4"/>
        <v>12</v>
      </c>
      <c r="M132" s="13" t="e" cm="1">
        <f t="array" ref="M132">SUMPRODUCT(B132:E132*$B$3:$E$3)+SUBSTITUTE(RIGHT(A132,5),"€",",")</f>
        <v>#VALUE!</v>
      </c>
    </row>
    <row r="133" spans="1:13" ht="15.75" customHeight="1" thickBot="1" x14ac:dyDescent="0.25">
      <c r="A133" s="72" t="s">
        <v>14</v>
      </c>
      <c r="B133" s="119">
        <v>0</v>
      </c>
      <c r="C133" s="119">
        <v>0</v>
      </c>
      <c r="D133" s="119">
        <v>1</v>
      </c>
      <c r="E133" s="119">
        <v>0</v>
      </c>
      <c r="F133" s="5">
        <v>1</v>
      </c>
      <c r="G133" s="5">
        <v>1</v>
      </c>
      <c r="H133" s="74">
        <f t="shared" si="13"/>
        <v>2</v>
      </c>
      <c r="I133" s="74">
        <f t="shared" si="14"/>
        <v>2</v>
      </c>
      <c r="J133" s="74">
        <f t="shared" si="15"/>
        <v>1</v>
      </c>
      <c r="K133" s="74">
        <f t="shared" si="3"/>
        <v>1</v>
      </c>
      <c r="L133" s="75">
        <f t="shared" si="4"/>
        <v>12</v>
      </c>
      <c r="M133" s="13" t="e" cm="1">
        <f t="array" ref="M133">SUMPRODUCT(B133:E133*$B$3:$E$3)+SUBSTITUTE(RIGHT(A133,5),"€",",")</f>
        <v>#VALUE!</v>
      </c>
    </row>
    <row r="134" spans="1:13" ht="15.75" customHeight="1" thickBot="1" x14ac:dyDescent="0.25">
      <c r="A134" s="76" t="s">
        <v>14</v>
      </c>
      <c r="B134" s="120">
        <v>0</v>
      </c>
      <c r="C134" s="120">
        <v>0</v>
      </c>
      <c r="D134" s="120">
        <v>1</v>
      </c>
      <c r="E134" s="120">
        <v>0</v>
      </c>
      <c r="F134" s="77">
        <v>1</v>
      </c>
      <c r="G134" s="77">
        <v>1</v>
      </c>
      <c r="H134" s="74">
        <f t="shared" si="13"/>
        <v>2</v>
      </c>
      <c r="I134" s="74">
        <f t="shared" si="14"/>
        <v>2</v>
      </c>
      <c r="J134" s="74">
        <f t="shared" si="15"/>
        <v>1</v>
      </c>
      <c r="K134" s="74">
        <f t="shared" si="3"/>
        <v>1</v>
      </c>
      <c r="L134" s="75">
        <f t="shared" si="4"/>
        <v>12</v>
      </c>
      <c r="M134" s="13" t="e" cm="1">
        <f t="array" ref="M134">SUMPRODUCT(B134:E134*$B$3:$E$3)+SUBSTITUTE(RIGHT(A134,5),"€",",")</f>
        <v>#VALUE!</v>
      </c>
    </row>
    <row r="135" spans="1:13" ht="15.75" customHeight="1" thickBot="1" x14ac:dyDescent="0.25">
      <c r="A135" s="78" t="s">
        <v>134</v>
      </c>
      <c r="B135" s="121">
        <v>0</v>
      </c>
      <c r="C135" s="121">
        <v>0</v>
      </c>
      <c r="D135" s="121">
        <v>0</v>
      </c>
      <c r="E135" s="121">
        <v>0</v>
      </c>
      <c r="F135" s="79">
        <v>3</v>
      </c>
      <c r="G135" s="79">
        <v>3</v>
      </c>
      <c r="H135" s="80">
        <v>6</v>
      </c>
      <c r="I135" s="80">
        <v>3</v>
      </c>
      <c r="J135" s="80">
        <f t="shared" si="15"/>
        <v>1</v>
      </c>
      <c r="K135" s="80">
        <f t="shared" si="3"/>
        <v>0</v>
      </c>
      <c r="L135" s="81">
        <f t="shared" si="4"/>
        <v>0</v>
      </c>
      <c r="M135" s="13" t="e" cm="1">
        <f t="array" ref="M135">SUMPRODUCT(B135:E135*$B$3:$E$3)+SUBSTITUTE(RIGHT(A135,5),"€",",")</f>
        <v>#VALUE!</v>
      </c>
    </row>
    <row r="136" spans="1:13" ht="15.75" customHeight="1" thickBot="1" x14ac:dyDescent="0.25">
      <c r="A136" s="78" t="s">
        <v>17</v>
      </c>
      <c r="B136" s="121">
        <v>0</v>
      </c>
      <c r="C136" s="121">
        <v>0</v>
      </c>
      <c r="D136" s="121">
        <v>0</v>
      </c>
      <c r="E136" s="121">
        <v>1</v>
      </c>
      <c r="F136" s="79">
        <v>1</v>
      </c>
      <c r="G136" s="79">
        <v>1</v>
      </c>
      <c r="H136" s="80">
        <f t="shared" ref="H136:H148" si="16">IFERROR(VALUE(SUBSTITUTE(MID($A136,SEARCH(H$1,$A136)-3,2)," ","")),0)+IF(ISNUMBER(B136),B136,0)</f>
        <v>2</v>
      </c>
      <c r="I136" s="80">
        <f t="shared" ref="I136:I148" si="17">IFERROR(VALUE(SUBSTITUTE(MID($A136,SEARCH(I$1,$A136)-3,2)," ","")),0)</f>
        <v>1</v>
      </c>
      <c r="J136" s="80">
        <f t="shared" si="15"/>
        <v>0</v>
      </c>
      <c r="K136" s="80">
        <f t="shared" si="3"/>
        <v>0</v>
      </c>
      <c r="L136" s="81">
        <f t="shared" si="4"/>
        <v>12</v>
      </c>
      <c r="M136" s="13" t="e" cm="1">
        <f t="array" ref="M136">SUMPRODUCT(B136:E136*$B$3:$E$3)+SUBSTITUTE(RIGHT(A136,5),"€",",")</f>
        <v>#VALUE!</v>
      </c>
    </row>
    <row r="137" spans="1:13" ht="15.75" customHeight="1" thickBot="1" x14ac:dyDescent="0.25">
      <c r="A137" s="82" t="s">
        <v>17</v>
      </c>
      <c r="B137" s="122">
        <v>1</v>
      </c>
      <c r="C137" s="122">
        <v>0</v>
      </c>
      <c r="D137" s="122">
        <v>0</v>
      </c>
      <c r="E137" s="122">
        <v>0</v>
      </c>
      <c r="F137" s="83">
        <v>2</v>
      </c>
      <c r="G137" s="83">
        <v>1</v>
      </c>
      <c r="H137" s="80">
        <f t="shared" si="16"/>
        <v>3</v>
      </c>
      <c r="I137" s="80">
        <f t="shared" si="17"/>
        <v>1</v>
      </c>
      <c r="J137" s="80">
        <f t="shared" si="15"/>
        <v>0</v>
      </c>
      <c r="K137" s="80">
        <f t="shared" si="3"/>
        <v>0</v>
      </c>
      <c r="L137" s="81">
        <f t="shared" si="4"/>
        <v>0</v>
      </c>
      <c r="M137" s="13" t="e" cm="1">
        <f t="array" ref="M137">SUMPRODUCT(B137:E137*$B$3:$E$3)+SUBSTITUTE(RIGHT(A137,5),"€",",")</f>
        <v>#VALUE!</v>
      </c>
    </row>
    <row r="138" spans="1:13" ht="15.75" customHeight="1" thickBot="1" x14ac:dyDescent="0.25">
      <c r="A138" s="78" t="s">
        <v>12</v>
      </c>
      <c r="B138" s="121">
        <v>1</v>
      </c>
      <c r="C138" s="121">
        <v>0</v>
      </c>
      <c r="D138" s="121">
        <v>0</v>
      </c>
      <c r="E138" s="121">
        <v>0</v>
      </c>
      <c r="F138" s="79">
        <v>3</v>
      </c>
      <c r="G138" s="79">
        <v>2</v>
      </c>
      <c r="H138" s="80">
        <f t="shared" si="16"/>
        <v>5</v>
      </c>
      <c r="I138" s="80">
        <f t="shared" si="17"/>
        <v>2</v>
      </c>
      <c r="J138" s="80">
        <f t="shared" si="15"/>
        <v>1</v>
      </c>
      <c r="K138" s="80">
        <f t="shared" si="3"/>
        <v>0</v>
      </c>
      <c r="L138" s="81">
        <f t="shared" si="4"/>
        <v>0</v>
      </c>
      <c r="M138" s="13" t="e" cm="1">
        <f t="array" ref="M138">SUMPRODUCT(B138:E138*$B$3:$E$3)+SUBSTITUTE(RIGHT(A138,5),"€",",")</f>
        <v>#VALUE!</v>
      </c>
    </row>
    <row r="139" spans="1:13" ht="15.75" customHeight="1" thickBot="1" x14ac:dyDescent="0.25">
      <c r="A139" s="78" t="s">
        <v>12</v>
      </c>
      <c r="B139" s="121">
        <v>2</v>
      </c>
      <c r="C139" s="121">
        <v>0</v>
      </c>
      <c r="D139" s="121">
        <v>0</v>
      </c>
      <c r="E139" s="121">
        <v>1</v>
      </c>
      <c r="F139" s="79">
        <v>3</v>
      </c>
      <c r="G139" s="79">
        <v>3</v>
      </c>
      <c r="H139" s="80">
        <f t="shared" si="16"/>
        <v>6</v>
      </c>
      <c r="I139" s="80">
        <f t="shared" si="17"/>
        <v>2</v>
      </c>
      <c r="J139" s="80">
        <f t="shared" si="15"/>
        <v>1</v>
      </c>
      <c r="K139" s="80">
        <f t="shared" si="3"/>
        <v>0</v>
      </c>
      <c r="L139" s="81">
        <f t="shared" si="4"/>
        <v>12</v>
      </c>
      <c r="M139" s="13" t="e" cm="1">
        <f t="array" ref="M139">SUMPRODUCT(B139:E139*$B$3:$E$3)+SUBSTITUTE(RIGHT(A139,5),"€",",")</f>
        <v>#VALUE!</v>
      </c>
    </row>
    <row r="140" spans="1:13" ht="15.75" customHeight="1" thickBot="1" x14ac:dyDescent="0.25">
      <c r="A140" s="78" t="s">
        <v>12</v>
      </c>
      <c r="B140" s="121">
        <v>0</v>
      </c>
      <c r="C140" s="121">
        <v>0</v>
      </c>
      <c r="D140" s="121">
        <v>1</v>
      </c>
      <c r="E140" s="121">
        <v>1</v>
      </c>
      <c r="F140" s="79">
        <v>4</v>
      </c>
      <c r="G140" s="79">
        <v>0</v>
      </c>
      <c r="H140" s="80">
        <f t="shared" si="16"/>
        <v>4</v>
      </c>
      <c r="I140" s="80">
        <f t="shared" si="17"/>
        <v>2</v>
      </c>
      <c r="J140" s="80">
        <f t="shared" si="15"/>
        <v>2</v>
      </c>
      <c r="K140" s="80">
        <f t="shared" si="3"/>
        <v>1</v>
      </c>
      <c r="L140" s="81">
        <f t="shared" si="4"/>
        <v>12</v>
      </c>
      <c r="M140" s="13" t="e" cm="1">
        <f t="array" ref="M140">SUMPRODUCT(B140:E140*$B$3:$E$3)+SUBSTITUTE(RIGHT(A140,5),"€",",")</f>
        <v>#VALUE!</v>
      </c>
    </row>
    <row r="141" spans="1:13" ht="15.75" customHeight="1" thickBot="1" x14ac:dyDescent="0.25">
      <c r="A141" s="78" t="s">
        <v>14</v>
      </c>
      <c r="B141" s="123">
        <v>2</v>
      </c>
      <c r="C141" s="123">
        <v>0</v>
      </c>
      <c r="D141" s="123">
        <v>0</v>
      </c>
      <c r="E141" s="123">
        <v>0</v>
      </c>
      <c r="F141" s="84">
        <v>2</v>
      </c>
      <c r="G141" s="84">
        <v>2</v>
      </c>
      <c r="H141" s="80">
        <f t="shared" si="16"/>
        <v>4</v>
      </c>
      <c r="I141" s="80">
        <f t="shared" si="17"/>
        <v>2</v>
      </c>
      <c r="J141" s="80">
        <f t="shared" si="15"/>
        <v>0</v>
      </c>
      <c r="K141" s="80">
        <f t="shared" si="3"/>
        <v>0</v>
      </c>
      <c r="L141" s="81">
        <f t="shared" si="4"/>
        <v>12</v>
      </c>
      <c r="M141" s="13" t="e" cm="1">
        <f t="array" ref="M141">SUMPRODUCT(B141:E141*$B$3:$E$3)+SUBSTITUTE(RIGHT(A141,5),"€",",")</f>
        <v>#VALUE!</v>
      </c>
    </row>
    <row r="142" spans="1:13" ht="15.75" customHeight="1" thickBot="1" x14ac:dyDescent="0.25">
      <c r="A142" s="82" t="s">
        <v>12</v>
      </c>
      <c r="B142" s="124">
        <v>1</v>
      </c>
      <c r="C142" s="124">
        <v>0</v>
      </c>
      <c r="D142" s="124">
        <v>0</v>
      </c>
      <c r="E142" s="124">
        <v>0</v>
      </c>
      <c r="F142" s="85">
        <v>0</v>
      </c>
      <c r="G142" s="85">
        <v>5</v>
      </c>
      <c r="H142" s="80">
        <f t="shared" si="16"/>
        <v>5</v>
      </c>
      <c r="I142" s="80">
        <f t="shared" si="17"/>
        <v>2</v>
      </c>
      <c r="J142" s="80">
        <f t="shared" si="15"/>
        <v>1</v>
      </c>
      <c r="K142" s="80">
        <f t="shared" si="3"/>
        <v>0</v>
      </c>
      <c r="L142" s="81">
        <f t="shared" si="4"/>
        <v>0</v>
      </c>
      <c r="M142" s="13" t="e" cm="1">
        <f t="array" ref="M142">SUMPRODUCT(B142:E142*$B$3:$E$3)+SUBSTITUTE(RIGHT(A142,5),"€",",")</f>
        <v>#VALUE!</v>
      </c>
    </row>
    <row r="143" spans="1:13" ht="15.75" customHeight="1" thickBot="1" x14ac:dyDescent="0.25">
      <c r="A143" s="82" t="s">
        <v>14</v>
      </c>
      <c r="B143" s="124">
        <v>1</v>
      </c>
      <c r="C143" s="124">
        <v>0</v>
      </c>
      <c r="D143" s="124">
        <v>0</v>
      </c>
      <c r="E143" s="124">
        <v>1</v>
      </c>
      <c r="F143" s="85">
        <v>2</v>
      </c>
      <c r="G143" s="85">
        <v>1</v>
      </c>
      <c r="H143" s="80">
        <f t="shared" si="16"/>
        <v>3</v>
      </c>
      <c r="I143" s="80">
        <f t="shared" si="17"/>
        <v>2</v>
      </c>
      <c r="J143" s="80">
        <f t="shared" si="15"/>
        <v>0</v>
      </c>
      <c r="K143" s="80">
        <f t="shared" si="3"/>
        <v>0</v>
      </c>
      <c r="L143" s="81">
        <f t="shared" si="4"/>
        <v>24</v>
      </c>
      <c r="M143" s="13" t="e" cm="1">
        <f t="array" ref="M143">SUMPRODUCT(B143:E143*$B$3:$E$3)+SUBSTITUTE(RIGHT(A143,5),"€",",")</f>
        <v>#VALUE!</v>
      </c>
    </row>
    <row r="144" spans="1:13" ht="15.75" customHeight="1" thickBot="1" x14ac:dyDescent="0.25">
      <c r="A144" s="82" t="s">
        <v>12</v>
      </c>
      <c r="B144" s="124">
        <v>0</v>
      </c>
      <c r="C144" s="124">
        <v>0</v>
      </c>
      <c r="D144" s="124">
        <v>0</v>
      </c>
      <c r="E144" s="124">
        <v>0</v>
      </c>
      <c r="F144" s="85">
        <v>2</v>
      </c>
      <c r="G144" s="85">
        <v>2</v>
      </c>
      <c r="H144" s="80">
        <f t="shared" si="16"/>
        <v>4</v>
      </c>
      <c r="I144" s="80">
        <f t="shared" si="17"/>
        <v>2</v>
      </c>
      <c r="J144" s="80">
        <f t="shared" si="15"/>
        <v>1</v>
      </c>
      <c r="K144" s="80">
        <f t="shared" si="3"/>
        <v>0</v>
      </c>
      <c r="L144" s="81">
        <f t="shared" si="4"/>
        <v>0</v>
      </c>
      <c r="M144" s="13" t="e" cm="1">
        <f t="array" ref="M144">SUMPRODUCT(B144:E144*$B$3:$E$3)+SUBSTITUTE(RIGHT(A144,5),"€",",")</f>
        <v>#VALUE!</v>
      </c>
    </row>
    <row r="145" spans="1:13" ht="15.75" customHeight="1" thickBot="1" x14ac:dyDescent="0.25">
      <c r="A145" s="82" t="s">
        <v>14</v>
      </c>
      <c r="B145" s="124">
        <v>0</v>
      </c>
      <c r="C145" s="124">
        <v>0</v>
      </c>
      <c r="D145" s="124">
        <v>0</v>
      </c>
      <c r="E145" s="124">
        <v>0</v>
      </c>
      <c r="F145" s="85">
        <v>1</v>
      </c>
      <c r="G145" s="85">
        <v>1</v>
      </c>
      <c r="H145" s="80">
        <f t="shared" si="16"/>
        <v>2</v>
      </c>
      <c r="I145" s="80">
        <f t="shared" si="17"/>
        <v>2</v>
      </c>
      <c r="J145" s="80">
        <f t="shared" si="15"/>
        <v>0</v>
      </c>
      <c r="K145" s="80">
        <f t="shared" si="3"/>
        <v>0</v>
      </c>
      <c r="L145" s="81">
        <f t="shared" si="4"/>
        <v>12</v>
      </c>
      <c r="M145" s="13" t="e" cm="1">
        <f t="array" ref="M145">SUMPRODUCT(B145:E145*$B$3:$E$3)+SUBSTITUTE(RIGHT(A145,5),"€",",")</f>
        <v>#VALUE!</v>
      </c>
    </row>
    <row r="146" spans="1:13" ht="15.75" customHeight="1" thickBot="1" x14ac:dyDescent="0.25">
      <c r="A146" s="82" t="s">
        <v>10</v>
      </c>
      <c r="B146" s="124">
        <v>0</v>
      </c>
      <c r="C146" s="124">
        <v>0</v>
      </c>
      <c r="D146" s="124">
        <v>0</v>
      </c>
      <c r="E146" s="124">
        <v>0</v>
      </c>
      <c r="F146" s="85">
        <v>4</v>
      </c>
      <c r="G146" s="85">
        <v>4</v>
      </c>
      <c r="H146" s="80">
        <f t="shared" si="16"/>
        <v>8</v>
      </c>
      <c r="I146" s="80">
        <f t="shared" si="17"/>
        <v>4</v>
      </c>
      <c r="J146" s="80">
        <f t="shared" si="15"/>
        <v>2</v>
      </c>
      <c r="K146" s="80">
        <f t="shared" si="3"/>
        <v>0</v>
      </c>
      <c r="L146" s="81">
        <f t="shared" si="4"/>
        <v>0</v>
      </c>
      <c r="M146" s="13" t="e" cm="1">
        <f t="array" ref="M146">SUMPRODUCT(B146:E146*$B$3:$E$3)+SUBSTITUTE(RIGHT(A146,5),"€",",")</f>
        <v>#VALUE!</v>
      </c>
    </row>
    <row r="147" spans="1:13" ht="15.75" customHeight="1" thickBot="1" x14ac:dyDescent="0.25">
      <c r="A147" s="82" t="s">
        <v>14</v>
      </c>
      <c r="B147" s="124">
        <v>0</v>
      </c>
      <c r="C147" s="124">
        <v>0</v>
      </c>
      <c r="D147" s="124">
        <v>0</v>
      </c>
      <c r="E147" s="124">
        <v>0</v>
      </c>
      <c r="F147" s="85">
        <v>0</v>
      </c>
      <c r="G147" s="85">
        <v>2</v>
      </c>
      <c r="H147" s="80">
        <f t="shared" si="16"/>
        <v>2</v>
      </c>
      <c r="I147" s="80">
        <f t="shared" si="17"/>
        <v>2</v>
      </c>
      <c r="J147" s="80">
        <f t="shared" si="15"/>
        <v>0</v>
      </c>
      <c r="K147" s="80">
        <f t="shared" si="3"/>
        <v>0</v>
      </c>
      <c r="L147" s="81">
        <f t="shared" si="4"/>
        <v>12</v>
      </c>
      <c r="M147" s="13" t="e" cm="1">
        <f t="array" ref="M147">SUMPRODUCT(B147:E147*$B$3:$E$3)+SUBSTITUTE(RIGHT(A147,5),"€",",")</f>
        <v>#VALUE!</v>
      </c>
    </row>
    <row r="148" spans="1:13" ht="15.75" customHeight="1" x14ac:dyDescent="0.2">
      <c r="A148" s="78" t="s">
        <v>14</v>
      </c>
      <c r="B148" s="125">
        <v>0</v>
      </c>
      <c r="C148" s="125">
        <v>0</v>
      </c>
      <c r="D148" s="125">
        <v>0</v>
      </c>
      <c r="E148" s="125">
        <v>0</v>
      </c>
      <c r="F148" s="86">
        <v>1</v>
      </c>
      <c r="G148" s="86">
        <v>1</v>
      </c>
      <c r="H148" s="80">
        <f t="shared" si="16"/>
        <v>2</v>
      </c>
      <c r="I148" s="80">
        <f t="shared" si="17"/>
        <v>2</v>
      </c>
      <c r="J148" s="80">
        <f t="shared" si="15"/>
        <v>0</v>
      </c>
      <c r="K148" s="80">
        <f t="shared" si="3"/>
        <v>0</v>
      </c>
      <c r="L148" s="81">
        <f t="shared" si="4"/>
        <v>12</v>
      </c>
      <c r="M148" s="13" t="e" cm="1">
        <f t="array" ref="M148">SUMPRODUCT(B148:E148*$B$3:$E$3)+SUBSTITUTE(RIGHT(A148,5),"€",",")</f>
        <v>#VALUE!</v>
      </c>
    </row>
    <row r="149" spans="1:13" ht="15.75" customHeight="1" x14ac:dyDescent="0.2">
      <c r="A149" s="88"/>
      <c r="B149" s="88"/>
      <c r="C149" s="88"/>
      <c r="D149" s="88"/>
      <c r="E149" s="88"/>
      <c r="F149" s="89"/>
      <c r="G149" s="89"/>
      <c r="H149" s="90"/>
      <c r="I149" s="90"/>
      <c r="J149" s="90"/>
      <c r="K149" s="90"/>
      <c r="L149" s="90"/>
      <c r="M149" s="7"/>
    </row>
    <row r="150" spans="1:13" ht="15.75" customHeight="1" x14ac:dyDescent="0.2">
      <c r="A150" s="87"/>
      <c r="B150" s="92"/>
      <c r="C150" s="92"/>
      <c r="D150" s="92"/>
      <c r="E150" s="92"/>
      <c r="F150" s="90">
        <f t="shared" ref="F150:M150" si="18">SUM(F4:F149)</f>
        <v>307</v>
      </c>
      <c r="G150" s="90">
        <f t="shared" si="18"/>
        <v>281</v>
      </c>
      <c r="H150" s="90">
        <f t="shared" si="18"/>
        <v>588</v>
      </c>
      <c r="I150" s="90">
        <f t="shared" si="18"/>
        <v>290</v>
      </c>
      <c r="J150" s="90">
        <f t="shared" si="18"/>
        <v>114</v>
      </c>
      <c r="K150" s="90">
        <f t="shared" si="18"/>
        <v>23</v>
      </c>
      <c r="L150" s="90">
        <f t="shared" si="18"/>
        <v>804</v>
      </c>
      <c r="M150" s="93" t="e">
        <f t="shared" si="18"/>
        <v>#VALUE!</v>
      </c>
    </row>
    <row r="151" spans="1:13" ht="15.75" customHeight="1" x14ac:dyDescent="0.2">
      <c r="A151" s="87"/>
      <c r="B151" s="92"/>
      <c r="C151" s="92"/>
      <c r="D151" s="92"/>
      <c r="E151" s="92"/>
      <c r="F151" s="92"/>
      <c r="G151" s="92"/>
      <c r="H151" s="90"/>
      <c r="I151" s="90"/>
      <c r="J151" s="90"/>
      <c r="K151" s="90"/>
      <c r="L151" s="90"/>
      <c r="M151" s="7"/>
    </row>
    <row r="152" spans="1:13" ht="15.75" customHeight="1" x14ac:dyDescent="0.2">
      <c r="A152" s="87"/>
      <c r="B152" s="92"/>
      <c r="C152" s="92"/>
      <c r="D152" s="92"/>
      <c r="E152" s="92"/>
      <c r="F152" s="99">
        <f>F150+G150</f>
        <v>588</v>
      </c>
      <c r="G152" s="100"/>
      <c r="H152" s="90"/>
      <c r="I152" s="90"/>
      <c r="J152" s="90"/>
      <c r="K152" s="90"/>
      <c r="L152" s="90"/>
      <c r="M152" s="7"/>
    </row>
    <row r="1048576" spans="11:11" ht="15" customHeight="1" x14ac:dyDescent="0.2">
      <c r="K1048576">
        <f>SUM(K150)</f>
        <v>23</v>
      </c>
    </row>
  </sheetData>
  <autoFilter ref="A1:M1" xr:uid="{00000000-0009-0000-0000-000000000000}"/>
  <mergeCells count="1">
    <mergeCell ref="F152:G152"/>
  </mergeCells>
  <pageMargins left="0.7" right="0.7" top="0.75" bottom="0.75" header="0" footer="0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 summaryRight="0"/>
  </sheetPr>
  <dimension ref="A1:L569"/>
  <sheetViews>
    <sheetView workbookViewId="0"/>
  </sheetViews>
  <sheetFormatPr defaultColWidth="12.5703125" defaultRowHeight="15" customHeight="1" x14ac:dyDescent="0.2"/>
  <cols>
    <col min="1" max="12" width="14.42578125" customWidth="1"/>
  </cols>
  <sheetData>
    <row r="1" spans="1:12" ht="15.75" customHeight="1" x14ac:dyDescent="0.2">
      <c r="A1" s="94" t="s">
        <v>148</v>
      </c>
      <c r="B1" s="91" t="s">
        <v>149</v>
      </c>
    </row>
    <row r="2" spans="1:12" ht="15.75" customHeight="1" x14ac:dyDescent="0.2">
      <c r="A2" s="94" t="s">
        <v>150</v>
      </c>
      <c r="B2" s="91" t="e">
        <f ca="1">MATCH(B4,INDIRECT(B1&amp;"!2:2"),0)</f>
        <v>#REF!</v>
      </c>
    </row>
    <row r="3" spans="1:12" ht="15.75" customHeight="1" x14ac:dyDescent="0.2">
      <c r="A3" s="94" t="s">
        <v>151</v>
      </c>
      <c r="B3" s="91" t="e">
        <f ca="1">INDIRECT(B1&amp;"!R1C"&amp;B2, FALSE)</f>
        <v>#REF!</v>
      </c>
    </row>
    <row r="4" spans="1:12" ht="15.75" customHeight="1" x14ac:dyDescent="0.2">
      <c r="A4" s="94" t="s">
        <v>152</v>
      </c>
      <c r="B4" s="91">
        <v>530366850</v>
      </c>
    </row>
    <row r="5" spans="1:12" ht="15.75" customHeight="1" x14ac:dyDescent="0.2">
      <c r="A5" s="94" t="s">
        <v>153</v>
      </c>
      <c r="B5" s="91" t="s">
        <v>154</v>
      </c>
      <c r="C5" s="91" t="b">
        <f>IF(COUNTA($D$9:$D1000) = 0,FALSE,TRUE)</f>
        <v>0</v>
      </c>
    </row>
    <row r="6" spans="1:12" ht="15.75" customHeight="1" x14ac:dyDescent="0.2">
      <c r="A6" s="94" t="s">
        <v>155</v>
      </c>
      <c r="B6" s="91" t="s">
        <v>156</v>
      </c>
    </row>
    <row r="7" spans="1:12" ht="15.75" customHeight="1" x14ac:dyDescent="0.2">
      <c r="A7" s="94"/>
      <c r="L7" s="91">
        <f ca="1">COUNTA(L9:L1000)</f>
        <v>361</v>
      </c>
    </row>
    <row r="8" spans="1:12" ht="15.75" customHeight="1" x14ac:dyDescent="0.2">
      <c r="A8" s="94" t="s">
        <v>157</v>
      </c>
      <c r="B8" s="91" t="s">
        <v>158</v>
      </c>
      <c r="C8" s="91" t="s">
        <v>159</v>
      </c>
      <c r="D8" s="91" t="s">
        <v>160</v>
      </c>
      <c r="E8" s="91" t="s">
        <v>161</v>
      </c>
      <c r="F8" s="91" t="s">
        <v>162</v>
      </c>
      <c r="H8" s="91" t="s">
        <v>163</v>
      </c>
      <c r="I8" s="91" t="s">
        <v>164</v>
      </c>
      <c r="J8" s="91" t="s">
        <v>165</v>
      </c>
      <c r="K8" s="91" t="s">
        <v>166</v>
      </c>
      <c r="L8" s="91" t="s">
        <v>167</v>
      </c>
    </row>
    <row r="9" spans="1:12" ht="15.75" customHeight="1" x14ac:dyDescent="0.2">
      <c r="A9" s="94" t="s">
        <v>23</v>
      </c>
      <c r="B9" s="91">
        <v>0</v>
      </c>
      <c r="C9" s="91">
        <v>1</v>
      </c>
      <c r="H9" s="91" t="e">
        <f t="shared" ref="H9:H369" ca="1" si="0">COUNTIF(INDIRECT(B$1&amp;"!C"&amp;B$2&amp;":C"&amp;B$2,FALSE),IF(ISNUMBER(INDIRECT("A"&amp;ROW())),INDIRECT("A"&amp;ROW()),"*"&amp;INDIRECT("A"&amp;ROW())&amp;"*"))</f>
        <v>#REF!</v>
      </c>
      <c r="I9" s="91" t="e">
        <f t="shared" ref="I9:I369" ca="1" si="1">INDIRECT("H"&amp;ROW())-INDIRECT("B"&amp;ROW())</f>
        <v>#REF!</v>
      </c>
      <c r="J9" s="91" t="str">
        <f ca="1">IFERROR(__xludf.DUMMYFUNCTION("if(not(iserror(filter(D9:D1000,I9:I1000&lt;C9:C1000))),FILTER(filter(D9:D1000,I9:I1000&lt;C9:C1000),not(iserror(filter(D9:D1000,I9:I1000&lt;C9:C1000)))),B6)"),"")</f>
        <v/>
      </c>
      <c r="K9" s="91" t="str">
        <f ca="1">IFERROR(__xludf.DUMMYFUNCTION("if(not(iserror(filter(E9:E1000,I9:I1000&lt;C9:C1000))),FILTER(filter(E9:E1000,I9:I1000&lt;C9:C1000),not(iserror(filter(E9:E1000,I9:I1000&lt;C9:C1000)))),B6)"),"")</f>
        <v/>
      </c>
      <c r="L9" s="94" t="str">
        <f ca="1">IFERROR(__xludf.DUMMYFUNCTION("if(not(iserror(filter(A9:A1000,I9:I1000&lt;C9:C1000))),FILTER(filter(A9:A1000,I9:I1000&lt;C9:C1000),not(iserror(filter(A9:A1000,I9:I1000&lt;C9:C1000)))),B6)"),"07h00 85100 Les Sables d'Olonne (les Sables d'Olonne)-.")</f>
        <v>07h00 85100 Les Sables d'Olonne (les Sables d'Olonne)-.</v>
      </c>
    </row>
    <row r="10" spans="1:12" ht="15.75" customHeight="1" x14ac:dyDescent="0.2">
      <c r="A10" s="94" t="s">
        <v>168</v>
      </c>
      <c r="B10" s="91">
        <v>0</v>
      </c>
      <c r="C10" s="91">
        <v>1</v>
      </c>
      <c r="H10" s="91" t="e">
        <f t="shared" ca="1" si="0"/>
        <v>#REF!</v>
      </c>
      <c r="I10" s="91" t="e">
        <f t="shared" ca="1" si="1"/>
        <v>#REF!</v>
      </c>
      <c r="J10" s="91" t="str">
        <f ca="1">IFERROR(__xludf.DUMMYFUNCTION("""COMPUTED_VALUE"""),"")</f>
        <v/>
      </c>
      <c r="K10" s="91" t="str">
        <f ca="1">IFERROR(__xludf.DUMMYFUNCTION("""COMPUTED_VALUE"""),"")</f>
        <v/>
      </c>
      <c r="L10" s="94" t="str">
        <f ca="1">IFERROR(__xludf.DUMMYFUNCTION("""COMPUTED_VALUE"""),"07h00 85100 Les Sables d'Olonne (les Sables d'Olonne)")</f>
        <v>07h00 85100 Les Sables d'Olonne (les Sables d'Olonne)</v>
      </c>
    </row>
    <row r="11" spans="1:12" ht="15.75" customHeight="1" x14ac:dyDescent="0.2">
      <c r="A11" s="94" t="s">
        <v>9</v>
      </c>
      <c r="B11" s="91">
        <v>0</v>
      </c>
      <c r="C11" s="91">
        <v>1</v>
      </c>
      <c r="H11" s="91" t="e">
        <f t="shared" ca="1" si="0"/>
        <v>#REF!</v>
      </c>
      <c r="I11" s="91" t="e">
        <f t="shared" ca="1" si="1"/>
        <v>#REF!</v>
      </c>
      <c r="J11" s="91" t="str">
        <f ca="1">IFERROR(__xludf.DUMMYFUNCTION("""COMPUTED_VALUE"""),"")</f>
        <v/>
      </c>
      <c r="K11" s="91" t="str">
        <f ca="1">IFERROR(__xludf.DUMMYFUNCTION("""COMPUTED_VALUE"""),"")</f>
        <v/>
      </c>
      <c r="L11" s="94" t="str">
        <f ca="1">IFERROR(__xludf.DUMMYFUNCTION("""COMPUTED_VALUE"""),"07h00 85100 Les Sables d'Olonne ( la Chaume)")</f>
        <v>07h00 85100 Les Sables d'Olonne ( la Chaume)</v>
      </c>
    </row>
    <row r="12" spans="1:12" ht="15.75" customHeight="1" x14ac:dyDescent="0.2">
      <c r="A12" s="94" t="s">
        <v>77</v>
      </c>
      <c r="B12" s="91">
        <v>0</v>
      </c>
      <c r="C12" s="91">
        <v>1</v>
      </c>
      <c r="H12" s="91" t="e">
        <f t="shared" ca="1" si="0"/>
        <v>#REF!</v>
      </c>
      <c r="I12" s="91" t="e">
        <f t="shared" ca="1" si="1"/>
        <v>#REF!</v>
      </c>
      <c r="J12" s="91" t="str">
        <f ca="1">IFERROR(__xludf.DUMMYFUNCTION("""COMPUTED_VALUE"""),"")</f>
        <v/>
      </c>
      <c r="K12" s="91" t="str">
        <f ca="1">IFERROR(__xludf.DUMMYFUNCTION("""COMPUTED_VALUE"""),"")</f>
        <v/>
      </c>
      <c r="L12" s="94" t="str">
        <f ca="1">IFERROR(__xludf.DUMMYFUNCTION("""COMPUTED_VALUE"""),"07h00 85340 Les Sables d'Olonne (Olonne sur Mer)-.")</f>
        <v>07h00 85340 Les Sables d'Olonne (Olonne sur Mer)-.</v>
      </c>
    </row>
    <row r="13" spans="1:12" ht="15.75" customHeight="1" x14ac:dyDescent="0.2">
      <c r="A13" s="94" t="s">
        <v>76</v>
      </c>
      <c r="B13" s="91">
        <v>0</v>
      </c>
      <c r="C13" s="91">
        <v>1</v>
      </c>
      <c r="H13" s="91" t="e">
        <f t="shared" ca="1" si="0"/>
        <v>#REF!</v>
      </c>
      <c r="I13" s="91" t="e">
        <f t="shared" ca="1" si="1"/>
        <v>#REF!</v>
      </c>
      <c r="J13" s="91" t="str">
        <f ca="1">IFERROR(__xludf.DUMMYFUNCTION("""COMPUTED_VALUE"""),"")</f>
        <v/>
      </c>
      <c r="K13" s="91" t="str">
        <f ca="1">IFERROR(__xludf.DUMMYFUNCTION("""COMPUTED_VALUE"""),"")</f>
        <v/>
      </c>
      <c r="L13" s="94" t="str">
        <f ca="1">IFERROR(__xludf.DUMMYFUNCTION("""COMPUTED_VALUE"""),"07h00 85340 Les Sables d'Olonne (Olonne sur Mer)")</f>
        <v>07h00 85340 Les Sables d'Olonne (Olonne sur Mer)</v>
      </c>
    </row>
    <row r="14" spans="1:12" ht="15.75" customHeight="1" x14ac:dyDescent="0.2">
      <c r="A14" s="94" t="s">
        <v>44</v>
      </c>
      <c r="B14" s="91">
        <v>0</v>
      </c>
      <c r="C14" s="91">
        <v>1</v>
      </c>
      <c r="H14" s="91" t="e">
        <f t="shared" ca="1" si="0"/>
        <v>#REF!</v>
      </c>
      <c r="I14" s="91" t="e">
        <f t="shared" ca="1" si="1"/>
        <v>#REF!</v>
      </c>
      <c r="J14" s="91" t="str">
        <f ca="1">IFERROR(__xludf.DUMMYFUNCTION("""COMPUTED_VALUE"""),"")</f>
        <v/>
      </c>
      <c r="K14" s="91" t="str">
        <f ca="1">IFERROR(__xludf.DUMMYFUNCTION("""COMPUTED_VALUE"""),"")</f>
        <v/>
      </c>
      <c r="L14" s="94" t="str">
        <f ca="1">IFERROR(__xludf.DUMMYFUNCTION("""COMPUTED_VALUE"""),"07h00 85180 Les Sables d'Olonne (le Château d'Olonne)-.")</f>
        <v>07h00 85180 Les Sables d'Olonne (le Château d'Olonne)-.</v>
      </c>
    </row>
    <row r="15" spans="1:12" ht="15.75" customHeight="1" x14ac:dyDescent="0.2">
      <c r="A15" s="94" t="s">
        <v>169</v>
      </c>
      <c r="B15" s="91">
        <v>0</v>
      </c>
      <c r="C15" s="91">
        <v>1</v>
      </c>
      <c r="H15" s="91" t="e">
        <f t="shared" ca="1" si="0"/>
        <v>#REF!</v>
      </c>
      <c r="I15" s="91" t="e">
        <f t="shared" ca="1" si="1"/>
        <v>#REF!</v>
      </c>
      <c r="J15" s="91" t="str">
        <f ca="1">IFERROR(__xludf.DUMMYFUNCTION("""COMPUTED_VALUE"""),"")</f>
        <v/>
      </c>
      <c r="K15" s="91" t="str">
        <f ca="1">IFERROR(__xludf.DUMMYFUNCTION("""COMPUTED_VALUE"""),"")</f>
        <v/>
      </c>
      <c r="L15" s="94" t="str">
        <f ca="1">IFERROR(__xludf.DUMMYFUNCTION("""COMPUTED_VALUE"""),"07h00 85180 Les Sables d'Olonne (le Château d'Olonne)")</f>
        <v>07h00 85180 Les Sables d'Olonne (le Château d'Olonne)</v>
      </c>
    </row>
    <row r="16" spans="1:12" ht="15.75" customHeight="1" x14ac:dyDescent="0.2">
      <c r="A16" s="94" t="s">
        <v>170</v>
      </c>
      <c r="B16" s="91">
        <v>0</v>
      </c>
      <c r="C16" s="91">
        <v>1</v>
      </c>
      <c r="H16" s="91" t="e">
        <f t="shared" ca="1" si="0"/>
        <v>#REF!</v>
      </c>
      <c r="I16" s="91" t="e">
        <f t="shared" ca="1" si="1"/>
        <v>#REF!</v>
      </c>
      <c r="J16" s="91" t="str">
        <f ca="1">IFERROR(__xludf.DUMMYFUNCTION("""COMPUTED_VALUE"""),"")</f>
        <v/>
      </c>
      <c r="K16" s="91" t="str">
        <f ca="1">IFERROR(__xludf.DUMMYFUNCTION("""COMPUTED_VALUE"""),"")</f>
        <v/>
      </c>
      <c r="L16" s="94" t="str">
        <f ca="1">IFERROR(__xludf.DUMMYFUNCTION("""COMPUTED_VALUE"""),"07h00 85340 l'Île d'Olonne")</f>
        <v>07h00 85340 l'Île d'Olonne</v>
      </c>
    </row>
    <row r="17" spans="1:12" ht="15.75" customHeight="1" x14ac:dyDescent="0.2">
      <c r="A17" s="94" t="s">
        <v>24</v>
      </c>
      <c r="B17" s="91">
        <v>0</v>
      </c>
      <c r="C17" s="91">
        <v>1</v>
      </c>
      <c r="H17" s="91" t="e">
        <f t="shared" ca="1" si="0"/>
        <v>#REF!</v>
      </c>
      <c r="I17" s="91" t="e">
        <f t="shared" ca="1" si="1"/>
        <v>#REF!</v>
      </c>
      <c r="J17" s="91" t="str">
        <f ca="1">IFERROR(__xludf.DUMMYFUNCTION("""COMPUTED_VALUE"""),"")</f>
        <v/>
      </c>
      <c r="K17" s="91" t="str">
        <f ca="1">IFERROR(__xludf.DUMMYFUNCTION("""COMPUTED_VALUE"""),"")</f>
        <v/>
      </c>
      <c r="L17" s="94" t="str">
        <f ca="1">IFERROR(__xludf.DUMMYFUNCTION("""COMPUTED_VALUE"""),"07h05 85100 Les Sables d'Olonne (les Sables d'Olonne)-.")</f>
        <v>07h05 85100 Les Sables d'Olonne (les Sables d'Olonne)-.</v>
      </c>
    </row>
    <row r="18" spans="1:12" ht="15.75" customHeight="1" x14ac:dyDescent="0.2">
      <c r="A18" s="94" t="s">
        <v>171</v>
      </c>
      <c r="B18" s="91">
        <v>0</v>
      </c>
      <c r="C18" s="91">
        <v>1</v>
      </c>
      <c r="H18" s="91" t="e">
        <f t="shared" ca="1" si="0"/>
        <v>#REF!</v>
      </c>
      <c r="I18" s="91" t="e">
        <f t="shared" ca="1" si="1"/>
        <v>#REF!</v>
      </c>
      <c r="J18" s="91" t="str">
        <f ca="1">IFERROR(__xludf.DUMMYFUNCTION("""COMPUTED_VALUE"""),"")</f>
        <v/>
      </c>
      <c r="K18" s="91" t="str">
        <f ca="1">IFERROR(__xludf.DUMMYFUNCTION("""COMPUTED_VALUE"""),"")</f>
        <v/>
      </c>
      <c r="L18" s="94" t="str">
        <f ca="1">IFERROR(__xludf.DUMMYFUNCTION("""COMPUTED_VALUE"""),"07h05 85100 Les Sables d'Olonne (les Sables d'Olonne)")</f>
        <v>07h05 85100 Les Sables d'Olonne (les Sables d'Olonne)</v>
      </c>
    </row>
    <row r="19" spans="1:12" ht="15.75" customHeight="1" x14ac:dyDescent="0.2">
      <c r="A19" s="94" t="s">
        <v>172</v>
      </c>
      <c r="B19" s="91">
        <v>0</v>
      </c>
      <c r="C19" s="91">
        <v>1</v>
      </c>
      <c r="H19" s="91" t="e">
        <f t="shared" ca="1" si="0"/>
        <v>#REF!</v>
      </c>
      <c r="I19" s="91" t="e">
        <f t="shared" ca="1" si="1"/>
        <v>#REF!</v>
      </c>
      <c r="J19" s="91" t="str">
        <f ca="1">IFERROR(__xludf.DUMMYFUNCTION("""COMPUTED_VALUE"""),"")</f>
        <v/>
      </c>
      <c r="K19" s="91" t="str">
        <f ca="1">IFERROR(__xludf.DUMMYFUNCTION("""COMPUTED_VALUE"""),"")</f>
        <v/>
      </c>
      <c r="L19" s="94" t="str">
        <f ca="1">IFERROR(__xludf.DUMMYFUNCTION("""COMPUTED_VALUE"""),"07h05 85100 Les Sables d'Olonne ( la Chaume)")</f>
        <v>07h05 85100 Les Sables d'Olonne ( la Chaume)</v>
      </c>
    </row>
    <row r="20" spans="1:12" ht="15.75" customHeight="1" x14ac:dyDescent="0.2">
      <c r="A20" s="94" t="s">
        <v>78</v>
      </c>
      <c r="B20" s="91">
        <v>0</v>
      </c>
      <c r="C20" s="91">
        <v>1</v>
      </c>
      <c r="H20" s="91" t="e">
        <f t="shared" ca="1" si="0"/>
        <v>#REF!</v>
      </c>
      <c r="I20" s="91" t="e">
        <f t="shared" ca="1" si="1"/>
        <v>#REF!</v>
      </c>
      <c r="J20" s="91" t="str">
        <f ca="1">IFERROR(__xludf.DUMMYFUNCTION("""COMPUTED_VALUE"""),"")</f>
        <v/>
      </c>
      <c r="K20" s="91" t="str">
        <f ca="1">IFERROR(__xludf.DUMMYFUNCTION("""COMPUTED_VALUE"""),"")</f>
        <v/>
      </c>
      <c r="L20" s="94" t="str">
        <f ca="1">IFERROR(__xludf.DUMMYFUNCTION("""COMPUTED_VALUE"""),"07h05 85340 Les Sables d'Olonne (Olonne sur Mer)-.")</f>
        <v>07h05 85340 Les Sables d'Olonne (Olonne sur Mer)-.</v>
      </c>
    </row>
    <row r="21" spans="1:12" ht="15.75" customHeight="1" x14ac:dyDescent="0.2">
      <c r="A21" s="94" t="s">
        <v>173</v>
      </c>
      <c r="B21" s="91">
        <v>0</v>
      </c>
      <c r="C21" s="91">
        <v>1</v>
      </c>
      <c r="H21" s="91" t="e">
        <f t="shared" ca="1" si="0"/>
        <v>#REF!</v>
      </c>
      <c r="I21" s="91" t="e">
        <f t="shared" ca="1" si="1"/>
        <v>#REF!</v>
      </c>
      <c r="J21" s="91" t="str">
        <f ca="1">IFERROR(__xludf.DUMMYFUNCTION("""COMPUTED_VALUE"""),"")</f>
        <v/>
      </c>
      <c r="K21" s="91" t="str">
        <f ca="1">IFERROR(__xludf.DUMMYFUNCTION("""COMPUTED_VALUE"""),"")</f>
        <v/>
      </c>
      <c r="L21" s="94" t="str">
        <f ca="1">IFERROR(__xludf.DUMMYFUNCTION("""COMPUTED_VALUE"""),"07h05 85340 Les Sables d'Olonne (Olonne sur Mer)")</f>
        <v>07h05 85340 Les Sables d'Olonne (Olonne sur Mer)</v>
      </c>
    </row>
    <row r="22" spans="1:12" ht="15.75" customHeight="1" x14ac:dyDescent="0.2">
      <c r="A22" s="94" t="s">
        <v>45</v>
      </c>
      <c r="B22" s="91">
        <v>0</v>
      </c>
      <c r="C22" s="91">
        <v>1</v>
      </c>
      <c r="H22" s="91" t="e">
        <f t="shared" ca="1" si="0"/>
        <v>#REF!</v>
      </c>
      <c r="I22" s="91" t="e">
        <f t="shared" ca="1" si="1"/>
        <v>#REF!</v>
      </c>
      <c r="J22" s="91" t="str">
        <f ca="1">IFERROR(__xludf.DUMMYFUNCTION("""COMPUTED_VALUE"""),"")</f>
        <v/>
      </c>
      <c r="K22" s="91" t="str">
        <f ca="1">IFERROR(__xludf.DUMMYFUNCTION("""COMPUTED_VALUE"""),"")</f>
        <v/>
      </c>
      <c r="L22" s="94" t="str">
        <f ca="1">IFERROR(__xludf.DUMMYFUNCTION("""COMPUTED_VALUE"""),"07h05 85180 Les Sables d'Olonne (le Château d'Olonne)-.")</f>
        <v>07h05 85180 Les Sables d'Olonne (le Château d'Olonne)-.</v>
      </c>
    </row>
    <row r="23" spans="1:12" ht="15.75" customHeight="1" x14ac:dyDescent="0.2">
      <c r="A23" s="94" t="s">
        <v>174</v>
      </c>
      <c r="B23" s="91">
        <v>0</v>
      </c>
      <c r="C23" s="91">
        <v>1</v>
      </c>
      <c r="H23" s="91" t="e">
        <f t="shared" ca="1" si="0"/>
        <v>#REF!</v>
      </c>
      <c r="I23" s="91" t="e">
        <f t="shared" ca="1" si="1"/>
        <v>#REF!</v>
      </c>
      <c r="J23" s="91" t="str">
        <f ca="1">IFERROR(__xludf.DUMMYFUNCTION("""COMPUTED_VALUE"""),"")</f>
        <v/>
      </c>
      <c r="K23" s="91" t="str">
        <f ca="1">IFERROR(__xludf.DUMMYFUNCTION("""COMPUTED_VALUE"""),"")</f>
        <v/>
      </c>
      <c r="L23" s="94" t="str">
        <f ca="1">IFERROR(__xludf.DUMMYFUNCTION("""COMPUTED_VALUE"""),"07h05 85180 Les Sables d'Olonne (le Château d'Olonne)")</f>
        <v>07h05 85180 Les Sables d'Olonne (le Château d'Olonne)</v>
      </c>
    </row>
    <row r="24" spans="1:12" ht="15.75" customHeight="1" x14ac:dyDescent="0.2">
      <c r="A24" s="94" t="s">
        <v>133</v>
      </c>
      <c r="B24" s="91">
        <v>0</v>
      </c>
      <c r="C24" s="91">
        <v>1</v>
      </c>
      <c r="H24" s="91" t="e">
        <f t="shared" ca="1" si="0"/>
        <v>#REF!</v>
      </c>
      <c r="I24" s="91" t="e">
        <f t="shared" ca="1" si="1"/>
        <v>#REF!</v>
      </c>
      <c r="J24" s="91" t="str">
        <f ca="1">IFERROR(__xludf.DUMMYFUNCTION("""COMPUTED_VALUE"""),"")</f>
        <v/>
      </c>
      <c r="K24" s="91" t="str">
        <f ca="1">IFERROR(__xludf.DUMMYFUNCTION("""COMPUTED_VALUE"""),"")</f>
        <v/>
      </c>
      <c r="L24" s="94" t="str">
        <f ca="1">IFERROR(__xludf.DUMMYFUNCTION("""COMPUTED_VALUE"""),"07h05 85340 l'Île d'Olonne")</f>
        <v>07h05 85340 l'Île d'Olonne</v>
      </c>
    </row>
    <row r="25" spans="1:12" ht="15.75" customHeight="1" x14ac:dyDescent="0.2">
      <c r="A25" s="94" t="s">
        <v>175</v>
      </c>
      <c r="B25" s="91">
        <v>0</v>
      </c>
      <c r="C25" s="91">
        <v>1</v>
      </c>
      <c r="H25" s="91" t="e">
        <f t="shared" ca="1" si="0"/>
        <v>#REF!</v>
      </c>
      <c r="I25" s="91" t="e">
        <f t="shared" ca="1" si="1"/>
        <v>#REF!</v>
      </c>
      <c r="J25" s="91" t="str">
        <f ca="1">IFERROR(__xludf.DUMMYFUNCTION("""COMPUTED_VALUE"""),"")</f>
        <v/>
      </c>
      <c r="K25" s="91" t="str">
        <f ca="1">IFERROR(__xludf.DUMMYFUNCTION("""COMPUTED_VALUE"""),"")</f>
        <v/>
      </c>
      <c r="L25" s="94" t="str">
        <f ca="1">IFERROR(__xludf.DUMMYFUNCTION("""COMPUTED_VALUE"""),"07h10 85100 Les Sables d'Olonne (les Sables d'Olonne)-.")</f>
        <v>07h10 85100 Les Sables d'Olonne (les Sables d'Olonne)-.</v>
      </c>
    </row>
    <row r="26" spans="1:12" ht="15.75" customHeight="1" x14ac:dyDescent="0.2">
      <c r="A26" s="94" t="s">
        <v>176</v>
      </c>
      <c r="B26" s="91">
        <v>0</v>
      </c>
      <c r="C26" s="91">
        <v>1</v>
      </c>
      <c r="H26" s="91" t="e">
        <f t="shared" ca="1" si="0"/>
        <v>#REF!</v>
      </c>
      <c r="I26" s="91" t="e">
        <f t="shared" ca="1" si="1"/>
        <v>#REF!</v>
      </c>
      <c r="J26" s="91" t="str">
        <f ca="1">IFERROR(__xludf.DUMMYFUNCTION("""COMPUTED_VALUE"""),"")</f>
        <v/>
      </c>
      <c r="K26" s="91" t="str">
        <f ca="1">IFERROR(__xludf.DUMMYFUNCTION("""COMPUTED_VALUE"""),"")</f>
        <v/>
      </c>
      <c r="L26" s="94" t="str">
        <f ca="1">IFERROR(__xludf.DUMMYFUNCTION("""COMPUTED_VALUE"""),"07h10 85100 Les Sables d'Olonne (les Sables d'Olonne)")</f>
        <v>07h10 85100 Les Sables d'Olonne (les Sables d'Olonne)</v>
      </c>
    </row>
    <row r="27" spans="1:12" ht="15.75" customHeight="1" x14ac:dyDescent="0.2">
      <c r="A27" s="94" t="s">
        <v>177</v>
      </c>
      <c r="B27" s="91">
        <v>0</v>
      </c>
      <c r="C27" s="91">
        <v>1</v>
      </c>
      <c r="H27" s="91" t="e">
        <f t="shared" ca="1" si="0"/>
        <v>#REF!</v>
      </c>
      <c r="I27" s="91" t="e">
        <f t="shared" ca="1" si="1"/>
        <v>#REF!</v>
      </c>
      <c r="J27" s="91" t="str">
        <f ca="1">IFERROR(__xludf.DUMMYFUNCTION("""COMPUTED_VALUE"""),"")</f>
        <v/>
      </c>
      <c r="K27" s="91" t="str">
        <f ca="1">IFERROR(__xludf.DUMMYFUNCTION("""COMPUTED_VALUE"""),"")</f>
        <v/>
      </c>
      <c r="L27" s="94" t="str">
        <f ca="1">IFERROR(__xludf.DUMMYFUNCTION("""COMPUTED_VALUE"""),"07h10 85100 Les Sables d'Olonne ( la Chaume)")</f>
        <v>07h10 85100 Les Sables d'Olonne ( la Chaume)</v>
      </c>
    </row>
    <row r="28" spans="1:12" ht="15.75" customHeight="1" x14ac:dyDescent="0.2">
      <c r="A28" s="94" t="s">
        <v>79</v>
      </c>
      <c r="B28" s="91">
        <v>0</v>
      </c>
      <c r="C28" s="91">
        <v>1</v>
      </c>
      <c r="H28" s="91" t="e">
        <f t="shared" ca="1" si="0"/>
        <v>#REF!</v>
      </c>
      <c r="I28" s="91" t="e">
        <f t="shared" ca="1" si="1"/>
        <v>#REF!</v>
      </c>
      <c r="J28" s="91" t="str">
        <f ca="1">IFERROR(__xludf.DUMMYFUNCTION("""COMPUTED_VALUE"""),"")</f>
        <v/>
      </c>
      <c r="K28" s="91" t="str">
        <f ca="1">IFERROR(__xludf.DUMMYFUNCTION("""COMPUTED_VALUE"""),"")</f>
        <v/>
      </c>
      <c r="L28" s="94" t="str">
        <f ca="1">IFERROR(__xludf.DUMMYFUNCTION("""COMPUTED_VALUE"""),"07h10 85340 Les Sables d'Olonne (Olonne sur Mer)-.")</f>
        <v>07h10 85340 Les Sables d'Olonne (Olonne sur Mer)-.</v>
      </c>
    </row>
    <row r="29" spans="1:12" ht="15.75" customHeight="1" x14ac:dyDescent="0.2">
      <c r="A29" s="94" t="s">
        <v>178</v>
      </c>
      <c r="B29" s="91">
        <v>0</v>
      </c>
      <c r="C29" s="91">
        <v>1</v>
      </c>
      <c r="H29" s="91" t="e">
        <f t="shared" ca="1" si="0"/>
        <v>#REF!</v>
      </c>
      <c r="I29" s="91" t="e">
        <f t="shared" ca="1" si="1"/>
        <v>#REF!</v>
      </c>
      <c r="J29" s="91" t="str">
        <f ca="1">IFERROR(__xludf.DUMMYFUNCTION("""COMPUTED_VALUE"""),"")</f>
        <v/>
      </c>
      <c r="K29" s="91" t="str">
        <f ca="1">IFERROR(__xludf.DUMMYFUNCTION("""COMPUTED_VALUE"""),"")</f>
        <v/>
      </c>
      <c r="L29" s="94" t="str">
        <f ca="1">IFERROR(__xludf.DUMMYFUNCTION("""COMPUTED_VALUE"""),"07h10 85340 Les Sables d'Olonne (Olonne sur Mer)")</f>
        <v>07h10 85340 Les Sables d'Olonne (Olonne sur Mer)</v>
      </c>
    </row>
    <row r="30" spans="1:12" ht="15.75" customHeight="1" x14ac:dyDescent="0.2">
      <c r="A30" s="94" t="s">
        <v>179</v>
      </c>
      <c r="B30" s="91">
        <v>0</v>
      </c>
      <c r="C30" s="91">
        <v>1</v>
      </c>
      <c r="H30" s="91" t="e">
        <f t="shared" ca="1" si="0"/>
        <v>#REF!</v>
      </c>
      <c r="I30" s="91" t="e">
        <f t="shared" ca="1" si="1"/>
        <v>#REF!</v>
      </c>
      <c r="J30" s="91" t="str">
        <f ca="1">IFERROR(__xludf.DUMMYFUNCTION("""COMPUTED_VALUE"""),"")</f>
        <v/>
      </c>
      <c r="K30" s="91" t="str">
        <f ca="1">IFERROR(__xludf.DUMMYFUNCTION("""COMPUTED_VALUE"""),"")</f>
        <v/>
      </c>
      <c r="L30" s="94" t="str">
        <f ca="1">IFERROR(__xludf.DUMMYFUNCTION("""COMPUTED_VALUE"""),"07h10 85180 Les Sables d'Olonne (le Château d'Olonne)-.")</f>
        <v>07h10 85180 Les Sables d'Olonne (le Château d'Olonne)-.</v>
      </c>
    </row>
    <row r="31" spans="1:12" ht="15.75" customHeight="1" x14ac:dyDescent="0.2">
      <c r="A31" s="94" t="s">
        <v>180</v>
      </c>
      <c r="B31" s="91">
        <v>0</v>
      </c>
      <c r="C31" s="91">
        <v>1</v>
      </c>
      <c r="H31" s="91" t="e">
        <f t="shared" ca="1" si="0"/>
        <v>#REF!</v>
      </c>
      <c r="I31" s="91" t="e">
        <f t="shared" ca="1" si="1"/>
        <v>#REF!</v>
      </c>
      <c r="J31" s="91" t="str">
        <f ca="1">IFERROR(__xludf.DUMMYFUNCTION("""COMPUTED_VALUE"""),"")</f>
        <v/>
      </c>
      <c r="K31" s="91" t="str">
        <f ca="1">IFERROR(__xludf.DUMMYFUNCTION("""COMPUTED_VALUE"""),"")</f>
        <v/>
      </c>
      <c r="L31" s="94" t="str">
        <f ca="1">IFERROR(__xludf.DUMMYFUNCTION("""COMPUTED_VALUE"""),"07h10 85180 Les Sables d'Olonne (le Château d'Olonne)")</f>
        <v>07h10 85180 Les Sables d'Olonne (le Château d'Olonne)</v>
      </c>
    </row>
    <row r="32" spans="1:12" ht="15.75" customHeight="1" x14ac:dyDescent="0.2">
      <c r="A32" s="94" t="s">
        <v>135</v>
      </c>
      <c r="B32" s="91">
        <v>0</v>
      </c>
      <c r="C32" s="91">
        <v>1</v>
      </c>
      <c r="H32" s="91" t="e">
        <f t="shared" ca="1" si="0"/>
        <v>#REF!</v>
      </c>
      <c r="I32" s="91" t="e">
        <f t="shared" ca="1" si="1"/>
        <v>#REF!</v>
      </c>
      <c r="J32" s="91" t="str">
        <f ca="1">IFERROR(__xludf.DUMMYFUNCTION("""COMPUTED_VALUE"""),"")</f>
        <v/>
      </c>
      <c r="K32" s="91" t="str">
        <f ca="1">IFERROR(__xludf.DUMMYFUNCTION("""COMPUTED_VALUE"""),"")</f>
        <v/>
      </c>
      <c r="L32" s="94" t="str">
        <f ca="1">IFERROR(__xludf.DUMMYFUNCTION("""COMPUTED_VALUE"""),"07h10 85340 l'Île d'Olonne")</f>
        <v>07h10 85340 l'Île d'Olonne</v>
      </c>
    </row>
    <row r="33" spans="1:12" ht="15.75" customHeight="1" x14ac:dyDescent="0.2">
      <c r="A33" s="94" t="s">
        <v>181</v>
      </c>
      <c r="B33" s="91">
        <v>0</v>
      </c>
      <c r="C33" s="91">
        <v>1</v>
      </c>
      <c r="H33" s="91" t="e">
        <f t="shared" ca="1" si="0"/>
        <v>#REF!</v>
      </c>
      <c r="I33" s="91" t="e">
        <f t="shared" ca="1" si="1"/>
        <v>#REF!</v>
      </c>
      <c r="J33" s="91" t="str">
        <f ca="1">IFERROR(__xludf.DUMMYFUNCTION("""COMPUTED_VALUE"""),"")</f>
        <v/>
      </c>
      <c r="K33" s="91" t="str">
        <f ca="1">IFERROR(__xludf.DUMMYFUNCTION("""COMPUTED_VALUE"""),"")</f>
        <v/>
      </c>
      <c r="L33" s="94" t="str">
        <f ca="1">IFERROR(__xludf.DUMMYFUNCTION("""COMPUTED_VALUE"""),"07h15 85100 Les Sables d'Olonne (les Sables d'Olonne)-.")</f>
        <v>07h15 85100 Les Sables d'Olonne (les Sables d'Olonne)-.</v>
      </c>
    </row>
    <row r="34" spans="1:12" ht="15.75" customHeight="1" x14ac:dyDescent="0.2">
      <c r="A34" s="94" t="s">
        <v>182</v>
      </c>
      <c r="B34" s="91">
        <v>0</v>
      </c>
      <c r="C34" s="91">
        <v>1</v>
      </c>
      <c r="H34" s="91" t="e">
        <f t="shared" ca="1" si="0"/>
        <v>#REF!</v>
      </c>
      <c r="I34" s="91" t="e">
        <f t="shared" ca="1" si="1"/>
        <v>#REF!</v>
      </c>
      <c r="J34" s="91" t="str">
        <f ca="1">IFERROR(__xludf.DUMMYFUNCTION("""COMPUTED_VALUE"""),"")</f>
        <v/>
      </c>
      <c r="K34" s="91" t="str">
        <f ca="1">IFERROR(__xludf.DUMMYFUNCTION("""COMPUTED_VALUE"""),"")</f>
        <v/>
      </c>
      <c r="L34" s="94" t="str">
        <f ca="1">IFERROR(__xludf.DUMMYFUNCTION("""COMPUTED_VALUE"""),"07h15 85100 Les Sables d'Olonne (les Sables d'Olonne)")</f>
        <v>07h15 85100 Les Sables d'Olonne (les Sables d'Olonne)</v>
      </c>
    </row>
    <row r="35" spans="1:12" ht="15.75" customHeight="1" x14ac:dyDescent="0.2">
      <c r="A35" s="94" t="s">
        <v>183</v>
      </c>
      <c r="B35" s="91">
        <v>0</v>
      </c>
      <c r="C35" s="91">
        <v>1</v>
      </c>
      <c r="H35" s="91" t="e">
        <f t="shared" ca="1" si="0"/>
        <v>#REF!</v>
      </c>
      <c r="I35" s="91" t="e">
        <f t="shared" ca="1" si="1"/>
        <v>#REF!</v>
      </c>
      <c r="J35" s="91" t="str">
        <f ca="1">IFERROR(__xludf.DUMMYFUNCTION("""COMPUTED_VALUE"""),"")</f>
        <v/>
      </c>
      <c r="K35" s="91" t="str">
        <f ca="1">IFERROR(__xludf.DUMMYFUNCTION("""COMPUTED_VALUE"""),"")</f>
        <v/>
      </c>
      <c r="L35" s="94" t="str">
        <f ca="1">IFERROR(__xludf.DUMMYFUNCTION("""COMPUTED_VALUE"""),"07h15 85100 Les Sables d'Olonne ( la Chaume)")</f>
        <v>07h15 85100 Les Sables d'Olonne ( la Chaume)</v>
      </c>
    </row>
    <row r="36" spans="1:12" ht="15.75" customHeight="1" x14ac:dyDescent="0.2">
      <c r="A36" s="94" t="s">
        <v>80</v>
      </c>
      <c r="B36" s="91">
        <v>0</v>
      </c>
      <c r="C36" s="91">
        <v>1</v>
      </c>
      <c r="H36" s="91" t="e">
        <f t="shared" ca="1" si="0"/>
        <v>#REF!</v>
      </c>
      <c r="I36" s="91" t="e">
        <f t="shared" ca="1" si="1"/>
        <v>#REF!</v>
      </c>
      <c r="J36" s="91" t="str">
        <f ca="1">IFERROR(__xludf.DUMMYFUNCTION("""COMPUTED_VALUE"""),"")</f>
        <v/>
      </c>
      <c r="K36" s="91" t="str">
        <f ca="1">IFERROR(__xludf.DUMMYFUNCTION("""COMPUTED_VALUE"""),"")</f>
        <v/>
      </c>
      <c r="L36" s="94" t="str">
        <f ca="1">IFERROR(__xludf.DUMMYFUNCTION("""COMPUTED_VALUE"""),"07h15 85340 Les Sables d'Olonne (Olonne sur Mer)-.")</f>
        <v>07h15 85340 Les Sables d'Olonne (Olonne sur Mer)-.</v>
      </c>
    </row>
    <row r="37" spans="1:12" ht="15.75" customHeight="1" x14ac:dyDescent="0.2">
      <c r="A37" s="94" t="s">
        <v>184</v>
      </c>
      <c r="B37" s="91">
        <v>0</v>
      </c>
      <c r="C37" s="91">
        <v>1</v>
      </c>
      <c r="H37" s="91" t="e">
        <f t="shared" ca="1" si="0"/>
        <v>#REF!</v>
      </c>
      <c r="I37" s="91" t="e">
        <f t="shared" ca="1" si="1"/>
        <v>#REF!</v>
      </c>
      <c r="J37" s="91" t="str">
        <f ca="1">IFERROR(__xludf.DUMMYFUNCTION("""COMPUTED_VALUE"""),"")</f>
        <v/>
      </c>
      <c r="K37" s="91" t="str">
        <f ca="1">IFERROR(__xludf.DUMMYFUNCTION("""COMPUTED_VALUE"""),"")</f>
        <v/>
      </c>
      <c r="L37" s="94" t="str">
        <f ca="1">IFERROR(__xludf.DUMMYFUNCTION("""COMPUTED_VALUE"""),"07h15 85340 Les Sables d'Olonne (Olonne sur Mer)")</f>
        <v>07h15 85340 Les Sables d'Olonne (Olonne sur Mer)</v>
      </c>
    </row>
    <row r="38" spans="1:12" ht="15.75" customHeight="1" x14ac:dyDescent="0.2">
      <c r="A38" s="94" t="s">
        <v>185</v>
      </c>
      <c r="B38" s="91">
        <v>0</v>
      </c>
      <c r="C38" s="91">
        <v>1</v>
      </c>
      <c r="H38" s="91" t="e">
        <f t="shared" ca="1" si="0"/>
        <v>#REF!</v>
      </c>
      <c r="I38" s="91" t="e">
        <f t="shared" ca="1" si="1"/>
        <v>#REF!</v>
      </c>
      <c r="J38" s="91" t="str">
        <f ca="1">IFERROR(__xludf.DUMMYFUNCTION("""COMPUTED_VALUE"""),"")</f>
        <v/>
      </c>
      <c r="K38" s="91" t="str">
        <f ca="1">IFERROR(__xludf.DUMMYFUNCTION("""COMPUTED_VALUE"""),"")</f>
        <v/>
      </c>
      <c r="L38" s="94" t="str">
        <f ca="1">IFERROR(__xludf.DUMMYFUNCTION("""COMPUTED_VALUE"""),"07h15 85180 Les Sables d'Olonne (le Château d'Olonne)-.")</f>
        <v>07h15 85180 Les Sables d'Olonne (le Château d'Olonne)-.</v>
      </c>
    </row>
    <row r="39" spans="1:12" ht="15.75" customHeight="1" x14ac:dyDescent="0.2">
      <c r="A39" s="94" t="s">
        <v>186</v>
      </c>
      <c r="B39" s="91">
        <v>0</v>
      </c>
      <c r="C39" s="91">
        <v>1</v>
      </c>
      <c r="H39" s="91" t="e">
        <f t="shared" ca="1" si="0"/>
        <v>#REF!</v>
      </c>
      <c r="I39" s="91" t="e">
        <f t="shared" ca="1" si="1"/>
        <v>#REF!</v>
      </c>
      <c r="J39" s="91" t="str">
        <f ca="1">IFERROR(__xludf.DUMMYFUNCTION("""COMPUTED_VALUE"""),"")</f>
        <v/>
      </c>
      <c r="K39" s="91" t="str">
        <f ca="1">IFERROR(__xludf.DUMMYFUNCTION("""COMPUTED_VALUE"""),"")</f>
        <v/>
      </c>
      <c r="L39" s="94" t="str">
        <f ca="1">IFERROR(__xludf.DUMMYFUNCTION("""COMPUTED_VALUE"""),"07h15 85180 Les Sables d'Olonne (le Château d'Olonne)")</f>
        <v>07h15 85180 Les Sables d'Olonne (le Château d'Olonne)</v>
      </c>
    </row>
    <row r="40" spans="1:12" ht="15.75" customHeight="1" x14ac:dyDescent="0.2">
      <c r="A40" s="94" t="s">
        <v>187</v>
      </c>
      <c r="B40" s="91">
        <v>0</v>
      </c>
      <c r="C40" s="91">
        <v>1</v>
      </c>
      <c r="H40" s="91" t="e">
        <f t="shared" ca="1" si="0"/>
        <v>#REF!</v>
      </c>
      <c r="I40" s="91" t="e">
        <f t="shared" ca="1" si="1"/>
        <v>#REF!</v>
      </c>
      <c r="J40" s="91" t="str">
        <f ca="1">IFERROR(__xludf.DUMMYFUNCTION("""COMPUTED_VALUE"""),"")</f>
        <v/>
      </c>
      <c r="K40" s="91" t="str">
        <f ca="1">IFERROR(__xludf.DUMMYFUNCTION("""COMPUTED_VALUE"""),"")</f>
        <v/>
      </c>
      <c r="L40" s="94" t="str">
        <f ca="1">IFERROR(__xludf.DUMMYFUNCTION("""COMPUTED_VALUE"""),"07h15 85340 l'Île d'Olonne")</f>
        <v>07h15 85340 l'Île d'Olonne</v>
      </c>
    </row>
    <row r="41" spans="1:12" ht="15.75" customHeight="1" x14ac:dyDescent="0.2">
      <c r="A41" s="94" t="s">
        <v>25</v>
      </c>
      <c r="B41" s="91">
        <v>0</v>
      </c>
      <c r="C41" s="91">
        <v>1</v>
      </c>
      <c r="H41" s="91" t="e">
        <f t="shared" ca="1" si="0"/>
        <v>#REF!</v>
      </c>
      <c r="I41" s="91" t="e">
        <f t="shared" ca="1" si="1"/>
        <v>#REF!</v>
      </c>
      <c r="J41" s="91" t="str">
        <f ca="1">IFERROR(__xludf.DUMMYFUNCTION("""COMPUTED_VALUE"""),"")</f>
        <v/>
      </c>
      <c r="K41" s="91" t="str">
        <f ca="1">IFERROR(__xludf.DUMMYFUNCTION("""COMPUTED_VALUE"""),"")</f>
        <v/>
      </c>
      <c r="L41" s="94" t="str">
        <f ca="1">IFERROR(__xludf.DUMMYFUNCTION("""COMPUTED_VALUE"""),"07h20 85100 Les Sables d'Olonne (les Sables d'Olonne)-.")</f>
        <v>07h20 85100 Les Sables d'Olonne (les Sables d'Olonne)-.</v>
      </c>
    </row>
    <row r="42" spans="1:12" ht="15.75" customHeight="1" x14ac:dyDescent="0.2">
      <c r="A42" s="94" t="s">
        <v>188</v>
      </c>
      <c r="B42" s="91">
        <v>0</v>
      </c>
      <c r="C42" s="91">
        <v>1</v>
      </c>
      <c r="H42" s="91" t="e">
        <f t="shared" ca="1" si="0"/>
        <v>#REF!</v>
      </c>
      <c r="I42" s="91" t="e">
        <f t="shared" ca="1" si="1"/>
        <v>#REF!</v>
      </c>
      <c r="J42" s="91" t="str">
        <f ca="1">IFERROR(__xludf.DUMMYFUNCTION("""COMPUTED_VALUE"""),"")</f>
        <v/>
      </c>
      <c r="K42" s="91" t="str">
        <f ca="1">IFERROR(__xludf.DUMMYFUNCTION("""COMPUTED_VALUE"""),"")</f>
        <v/>
      </c>
      <c r="L42" s="94" t="str">
        <f ca="1">IFERROR(__xludf.DUMMYFUNCTION("""COMPUTED_VALUE"""),"07h20 85100 Les Sables d'Olonne (les Sables d'Olonne)")</f>
        <v>07h20 85100 Les Sables d'Olonne (les Sables d'Olonne)</v>
      </c>
    </row>
    <row r="43" spans="1:12" ht="15.75" customHeight="1" x14ac:dyDescent="0.2">
      <c r="A43" s="94" t="s">
        <v>189</v>
      </c>
      <c r="B43" s="91">
        <v>0</v>
      </c>
      <c r="C43" s="91">
        <v>1</v>
      </c>
      <c r="H43" s="91" t="e">
        <f t="shared" ca="1" si="0"/>
        <v>#REF!</v>
      </c>
      <c r="I43" s="91" t="e">
        <f t="shared" ca="1" si="1"/>
        <v>#REF!</v>
      </c>
      <c r="J43" s="91" t="str">
        <f ca="1">IFERROR(__xludf.DUMMYFUNCTION("""COMPUTED_VALUE"""),"")</f>
        <v/>
      </c>
      <c r="K43" s="91" t="str">
        <f ca="1">IFERROR(__xludf.DUMMYFUNCTION("""COMPUTED_VALUE"""),"")</f>
        <v/>
      </c>
      <c r="L43" s="94" t="str">
        <f ca="1">IFERROR(__xludf.DUMMYFUNCTION("""COMPUTED_VALUE"""),"07h20 85100 Les Sables d'Olonne ( la Chaume)")</f>
        <v>07h20 85100 Les Sables d'Olonne ( la Chaume)</v>
      </c>
    </row>
    <row r="44" spans="1:12" ht="15.75" customHeight="1" x14ac:dyDescent="0.2">
      <c r="A44" s="94" t="s">
        <v>81</v>
      </c>
      <c r="B44" s="91">
        <v>0</v>
      </c>
      <c r="C44" s="91">
        <v>1</v>
      </c>
      <c r="H44" s="91" t="e">
        <f t="shared" ca="1" si="0"/>
        <v>#REF!</v>
      </c>
      <c r="I44" s="91" t="e">
        <f t="shared" ca="1" si="1"/>
        <v>#REF!</v>
      </c>
      <c r="J44" s="91" t="str">
        <f ca="1">IFERROR(__xludf.DUMMYFUNCTION("""COMPUTED_VALUE"""),"")</f>
        <v/>
      </c>
      <c r="K44" s="91" t="str">
        <f ca="1">IFERROR(__xludf.DUMMYFUNCTION("""COMPUTED_VALUE"""),"")</f>
        <v/>
      </c>
      <c r="L44" s="94" t="str">
        <f ca="1">IFERROR(__xludf.DUMMYFUNCTION("""COMPUTED_VALUE"""),"07h20 85340 Les Sables d'Olonne (Olonne sur Mer)-.")</f>
        <v>07h20 85340 Les Sables d'Olonne (Olonne sur Mer)-.</v>
      </c>
    </row>
    <row r="45" spans="1:12" ht="15.75" customHeight="1" x14ac:dyDescent="0.2">
      <c r="A45" s="94" t="s">
        <v>190</v>
      </c>
      <c r="B45" s="91">
        <v>0</v>
      </c>
      <c r="C45" s="91">
        <v>1</v>
      </c>
      <c r="H45" s="91" t="e">
        <f t="shared" ca="1" si="0"/>
        <v>#REF!</v>
      </c>
      <c r="I45" s="91" t="e">
        <f t="shared" ca="1" si="1"/>
        <v>#REF!</v>
      </c>
      <c r="J45" s="91" t="str">
        <f ca="1">IFERROR(__xludf.DUMMYFUNCTION("""COMPUTED_VALUE"""),"")</f>
        <v/>
      </c>
      <c r="K45" s="91" t="str">
        <f ca="1">IFERROR(__xludf.DUMMYFUNCTION("""COMPUTED_VALUE"""),"")</f>
        <v/>
      </c>
      <c r="L45" s="94" t="str">
        <f ca="1">IFERROR(__xludf.DUMMYFUNCTION("""COMPUTED_VALUE"""),"07h20 85340 Les Sables d'Olonne (Olonne sur Mer)")</f>
        <v>07h20 85340 Les Sables d'Olonne (Olonne sur Mer)</v>
      </c>
    </row>
    <row r="46" spans="1:12" ht="15.75" customHeight="1" x14ac:dyDescent="0.2">
      <c r="A46" s="94" t="s">
        <v>191</v>
      </c>
      <c r="B46" s="91">
        <v>0</v>
      </c>
      <c r="C46" s="91">
        <v>1</v>
      </c>
      <c r="H46" s="91" t="e">
        <f t="shared" ca="1" si="0"/>
        <v>#REF!</v>
      </c>
      <c r="I46" s="91" t="e">
        <f t="shared" ca="1" si="1"/>
        <v>#REF!</v>
      </c>
      <c r="J46" s="91" t="str">
        <f ca="1">IFERROR(__xludf.DUMMYFUNCTION("""COMPUTED_VALUE"""),"")</f>
        <v/>
      </c>
      <c r="K46" s="91" t="str">
        <f ca="1">IFERROR(__xludf.DUMMYFUNCTION("""COMPUTED_VALUE"""),"")</f>
        <v/>
      </c>
      <c r="L46" s="94" t="str">
        <f ca="1">IFERROR(__xludf.DUMMYFUNCTION("""COMPUTED_VALUE"""),"07h20 85180 Les Sables d'Olonne (le Château d'Olonne)-.")</f>
        <v>07h20 85180 Les Sables d'Olonne (le Château d'Olonne)-.</v>
      </c>
    </row>
    <row r="47" spans="1:12" ht="15.75" customHeight="1" x14ac:dyDescent="0.2">
      <c r="A47" s="94" t="s">
        <v>192</v>
      </c>
      <c r="B47" s="91">
        <v>0</v>
      </c>
      <c r="C47" s="91">
        <v>1</v>
      </c>
      <c r="H47" s="91" t="e">
        <f t="shared" ca="1" si="0"/>
        <v>#REF!</v>
      </c>
      <c r="I47" s="91" t="e">
        <f t="shared" ca="1" si="1"/>
        <v>#REF!</v>
      </c>
      <c r="J47" s="91" t="str">
        <f ca="1">IFERROR(__xludf.DUMMYFUNCTION("""COMPUTED_VALUE"""),"")</f>
        <v/>
      </c>
      <c r="K47" s="91" t="str">
        <f ca="1">IFERROR(__xludf.DUMMYFUNCTION("""COMPUTED_VALUE"""),"")</f>
        <v/>
      </c>
      <c r="L47" s="94" t="str">
        <f ca="1">IFERROR(__xludf.DUMMYFUNCTION("""COMPUTED_VALUE"""),"07h20 85180 Les Sables d'Olonne (le Château d'Olonne)")</f>
        <v>07h20 85180 Les Sables d'Olonne (le Château d'Olonne)</v>
      </c>
    </row>
    <row r="48" spans="1:12" ht="15.75" customHeight="1" x14ac:dyDescent="0.2">
      <c r="A48" s="94" t="s">
        <v>193</v>
      </c>
      <c r="B48" s="91">
        <v>0</v>
      </c>
      <c r="C48" s="91">
        <v>1</v>
      </c>
      <c r="H48" s="91" t="e">
        <f t="shared" ca="1" si="0"/>
        <v>#REF!</v>
      </c>
      <c r="I48" s="91" t="e">
        <f t="shared" ca="1" si="1"/>
        <v>#REF!</v>
      </c>
      <c r="J48" s="91" t="str">
        <f ca="1">IFERROR(__xludf.DUMMYFUNCTION("""COMPUTED_VALUE"""),"")</f>
        <v/>
      </c>
      <c r="K48" s="91" t="str">
        <f ca="1">IFERROR(__xludf.DUMMYFUNCTION("""COMPUTED_VALUE"""),"")</f>
        <v/>
      </c>
      <c r="L48" s="94" t="str">
        <f ca="1">IFERROR(__xludf.DUMMYFUNCTION("""COMPUTED_VALUE"""),"07h20 85340 l'Île d'Olonne")</f>
        <v>07h20 85340 l'Île d'Olonne</v>
      </c>
    </row>
    <row r="49" spans="1:12" ht="15.75" customHeight="1" x14ac:dyDescent="0.2">
      <c r="A49" s="94" t="s">
        <v>194</v>
      </c>
      <c r="B49" s="91">
        <v>0</v>
      </c>
      <c r="C49" s="91">
        <v>1</v>
      </c>
      <c r="H49" s="91" t="e">
        <f t="shared" ca="1" si="0"/>
        <v>#REF!</v>
      </c>
      <c r="I49" s="91" t="e">
        <f t="shared" ca="1" si="1"/>
        <v>#REF!</v>
      </c>
      <c r="J49" s="91" t="str">
        <f ca="1">IFERROR(__xludf.DUMMYFUNCTION("""COMPUTED_VALUE"""),"")</f>
        <v/>
      </c>
      <c r="K49" s="91" t="str">
        <f ca="1">IFERROR(__xludf.DUMMYFUNCTION("""COMPUTED_VALUE"""),"")</f>
        <v/>
      </c>
      <c r="L49" s="94" t="str">
        <f ca="1">IFERROR(__xludf.DUMMYFUNCTION("""COMPUTED_VALUE"""),"07h25 85100 Les Sables d'Olonne (les Sables d'Olonne)-.")</f>
        <v>07h25 85100 Les Sables d'Olonne (les Sables d'Olonne)-.</v>
      </c>
    </row>
    <row r="50" spans="1:12" ht="15.75" customHeight="1" x14ac:dyDescent="0.2">
      <c r="A50" s="94" t="s">
        <v>195</v>
      </c>
      <c r="B50" s="91">
        <v>0</v>
      </c>
      <c r="C50" s="91">
        <v>1</v>
      </c>
      <c r="H50" s="91" t="e">
        <f t="shared" ca="1" si="0"/>
        <v>#REF!</v>
      </c>
      <c r="I50" s="91" t="e">
        <f t="shared" ca="1" si="1"/>
        <v>#REF!</v>
      </c>
      <c r="J50" s="91" t="str">
        <f ca="1">IFERROR(__xludf.DUMMYFUNCTION("""COMPUTED_VALUE"""),"")</f>
        <v/>
      </c>
      <c r="K50" s="91" t="str">
        <f ca="1">IFERROR(__xludf.DUMMYFUNCTION("""COMPUTED_VALUE"""),"")</f>
        <v/>
      </c>
      <c r="L50" s="94" t="str">
        <f ca="1">IFERROR(__xludf.DUMMYFUNCTION("""COMPUTED_VALUE"""),"07h25 85100 Les Sables d'Olonne (les Sables d'Olonne)")</f>
        <v>07h25 85100 Les Sables d'Olonne (les Sables d'Olonne)</v>
      </c>
    </row>
    <row r="51" spans="1:12" ht="15.75" customHeight="1" x14ac:dyDescent="0.2">
      <c r="A51" s="94" t="s">
        <v>11</v>
      </c>
      <c r="B51" s="91">
        <v>0</v>
      </c>
      <c r="C51" s="91">
        <v>1</v>
      </c>
      <c r="H51" s="91" t="e">
        <f t="shared" ca="1" si="0"/>
        <v>#REF!</v>
      </c>
      <c r="I51" s="91" t="e">
        <f t="shared" ca="1" si="1"/>
        <v>#REF!</v>
      </c>
      <c r="J51" s="91" t="str">
        <f ca="1">IFERROR(__xludf.DUMMYFUNCTION("""COMPUTED_VALUE"""),"")</f>
        <v/>
      </c>
      <c r="K51" s="91" t="str">
        <f ca="1">IFERROR(__xludf.DUMMYFUNCTION("""COMPUTED_VALUE"""),"")</f>
        <v/>
      </c>
      <c r="L51" s="94" t="str">
        <f ca="1">IFERROR(__xludf.DUMMYFUNCTION("""COMPUTED_VALUE"""),"07h25 85100 Les Sables d'Olonne ( la Chaume)")</f>
        <v>07h25 85100 Les Sables d'Olonne ( la Chaume)</v>
      </c>
    </row>
    <row r="52" spans="1:12" ht="15.75" customHeight="1" x14ac:dyDescent="0.2">
      <c r="A52" s="94" t="s">
        <v>82</v>
      </c>
      <c r="B52" s="91">
        <v>0</v>
      </c>
      <c r="C52" s="91">
        <v>1</v>
      </c>
      <c r="H52" s="91" t="e">
        <f t="shared" ca="1" si="0"/>
        <v>#REF!</v>
      </c>
      <c r="I52" s="91" t="e">
        <f t="shared" ca="1" si="1"/>
        <v>#REF!</v>
      </c>
      <c r="J52" s="91" t="str">
        <f ca="1">IFERROR(__xludf.DUMMYFUNCTION("""COMPUTED_VALUE"""),"")</f>
        <v/>
      </c>
      <c r="K52" s="91" t="str">
        <f ca="1">IFERROR(__xludf.DUMMYFUNCTION("""COMPUTED_VALUE"""),"")</f>
        <v/>
      </c>
      <c r="L52" s="94" t="str">
        <f ca="1">IFERROR(__xludf.DUMMYFUNCTION("""COMPUTED_VALUE"""),"07h25 85340 Les Sables d'Olonne (Olonne sur Mer)-.")</f>
        <v>07h25 85340 Les Sables d'Olonne (Olonne sur Mer)-.</v>
      </c>
    </row>
    <row r="53" spans="1:12" ht="15.75" customHeight="1" x14ac:dyDescent="0.2">
      <c r="A53" s="94" t="s">
        <v>147</v>
      </c>
      <c r="B53" s="91">
        <v>0</v>
      </c>
      <c r="C53" s="91">
        <v>1</v>
      </c>
      <c r="H53" s="91" t="e">
        <f t="shared" ca="1" si="0"/>
        <v>#REF!</v>
      </c>
      <c r="I53" s="91" t="e">
        <f t="shared" ca="1" si="1"/>
        <v>#REF!</v>
      </c>
      <c r="J53" s="91" t="str">
        <f ca="1">IFERROR(__xludf.DUMMYFUNCTION("""COMPUTED_VALUE"""),"")</f>
        <v/>
      </c>
      <c r="K53" s="91" t="str">
        <f ca="1">IFERROR(__xludf.DUMMYFUNCTION("""COMPUTED_VALUE"""),"")</f>
        <v/>
      </c>
      <c r="L53" s="94" t="str">
        <f ca="1">IFERROR(__xludf.DUMMYFUNCTION("""COMPUTED_VALUE"""),"07h25 85340 Les Sables d'Olonne (Olonne sur Mer)")</f>
        <v>07h25 85340 Les Sables d'Olonne (Olonne sur Mer)</v>
      </c>
    </row>
    <row r="54" spans="1:12" ht="15.75" customHeight="1" x14ac:dyDescent="0.2">
      <c r="A54" s="94" t="s">
        <v>196</v>
      </c>
      <c r="B54" s="91">
        <v>0</v>
      </c>
      <c r="C54" s="91">
        <v>1</v>
      </c>
      <c r="H54" s="91" t="e">
        <f t="shared" ca="1" si="0"/>
        <v>#REF!</v>
      </c>
      <c r="I54" s="91" t="e">
        <f t="shared" ca="1" si="1"/>
        <v>#REF!</v>
      </c>
      <c r="J54" s="91" t="str">
        <f ca="1">IFERROR(__xludf.DUMMYFUNCTION("""COMPUTED_VALUE"""),"")</f>
        <v/>
      </c>
      <c r="K54" s="91" t="str">
        <f ca="1">IFERROR(__xludf.DUMMYFUNCTION("""COMPUTED_VALUE"""),"")</f>
        <v/>
      </c>
      <c r="L54" s="94" t="str">
        <f ca="1">IFERROR(__xludf.DUMMYFUNCTION("""COMPUTED_VALUE"""),"07h25 85180 Les Sables d'Olonne (le Château d'Olonne)-.")</f>
        <v>07h25 85180 Les Sables d'Olonne (le Château d'Olonne)-.</v>
      </c>
    </row>
    <row r="55" spans="1:12" ht="15.75" customHeight="1" x14ac:dyDescent="0.2">
      <c r="A55" s="94" t="s">
        <v>197</v>
      </c>
      <c r="B55" s="91">
        <v>0</v>
      </c>
      <c r="C55" s="91">
        <v>1</v>
      </c>
      <c r="H55" s="91" t="e">
        <f t="shared" ca="1" si="0"/>
        <v>#REF!</v>
      </c>
      <c r="I55" s="91" t="e">
        <f t="shared" ca="1" si="1"/>
        <v>#REF!</v>
      </c>
      <c r="J55" s="91" t="str">
        <f ca="1">IFERROR(__xludf.DUMMYFUNCTION("""COMPUTED_VALUE"""),"")</f>
        <v/>
      </c>
      <c r="K55" s="91" t="str">
        <f ca="1">IFERROR(__xludf.DUMMYFUNCTION("""COMPUTED_VALUE"""),"")</f>
        <v/>
      </c>
      <c r="L55" s="94" t="str">
        <f ca="1">IFERROR(__xludf.DUMMYFUNCTION("""COMPUTED_VALUE"""),"07h25 85180 Les Sables d'Olonne (le Château d'Olonne)")</f>
        <v>07h25 85180 Les Sables d'Olonne (le Château d'Olonne)</v>
      </c>
    </row>
    <row r="56" spans="1:12" ht="15.75" customHeight="1" x14ac:dyDescent="0.2">
      <c r="A56" s="94" t="s">
        <v>198</v>
      </c>
      <c r="B56" s="91">
        <v>0</v>
      </c>
      <c r="C56" s="91">
        <v>1</v>
      </c>
      <c r="H56" s="91" t="e">
        <f t="shared" ca="1" si="0"/>
        <v>#REF!</v>
      </c>
      <c r="I56" s="91" t="e">
        <f t="shared" ca="1" si="1"/>
        <v>#REF!</v>
      </c>
      <c r="J56" s="91" t="str">
        <f ca="1">IFERROR(__xludf.DUMMYFUNCTION("""COMPUTED_VALUE"""),"")</f>
        <v/>
      </c>
      <c r="K56" s="91" t="str">
        <f ca="1">IFERROR(__xludf.DUMMYFUNCTION("""COMPUTED_VALUE"""),"")</f>
        <v/>
      </c>
      <c r="L56" s="94" t="str">
        <f ca="1">IFERROR(__xludf.DUMMYFUNCTION("""COMPUTED_VALUE"""),"07h25 85340 l'Île d'Olonne")</f>
        <v>07h25 85340 l'Île d'Olonne</v>
      </c>
    </row>
    <row r="57" spans="1:12" ht="15.75" customHeight="1" x14ac:dyDescent="0.2">
      <c r="A57" s="94" t="s">
        <v>199</v>
      </c>
      <c r="B57" s="91">
        <v>0</v>
      </c>
      <c r="C57" s="91">
        <v>1</v>
      </c>
      <c r="H57" s="91" t="e">
        <f t="shared" ca="1" si="0"/>
        <v>#REF!</v>
      </c>
      <c r="I57" s="91" t="e">
        <f t="shared" ca="1" si="1"/>
        <v>#REF!</v>
      </c>
      <c r="J57" s="91" t="str">
        <f ca="1">IFERROR(__xludf.DUMMYFUNCTION("""COMPUTED_VALUE"""),"")</f>
        <v/>
      </c>
      <c r="K57" s="91" t="str">
        <f ca="1">IFERROR(__xludf.DUMMYFUNCTION("""COMPUTED_VALUE"""),"")</f>
        <v/>
      </c>
      <c r="L57" s="94" t="str">
        <f ca="1">IFERROR(__xludf.DUMMYFUNCTION("""COMPUTED_VALUE"""),"07h30 85100 Les Sables d'Olonne (les Sables d'Olonne)-.")</f>
        <v>07h30 85100 Les Sables d'Olonne (les Sables d'Olonne)-.</v>
      </c>
    </row>
    <row r="58" spans="1:12" ht="15.75" customHeight="1" x14ac:dyDescent="0.2">
      <c r="A58" s="94" t="s">
        <v>26</v>
      </c>
      <c r="B58" s="91">
        <v>0</v>
      </c>
      <c r="C58" s="91">
        <v>1</v>
      </c>
      <c r="H58" s="91" t="e">
        <f t="shared" ca="1" si="0"/>
        <v>#REF!</v>
      </c>
      <c r="I58" s="91" t="e">
        <f t="shared" ca="1" si="1"/>
        <v>#REF!</v>
      </c>
      <c r="J58" s="91" t="str">
        <f ca="1">IFERROR(__xludf.DUMMYFUNCTION("""COMPUTED_VALUE"""),"")</f>
        <v/>
      </c>
      <c r="K58" s="91" t="str">
        <f ca="1">IFERROR(__xludf.DUMMYFUNCTION("""COMPUTED_VALUE"""),"")</f>
        <v/>
      </c>
      <c r="L58" s="94" t="str">
        <f ca="1">IFERROR(__xludf.DUMMYFUNCTION("""COMPUTED_VALUE"""),"07h30 85100 Les Sables d'Olonne (les Sables d'Olonne)")</f>
        <v>07h30 85100 Les Sables d'Olonne (les Sables d'Olonne)</v>
      </c>
    </row>
    <row r="59" spans="1:12" ht="15.75" customHeight="1" x14ac:dyDescent="0.2">
      <c r="A59" s="94" t="s">
        <v>200</v>
      </c>
      <c r="B59" s="91">
        <v>0</v>
      </c>
      <c r="C59" s="91">
        <v>1</v>
      </c>
      <c r="H59" s="91" t="e">
        <f t="shared" ca="1" si="0"/>
        <v>#REF!</v>
      </c>
      <c r="I59" s="91" t="e">
        <f t="shared" ca="1" si="1"/>
        <v>#REF!</v>
      </c>
      <c r="J59" s="91" t="str">
        <f ca="1">IFERROR(__xludf.DUMMYFUNCTION("""COMPUTED_VALUE"""),"")</f>
        <v/>
      </c>
      <c r="K59" s="91" t="str">
        <f ca="1">IFERROR(__xludf.DUMMYFUNCTION("""COMPUTED_VALUE"""),"")</f>
        <v/>
      </c>
      <c r="L59" s="94" t="str">
        <f ca="1">IFERROR(__xludf.DUMMYFUNCTION("""COMPUTED_VALUE"""),"07h30 85100 Les Sables d'Olonne ( la Chaume)")</f>
        <v>07h30 85100 Les Sables d'Olonne ( la Chaume)</v>
      </c>
    </row>
    <row r="60" spans="1:12" ht="15.75" customHeight="1" x14ac:dyDescent="0.2">
      <c r="A60" s="94" t="s">
        <v>201</v>
      </c>
      <c r="B60" s="91">
        <v>0</v>
      </c>
      <c r="C60" s="91">
        <v>1</v>
      </c>
      <c r="H60" s="91" t="e">
        <f t="shared" ca="1" si="0"/>
        <v>#REF!</v>
      </c>
      <c r="I60" s="91" t="e">
        <f t="shared" ca="1" si="1"/>
        <v>#REF!</v>
      </c>
      <c r="J60" s="91" t="str">
        <f ca="1">IFERROR(__xludf.DUMMYFUNCTION("""COMPUTED_VALUE"""),"")</f>
        <v/>
      </c>
      <c r="K60" s="91" t="str">
        <f ca="1">IFERROR(__xludf.DUMMYFUNCTION("""COMPUTED_VALUE"""),"")</f>
        <v/>
      </c>
      <c r="L60" s="94" t="str">
        <f ca="1">IFERROR(__xludf.DUMMYFUNCTION("""COMPUTED_VALUE"""),"07h30 85340 Les Sables d'Olonne (Olonne sur Mer)-.")</f>
        <v>07h30 85340 Les Sables d'Olonne (Olonne sur Mer)-.</v>
      </c>
    </row>
    <row r="61" spans="1:12" ht="15.75" customHeight="1" x14ac:dyDescent="0.2">
      <c r="A61" s="94" t="s">
        <v>202</v>
      </c>
      <c r="B61" s="91">
        <v>0</v>
      </c>
      <c r="C61" s="91">
        <v>1</v>
      </c>
      <c r="H61" s="91" t="e">
        <f t="shared" ca="1" si="0"/>
        <v>#REF!</v>
      </c>
      <c r="I61" s="91" t="e">
        <f t="shared" ca="1" si="1"/>
        <v>#REF!</v>
      </c>
      <c r="J61" s="91" t="str">
        <f ca="1">IFERROR(__xludf.DUMMYFUNCTION("""COMPUTED_VALUE"""),"")</f>
        <v/>
      </c>
      <c r="K61" s="91" t="str">
        <f ca="1">IFERROR(__xludf.DUMMYFUNCTION("""COMPUTED_VALUE"""),"")</f>
        <v/>
      </c>
      <c r="L61" s="94" t="str">
        <f ca="1">IFERROR(__xludf.DUMMYFUNCTION("""COMPUTED_VALUE"""),"07h30 85340 Les Sables d'Olonne (Olonne sur Mer)")</f>
        <v>07h30 85340 Les Sables d'Olonne (Olonne sur Mer)</v>
      </c>
    </row>
    <row r="62" spans="1:12" ht="15.75" customHeight="1" x14ac:dyDescent="0.2">
      <c r="A62" s="94" t="s">
        <v>46</v>
      </c>
      <c r="B62" s="91">
        <v>0</v>
      </c>
      <c r="C62" s="91">
        <v>1</v>
      </c>
      <c r="H62" s="91" t="e">
        <f t="shared" ca="1" si="0"/>
        <v>#REF!</v>
      </c>
      <c r="I62" s="91" t="e">
        <f t="shared" ca="1" si="1"/>
        <v>#REF!</v>
      </c>
      <c r="J62" s="91" t="str">
        <f ca="1">IFERROR(__xludf.DUMMYFUNCTION("""COMPUTED_VALUE"""),"")</f>
        <v/>
      </c>
      <c r="K62" s="91" t="str">
        <f ca="1">IFERROR(__xludf.DUMMYFUNCTION("""COMPUTED_VALUE"""),"")</f>
        <v/>
      </c>
      <c r="L62" s="94" t="str">
        <f ca="1">IFERROR(__xludf.DUMMYFUNCTION("""COMPUTED_VALUE"""),"07h30 85180 Les Sables d'Olonne (le Château d'Olonne)-.")</f>
        <v>07h30 85180 Les Sables d'Olonne (le Château d'Olonne)-.</v>
      </c>
    </row>
    <row r="63" spans="1:12" ht="15.75" customHeight="1" x14ac:dyDescent="0.2">
      <c r="A63" s="94" t="s">
        <v>203</v>
      </c>
      <c r="B63" s="91">
        <v>0</v>
      </c>
      <c r="C63" s="91">
        <v>1</v>
      </c>
      <c r="H63" s="91" t="e">
        <f t="shared" ca="1" si="0"/>
        <v>#REF!</v>
      </c>
      <c r="I63" s="91" t="e">
        <f t="shared" ca="1" si="1"/>
        <v>#REF!</v>
      </c>
      <c r="J63" s="91" t="str">
        <f ca="1">IFERROR(__xludf.DUMMYFUNCTION("""COMPUTED_VALUE"""),"")</f>
        <v/>
      </c>
      <c r="K63" s="91" t="str">
        <f ca="1">IFERROR(__xludf.DUMMYFUNCTION("""COMPUTED_VALUE"""),"")</f>
        <v/>
      </c>
      <c r="L63" s="94" t="str">
        <f ca="1">IFERROR(__xludf.DUMMYFUNCTION("""COMPUTED_VALUE"""),"07h30 85180 Les Sables d'Olonne (le Château d'Olonne)")</f>
        <v>07h30 85180 Les Sables d'Olonne (le Château d'Olonne)</v>
      </c>
    </row>
    <row r="64" spans="1:12" ht="15.75" customHeight="1" x14ac:dyDescent="0.2">
      <c r="A64" s="94" t="s">
        <v>136</v>
      </c>
      <c r="B64" s="91">
        <v>0</v>
      </c>
      <c r="C64" s="91">
        <v>1</v>
      </c>
      <c r="H64" s="91" t="e">
        <f t="shared" ca="1" si="0"/>
        <v>#REF!</v>
      </c>
      <c r="I64" s="91" t="e">
        <f t="shared" ca="1" si="1"/>
        <v>#REF!</v>
      </c>
      <c r="J64" s="91" t="str">
        <f ca="1">IFERROR(__xludf.DUMMYFUNCTION("""COMPUTED_VALUE"""),"")</f>
        <v/>
      </c>
      <c r="K64" s="91" t="str">
        <f ca="1">IFERROR(__xludf.DUMMYFUNCTION("""COMPUTED_VALUE"""),"")</f>
        <v/>
      </c>
      <c r="L64" s="94" t="str">
        <f ca="1">IFERROR(__xludf.DUMMYFUNCTION("""COMPUTED_VALUE"""),"07h30 85340 l'Île d'Olonne")</f>
        <v>07h30 85340 l'Île d'Olonne</v>
      </c>
    </row>
    <row r="65" spans="1:12" ht="15.75" customHeight="1" x14ac:dyDescent="0.2">
      <c r="A65" s="94" t="s">
        <v>204</v>
      </c>
      <c r="B65" s="91">
        <v>0</v>
      </c>
      <c r="C65" s="91">
        <v>1</v>
      </c>
      <c r="H65" s="91" t="e">
        <f t="shared" ca="1" si="0"/>
        <v>#REF!</v>
      </c>
      <c r="I65" s="91" t="e">
        <f t="shared" ca="1" si="1"/>
        <v>#REF!</v>
      </c>
      <c r="J65" s="91" t="str">
        <f ca="1">IFERROR(__xludf.DUMMYFUNCTION("""COMPUTED_VALUE"""),"")</f>
        <v/>
      </c>
      <c r="K65" s="91" t="str">
        <f ca="1">IFERROR(__xludf.DUMMYFUNCTION("""COMPUTED_VALUE"""),"")</f>
        <v/>
      </c>
      <c r="L65" s="94" t="str">
        <f ca="1">IFERROR(__xludf.DUMMYFUNCTION("""COMPUTED_VALUE"""),"07h35 85100 Les Sables d'Olonne (les Sables d'Olonne)-.")</f>
        <v>07h35 85100 Les Sables d'Olonne (les Sables d'Olonne)-.</v>
      </c>
    </row>
    <row r="66" spans="1:12" ht="15.75" customHeight="1" x14ac:dyDescent="0.2">
      <c r="A66" s="94" t="s">
        <v>205</v>
      </c>
      <c r="B66" s="91">
        <v>0</v>
      </c>
      <c r="C66" s="91">
        <v>1</v>
      </c>
      <c r="H66" s="91" t="e">
        <f t="shared" ca="1" si="0"/>
        <v>#REF!</v>
      </c>
      <c r="I66" s="91" t="e">
        <f t="shared" ca="1" si="1"/>
        <v>#REF!</v>
      </c>
      <c r="J66" s="91" t="str">
        <f ca="1">IFERROR(__xludf.DUMMYFUNCTION("""COMPUTED_VALUE"""),"")</f>
        <v/>
      </c>
      <c r="K66" s="91" t="str">
        <f ca="1">IFERROR(__xludf.DUMMYFUNCTION("""COMPUTED_VALUE"""),"")</f>
        <v/>
      </c>
      <c r="L66" s="94" t="str">
        <f ca="1">IFERROR(__xludf.DUMMYFUNCTION("""COMPUTED_VALUE"""),"07h35 85100 Les Sables d'Olonne (les Sables d'Olonne)")</f>
        <v>07h35 85100 Les Sables d'Olonne (les Sables d'Olonne)</v>
      </c>
    </row>
    <row r="67" spans="1:12" ht="15.75" customHeight="1" x14ac:dyDescent="0.2">
      <c r="A67" s="94" t="s">
        <v>206</v>
      </c>
      <c r="B67" s="91">
        <v>0</v>
      </c>
      <c r="C67" s="91">
        <v>1</v>
      </c>
      <c r="H67" s="91" t="e">
        <f t="shared" ca="1" si="0"/>
        <v>#REF!</v>
      </c>
      <c r="I67" s="91" t="e">
        <f t="shared" ca="1" si="1"/>
        <v>#REF!</v>
      </c>
      <c r="J67" s="91" t="str">
        <f ca="1">IFERROR(__xludf.DUMMYFUNCTION("""COMPUTED_VALUE"""),"")</f>
        <v/>
      </c>
      <c r="K67" s="91" t="str">
        <f ca="1">IFERROR(__xludf.DUMMYFUNCTION("""COMPUTED_VALUE"""),"")</f>
        <v/>
      </c>
      <c r="L67" s="94" t="str">
        <f ca="1">IFERROR(__xludf.DUMMYFUNCTION("""COMPUTED_VALUE"""),"07h35 85100 Les Sables d'Olonne ( la Chaume)")</f>
        <v>07h35 85100 Les Sables d'Olonne ( la Chaume)</v>
      </c>
    </row>
    <row r="68" spans="1:12" ht="15.75" customHeight="1" x14ac:dyDescent="0.2">
      <c r="A68" s="94" t="s">
        <v>207</v>
      </c>
      <c r="B68" s="91">
        <v>0</v>
      </c>
      <c r="C68" s="91">
        <v>1</v>
      </c>
      <c r="H68" s="91" t="e">
        <f t="shared" ca="1" si="0"/>
        <v>#REF!</v>
      </c>
      <c r="I68" s="91" t="e">
        <f t="shared" ca="1" si="1"/>
        <v>#REF!</v>
      </c>
      <c r="J68" s="91" t="str">
        <f ca="1">IFERROR(__xludf.DUMMYFUNCTION("""COMPUTED_VALUE"""),"")</f>
        <v/>
      </c>
      <c r="K68" s="91" t="str">
        <f ca="1">IFERROR(__xludf.DUMMYFUNCTION("""COMPUTED_VALUE"""),"")</f>
        <v/>
      </c>
      <c r="L68" s="94" t="str">
        <f ca="1">IFERROR(__xludf.DUMMYFUNCTION("""COMPUTED_VALUE"""),"07h35 85340 Les Sables d'Olonne (Olonne sur Mer)-.")</f>
        <v>07h35 85340 Les Sables d'Olonne (Olonne sur Mer)-.</v>
      </c>
    </row>
    <row r="69" spans="1:12" ht="15.75" customHeight="1" x14ac:dyDescent="0.2">
      <c r="A69" s="94" t="s">
        <v>83</v>
      </c>
      <c r="B69" s="91">
        <v>0</v>
      </c>
      <c r="C69" s="91">
        <v>1</v>
      </c>
      <c r="H69" s="91" t="e">
        <f t="shared" ca="1" si="0"/>
        <v>#REF!</v>
      </c>
      <c r="I69" s="91" t="e">
        <f t="shared" ca="1" si="1"/>
        <v>#REF!</v>
      </c>
      <c r="J69" s="91" t="str">
        <f ca="1">IFERROR(__xludf.DUMMYFUNCTION("""COMPUTED_VALUE"""),"")</f>
        <v/>
      </c>
      <c r="K69" s="91" t="str">
        <f ca="1">IFERROR(__xludf.DUMMYFUNCTION("""COMPUTED_VALUE"""),"")</f>
        <v/>
      </c>
      <c r="L69" s="94" t="str">
        <f ca="1">IFERROR(__xludf.DUMMYFUNCTION("""COMPUTED_VALUE"""),"07h35 85340 Les Sables d'Olonne (Olonne sur Mer)")</f>
        <v>07h35 85340 Les Sables d'Olonne (Olonne sur Mer)</v>
      </c>
    </row>
    <row r="70" spans="1:12" ht="15.75" customHeight="1" x14ac:dyDescent="0.2">
      <c r="A70" s="94" t="s">
        <v>208</v>
      </c>
      <c r="B70" s="91">
        <v>0</v>
      </c>
      <c r="C70" s="91">
        <v>1</v>
      </c>
      <c r="H70" s="91" t="e">
        <f t="shared" ca="1" si="0"/>
        <v>#REF!</v>
      </c>
      <c r="I70" s="91" t="e">
        <f t="shared" ca="1" si="1"/>
        <v>#REF!</v>
      </c>
      <c r="J70" s="91" t="str">
        <f ca="1">IFERROR(__xludf.DUMMYFUNCTION("""COMPUTED_VALUE"""),"")</f>
        <v/>
      </c>
      <c r="K70" s="91" t="str">
        <f ca="1">IFERROR(__xludf.DUMMYFUNCTION("""COMPUTED_VALUE"""),"")</f>
        <v/>
      </c>
      <c r="L70" s="94" t="str">
        <f ca="1">IFERROR(__xludf.DUMMYFUNCTION("""COMPUTED_VALUE"""),"07h35 85180 Les Sables d'Olonne (le Château d'Olonne)-.")</f>
        <v>07h35 85180 Les Sables d'Olonne (le Château d'Olonne)-.</v>
      </c>
    </row>
    <row r="71" spans="1:12" ht="15.75" customHeight="1" x14ac:dyDescent="0.2">
      <c r="A71" s="94" t="s">
        <v>209</v>
      </c>
      <c r="B71" s="91">
        <v>0</v>
      </c>
      <c r="C71" s="91">
        <v>1</v>
      </c>
      <c r="H71" s="91" t="e">
        <f t="shared" ca="1" si="0"/>
        <v>#REF!</v>
      </c>
      <c r="I71" s="91" t="e">
        <f t="shared" ca="1" si="1"/>
        <v>#REF!</v>
      </c>
      <c r="J71" s="91" t="str">
        <f ca="1">IFERROR(__xludf.DUMMYFUNCTION("""COMPUTED_VALUE"""),"")</f>
        <v/>
      </c>
      <c r="K71" s="91" t="str">
        <f ca="1">IFERROR(__xludf.DUMMYFUNCTION("""COMPUTED_VALUE"""),"")</f>
        <v/>
      </c>
      <c r="L71" s="94" t="str">
        <f ca="1">IFERROR(__xludf.DUMMYFUNCTION("""COMPUTED_VALUE"""),"07h35 85180 Les Sables d'Olonne (le Château d'Olonne)")</f>
        <v>07h35 85180 Les Sables d'Olonne (le Château d'Olonne)</v>
      </c>
    </row>
    <row r="72" spans="1:12" ht="15.75" customHeight="1" x14ac:dyDescent="0.2">
      <c r="A72" s="94" t="s">
        <v>210</v>
      </c>
      <c r="B72" s="91">
        <v>0</v>
      </c>
      <c r="C72" s="91">
        <v>1</v>
      </c>
      <c r="H72" s="91" t="e">
        <f t="shared" ca="1" si="0"/>
        <v>#REF!</v>
      </c>
      <c r="I72" s="91" t="e">
        <f t="shared" ca="1" si="1"/>
        <v>#REF!</v>
      </c>
      <c r="J72" s="91" t="str">
        <f ca="1">IFERROR(__xludf.DUMMYFUNCTION("""COMPUTED_VALUE"""),"")</f>
        <v/>
      </c>
      <c r="K72" s="91" t="str">
        <f ca="1">IFERROR(__xludf.DUMMYFUNCTION("""COMPUTED_VALUE"""),"")</f>
        <v/>
      </c>
      <c r="L72" s="94" t="str">
        <f ca="1">IFERROR(__xludf.DUMMYFUNCTION("""COMPUTED_VALUE"""),"07h35 85340 l'Île d'Olonne")</f>
        <v>07h35 85340 l'Île d'Olonne</v>
      </c>
    </row>
    <row r="73" spans="1:12" ht="15.75" customHeight="1" x14ac:dyDescent="0.2">
      <c r="A73" s="94" t="s">
        <v>211</v>
      </c>
      <c r="B73" s="91">
        <v>0</v>
      </c>
      <c r="C73" s="91">
        <v>1</v>
      </c>
      <c r="H73" s="91" t="e">
        <f t="shared" ca="1" si="0"/>
        <v>#REF!</v>
      </c>
      <c r="I73" s="91" t="e">
        <f t="shared" ca="1" si="1"/>
        <v>#REF!</v>
      </c>
      <c r="J73" s="91" t="str">
        <f ca="1">IFERROR(__xludf.DUMMYFUNCTION("""COMPUTED_VALUE"""),"")</f>
        <v/>
      </c>
      <c r="K73" s="91" t="str">
        <f ca="1">IFERROR(__xludf.DUMMYFUNCTION("""COMPUTED_VALUE"""),"")</f>
        <v/>
      </c>
      <c r="L73" s="94" t="str">
        <f ca="1">IFERROR(__xludf.DUMMYFUNCTION("""COMPUTED_VALUE"""),"07h40 85100 Les Sables d'Olonne (les Sables d'Olonne)-.")</f>
        <v>07h40 85100 Les Sables d'Olonne (les Sables d'Olonne)-.</v>
      </c>
    </row>
    <row r="74" spans="1:12" ht="15.75" customHeight="1" x14ac:dyDescent="0.2">
      <c r="A74" s="94" t="s">
        <v>212</v>
      </c>
      <c r="B74" s="91">
        <v>0</v>
      </c>
      <c r="C74" s="91">
        <v>1</v>
      </c>
      <c r="H74" s="91" t="e">
        <f t="shared" ca="1" si="0"/>
        <v>#REF!</v>
      </c>
      <c r="I74" s="91" t="e">
        <f t="shared" ca="1" si="1"/>
        <v>#REF!</v>
      </c>
      <c r="J74" s="91" t="str">
        <f ca="1">IFERROR(__xludf.DUMMYFUNCTION("""COMPUTED_VALUE"""),"")</f>
        <v/>
      </c>
      <c r="K74" s="91" t="str">
        <f ca="1">IFERROR(__xludf.DUMMYFUNCTION("""COMPUTED_VALUE"""),"")</f>
        <v/>
      </c>
      <c r="L74" s="94" t="str">
        <f ca="1">IFERROR(__xludf.DUMMYFUNCTION("""COMPUTED_VALUE"""),"07h40 85100 Les Sables d'Olonne (les Sables d'Olonne)")</f>
        <v>07h40 85100 Les Sables d'Olonne (les Sables d'Olonne)</v>
      </c>
    </row>
    <row r="75" spans="1:12" ht="15.75" customHeight="1" x14ac:dyDescent="0.2">
      <c r="A75" s="94" t="s">
        <v>213</v>
      </c>
      <c r="B75" s="91">
        <v>0</v>
      </c>
      <c r="C75" s="91">
        <v>1</v>
      </c>
      <c r="H75" s="91" t="e">
        <f t="shared" ca="1" si="0"/>
        <v>#REF!</v>
      </c>
      <c r="I75" s="91" t="e">
        <f t="shared" ca="1" si="1"/>
        <v>#REF!</v>
      </c>
      <c r="J75" s="91" t="str">
        <f ca="1">IFERROR(__xludf.DUMMYFUNCTION("""COMPUTED_VALUE"""),"")</f>
        <v/>
      </c>
      <c r="K75" s="91" t="str">
        <f ca="1">IFERROR(__xludf.DUMMYFUNCTION("""COMPUTED_VALUE"""),"")</f>
        <v/>
      </c>
      <c r="L75" s="94" t="str">
        <f ca="1">IFERROR(__xludf.DUMMYFUNCTION("""COMPUTED_VALUE"""),"07h40 85100 Les Sables d'Olonne ( la Chaume)")</f>
        <v>07h40 85100 Les Sables d'Olonne ( la Chaume)</v>
      </c>
    </row>
    <row r="76" spans="1:12" ht="15.75" customHeight="1" x14ac:dyDescent="0.2">
      <c r="A76" s="94" t="s">
        <v>214</v>
      </c>
      <c r="B76" s="91">
        <v>0</v>
      </c>
      <c r="C76" s="91">
        <v>1</v>
      </c>
      <c r="H76" s="91" t="e">
        <f t="shared" ca="1" si="0"/>
        <v>#REF!</v>
      </c>
      <c r="I76" s="91" t="e">
        <f t="shared" ca="1" si="1"/>
        <v>#REF!</v>
      </c>
      <c r="J76" s="91" t="str">
        <f ca="1">IFERROR(__xludf.DUMMYFUNCTION("""COMPUTED_VALUE"""),"")</f>
        <v/>
      </c>
      <c r="K76" s="91" t="str">
        <f ca="1">IFERROR(__xludf.DUMMYFUNCTION("""COMPUTED_VALUE"""),"")</f>
        <v/>
      </c>
      <c r="L76" s="94" t="str">
        <f ca="1">IFERROR(__xludf.DUMMYFUNCTION("""COMPUTED_VALUE"""),"07h40 85340 Les Sables d'Olonne (Olonne sur Mer)-.")</f>
        <v>07h40 85340 Les Sables d'Olonne (Olonne sur Mer)-.</v>
      </c>
    </row>
    <row r="77" spans="1:12" ht="15.75" customHeight="1" x14ac:dyDescent="0.2">
      <c r="A77" s="94" t="s">
        <v>215</v>
      </c>
      <c r="B77" s="91">
        <v>0</v>
      </c>
      <c r="C77" s="91">
        <v>1</v>
      </c>
      <c r="H77" s="91" t="e">
        <f t="shared" ca="1" si="0"/>
        <v>#REF!</v>
      </c>
      <c r="I77" s="91" t="e">
        <f t="shared" ca="1" si="1"/>
        <v>#REF!</v>
      </c>
      <c r="J77" s="91" t="str">
        <f ca="1">IFERROR(__xludf.DUMMYFUNCTION("""COMPUTED_VALUE"""),"")</f>
        <v/>
      </c>
      <c r="K77" s="91" t="str">
        <f ca="1">IFERROR(__xludf.DUMMYFUNCTION("""COMPUTED_VALUE"""),"")</f>
        <v/>
      </c>
      <c r="L77" s="94" t="str">
        <f ca="1">IFERROR(__xludf.DUMMYFUNCTION("""COMPUTED_VALUE"""),"07h40 85340 Les Sables d'Olonne (Olonne sur Mer)")</f>
        <v>07h40 85340 Les Sables d'Olonne (Olonne sur Mer)</v>
      </c>
    </row>
    <row r="78" spans="1:12" ht="15.75" customHeight="1" x14ac:dyDescent="0.2">
      <c r="A78" s="94" t="s">
        <v>216</v>
      </c>
      <c r="B78" s="91">
        <v>0</v>
      </c>
      <c r="C78" s="91">
        <v>1</v>
      </c>
      <c r="H78" s="91" t="e">
        <f t="shared" ca="1" si="0"/>
        <v>#REF!</v>
      </c>
      <c r="I78" s="91" t="e">
        <f t="shared" ca="1" si="1"/>
        <v>#REF!</v>
      </c>
      <c r="J78" s="91" t="str">
        <f ca="1">IFERROR(__xludf.DUMMYFUNCTION("""COMPUTED_VALUE"""),"")</f>
        <v/>
      </c>
      <c r="K78" s="91" t="str">
        <f ca="1">IFERROR(__xludf.DUMMYFUNCTION("""COMPUTED_VALUE"""),"")</f>
        <v/>
      </c>
      <c r="L78" s="94" t="str">
        <f ca="1">IFERROR(__xludf.DUMMYFUNCTION("""COMPUTED_VALUE"""),"07h40 85180 Les Sables d'Olonne (le Château d'Olonne)-.")</f>
        <v>07h40 85180 Les Sables d'Olonne (le Château d'Olonne)-.</v>
      </c>
    </row>
    <row r="79" spans="1:12" ht="15.75" customHeight="1" x14ac:dyDescent="0.2">
      <c r="A79" s="94" t="s">
        <v>217</v>
      </c>
      <c r="B79" s="91">
        <v>0</v>
      </c>
      <c r="C79" s="91">
        <v>1</v>
      </c>
      <c r="H79" s="91" t="e">
        <f t="shared" ca="1" si="0"/>
        <v>#REF!</v>
      </c>
      <c r="I79" s="91" t="e">
        <f t="shared" ca="1" si="1"/>
        <v>#REF!</v>
      </c>
      <c r="J79" s="91" t="str">
        <f ca="1">IFERROR(__xludf.DUMMYFUNCTION("""COMPUTED_VALUE"""),"")</f>
        <v/>
      </c>
      <c r="K79" s="91" t="str">
        <f ca="1">IFERROR(__xludf.DUMMYFUNCTION("""COMPUTED_VALUE"""),"")</f>
        <v/>
      </c>
      <c r="L79" s="94" t="str">
        <f ca="1">IFERROR(__xludf.DUMMYFUNCTION("""COMPUTED_VALUE"""),"07h40 85180 Les Sables d'Olonne (le Château d'Olonne)")</f>
        <v>07h40 85180 Les Sables d'Olonne (le Château d'Olonne)</v>
      </c>
    </row>
    <row r="80" spans="1:12" ht="15.75" customHeight="1" x14ac:dyDescent="0.2">
      <c r="A80" s="94" t="s">
        <v>218</v>
      </c>
      <c r="B80" s="91">
        <v>0</v>
      </c>
      <c r="C80" s="91">
        <v>1</v>
      </c>
      <c r="H80" s="91" t="e">
        <f t="shared" ca="1" si="0"/>
        <v>#REF!</v>
      </c>
      <c r="I80" s="91" t="e">
        <f t="shared" ca="1" si="1"/>
        <v>#REF!</v>
      </c>
      <c r="J80" s="91" t="str">
        <f ca="1">IFERROR(__xludf.DUMMYFUNCTION("""COMPUTED_VALUE"""),"")</f>
        <v/>
      </c>
      <c r="K80" s="91" t="str">
        <f ca="1">IFERROR(__xludf.DUMMYFUNCTION("""COMPUTED_VALUE"""),"")</f>
        <v/>
      </c>
      <c r="L80" s="94" t="str">
        <f ca="1">IFERROR(__xludf.DUMMYFUNCTION("""COMPUTED_VALUE"""),"07h40 85340 l'Île d'Olonne")</f>
        <v>07h40 85340 l'Île d'Olonne</v>
      </c>
    </row>
    <row r="81" spans="1:12" ht="15.75" customHeight="1" x14ac:dyDescent="0.2">
      <c r="A81" s="94" t="s">
        <v>219</v>
      </c>
      <c r="B81" s="91">
        <v>0</v>
      </c>
      <c r="C81" s="91">
        <v>1</v>
      </c>
      <c r="H81" s="91" t="e">
        <f t="shared" ca="1" si="0"/>
        <v>#REF!</v>
      </c>
      <c r="I81" s="91" t="e">
        <f t="shared" ca="1" si="1"/>
        <v>#REF!</v>
      </c>
      <c r="J81" s="91" t="str">
        <f ca="1">IFERROR(__xludf.DUMMYFUNCTION("""COMPUTED_VALUE"""),"")</f>
        <v/>
      </c>
      <c r="K81" s="91" t="str">
        <f ca="1">IFERROR(__xludf.DUMMYFUNCTION("""COMPUTED_VALUE"""),"")</f>
        <v/>
      </c>
      <c r="L81" s="94" t="str">
        <f ca="1">IFERROR(__xludf.DUMMYFUNCTION("""COMPUTED_VALUE"""),"07h45 85100 Les Sables d'Olonne (les Sables d'Olonne)-.")</f>
        <v>07h45 85100 Les Sables d'Olonne (les Sables d'Olonne)-.</v>
      </c>
    </row>
    <row r="82" spans="1:12" ht="15.75" customHeight="1" x14ac:dyDescent="0.2">
      <c r="A82" s="94" t="s">
        <v>220</v>
      </c>
      <c r="B82" s="91">
        <v>0</v>
      </c>
      <c r="C82" s="91">
        <v>1</v>
      </c>
      <c r="H82" s="91" t="e">
        <f t="shared" ca="1" si="0"/>
        <v>#REF!</v>
      </c>
      <c r="I82" s="91" t="e">
        <f t="shared" ca="1" si="1"/>
        <v>#REF!</v>
      </c>
      <c r="J82" s="91" t="str">
        <f ca="1">IFERROR(__xludf.DUMMYFUNCTION("""COMPUTED_VALUE"""),"")</f>
        <v/>
      </c>
      <c r="K82" s="91" t="str">
        <f ca="1">IFERROR(__xludf.DUMMYFUNCTION("""COMPUTED_VALUE"""),"")</f>
        <v/>
      </c>
      <c r="L82" s="94" t="str">
        <f ca="1">IFERROR(__xludf.DUMMYFUNCTION("""COMPUTED_VALUE"""),"07h45 85100 Les Sables d'Olonne (les Sables d'Olonne)")</f>
        <v>07h45 85100 Les Sables d'Olonne (les Sables d'Olonne)</v>
      </c>
    </row>
    <row r="83" spans="1:12" ht="15.75" customHeight="1" x14ac:dyDescent="0.2">
      <c r="A83" s="94" t="s">
        <v>221</v>
      </c>
      <c r="B83" s="91">
        <v>0</v>
      </c>
      <c r="C83" s="91">
        <v>1</v>
      </c>
      <c r="H83" s="91" t="e">
        <f t="shared" ca="1" si="0"/>
        <v>#REF!</v>
      </c>
      <c r="I83" s="91" t="e">
        <f t="shared" ca="1" si="1"/>
        <v>#REF!</v>
      </c>
      <c r="J83" s="91" t="str">
        <f ca="1">IFERROR(__xludf.DUMMYFUNCTION("""COMPUTED_VALUE"""),"")</f>
        <v/>
      </c>
      <c r="K83" s="91" t="str">
        <f ca="1">IFERROR(__xludf.DUMMYFUNCTION("""COMPUTED_VALUE"""),"")</f>
        <v/>
      </c>
      <c r="L83" s="94" t="str">
        <f ca="1">IFERROR(__xludf.DUMMYFUNCTION("""COMPUTED_VALUE"""),"07h45 85100 Les Sables d'Olonne ( la Chaume)")</f>
        <v>07h45 85100 Les Sables d'Olonne ( la Chaume)</v>
      </c>
    </row>
    <row r="84" spans="1:12" ht="15.75" customHeight="1" x14ac:dyDescent="0.2">
      <c r="A84" s="94" t="s">
        <v>222</v>
      </c>
      <c r="B84" s="91">
        <v>0</v>
      </c>
      <c r="C84" s="91">
        <v>1</v>
      </c>
      <c r="H84" s="91" t="e">
        <f t="shared" ca="1" si="0"/>
        <v>#REF!</v>
      </c>
      <c r="I84" s="91" t="e">
        <f t="shared" ca="1" si="1"/>
        <v>#REF!</v>
      </c>
      <c r="J84" s="91" t="str">
        <f ca="1">IFERROR(__xludf.DUMMYFUNCTION("""COMPUTED_VALUE"""),"")</f>
        <v/>
      </c>
      <c r="K84" s="91" t="str">
        <f ca="1">IFERROR(__xludf.DUMMYFUNCTION("""COMPUTED_VALUE"""),"")</f>
        <v/>
      </c>
      <c r="L84" s="94" t="str">
        <f ca="1">IFERROR(__xludf.DUMMYFUNCTION("""COMPUTED_VALUE"""),"07h45 85340 Les Sables d'Olonne (Olonne sur Mer)-.")</f>
        <v>07h45 85340 Les Sables d'Olonne (Olonne sur Mer)-.</v>
      </c>
    </row>
    <row r="85" spans="1:12" ht="15.75" customHeight="1" x14ac:dyDescent="0.2">
      <c r="A85" s="94" t="s">
        <v>84</v>
      </c>
      <c r="B85" s="91">
        <v>0</v>
      </c>
      <c r="C85" s="91">
        <v>1</v>
      </c>
      <c r="H85" s="91" t="e">
        <f t="shared" ca="1" si="0"/>
        <v>#REF!</v>
      </c>
      <c r="I85" s="91" t="e">
        <f t="shared" ca="1" si="1"/>
        <v>#REF!</v>
      </c>
      <c r="J85" s="91" t="str">
        <f ca="1">IFERROR(__xludf.DUMMYFUNCTION("""COMPUTED_VALUE"""),"")</f>
        <v/>
      </c>
      <c r="K85" s="91" t="str">
        <f ca="1">IFERROR(__xludf.DUMMYFUNCTION("""COMPUTED_VALUE"""),"")</f>
        <v/>
      </c>
      <c r="L85" s="94" t="str">
        <f ca="1">IFERROR(__xludf.DUMMYFUNCTION("""COMPUTED_VALUE"""),"07h45 85340 Les Sables d'Olonne (Olonne sur Mer)")</f>
        <v>07h45 85340 Les Sables d'Olonne (Olonne sur Mer)</v>
      </c>
    </row>
    <row r="86" spans="1:12" ht="15.75" customHeight="1" x14ac:dyDescent="0.2">
      <c r="A86" s="94" t="s">
        <v>223</v>
      </c>
      <c r="B86" s="91">
        <v>0</v>
      </c>
      <c r="C86" s="91">
        <v>1</v>
      </c>
      <c r="H86" s="91" t="e">
        <f t="shared" ca="1" si="0"/>
        <v>#REF!</v>
      </c>
      <c r="I86" s="91" t="e">
        <f t="shared" ca="1" si="1"/>
        <v>#REF!</v>
      </c>
      <c r="J86" s="91" t="str">
        <f ca="1">IFERROR(__xludf.DUMMYFUNCTION("""COMPUTED_VALUE"""),"")</f>
        <v/>
      </c>
      <c r="K86" s="91" t="str">
        <f ca="1">IFERROR(__xludf.DUMMYFUNCTION("""COMPUTED_VALUE"""),"")</f>
        <v/>
      </c>
      <c r="L86" s="94" t="str">
        <f ca="1">IFERROR(__xludf.DUMMYFUNCTION("""COMPUTED_VALUE"""),"07h45 85180 Les Sables d'Olonne (le Château d'Olonne)-.")</f>
        <v>07h45 85180 Les Sables d'Olonne (le Château d'Olonne)-.</v>
      </c>
    </row>
    <row r="87" spans="1:12" ht="15.75" customHeight="1" x14ac:dyDescent="0.2">
      <c r="A87" s="94" t="s">
        <v>224</v>
      </c>
      <c r="B87" s="91">
        <v>0</v>
      </c>
      <c r="C87" s="91">
        <v>1</v>
      </c>
      <c r="H87" s="91" t="e">
        <f t="shared" ca="1" si="0"/>
        <v>#REF!</v>
      </c>
      <c r="I87" s="91" t="e">
        <f t="shared" ca="1" si="1"/>
        <v>#REF!</v>
      </c>
      <c r="J87" s="91" t="str">
        <f ca="1">IFERROR(__xludf.DUMMYFUNCTION("""COMPUTED_VALUE"""),"")</f>
        <v/>
      </c>
      <c r="K87" s="91" t="str">
        <f ca="1">IFERROR(__xludf.DUMMYFUNCTION("""COMPUTED_VALUE"""),"")</f>
        <v/>
      </c>
      <c r="L87" s="94" t="str">
        <f ca="1">IFERROR(__xludf.DUMMYFUNCTION("""COMPUTED_VALUE"""),"07h45 85180 Les Sables d'Olonne (le Château d'Olonne)")</f>
        <v>07h45 85180 Les Sables d'Olonne (le Château d'Olonne)</v>
      </c>
    </row>
    <row r="88" spans="1:12" ht="15.75" customHeight="1" x14ac:dyDescent="0.2">
      <c r="A88" s="94" t="s">
        <v>137</v>
      </c>
      <c r="B88" s="91">
        <v>0</v>
      </c>
      <c r="C88" s="91">
        <v>1</v>
      </c>
      <c r="H88" s="91" t="e">
        <f t="shared" ca="1" si="0"/>
        <v>#REF!</v>
      </c>
      <c r="I88" s="91" t="e">
        <f t="shared" ca="1" si="1"/>
        <v>#REF!</v>
      </c>
      <c r="J88" s="91" t="str">
        <f ca="1">IFERROR(__xludf.DUMMYFUNCTION("""COMPUTED_VALUE"""),"")</f>
        <v/>
      </c>
      <c r="K88" s="91" t="str">
        <f ca="1">IFERROR(__xludf.DUMMYFUNCTION("""COMPUTED_VALUE"""),"")</f>
        <v/>
      </c>
      <c r="L88" s="94" t="str">
        <f ca="1">IFERROR(__xludf.DUMMYFUNCTION("""COMPUTED_VALUE"""),"07h45 85340 l'Île d'Olonne")</f>
        <v>07h45 85340 l'Île d'Olonne</v>
      </c>
    </row>
    <row r="89" spans="1:12" ht="15.75" customHeight="1" x14ac:dyDescent="0.2">
      <c r="A89" s="94" t="s">
        <v>225</v>
      </c>
      <c r="B89" s="91">
        <v>0</v>
      </c>
      <c r="C89" s="91">
        <v>1</v>
      </c>
      <c r="H89" s="91" t="e">
        <f t="shared" ca="1" si="0"/>
        <v>#REF!</v>
      </c>
      <c r="I89" s="91" t="e">
        <f t="shared" ca="1" si="1"/>
        <v>#REF!</v>
      </c>
      <c r="J89" s="91" t="str">
        <f ca="1">IFERROR(__xludf.DUMMYFUNCTION("""COMPUTED_VALUE"""),"")</f>
        <v/>
      </c>
      <c r="K89" s="91" t="str">
        <f ca="1">IFERROR(__xludf.DUMMYFUNCTION("""COMPUTED_VALUE"""),"")</f>
        <v/>
      </c>
      <c r="L89" s="94" t="str">
        <f ca="1">IFERROR(__xludf.DUMMYFUNCTION("""COMPUTED_VALUE"""),"07h50 85100 Les Sables d'Olonne (les Sables d'Olonne)-.")</f>
        <v>07h50 85100 Les Sables d'Olonne (les Sables d'Olonne)-.</v>
      </c>
    </row>
    <row r="90" spans="1:12" ht="15.75" customHeight="1" x14ac:dyDescent="0.2">
      <c r="A90" s="94" t="s">
        <v>226</v>
      </c>
      <c r="B90" s="91">
        <v>0</v>
      </c>
      <c r="C90" s="91">
        <v>1</v>
      </c>
      <c r="H90" s="91" t="e">
        <f t="shared" ca="1" si="0"/>
        <v>#REF!</v>
      </c>
      <c r="I90" s="91" t="e">
        <f t="shared" ca="1" si="1"/>
        <v>#REF!</v>
      </c>
      <c r="J90" s="91" t="str">
        <f ca="1">IFERROR(__xludf.DUMMYFUNCTION("""COMPUTED_VALUE"""),"")</f>
        <v/>
      </c>
      <c r="K90" s="91" t="str">
        <f ca="1">IFERROR(__xludf.DUMMYFUNCTION("""COMPUTED_VALUE"""),"")</f>
        <v/>
      </c>
      <c r="L90" s="94" t="str">
        <f ca="1">IFERROR(__xludf.DUMMYFUNCTION("""COMPUTED_VALUE"""),"07h50 85100 Les Sables d'Olonne (les Sables d'Olonne)")</f>
        <v>07h50 85100 Les Sables d'Olonne (les Sables d'Olonne)</v>
      </c>
    </row>
    <row r="91" spans="1:12" ht="15.75" customHeight="1" x14ac:dyDescent="0.2">
      <c r="A91" s="94" t="s">
        <v>227</v>
      </c>
      <c r="B91" s="91">
        <v>0</v>
      </c>
      <c r="C91" s="91">
        <v>1</v>
      </c>
      <c r="H91" s="91" t="e">
        <f t="shared" ca="1" si="0"/>
        <v>#REF!</v>
      </c>
      <c r="I91" s="91" t="e">
        <f t="shared" ca="1" si="1"/>
        <v>#REF!</v>
      </c>
      <c r="J91" s="91" t="str">
        <f ca="1">IFERROR(__xludf.DUMMYFUNCTION("""COMPUTED_VALUE"""),"")</f>
        <v/>
      </c>
      <c r="K91" s="91" t="str">
        <f ca="1">IFERROR(__xludf.DUMMYFUNCTION("""COMPUTED_VALUE"""),"")</f>
        <v/>
      </c>
      <c r="L91" s="94" t="str">
        <f ca="1">IFERROR(__xludf.DUMMYFUNCTION("""COMPUTED_VALUE"""),"07h50 85100 Les Sables d'Olonne ( la Chaume)")</f>
        <v>07h50 85100 Les Sables d'Olonne ( la Chaume)</v>
      </c>
    </row>
    <row r="92" spans="1:12" ht="15.75" customHeight="1" x14ac:dyDescent="0.2">
      <c r="A92" s="94" t="s">
        <v>86</v>
      </c>
      <c r="B92" s="91">
        <v>0</v>
      </c>
      <c r="C92" s="91">
        <v>1</v>
      </c>
      <c r="H92" s="91" t="e">
        <f t="shared" ca="1" si="0"/>
        <v>#REF!</v>
      </c>
      <c r="I92" s="91" t="e">
        <f t="shared" ca="1" si="1"/>
        <v>#REF!</v>
      </c>
      <c r="J92" s="91" t="str">
        <f ca="1">IFERROR(__xludf.DUMMYFUNCTION("""COMPUTED_VALUE"""),"")</f>
        <v/>
      </c>
      <c r="K92" s="91" t="str">
        <f ca="1">IFERROR(__xludf.DUMMYFUNCTION("""COMPUTED_VALUE"""),"")</f>
        <v/>
      </c>
      <c r="L92" s="94" t="str">
        <f ca="1">IFERROR(__xludf.DUMMYFUNCTION("""COMPUTED_VALUE"""),"07h50 85340 Les Sables d'Olonne (Olonne sur Mer)-.")</f>
        <v>07h50 85340 Les Sables d'Olonne (Olonne sur Mer)-.</v>
      </c>
    </row>
    <row r="93" spans="1:12" ht="15.75" customHeight="1" x14ac:dyDescent="0.2">
      <c r="A93" s="94" t="s">
        <v>85</v>
      </c>
      <c r="B93" s="91">
        <v>0</v>
      </c>
      <c r="C93" s="91">
        <v>1</v>
      </c>
      <c r="H93" s="91" t="e">
        <f t="shared" ca="1" si="0"/>
        <v>#REF!</v>
      </c>
      <c r="I93" s="91" t="e">
        <f t="shared" ca="1" si="1"/>
        <v>#REF!</v>
      </c>
      <c r="J93" s="91" t="str">
        <f ca="1">IFERROR(__xludf.DUMMYFUNCTION("""COMPUTED_VALUE"""),"")</f>
        <v/>
      </c>
      <c r="K93" s="91" t="str">
        <f ca="1">IFERROR(__xludf.DUMMYFUNCTION("""COMPUTED_VALUE"""),"")</f>
        <v/>
      </c>
      <c r="L93" s="94" t="str">
        <f ca="1">IFERROR(__xludf.DUMMYFUNCTION("""COMPUTED_VALUE"""),"07h50 85340 Les Sables d'Olonne (Olonne sur Mer)")</f>
        <v>07h50 85340 Les Sables d'Olonne (Olonne sur Mer)</v>
      </c>
    </row>
    <row r="94" spans="1:12" ht="15.75" customHeight="1" x14ac:dyDescent="0.2">
      <c r="A94" s="94" t="s">
        <v>228</v>
      </c>
      <c r="B94" s="91">
        <v>0</v>
      </c>
      <c r="C94" s="91">
        <v>1</v>
      </c>
      <c r="H94" s="91" t="e">
        <f t="shared" ca="1" si="0"/>
        <v>#REF!</v>
      </c>
      <c r="I94" s="91" t="e">
        <f t="shared" ca="1" si="1"/>
        <v>#REF!</v>
      </c>
      <c r="J94" s="91" t="str">
        <f ca="1">IFERROR(__xludf.DUMMYFUNCTION("""COMPUTED_VALUE"""),"")</f>
        <v/>
      </c>
      <c r="K94" s="91" t="str">
        <f ca="1">IFERROR(__xludf.DUMMYFUNCTION("""COMPUTED_VALUE"""),"")</f>
        <v/>
      </c>
      <c r="L94" s="94" t="str">
        <f ca="1">IFERROR(__xludf.DUMMYFUNCTION("""COMPUTED_VALUE"""),"07h50 85180 Les Sables d'Olonne (le Château d'Olonne)-.")</f>
        <v>07h50 85180 Les Sables d'Olonne (le Château d'Olonne)-.</v>
      </c>
    </row>
    <row r="95" spans="1:12" ht="15.75" customHeight="1" x14ac:dyDescent="0.2">
      <c r="A95" s="94" t="s">
        <v>47</v>
      </c>
      <c r="B95" s="91">
        <v>0</v>
      </c>
      <c r="C95" s="91">
        <v>1</v>
      </c>
      <c r="H95" s="91" t="e">
        <f t="shared" ca="1" si="0"/>
        <v>#REF!</v>
      </c>
      <c r="I95" s="91" t="e">
        <f t="shared" ca="1" si="1"/>
        <v>#REF!</v>
      </c>
      <c r="J95" s="91" t="str">
        <f ca="1">IFERROR(__xludf.DUMMYFUNCTION("""COMPUTED_VALUE"""),"")</f>
        <v/>
      </c>
      <c r="K95" s="91" t="str">
        <f ca="1">IFERROR(__xludf.DUMMYFUNCTION("""COMPUTED_VALUE"""),"")</f>
        <v/>
      </c>
      <c r="L95" s="94" t="str">
        <f ca="1">IFERROR(__xludf.DUMMYFUNCTION("""COMPUTED_VALUE"""),"07h50 85180 Les Sables d'Olonne (le Château d'Olonne)")</f>
        <v>07h50 85180 Les Sables d'Olonne (le Château d'Olonne)</v>
      </c>
    </row>
    <row r="96" spans="1:12" ht="15.75" customHeight="1" x14ac:dyDescent="0.2">
      <c r="A96" s="94" t="s">
        <v>138</v>
      </c>
      <c r="B96" s="91">
        <v>0</v>
      </c>
      <c r="C96" s="91">
        <v>1</v>
      </c>
      <c r="H96" s="91" t="e">
        <f t="shared" ca="1" si="0"/>
        <v>#REF!</v>
      </c>
      <c r="I96" s="91" t="e">
        <f t="shared" ca="1" si="1"/>
        <v>#REF!</v>
      </c>
      <c r="J96" s="91" t="str">
        <f ca="1">IFERROR(__xludf.DUMMYFUNCTION("""COMPUTED_VALUE"""),"")</f>
        <v/>
      </c>
      <c r="K96" s="91" t="str">
        <f ca="1">IFERROR(__xludf.DUMMYFUNCTION("""COMPUTED_VALUE"""),"")</f>
        <v/>
      </c>
      <c r="L96" s="94" t="str">
        <f ca="1">IFERROR(__xludf.DUMMYFUNCTION("""COMPUTED_VALUE"""),"07h50 85340 l'Île d'Olonne")</f>
        <v>07h50 85340 l'Île d'Olonne</v>
      </c>
    </row>
    <row r="97" spans="1:12" ht="15.75" customHeight="1" x14ac:dyDescent="0.2">
      <c r="A97" s="94" t="s">
        <v>229</v>
      </c>
      <c r="B97" s="91">
        <v>0</v>
      </c>
      <c r="C97" s="91">
        <v>1</v>
      </c>
      <c r="H97" s="91" t="e">
        <f t="shared" ca="1" si="0"/>
        <v>#REF!</v>
      </c>
      <c r="I97" s="91" t="e">
        <f t="shared" ca="1" si="1"/>
        <v>#REF!</v>
      </c>
      <c r="J97" s="91" t="str">
        <f ca="1">IFERROR(__xludf.DUMMYFUNCTION("""COMPUTED_VALUE"""),"")</f>
        <v/>
      </c>
      <c r="K97" s="91" t="str">
        <f ca="1">IFERROR(__xludf.DUMMYFUNCTION("""COMPUTED_VALUE"""),"")</f>
        <v/>
      </c>
      <c r="L97" s="94" t="str">
        <f ca="1">IFERROR(__xludf.DUMMYFUNCTION("""COMPUTED_VALUE"""),"07h55 85100 Les Sables d'Olonne (les Sables d'Olonne)-.")</f>
        <v>07h55 85100 Les Sables d'Olonne (les Sables d'Olonne)-.</v>
      </c>
    </row>
    <row r="98" spans="1:12" ht="15.75" customHeight="1" x14ac:dyDescent="0.2">
      <c r="A98" s="94" t="s">
        <v>230</v>
      </c>
      <c r="B98" s="91">
        <v>0</v>
      </c>
      <c r="C98" s="91">
        <v>1</v>
      </c>
      <c r="H98" s="91" t="e">
        <f t="shared" ca="1" si="0"/>
        <v>#REF!</v>
      </c>
      <c r="I98" s="91" t="e">
        <f t="shared" ca="1" si="1"/>
        <v>#REF!</v>
      </c>
      <c r="J98" s="91" t="str">
        <f ca="1">IFERROR(__xludf.DUMMYFUNCTION("""COMPUTED_VALUE"""),"")</f>
        <v/>
      </c>
      <c r="K98" s="91" t="str">
        <f ca="1">IFERROR(__xludf.DUMMYFUNCTION("""COMPUTED_VALUE"""),"")</f>
        <v/>
      </c>
      <c r="L98" s="94" t="str">
        <f ca="1">IFERROR(__xludf.DUMMYFUNCTION("""COMPUTED_VALUE"""),"07h55 85100 Les Sables d'Olonne (les Sables d'Olonne)")</f>
        <v>07h55 85100 Les Sables d'Olonne (les Sables d'Olonne)</v>
      </c>
    </row>
    <row r="99" spans="1:12" ht="15.75" customHeight="1" x14ac:dyDescent="0.2">
      <c r="A99" s="94" t="s">
        <v>13</v>
      </c>
      <c r="B99" s="91">
        <v>0</v>
      </c>
      <c r="C99" s="91">
        <v>1</v>
      </c>
      <c r="H99" s="91" t="e">
        <f t="shared" ca="1" si="0"/>
        <v>#REF!</v>
      </c>
      <c r="I99" s="91" t="e">
        <f t="shared" ca="1" si="1"/>
        <v>#REF!</v>
      </c>
      <c r="J99" s="91" t="str">
        <f ca="1">IFERROR(__xludf.DUMMYFUNCTION("""COMPUTED_VALUE"""),"")</f>
        <v/>
      </c>
      <c r="K99" s="91" t="str">
        <f ca="1">IFERROR(__xludf.DUMMYFUNCTION("""COMPUTED_VALUE"""),"")</f>
        <v/>
      </c>
      <c r="L99" s="94" t="str">
        <f ca="1">IFERROR(__xludf.DUMMYFUNCTION("""COMPUTED_VALUE"""),"07h55 85100 Les Sables d'Olonne ( la Chaume)")</f>
        <v>07h55 85100 Les Sables d'Olonne ( la Chaume)</v>
      </c>
    </row>
    <row r="100" spans="1:12" ht="15.75" customHeight="1" x14ac:dyDescent="0.2">
      <c r="A100" s="94" t="s">
        <v>88</v>
      </c>
      <c r="B100" s="91">
        <v>0</v>
      </c>
      <c r="C100" s="91">
        <v>1</v>
      </c>
      <c r="H100" s="91" t="e">
        <f t="shared" ca="1" si="0"/>
        <v>#REF!</v>
      </c>
      <c r="I100" s="91" t="e">
        <f t="shared" ca="1" si="1"/>
        <v>#REF!</v>
      </c>
      <c r="J100" s="91" t="str">
        <f ca="1">IFERROR(__xludf.DUMMYFUNCTION("""COMPUTED_VALUE"""),"")</f>
        <v/>
      </c>
      <c r="K100" s="91" t="str">
        <f ca="1">IFERROR(__xludf.DUMMYFUNCTION("""COMPUTED_VALUE"""),"")</f>
        <v/>
      </c>
      <c r="L100" s="94" t="str">
        <f ca="1">IFERROR(__xludf.DUMMYFUNCTION("""COMPUTED_VALUE"""),"07h55 85340 Les Sables d'Olonne (Olonne sur Mer)-.")</f>
        <v>07h55 85340 Les Sables d'Olonne (Olonne sur Mer)-.</v>
      </c>
    </row>
    <row r="101" spans="1:12" ht="15.75" customHeight="1" x14ac:dyDescent="0.2">
      <c r="A101" s="94" t="s">
        <v>87</v>
      </c>
      <c r="B101" s="91">
        <v>0</v>
      </c>
      <c r="C101" s="91">
        <v>1</v>
      </c>
      <c r="H101" s="91" t="e">
        <f t="shared" ca="1" si="0"/>
        <v>#REF!</v>
      </c>
      <c r="I101" s="91" t="e">
        <f t="shared" ca="1" si="1"/>
        <v>#REF!</v>
      </c>
      <c r="J101" s="91" t="str">
        <f ca="1">IFERROR(__xludf.DUMMYFUNCTION("""COMPUTED_VALUE"""),"")</f>
        <v/>
      </c>
      <c r="K101" s="91" t="str">
        <f ca="1">IFERROR(__xludf.DUMMYFUNCTION("""COMPUTED_VALUE"""),"")</f>
        <v/>
      </c>
      <c r="L101" s="94" t="str">
        <f ca="1">IFERROR(__xludf.DUMMYFUNCTION("""COMPUTED_VALUE"""),"07h55 85340 Les Sables d'Olonne (Olonne sur Mer)")</f>
        <v>07h55 85340 Les Sables d'Olonne (Olonne sur Mer)</v>
      </c>
    </row>
    <row r="102" spans="1:12" ht="15.75" customHeight="1" x14ac:dyDescent="0.2">
      <c r="A102" s="94" t="s">
        <v>231</v>
      </c>
      <c r="B102" s="91">
        <v>0</v>
      </c>
      <c r="C102" s="91">
        <v>1</v>
      </c>
      <c r="H102" s="91" t="e">
        <f t="shared" ca="1" si="0"/>
        <v>#REF!</v>
      </c>
      <c r="I102" s="91" t="e">
        <f t="shared" ca="1" si="1"/>
        <v>#REF!</v>
      </c>
      <c r="J102" s="91" t="str">
        <f ca="1">IFERROR(__xludf.DUMMYFUNCTION("""COMPUTED_VALUE"""),"")</f>
        <v/>
      </c>
      <c r="K102" s="91" t="str">
        <f ca="1">IFERROR(__xludf.DUMMYFUNCTION("""COMPUTED_VALUE"""),"")</f>
        <v/>
      </c>
      <c r="L102" s="94" t="str">
        <f ca="1">IFERROR(__xludf.DUMMYFUNCTION("""COMPUTED_VALUE"""),"07h55 85180 Les Sables d'Olonne (le Château d'Olonne)-.")</f>
        <v>07h55 85180 Les Sables d'Olonne (le Château d'Olonne)-.</v>
      </c>
    </row>
    <row r="103" spans="1:12" ht="15.75" customHeight="1" x14ac:dyDescent="0.2">
      <c r="A103" s="94" t="s">
        <v>48</v>
      </c>
      <c r="B103" s="91">
        <v>0</v>
      </c>
      <c r="C103" s="91">
        <v>1</v>
      </c>
      <c r="H103" s="91" t="e">
        <f t="shared" ca="1" si="0"/>
        <v>#REF!</v>
      </c>
      <c r="I103" s="91" t="e">
        <f t="shared" ca="1" si="1"/>
        <v>#REF!</v>
      </c>
      <c r="J103" s="91" t="str">
        <f ca="1">IFERROR(__xludf.DUMMYFUNCTION("""COMPUTED_VALUE"""),"")</f>
        <v/>
      </c>
      <c r="K103" s="91" t="str">
        <f ca="1">IFERROR(__xludf.DUMMYFUNCTION("""COMPUTED_VALUE"""),"")</f>
        <v/>
      </c>
      <c r="L103" s="94" t="str">
        <f ca="1">IFERROR(__xludf.DUMMYFUNCTION("""COMPUTED_VALUE"""),"07h55 85180 Les Sables d'Olonne (le Château d'Olonne)")</f>
        <v>07h55 85180 Les Sables d'Olonne (le Château d'Olonne)</v>
      </c>
    </row>
    <row r="104" spans="1:12" ht="15.75" customHeight="1" x14ac:dyDescent="0.2">
      <c r="A104" s="94" t="s">
        <v>139</v>
      </c>
      <c r="B104" s="91">
        <v>0</v>
      </c>
      <c r="C104" s="91">
        <v>1</v>
      </c>
      <c r="H104" s="91" t="e">
        <f t="shared" ca="1" si="0"/>
        <v>#REF!</v>
      </c>
      <c r="I104" s="91" t="e">
        <f t="shared" ca="1" si="1"/>
        <v>#REF!</v>
      </c>
      <c r="J104" s="91" t="str">
        <f ca="1">IFERROR(__xludf.DUMMYFUNCTION("""COMPUTED_VALUE"""),"")</f>
        <v/>
      </c>
      <c r="K104" s="91" t="str">
        <f ca="1">IFERROR(__xludf.DUMMYFUNCTION("""COMPUTED_VALUE"""),"")</f>
        <v/>
      </c>
      <c r="L104" s="94" t="str">
        <f ca="1">IFERROR(__xludf.DUMMYFUNCTION("""COMPUTED_VALUE"""),"07h55 85340 l'Île d'Olonne")</f>
        <v>07h55 85340 l'Île d'Olonne</v>
      </c>
    </row>
    <row r="105" spans="1:12" ht="15.75" customHeight="1" x14ac:dyDescent="0.2">
      <c r="A105" s="94" t="s">
        <v>232</v>
      </c>
      <c r="B105" s="91">
        <v>0</v>
      </c>
      <c r="C105" s="91">
        <v>1</v>
      </c>
      <c r="H105" s="91" t="e">
        <f t="shared" ca="1" si="0"/>
        <v>#REF!</v>
      </c>
      <c r="I105" s="91" t="e">
        <f t="shared" ca="1" si="1"/>
        <v>#REF!</v>
      </c>
      <c r="J105" s="91" t="str">
        <f ca="1">IFERROR(__xludf.DUMMYFUNCTION("""COMPUTED_VALUE"""),"")</f>
        <v/>
      </c>
      <c r="K105" s="91" t="str">
        <f ca="1">IFERROR(__xludf.DUMMYFUNCTION("""COMPUTED_VALUE"""),"")</f>
        <v/>
      </c>
      <c r="L105" s="94" t="str">
        <f ca="1">IFERROR(__xludf.DUMMYFUNCTION("""COMPUTED_VALUE"""),"08h00 85100 Les Sables d'Olonne (les Sables d'Olonne)-.")</f>
        <v>08h00 85100 Les Sables d'Olonne (les Sables d'Olonne)-.</v>
      </c>
    </row>
    <row r="106" spans="1:12" ht="15.75" customHeight="1" x14ac:dyDescent="0.2">
      <c r="A106" s="94" t="s">
        <v>233</v>
      </c>
      <c r="B106" s="91">
        <v>0</v>
      </c>
      <c r="C106" s="91">
        <v>1</v>
      </c>
      <c r="H106" s="91" t="e">
        <f t="shared" ca="1" si="0"/>
        <v>#REF!</v>
      </c>
      <c r="I106" s="91" t="e">
        <f t="shared" ca="1" si="1"/>
        <v>#REF!</v>
      </c>
      <c r="J106" s="91" t="str">
        <f ca="1">IFERROR(__xludf.DUMMYFUNCTION("""COMPUTED_VALUE"""),"")</f>
        <v/>
      </c>
      <c r="K106" s="91" t="str">
        <f ca="1">IFERROR(__xludf.DUMMYFUNCTION("""COMPUTED_VALUE"""),"")</f>
        <v/>
      </c>
      <c r="L106" s="94" t="str">
        <f ca="1">IFERROR(__xludf.DUMMYFUNCTION("""COMPUTED_VALUE"""),"08h00 85100 Les Sables d'Olonne (les Sables d'Olonne)")</f>
        <v>08h00 85100 Les Sables d'Olonne (les Sables d'Olonne)</v>
      </c>
    </row>
    <row r="107" spans="1:12" ht="15.75" customHeight="1" x14ac:dyDescent="0.2">
      <c r="A107" s="94" t="s">
        <v>15</v>
      </c>
      <c r="B107" s="91">
        <v>0</v>
      </c>
      <c r="C107" s="91">
        <v>1</v>
      </c>
      <c r="H107" s="91" t="e">
        <f t="shared" ca="1" si="0"/>
        <v>#REF!</v>
      </c>
      <c r="I107" s="91" t="e">
        <f t="shared" ca="1" si="1"/>
        <v>#REF!</v>
      </c>
      <c r="J107" s="91" t="str">
        <f ca="1">IFERROR(__xludf.DUMMYFUNCTION("""COMPUTED_VALUE"""),"")</f>
        <v/>
      </c>
      <c r="K107" s="91" t="str">
        <f ca="1">IFERROR(__xludf.DUMMYFUNCTION("""COMPUTED_VALUE"""),"")</f>
        <v/>
      </c>
      <c r="L107" s="94" t="str">
        <f ca="1">IFERROR(__xludf.DUMMYFUNCTION("""COMPUTED_VALUE"""),"08h00 85100 Les Sables d'Olonne ( la Chaume)")</f>
        <v>08h00 85100 Les Sables d'Olonne ( la Chaume)</v>
      </c>
    </row>
    <row r="108" spans="1:12" ht="15.75" customHeight="1" x14ac:dyDescent="0.2">
      <c r="A108" s="94" t="s">
        <v>90</v>
      </c>
      <c r="B108" s="91">
        <v>0</v>
      </c>
      <c r="C108" s="91">
        <v>1</v>
      </c>
      <c r="H108" s="91" t="e">
        <f t="shared" ca="1" si="0"/>
        <v>#REF!</v>
      </c>
      <c r="I108" s="91" t="e">
        <f t="shared" ca="1" si="1"/>
        <v>#REF!</v>
      </c>
      <c r="J108" s="91" t="str">
        <f ca="1">IFERROR(__xludf.DUMMYFUNCTION("""COMPUTED_VALUE"""),"")</f>
        <v/>
      </c>
      <c r="K108" s="91" t="str">
        <f ca="1">IFERROR(__xludf.DUMMYFUNCTION("""COMPUTED_VALUE"""),"")</f>
        <v/>
      </c>
      <c r="L108" s="94" t="str">
        <f ca="1">IFERROR(__xludf.DUMMYFUNCTION("""COMPUTED_VALUE"""),"08h00 85340 Les Sables d'Olonne (Olonne sur Mer)-.")</f>
        <v>08h00 85340 Les Sables d'Olonne (Olonne sur Mer)-.</v>
      </c>
    </row>
    <row r="109" spans="1:12" ht="15.75" customHeight="1" x14ac:dyDescent="0.2">
      <c r="A109" s="94" t="s">
        <v>89</v>
      </c>
      <c r="B109" s="91">
        <v>0</v>
      </c>
      <c r="C109" s="91">
        <v>1</v>
      </c>
      <c r="H109" s="91" t="e">
        <f t="shared" ca="1" si="0"/>
        <v>#REF!</v>
      </c>
      <c r="I109" s="91" t="e">
        <f t="shared" ca="1" si="1"/>
        <v>#REF!</v>
      </c>
      <c r="J109" s="91" t="str">
        <f ca="1">IFERROR(__xludf.DUMMYFUNCTION("""COMPUTED_VALUE"""),"")</f>
        <v/>
      </c>
      <c r="K109" s="91" t="str">
        <f ca="1">IFERROR(__xludf.DUMMYFUNCTION("""COMPUTED_VALUE"""),"")</f>
        <v/>
      </c>
      <c r="L109" s="94" t="str">
        <f ca="1">IFERROR(__xludf.DUMMYFUNCTION("""COMPUTED_VALUE"""),"08h00 85340 Les Sables d'Olonne (Olonne sur Mer)")</f>
        <v>08h00 85340 Les Sables d'Olonne (Olonne sur Mer)</v>
      </c>
    </row>
    <row r="110" spans="1:12" ht="15.75" customHeight="1" x14ac:dyDescent="0.2">
      <c r="A110" s="94" t="s">
        <v>49</v>
      </c>
      <c r="B110" s="91">
        <v>0</v>
      </c>
      <c r="C110" s="91">
        <v>1</v>
      </c>
      <c r="H110" s="91" t="e">
        <f t="shared" ca="1" si="0"/>
        <v>#REF!</v>
      </c>
      <c r="I110" s="91" t="e">
        <f t="shared" ca="1" si="1"/>
        <v>#REF!</v>
      </c>
      <c r="J110" s="91" t="str">
        <f ca="1">IFERROR(__xludf.DUMMYFUNCTION("""COMPUTED_VALUE"""),"")</f>
        <v/>
      </c>
      <c r="K110" s="91" t="str">
        <f ca="1">IFERROR(__xludf.DUMMYFUNCTION("""COMPUTED_VALUE"""),"")</f>
        <v/>
      </c>
      <c r="L110" s="94" t="str">
        <f ca="1">IFERROR(__xludf.DUMMYFUNCTION("""COMPUTED_VALUE"""),"08h00 85180 Les Sables d'Olonne (le Château d'Olonne)-.")</f>
        <v>08h00 85180 Les Sables d'Olonne (le Château d'Olonne)-.</v>
      </c>
    </row>
    <row r="111" spans="1:12" ht="15.75" customHeight="1" x14ac:dyDescent="0.2">
      <c r="A111" s="94" t="s">
        <v>234</v>
      </c>
      <c r="B111" s="91">
        <v>0</v>
      </c>
      <c r="C111" s="91">
        <v>1</v>
      </c>
      <c r="H111" s="91" t="e">
        <f t="shared" ca="1" si="0"/>
        <v>#REF!</v>
      </c>
      <c r="I111" s="91" t="e">
        <f t="shared" ca="1" si="1"/>
        <v>#REF!</v>
      </c>
      <c r="J111" s="91" t="str">
        <f ca="1">IFERROR(__xludf.DUMMYFUNCTION("""COMPUTED_VALUE"""),"")</f>
        <v/>
      </c>
      <c r="K111" s="91" t="str">
        <f ca="1">IFERROR(__xludf.DUMMYFUNCTION("""COMPUTED_VALUE"""),"")</f>
        <v/>
      </c>
      <c r="L111" s="94" t="str">
        <f ca="1">IFERROR(__xludf.DUMMYFUNCTION("""COMPUTED_VALUE"""),"08h00 85180 Les Sables d'Olonne (le Château d'Olonne)")</f>
        <v>08h00 85180 Les Sables d'Olonne (le Château d'Olonne)</v>
      </c>
    </row>
    <row r="112" spans="1:12" ht="15.75" customHeight="1" x14ac:dyDescent="0.2">
      <c r="A112" s="94" t="s">
        <v>140</v>
      </c>
      <c r="B112" s="91">
        <v>0</v>
      </c>
      <c r="C112" s="91">
        <v>1</v>
      </c>
      <c r="H112" s="91" t="e">
        <f t="shared" ca="1" si="0"/>
        <v>#REF!</v>
      </c>
      <c r="I112" s="91" t="e">
        <f t="shared" ca="1" si="1"/>
        <v>#REF!</v>
      </c>
      <c r="J112" s="91" t="str">
        <f ca="1">IFERROR(__xludf.DUMMYFUNCTION("""COMPUTED_VALUE"""),"")</f>
        <v/>
      </c>
      <c r="K112" s="91" t="str">
        <f ca="1">IFERROR(__xludf.DUMMYFUNCTION("""COMPUTED_VALUE"""),"")</f>
        <v/>
      </c>
      <c r="L112" s="94" t="str">
        <f ca="1">IFERROR(__xludf.DUMMYFUNCTION("""COMPUTED_VALUE"""),"08h00 85340 l'Île d'Olonne")</f>
        <v>08h00 85340 l'Île d'Olonne</v>
      </c>
    </row>
    <row r="113" spans="1:12" ht="15.75" customHeight="1" x14ac:dyDescent="0.2">
      <c r="A113" s="94" t="s">
        <v>235</v>
      </c>
      <c r="B113" s="91">
        <v>0</v>
      </c>
      <c r="C113" s="91">
        <v>1</v>
      </c>
      <c r="H113" s="91" t="e">
        <f t="shared" ca="1" si="0"/>
        <v>#REF!</v>
      </c>
      <c r="I113" s="91" t="e">
        <f t="shared" ca="1" si="1"/>
        <v>#REF!</v>
      </c>
      <c r="J113" s="91" t="str">
        <f ca="1">IFERROR(__xludf.DUMMYFUNCTION("""COMPUTED_VALUE"""),"")</f>
        <v/>
      </c>
      <c r="K113" s="91" t="str">
        <f ca="1">IFERROR(__xludf.DUMMYFUNCTION("""COMPUTED_VALUE"""),"")</f>
        <v/>
      </c>
      <c r="L113" s="94" t="str">
        <f ca="1">IFERROR(__xludf.DUMMYFUNCTION("""COMPUTED_VALUE"""),"08h05 85100 Les Sables d'Olonne (les Sables d'Olonne)-.")</f>
        <v>08h05 85100 Les Sables d'Olonne (les Sables d'Olonne)-.</v>
      </c>
    </row>
    <row r="114" spans="1:12" ht="15.75" customHeight="1" x14ac:dyDescent="0.2">
      <c r="A114" s="94" t="s">
        <v>236</v>
      </c>
      <c r="B114" s="91">
        <v>0</v>
      </c>
      <c r="C114" s="91">
        <v>1</v>
      </c>
      <c r="H114" s="91" t="e">
        <f t="shared" ca="1" si="0"/>
        <v>#REF!</v>
      </c>
      <c r="I114" s="91" t="e">
        <f t="shared" ca="1" si="1"/>
        <v>#REF!</v>
      </c>
      <c r="J114" s="91" t="str">
        <f ca="1">IFERROR(__xludf.DUMMYFUNCTION("""COMPUTED_VALUE"""),"")</f>
        <v/>
      </c>
      <c r="K114" s="91" t="str">
        <f ca="1">IFERROR(__xludf.DUMMYFUNCTION("""COMPUTED_VALUE"""),"")</f>
        <v/>
      </c>
      <c r="L114" s="94" t="str">
        <f ca="1">IFERROR(__xludf.DUMMYFUNCTION("""COMPUTED_VALUE"""),"08h05 85100 Les Sables d'Olonne (les Sables d'Olonne)")</f>
        <v>08h05 85100 Les Sables d'Olonne (les Sables d'Olonne)</v>
      </c>
    </row>
    <row r="115" spans="1:12" ht="15.75" customHeight="1" x14ac:dyDescent="0.2">
      <c r="A115" s="94" t="s">
        <v>16</v>
      </c>
      <c r="B115" s="91">
        <v>0</v>
      </c>
      <c r="C115" s="91">
        <v>1</v>
      </c>
      <c r="H115" s="91" t="e">
        <f t="shared" ca="1" si="0"/>
        <v>#REF!</v>
      </c>
      <c r="I115" s="91" t="e">
        <f t="shared" ca="1" si="1"/>
        <v>#REF!</v>
      </c>
      <c r="J115" s="91" t="str">
        <f ca="1">IFERROR(__xludf.DUMMYFUNCTION("""COMPUTED_VALUE"""),"")</f>
        <v/>
      </c>
      <c r="K115" s="91" t="str">
        <f ca="1">IFERROR(__xludf.DUMMYFUNCTION("""COMPUTED_VALUE"""),"")</f>
        <v/>
      </c>
      <c r="L115" s="94" t="str">
        <f ca="1">IFERROR(__xludf.DUMMYFUNCTION("""COMPUTED_VALUE"""),"08h05 85100 Les Sables d'Olonne ( la Chaume)")</f>
        <v>08h05 85100 Les Sables d'Olonne ( la Chaume)</v>
      </c>
    </row>
    <row r="116" spans="1:12" ht="15.75" customHeight="1" x14ac:dyDescent="0.2">
      <c r="A116" s="94" t="s">
        <v>92</v>
      </c>
      <c r="B116" s="91">
        <v>0</v>
      </c>
      <c r="C116" s="91">
        <v>1</v>
      </c>
      <c r="H116" s="91" t="e">
        <f t="shared" ca="1" si="0"/>
        <v>#REF!</v>
      </c>
      <c r="I116" s="91" t="e">
        <f t="shared" ca="1" si="1"/>
        <v>#REF!</v>
      </c>
      <c r="J116" s="91" t="str">
        <f ca="1">IFERROR(__xludf.DUMMYFUNCTION("""COMPUTED_VALUE"""),"")</f>
        <v/>
      </c>
      <c r="K116" s="91" t="str">
        <f ca="1">IFERROR(__xludf.DUMMYFUNCTION("""COMPUTED_VALUE"""),"")</f>
        <v/>
      </c>
      <c r="L116" s="94" t="str">
        <f ca="1">IFERROR(__xludf.DUMMYFUNCTION("""COMPUTED_VALUE"""),"08h05 85340 Les Sables d'Olonne (Olonne sur Mer)-.")</f>
        <v>08h05 85340 Les Sables d'Olonne (Olonne sur Mer)-.</v>
      </c>
    </row>
    <row r="117" spans="1:12" ht="15.75" customHeight="1" x14ac:dyDescent="0.2">
      <c r="A117" s="94" t="s">
        <v>91</v>
      </c>
      <c r="B117" s="91">
        <v>0</v>
      </c>
      <c r="C117" s="91">
        <v>1</v>
      </c>
      <c r="H117" s="91" t="e">
        <f t="shared" ca="1" si="0"/>
        <v>#REF!</v>
      </c>
      <c r="I117" s="91" t="e">
        <f t="shared" ca="1" si="1"/>
        <v>#REF!</v>
      </c>
      <c r="J117" s="91" t="str">
        <f ca="1">IFERROR(__xludf.DUMMYFUNCTION("""COMPUTED_VALUE"""),"")</f>
        <v/>
      </c>
      <c r="K117" s="91" t="str">
        <f ca="1">IFERROR(__xludf.DUMMYFUNCTION("""COMPUTED_VALUE"""),"")</f>
        <v/>
      </c>
      <c r="L117" s="94" t="str">
        <f ca="1">IFERROR(__xludf.DUMMYFUNCTION("""COMPUTED_VALUE"""),"08h05 85340 Les Sables d'Olonne (Olonne sur Mer)")</f>
        <v>08h05 85340 Les Sables d'Olonne (Olonne sur Mer)</v>
      </c>
    </row>
    <row r="118" spans="1:12" ht="15.75" customHeight="1" x14ac:dyDescent="0.2">
      <c r="A118" s="94" t="s">
        <v>237</v>
      </c>
      <c r="B118" s="91">
        <v>0</v>
      </c>
      <c r="C118" s="91">
        <v>1</v>
      </c>
      <c r="H118" s="91" t="e">
        <f t="shared" ca="1" si="0"/>
        <v>#REF!</v>
      </c>
      <c r="I118" s="91" t="e">
        <f t="shared" ca="1" si="1"/>
        <v>#REF!</v>
      </c>
      <c r="J118" s="91" t="str">
        <f ca="1">IFERROR(__xludf.DUMMYFUNCTION("""COMPUTED_VALUE"""),"")</f>
        <v/>
      </c>
      <c r="K118" s="91" t="str">
        <f ca="1">IFERROR(__xludf.DUMMYFUNCTION("""COMPUTED_VALUE"""),"")</f>
        <v/>
      </c>
      <c r="L118" s="94" t="str">
        <f ca="1">IFERROR(__xludf.DUMMYFUNCTION("""COMPUTED_VALUE"""),"08h05 85180 Les Sables d'Olonne (le Château d'Olonne)-.")</f>
        <v>08h05 85180 Les Sables d'Olonne (le Château d'Olonne)-.</v>
      </c>
    </row>
    <row r="119" spans="1:12" ht="15.75" customHeight="1" x14ac:dyDescent="0.2">
      <c r="A119" s="94" t="s">
        <v>50</v>
      </c>
      <c r="B119" s="91">
        <v>0</v>
      </c>
      <c r="C119" s="91">
        <v>1</v>
      </c>
      <c r="H119" s="91" t="e">
        <f t="shared" ca="1" si="0"/>
        <v>#REF!</v>
      </c>
      <c r="I119" s="91" t="e">
        <f t="shared" ca="1" si="1"/>
        <v>#REF!</v>
      </c>
      <c r="J119" s="91" t="str">
        <f ca="1">IFERROR(__xludf.DUMMYFUNCTION("""COMPUTED_VALUE"""),"")</f>
        <v/>
      </c>
      <c r="K119" s="91" t="str">
        <f ca="1">IFERROR(__xludf.DUMMYFUNCTION("""COMPUTED_VALUE"""),"")</f>
        <v/>
      </c>
      <c r="L119" s="94" t="str">
        <f ca="1">IFERROR(__xludf.DUMMYFUNCTION("""COMPUTED_VALUE"""),"08h05 85180 Les Sables d'Olonne (le Château d'Olonne)")</f>
        <v>08h05 85180 Les Sables d'Olonne (le Château d'Olonne)</v>
      </c>
    </row>
    <row r="120" spans="1:12" ht="15.75" customHeight="1" x14ac:dyDescent="0.2">
      <c r="A120" s="94" t="s">
        <v>141</v>
      </c>
      <c r="B120" s="91">
        <v>0</v>
      </c>
      <c r="C120" s="91">
        <v>1</v>
      </c>
      <c r="H120" s="91" t="e">
        <f t="shared" ca="1" si="0"/>
        <v>#REF!</v>
      </c>
      <c r="I120" s="91" t="e">
        <f t="shared" ca="1" si="1"/>
        <v>#REF!</v>
      </c>
      <c r="J120" s="91" t="str">
        <f ca="1">IFERROR(__xludf.DUMMYFUNCTION("""COMPUTED_VALUE"""),"")</f>
        <v/>
      </c>
      <c r="K120" s="91" t="str">
        <f ca="1">IFERROR(__xludf.DUMMYFUNCTION("""COMPUTED_VALUE"""),"")</f>
        <v/>
      </c>
      <c r="L120" s="94" t="str">
        <f ca="1">IFERROR(__xludf.DUMMYFUNCTION("""COMPUTED_VALUE"""),"08h05 85340 l'Île d'Olonne")</f>
        <v>08h05 85340 l'Île d'Olonne</v>
      </c>
    </row>
    <row r="121" spans="1:12" ht="15.75" customHeight="1" x14ac:dyDescent="0.2">
      <c r="A121" s="94" t="s">
        <v>238</v>
      </c>
      <c r="B121" s="91">
        <v>0</v>
      </c>
      <c r="C121" s="91">
        <v>1</v>
      </c>
      <c r="H121" s="91" t="e">
        <f t="shared" ca="1" si="0"/>
        <v>#REF!</v>
      </c>
      <c r="I121" s="91" t="e">
        <f t="shared" ca="1" si="1"/>
        <v>#REF!</v>
      </c>
      <c r="J121" s="91" t="str">
        <f ca="1">IFERROR(__xludf.DUMMYFUNCTION("""COMPUTED_VALUE"""),"")</f>
        <v/>
      </c>
      <c r="K121" s="91" t="str">
        <f ca="1">IFERROR(__xludf.DUMMYFUNCTION("""COMPUTED_VALUE"""),"")</f>
        <v/>
      </c>
      <c r="L121" s="94" t="str">
        <f ca="1">IFERROR(__xludf.DUMMYFUNCTION("""COMPUTED_VALUE"""),"08h10 85100 Les Sables d'Olonne (les Sables d'Olonne)-.")</f>
        <v>08h10 85100 Les Sables d'Olonne (les Sables d'Olonne)-.</v>
      </c>
    </row>
    <row r="122" spans="1:12" ht="15.75" customHeight="1" x14ac:dyDescent="0.2">
      <c r="A122" s="94" t="s">
        <v>239</v>
      </c>
      <c r="B122" s="91">
        <v>0</v>
      </c>
      <c r="C122" s="91">
        <v>1</v>
      </c>
      <c r="H122" s="91" t="e">
        <f t="shared" ca="1" si="0"/>
        <v>#REF!</v>
      </c>
      <c r="I122" s="91" t="e">
        <f t="shared" ca="1" si="1"/>
        <v>#REF!</v>
      </c>
      <c r="J122" s="91" t="str">
        <f ca="1">IFERROR(__xludf.DUMMYFUNCTION("""COMPUTED_VALUE"""),"")</f>
        <v/>
      </c>
      <c r="K122" s="91" t="str">
        <f ca="1">IFERROR(__xludf.DUMMYFUNCTION("""COMPUTED_VALUE"""),"")</f>
        <v/>
      </c>
      <c r="L122" s="94" t="str">
        <f ca="1">IFERROR(__xludf.DUMMYFUNCTION("""COMPUTED_VALUE"""),"08h10 85100 Les Sables d'Olonne (les Sables d'Olonne)")</f>
        <v>08h10 85100 Les Sables d'Olonne (les Sables d'Olonne)</v>
      </c>
    </row>
    <row r="123" spans="1:12" ht="15.75" customHeight="1" x14ac:dyDescent="0.2">
      <c r="A123" s="94" t="s">
        <v>240</v>
      </c>
      <c r="B123" s="91">
        <v>0</v>
      </c>
      <c r="C123" s="91">
        <v>1</v>
      </c>
      <c r="H123" s="91" t="e">
        <f t="shared" ca="1" si="0"/>
        <v>#REF!</v>
      </c>
      <c r="I123" s="91" t="e">
        <f t="shared" ca="1" si="1"/>
        <v>#REF!</v>
      </c>
      <c r="J123" s="91" t="str">
        <f ca="1">IFERROR(__xludf.DUMMYFUNCTION("""COMPUTED_VALUE"""),"")</f>
        <v/>
      </c>
      <c r="K123" s="91" t="str">
        <f ca="1">IFERROR(__xludf.DUMMYFUNCTION("""COMPUTED_VALUE"""),"")</f>
        <v/>
      </c>
      <c r="L123" s="94" t="str">
        <f ca="1">IFERROR(__xludf.DUMMYFUNCTION("""COMPUTED_VALUE"""),"08h10 85100 Les Sables d'Olonne ( la Chaume)")</f>
        <v>08h10 85100 Les Sables d'Olonne ( la Chaume)</v>
      </c>
    </row>
    <row r="124" spans="1:12" ht="15.75" customHeight="1" x14ac:dyDescent="0.2">
      <c r="A124" s="94" t="s">
        <v>93</v>
      </c>
      <c r="B124" s="91">
        <v>0</v>
      </c>
      <c r="C124" s="91">
        <v>1</v>
      </c>
      <c r="H124" s="91" t="e">
        <f t="shared" ca="1" si="0"/>
        <v>#REF!</v>
      </c>
      <c r="I124" s="91" t="e">
        <f t="shared" ca="1" si="1"/>
        <v>#REF!</v>
      </c>
      <c r="J124" s="91" t="str">
        <f ca="1">IFERROR(__xludf.DUMMYFUNCTION("""COMPUTED_VALUE"""),"")</f>
        <v/>
      </c>
      <c r="K124" s="91" t="str">
        <f ca="1">IFERROR(__xludf.DUMMYFUNCTION("""COMPUTED_VALUE"""),"")</f>
        <v/>
      </c>
      <c r="L124" s="94" t="str">
        <f ca="1">IFERROR(__xludf.DUMMYFUNCTION("""COMPUTED_VALUE"""),"08h10 85340 Les Sables d'Olonne (Olonne sur Mer)-.")</f>
        <v>08h10 85340 Les Sables d'Olonne (Olonne sur Mer)-.</v>
      </c>
    </row>
    <row r="125" spans="1:12" ht="15.75" customHeight="1" x14ac:dyDescent="0.2">
      <c r="A125" s="94" t="s">
        <v>241</v>
      </c>
      <c r="B125" s="91">
        <v>0</v>
      </c>
      <c r="C125" s="91">
        <v>1</v>
      </c>
      <c r="H125" s="91" t="e">
        <f t="shared" ca="1" si="0"/>
        <v>#REF!</v>
      </c>
      <c r="I125" s="91" t="e">
        <f t="shared" ca="1" si="1"/>
        <v>#REF!</v>
      </c>
      <c r="J125" s="91" t="str">
        <f ca="1">IFERROR(__xludf.DUMMYFUNCTION("""COMPUTED_VALUE"""),"")</f>
        <v/>
      </c>
      <c r="K125" s="91" t="str">
        <f ca="1">IFERROR(__xludf.DUMMYFUNCTION("""COMPUTED_VALUE"""),"")</f>
        <v/>
      </c>
      <c r="L125" s="94" t="str">
        <f ca="1">IFERROR(__xludf.DUMMYFUNCTION("""COMPUTED_VALUE"""),"08h10 85340 Les Sables d'Olonne (Olonne sur Mer)")</f>
        <v>08h10 85340 Les Sables d'Olonne (Olonne sur Mer)</v>
      </c>
    </row>
    <row r="126" spans="1:12" ht="15.75" customHeight="1" x14ac:dyDescent="0.2">
      <c r="A126" s="94" t="s">
        <v>52</v>
      </c>
      <c r="B126" s="91">
        <v>0</v>
      </c>
      <c r="C126" s="91">
        <v>1</v>
      </c>
      <c r="H126" s="91" t="e">
        <f t="shared" ca="1" si="0"/>
        <v>#REF!</v>
      </c>
      <c r="I126" s="91" t="e">
        <f t="shared" ca="1" si="1"/>
        <v>#REF!</v>
      </c>
      <c r="J126" s="91" t="str">
        <f ca="1">IFERROR(__xludf.DUMMYFUNCTION("""COMPUTED_VALUE"""),"")</f>
        <v/>
      </c>
      <c r="K126" s="91" t="str">
        <f ca="1">IFERROR(__xludf.DUMMYFUNCTION("""COMPUTED_VALUE"""),"")</f>
        <v/>
      </c>
      <c r="L126" s="94" t="str">
        <f ca="1">IFERROR(__xludf.DUMMYFUNCTION("""COMPUTED_VALUE"""),"08h10 85180 Les Sables d'Olonne (le Château d'Olonne)-.")</f>
        <v>08h10 85180 Les Sables d'Olonne (le Château d'Olonne)-.</v>
      </c>
    </row>
    <row r="127" spans="1:12" ht="15.75" customHeight="1" x14ac:dyDescent="0.2">
      <c r="A127" s="94" t="s">
        <v>51</v>
      </c>
      <c r="B127" s="91">
        <v>0</v>
      </c>
      <c r="C127" s="91">
        <v>1</v>
      </c>
      <c r="H127" s="91" t="e">
        <f t="shared" ca="1" si="0"/>
        <v>#REF!</v>
      </c>
      <c r="I127" s="91" t="e">
        <f t="shared" ca="1" si="1"/>
        <v>#REF!</v>
      </c>
      <c r="J127" s="91" t="str">
        <f ca="1">IFERROR(__xludf.DUMMYFUNCTION("""COMPUTED_VALUE"""),"")</f>
        <v/>
      </c>
      <c r="K127" s="91" t="str">
        <f ca="1">IFERROR(__xludf.DUMMYFUNCTION("""COMPUTED_VALUE"""),"")</f>
        <v/>
      </c>
      <c r="L127" s="94" t="str">
        <f ca="1">IFERROR(__xludf.DUMMYFUNCTION("""COMPUTED_VALUE"""),"08h10 85180 Les Sables d'Olonne (le Château d'Olonne)")</f>
        <v>08h10 85180 Les Sables d'Olonne (le Château d'Olonne)</v>
      </c>
    </row>
    <row r="128" spans="1:12" ht="15.75" customHeight="1" x14ac:dyDescent="0.2">
      <c r="A128" s="94" t="s">
        <v>142</v>
      </c>
      <c r="B128" s="91">
        <v>0</v>
      </c>
      <c r="C128" s="91">
        <v>1</v>
      </c>
      <c r="H128" s="91" t="e">
        <f t="shared" ca="1" si="0"/>
        <v>#REF!</v>
      </c>
      <c r="I128" s="91" t="e">
        <f t="shared" ca="1" si="1"/>
        <v>#REF!</v>
      </c>
      <c r="J128" s="91" t="str">
        <f ca="1">IFERROR(__xludf.DUMMYFUNCTION("""COMPUTED_VALUE"""),"")</f>
        <v/>
      </c>
      <c r="K128" s="91" t="str">
        <f ca="1">IFERROR(__xludf.DUMMYFUNCTION("""COMPUTED_VALUE"""),"")</f>
        <v/>
      </c>
      <c r="L128" s="94" t="str">
        <f ca="1">IFERROR(__xludf.DUMMYFUNCTION("""COMPUTED_VALUE"""),"08h10 85340 l'Île d'Olonne")</f>
        <v>08h10 85340 l'Île d'Olonne</v>
      </c>
    </row>
    <row r="129" spans="1:12" ht="15.75" customHeight="1" x14ac:dyDescent="0.2">
      <c r="A129" s="94" t="s">
        <v>27</v>
      </c>
      <c r="B129" s="91">
        <v>0</v>
      </c>
      <c r="C129" s="91">
        <v>1</v>
      </c>
      <c r="H129" s="91" t="e">
        <f t="shared" ca="1" si="0"/>
        <v>#REF!</v>
      </c>
      <c r="I129" s="91" t="e">
        <f t="shared" ca="1" si="1"/>
        <v>#REF!</v>
      </c>
      <c r="J129" s="91" t="str">
        <f ca="1">IFERROR(__xludf.DUMMYFUNCTION("""COMPUTED_VALUE"""),"")</f>
        <v/>
      </c>
      <c r="K129" s="91" t="str">
        <f ca="1">IFERROR(__xludf.DUMMYFUNCTION("""COMPUTED_VALUE"""),"")</f>
        <v/>
      </c>
      <c r="L129" s="94" t="str">
        <f ca="1">IFERROR(__xludf.DUMMYFUNCTION("""COMPUTED_VALUE"""),"08h15 85100 Les Sables d'Olonne (les Sables d'Olonne)-.")</f>
        <v>08h15 85100 Les Sables d'Olonne (les Sables d'Olonne)-.</v>
      </c>
    </row>
    <row r="130" spans="1:12" ht="15.75" customHeight="1" x14ac:dyDescent="0.2">
      <c r="A130" s="94" t="s">
        <v>242</v>
      </c>
      <c r="B130" s="91">
        <v>0</v>
      </c>
      <c r="C130" s="91">
        <v>1</v>
      </c>
      <c r="H130" s="91" t="e">
        <f t="shared" ca="1" si="0"/>
        <v>#REF!</v>
      </c>
      <c r="I130" s="91" t="e">
        <f t="shared" ca="1" si="1"/>
        <v>#REF!</v>
      </c>
      <c r="J130" s="91" t="str">
        <f ca="1">IFERROR(__xludf.DUMMYFUNCTION("""COMPUTED_VALUE"""),"")</f>
        <v/>
      </c>
      <c r="K130" s="91" t="str">
        <f ca="1">IFERROR(__xludf.DUMMYFUNCTION("""COMPUTED_VALUE"""),"")</f>
        <v/>
      </c>
      <c r="L130" s="94" t="str">
        <f ca="1">IFERROR(__xludf.DUMMYFUNCTION("""COMPUTED_VALUE"""),"08h15 85100 Les Sables d'Olonne (les Sables d'Olonne)")</f>
        <v>08h15 85100 Les Sables d'Olonne (les Sables d'Olonne)</v>
      </c>
    </row>
    <row r="131" spans="1:12" ht="15.75" customHeight="1" x14ac:dyDescent="0.2">
      <c r="A131" s="94" t="s">
        <v>18</v>
      </c>
      <c r="B131" s="91">
        <v>0</v>
      </c>
      <c r="C131" s="91">
        <v>1</v>
      </c>
      <c r="H131" s="91" t="e">
        <f t="shared" ca="1" si="0"/>
        <v>#REF!</v>
      </c>
      <c r="I131" s="91" t="e">
        <f t="shared" ca="1" si="1"/>
        <v>#REF!</v>
      </c>
      <c r="J131" s="91" t="str">
        <f ca="1">IFERROR(__xludf.DUMMYFUNCTION("""COMPUTED_VALUE"""),"")</f>
        <v/>
      </c>
      <c r="K131" s="91" t="str">
        <f ca="1">IFERROR(__xludf.DUMMYFUNCTION("""COMPUTED_VALUE"""),"")</f>
        <v/>
      </c>
      <c r="L131" s="94" t="str">
        <f ca="1">IFERROR(__xludf.DUMMYFUNCTION("""COMPUTED_VALUE"""),"08h15 85100 Les Sables d'Olonne ( la Chaume)")</f>
        <v>08h15 85100 Les Sables d'Olonne ( la Chaume)</v>
      </c>
    </row>
    <row r="132" spans="1:12" ht="15.75" customHeight="1" x14ac:dyDescent="0.2">
      <c r="A132" s="94" t="s">
        <v>95</v>
      </c>
      <c r="B132" s="91">
        <v>0</v>
      </c>
      <c r="C132" s="91">
        <v>1</v>
      </c>
      <c r="H132" s="91" t="e">
        <f t="shared" ca="1" si="0"/>
        <v>#REF!</v>
      </c>
      <c r="I132" s="91" t="e">
        <f t="shared" ca="1" si="1"/>
        <v>#REF!</v>
      </c>
      <c r="J132" s="91" t="str">
        <f ca="1">IFERROR(__xludf.DUMMYFUNCTION("""COMPUTED_VALUE"""),"")</f>
        <v/>
      </c>
      <c r="K132" s="91" t="str">
        <f ca="1">IFERROR(__xludf.DUMMYFUNCTION("""COMPUTED_VALUE"""),"")</f>
        <v/>
      </c>
      <c r="L132" s="94" t="str">
        <f ca="1">IFERROR(__xludf.DUMMYFUNCTION("""COMPUTED_VALUE"""),"08h15 85340 Les Sables d'Olonne (Olonne sur Mer)-.")</f>
        <v>08h15 85340 Les Sables d'Olonne (Olonne sur Mer)-.</v>
      </c>
    </row>
    <row r="133" spans="1:12" ht="15.75" customHeight="1" x14ac:dyDescent="0.2">
      <c r="A133" s="94" t="s">
        <v>94</v>
      </c>
      <c r="B133" s="91">
        <v>0</v>
      </c>
      <c r="C133" s="91">
        <v>1</v>
      </c>
      <c r="H133" s="91" t="e">
        <f t="shared" ca="1" si="0"/>
        <v>#REF!</v>
      </c>
      <c r="I133" s="91" t="e">
        <f t="shared" ca="1" si="1"/>
        <v>#REF!</v>
      </c>
      <c r="J133" s="91" t="str">
        <f ca="1">IFERROR(__xludf.DUMMYFUNCTION("""COMPUTED_VALUE"""),"")</f>
        <v/>
      </c>
      <c r="K133" s="91" t="str">
        <f ca="1">IFERROR(__xludf.DUMMYFUNCTION("""COMPUTED_VALUE"""),"")</f>
        <v/>
      </c>
      <c r="L133" s="94" t="str">
        <f ca="1">IFERROR(__xludf.DUMMYFUNCTION("""COMPUTED_VALUE"""),"08h15 85340 Les Sables d'Olonne (Olonne sur Mer)")</f>
        <v>08h15 85340 Les Sables d'Olonne (Olonne sur Mer)</v>
      </c>
    </row>
    <row r="134" spans="1:12" ht="15.75" customHeight="1" x14ac:dyDescent="0.2">
      <c r="A134" s="94" t="s">
        <v>54</v>
      </c>
      <c r="B134" s="91">
        <v>0</v>
      </c>
      <c r="C134" s="91">
        <v>1</v>
      </c>
      <c r="H134" s="91" t="e">
        <f t="shared" ca="1" si="0"/>
        <v>#REF!</v>
      </c>
      <c r="I134" s="91" t="e">
        <f t="shared" ca="1" si="1"/>
        <v>#REF!</v>
      </c>
      <c r="J134" s="91" t="str">
        <f ca="1">IFERROR(__xludf.DUMMYFUNCTION("""COMPUTED_VALUE"""),"")</f>
        <v/>
      </c>
      <c r="K134" s="91" t="str">
        <f ca="1">IFERROR(__xludf.DUMMYFUNCTION("""COMPUTED_VALUE"""),"")</f>
        <v/>
      </c>
      <c r="L134" s="94" t="str">
        <f ca="1">IFERROR(__xludf.DUMMYFUNCTION("""COMPUTED_VALUE"""),"08h15 85180 Les Sables d'Olonne (le Château d'Olonne)-.")</f>
        <v>08h15 85180 Les Sables d'Olonne (le Château d'Olonne)-.</v>
      </c>
    </row>
    <row r="135" spans="1:12" ht="15.75" customHeight="1" x14ac:dyDescent="0.2">
      <c r="A135" s="94" t="s">
        <v>243</v>
      </c>
      <c r="B135" s="91">
        <v>0</v>
      </c>
      <c r="C135" s="91">
        <v>1</v>
      </c>
      <c r="H135" s="91" t="e">
        <f t="shared" ca="1" si="0"/>
        <v>#REF!</v>
      </c>
      <c r="I135" s="91" t="e">
        <f t="shared" ca="1" si="1"/>
        <v>#REF!</v>
      </c>
      <c r="J135" s="91" t="str">
        <f ca="1">IFERROR(__xludf.DUMMYFUNCTION("""COMPUTED_VALUE"""),"")</f>
        <v/>
      </c>
      <c r="K135" s="91" t="str">
        <f ca="1">IFERROR(__xludf.DUMMYFUNCTION("""COMPUTED_VALUE"""),"")</f>
        <v/>
      </c>
      <c r="L135" s="94" t="str">
        <f ca="1">IFERROR(__xludf.DUMMYFUNCTION("""COMPUTED_VALUE"""),"08h15 85180 Les Sables d'Olonne (le Château d'Olonne)")</f>
        <v>08h15 85180 Les Sables d'Olonne (le Château d'Olonne)</v>
      </c>
    </row>
    <row r="136" spans="1:12" ht="15.75" customHeight="1" x14ac:dyDescent="0.2">
      <c r="A136" s="94" t="s">
        <v>143</v>
      </c>
      <c r="B136" s="91">
        <v>0</v>
      </c>
      <c r="C136" s="91">
        <v>1</v>
      </c>
      <c r="H136" s="91" t="e">
        <f t="shared" ca="1" si="0"/>
        <v>#REF!</v>
      </c>
      <c r="I136" s="91" t="e">
        <f t="shared" ca="1" si="1"/>
        <v>#REF!</v>
      </c>
      <c r="J136" s="91" t="str">
        <f ca="1">IFERROR(__xludf.DUMMYFUNCTION("""COMPUTED_VALUE"""),"")</f>
        <v/>
      </c>
      <c r="K136" s="91" t="str">
        <f ca="1">IFERROR(__xludf.DUMMYFUNCTION("""COMPUTED_VALUE"""),"")</f>
        <v/>
      </c>
      <c r="L136" s="94" t="str">
        <f ca="1">IFERROR(__xludf.DUMMYFUNCTION("""COMPUTED_VALUE"""),"08h15 85340 l'Île d'Olonne")</f>
        <v>08h15 85340 l'Île d'Olonne</v>
      </c>
    </row>
    <row r="137" spans="1:12" ht="15.75" customHeight="1" x14ac:dyDescent="0.2">
      <c r="A137" s="94" t="s">
        <v>244</v>
      </c>
      <c r="B137" s="91">
        <v>0</v>
      </c>
      <c r="C137" s="91">
        <v>1</v>
      </c>
      <c r="H137" s="91" t="e">
        <f t="shared" ca="1" si="0"/>
        <v>#REF!</v>
      </c>
      <c r="I137" s="91" t="e">
        <f t="shared" ca="1" si="1"/>
        <v>#REF!</v>
      </c>
      <c r="J137" s="91" t="str">
        <f ca="1">IFERROR(__xludf.DUMMYFUNCTION("""COMPUTED_VALUE"""),"")</f>
        <v/>
      </c>
      <c r="K137" s="91" t="str">
        <f ca="1">IFERROR(__xludf.DUMMYFUNCTION("""COMPUTED_VALUE"""),"")</f>
        <v/>
      </c>
      <c r="L137" s="94" t="str">
        <f ca="1">IFERROR(__xludf.DUMMYFUNCTION("""COMPUTED_VALUE"""),"08h20 85100 Les Sables d'Olonne (les Sables d'Olonne)-.")</f>
        <v>08h20 85100 Les Sables d'Olonne (les Sables d'Olonne)-.</v>
      </c>
    </row>
    <row r="138" spans="1:12" ht="15.75" customHeight="1" x14ac:dyDescent="0.2">
      <c r="A138" s="94" t="s">
        <v>245</v>
      </c>
      <c r="B138" s="91">
        <v>0</v>
      </c>
      <c r="C138" s="91">
        <v>1</v>
      </c>
      <c r="H138" s="91" t="e">
        <f t="shared" ca="1" si="0"/>
        <v>#REF!</v>
      </c>
      <c r="I138" s="91" t="e">
        <f t="shared" ca="1" si="1"/>
        <v>#REF!</v>
      </c>
      <c r="J138" s="91" t="str">
        <f ca="1">IFERROR(__xludf.DUMMYFUNCTION("""COMPUTED_VALUE"""),"")</f>
        <v/>
      </c>
      <c r="K138" s="91" t="str">
        <f ca="1">IFERROR(__xludf.DUMMYFUNCTION("""COMPUTED_VALUE"""),"")</f>
        <v/>
      </c>
      <c r="L138" s="94" t="str">
        <f ca="1">IFERROR(__xludf.DUMMYFUNCTION("""COMPUTED_VALUE"""),"08h20 85100 Les Sables d'Olonne (les Sables d'Olonne)")</f>
        <v>08h20 85100 Les Sables d'Olonne (les Sables d'Olonne)</v>
      </c>
    </row>
    <row r="139" spans="1:12" ht="15.75" customHeight="1" x14ac:dyDescent="0.2">
      <c r="A139" s="94" t="s">
        <v>246</v>
      </c>
      <c r="B139" s="91">
        <v>0</v>
      </c>
      <c r="C139" s="91">
        <v>1</v>
      </c>
      <c r="H139" s="91" t="e">
        <f t="shared" ca="1" si="0"/>
        <v>#REF!</v>
      </c>
      <c r="I139" s="91" t="e">
        <f t="shared" ca="1" si="1"/>
        <v>#REF!</v>
      </c>
      <c r="J139" s="91" t="str">
        <f ca="1">IFERROR(__xludf.DUMMYFUNCTION("""COMPUTED_VALUE"""),"")</f>
        <v/>
      </c>
      <c r="K139" s="91" t="str">
        <f ca="1">IFERROR(__xludf.DUMMYFUNCTION("""COMPUTED_VALUE"""),"")</f>
        <v/>
      </c>
      <c r="L139" s="94" t="str">
        <f ca="1">IFERROR(__xludf.DUMMYFUNCTION("""COMPUTED_VALUE"""),"08h20 85100 Les Sables d'Olonne ( la Chaume)")</f>
        <v>08h20 85100 Les Sables d'Olonne ( la Chaume)</v>
      </c>
    </row>
    <row r="140" spans="1:12" ht="15.75" customHeight="1" x14ac:dyDescent="0.2">
      <c r="A140" s="94" t="s">
        <v>96</v>
      </c>
      <c r="B140" s="91">
        <v>0</v>
      </c>
      <c r="C140" s="91">
        <v>1</v>
      </c>
      <c r="H140" s="91" t="e">
        <f t="shared" ca="1" si="0"/>
        <v>#REF!</v>
      </c>
      <c r="I140" s="91" t="e">
        <f t="shared" ca="1" si="1"/>
        <v>#REF!</v>
      </c>
      <c r="J140" s="91" t="str">
        <f ca="1">IFERROR(__xludf.DUMMYFUNCTION("""COMPUTED_VALUE"""),"")</f>
        <v/>
      </c>
      <c r="K140" s="91" t="str">
        <f ca="1">IFERROR(__xludf.DUMMYFUNCTION("""COMPUTED_VALUE"""),"")</f>
        <v/>
      </c>
      <c r="L140" s="94" t="str">
        <f ca="1">IFERROR(__xludf.DUMMYFUNCTION("""COMPUTED_VALUE"""),"08h20 85340 Les Sables d'Olonne (Olonne sur Mer)-.")</f>
        <v>08h20 85340 Les Sables d'Olonne (Olonne sur Mer)-.</v>
      </c>
    </row>
    <row r="141" spans="1:12" ht="15.75" customHeight="1" x14ac:dyDescent="0.2">
      <c r="A141" s="94" t="s">
        <v>247</v>
      </c>
      <c r="B141" s="91">
        <v>0</v>
      </c>
      <c r="C141" s="91">
        <v>1</v>
      </c>
      <c r="H141" s="91" t="e">
        <f t="shared" ca="1" si="0"/>
        <v>#REF!</v>
      </c>
      <c r="I141" s="91" t="e">
        <f t="shared" ca="1" si="1"/>
        <v>#REF!</v>
      </c>
      <c r="J141" s="91" t="str">
        <f ca="1">IFERROR(__xludf.DUMMYFUNCTION("""COMPUTED_VALUE"""),"")</f>
        <v/>
      </c>
      <c r="K141" s="91" t="str">
        <f ca="1">IFERROR(__xludf.DUMMYFUNCTION("""COMPUTED_VALUE"""),"")</f>
        <v/>
      </c>
      <c r="L141" s="94" t="str">
        <f ca="1">IFERROR(__xludf.DUMMYFUNCTION("""COMPUTED_VALUE"""),"08h20 85340 Les Sables d'Olonne (Olonne sur Mer)")</f>
        <v>08h20 85340 Les Sables d'Olonne (Olonne sur Mer)</v>
      </c>
    </row>
    <row r="142" spans="1:12" ht="15.75" customHeight="1" x14ac:dyDescent="0.2">
      <c r="A142" s="94" t="s">
        <v>248</v>
      </c>
      <c r="B142" s="91">
        <v>0</v>
      </c>
      <c r="C142" s="91">
        <v>1</v>
      </c>
      <c r="H142" s="91" t="e">
        <f t="shared" ca="1" si="0"/>
        <v>#REF!</v>
      </c>
      <c r="I142" s="91" t="e">
        <f t="shared" ca="1" si="1"/>
        <v>#REF!</v>
      </c>
      <c r="J142" s="91" t="str">
        <f ca="1">IFERROR(__xludf.DUMMYFUNCTION("""COMPUTED_VALUE"""),"")</f>
        <v/>
      </c>
      <c r="K142" s="91" t="str">
        <f ca="1">IFERROR(__xludf.DUMMYFUNCTION("""COMPUTED_VALUE"""),"")</f>
        <v/>
      </c>
      <c r="L142" s="94" t="str">
        <f ca="1">IFERROR(__xludf.DUMMYFUNCTION("""COMPUTED_VALUE"""),"08h20 85180 Les Sables d'Olonne (le Château d'Olonne)-.")</f>
        <v>08h20 85180 Les Sables d'Olonne (le Château d'Olonne)-.</v>
      </c>
    </row>
    <row r="143" spans="1:12" ht="15.75" customHeight="1" x14ac:dyDescent="0.2">
      <c r="A143" s="94" t="s">
        <v>249</v>
      </c>
      <c r="B143" s="91">
        <v>0</v>
      </c>
      <c r="C143" s="91">
        <v>1</v>
      </c>
      <c r="H143" s="91" t="e">
        <f t="shared" ca="1" si="0"/>
        <v>#REF!</v>
      </c>
      <c r="I143" s="91" t="e">
        <f t="shared" ca="1" si="1"/>
        <v>#REF!</v>
      </c>
      <c r="J143" s="91" t="str">
        <f ca="1">IFERROR(__xludf.DUMMYFUNCTION("""COMPUTED_VALUE"""),"")</f>
        <v/>
      </c>
      <c r="K143" s="91" t="str">
        <f ca="1">IFERROR(__xludf.DUMMYFUNCTION("""COMPUTED_VALUE"""),"")</f>
        <v/>
      </c>
      <c r="L143" s="94" t="str">
        <f ca="1">IFERROR(__xludf.DUMMYFUNCTION("""COMPUTED_VALUE"""),"08h20 85180 Les Sables d'Olonne (le Château d'Olonne)")</f>
        <v>08h20 85180 Les Sables d'Olonne (le Château d'Olonne)</v>
      </c>
    </row>
    <row r="144" spans="1:12" ht="15.75" customHeight="1" x14ac:dyDescent="0.2">
      <c r="A144" s="94" t="s">
        <v>144</v>
      </c>
      <c r="B144" s="91">
        <v>0</v>
      </c>
      <c r="C144" s="91">
        <v>1</v>
      </c>
      <c r="H144" s="91" t="e">
        <f t="shared" ca="1" si="0"/>
        <v>#REF!</v>
      </c>
      <c r="I144" s="91" t="e">
        <f t="shared" ca="1" si="1"/>
        <v>#REF!</v>
      </c>
      <c r="J144" s="91" t="str">
        <f ca="1">IFERROR(__xludf.DUMMYFUNCTION("""COMPUTED_VALUE"""),"")</f>
        <v/>
      </c>
      <c r="K144" s="91" t="str">
        <f ca="1">IFERROR(__xludf.DUMMYFUNCTION("""COMPUTED_VALUE"""),"")</f>
        <v/>
      </c>
      <c r="L144" s="94" t="str">
        <f ca="1">IFERROR(__xludf.DUMMYFUNCTION("""COMPUTED_VALUE"""),"08h20 85340 l'Île d'Olonne")</f>
        <v>08h20 85340 l'Île d'Olonne</v>
      </c>
    </row>
    <row r="145" spans="1:12" ht="15.75" customHeight="1" x14ac:dyDescent="0.2">
      <c r="A145" s="94" t="s">
        <v>250</v>
      </c>
      <c r="B145" s="91">
        <v>0</v>
      </c>
      <c r="C145" s="91">
        <v>1</v>
      </c>
      <c r="H145" s="91" t="e">
        <f t="shared" ca="1" si="0"/>
        <v>#REF!</v>
      </c>
      <c r="I145" s="91" t="e">
        <f t="shared" ca="1" si="1"/>
        <v>#REF!</v>
      </c>
      <c r="J145" s="91" t="str">
        <f ca="1">IFERROR(__xludf.DUMMYFUNCTION("""COMPUTED_VALUE"""),"")</f>
        <v/>
      </c>
      <c r="K145" s="91" t="str">
        <f ca="1">IFERROR(__xludf.DUMMYFUNCTION("""COMPUTED_VALUE"""),"")</f>
        <v/>
      </c>
      <c r="L145" s="94" t="str">
        <f ca="1">IFERROR(__xludf.DUMMYFUNCTION("""COMPUTED_VALUE"""),"08h25 85100 Les Sables d'Olonne (les Sables d'Olonne)-.")</f>
        <v>08h25 85100 Les Sables d'Olonne (les Sables d'Olonne)-.</v>
      </c>
    </row>
    <row r="146" spans="1:12" ht="15.75" customHeight="1" x14ac:dyDescent="0.2">
      <c r="A146" s="94" t="s">
        <v>251</v>
      </c>
      <c r="B146" s="91">
        <v>0</v>
      </c>
      <c r="C146" s="91">
        <v>1</v>
      </c>
      <c r="H146" s="91" t="e">
        <f t="shared" ca="1" si="0"/>
        <v>#REF!</v>
      </c>
      <c r="I146" s="91" t="e">
        <f t="shared" ca="1" si="1"/>
        <v>#REF!</v>
      </c>
      <c r="J146" s="91" t="str">
        <f ca="1">IFERROR(__xludf.DUMMYFUNCTION("""COMPUTED_VALUE"""),"")</f>
        <v/>
      </c>
      <c r="K146" s="91" t="str">
        <f ca="1">IFERROR(__xludf.DUMMYFUNCTION("""COMPUTED_VALUE"""),"")</f>
        <v/>
      </c>
      <c r="L146" s="94" t="str">
        <f ca="1">IFERROR(__xludf.DUMMYFUNCTION("""COMPUTED_VALUE"""),"08h25 85100 Les Sables d'Olonne (les Sables d'Olonne)")</f>
        <v>08h25 85100 Les Sables d'Olonne (les Sables d'Olonne)</v>
      </c>
    </row>
    <row r="147" spans="1:12" ht="15.75" customHeight="1" x14ac:dyDescent="0.2">
      <c r="A147" s="94" t="s">
        <v>19</v>
      </c>
      <c r="B147" s="91">
        <v>0</v>
      </c>
      <c r="C147" s="91">
        <v>1</v>
      </c>
      <c r="H147" s="91" t="e">
        <f t="shared" ca="1" si="0"/>
        <v>#REF!</v>
      </c>
      <c r="I147" s="91" t="e">
        <f t="shared" ca="1" si="1"/>
        <v>#REF!</v>
      </c>
      <c r="J147" s="91" t="str">
        <f ca="1">IFERROR(__xludf.DUMMYFUNCTION("""COMPUTED_VALUE"""),"")</f>
        <v/>
      </c>
      <c r="K147" s="91" t="str">
        <f ca="1">IFERROR(__xludf.DUMMYFUNCTION("""COMPUTED_VALUE"""),"")</f>
        <v/>
      </c>
      <c r="L147" s="94" t="str">
        <f ca="1">IFERROR(__xludf.DUMMYFUNCTION("""COMPUTED_VALUE"""),"08h25 85100 Les Sables d'Olonne ( la Chaume)")</f>
        <v>08h25 85100 Les Sables d'Olonne ( la Chaume)</v>
      </c>
    </row>
    <row r="148" spans="1:12" ht="15.75" customHeight="1" x14ac:dyDescent="0.2">
      <c r="A148" s="94" t="s">
        <v>98</v>
      </c>
      <c r="B148" s="91">
        <v>0</v>
      </c>
      <c r="C148" s="91">
        <v>1</v>
      </c>
      <c r="H148" s="91" t="e">
        <f t="shared" ca="1" si="0"/>
        <v>#REF!</v>
      </c>
      <c r="I148" s="91" t="e">
        <f t="shared" ca="1" si="1"/>
        <v>#REF!</v>
      </c>
      <c r="J148" s="91" t="str">
        <f ca="1">IFERROR(__xludf.DUMMYFUNCTION("""COMPUTED_VALUE"""),"")</f>
        <v/>
      </c>
      <c r="K148" s="91" t="str">
        <f ca="1">IFERROR(__xludf.DUMMYFUNCTION("""COMPUTED_VALUE"""),"")</f>
        <v/>
      </c>
      <c r="L148" s="94" t="str">
        <f ca="1">IFERROR(__xludf.DUMMYFUNCTION("""COMPUTED_VALUE"""),"08h25 85340 Les Sables d'Olonne (Olonne sur Mer)-.")</f>
        <v>08h25 85340 Les Sables d'Olonne (Olonne sur Mer)-.</v>
      </c>
    </row>
    <row r="149" spans="1:12" ht="15.75" customHeight="1" x14ac:dyDescent="0.2">
      <c r="A149" s="94" t="s">
        <v>97</v>
      </c>
      <c r="B149" s="91">
        <v>0</v>
      </c>
      <c r="C149" s="91">
        <v>1</v>
      </c>
      <c r="H149" s="91" t="e">
        <f t="shared" ca="1" si="0"/>
        <v>#REF!</v>
      </c>
      <c r="I149" s="91" t="e">
        <f t="shared" ca="1" si="1"/>
        <v>#REF!</v>
      </c>
      <c r="J149" s="91" t="str">
        <f ca="1">IFERROR(__xludf.DUMMYFUNCTION("""COMPUTED_VALUE"""),"")</f>
        <v/>
      </c>
      <c r="K149" s="91" t="str">
        <f ca="1">IFERROR(__xludf.DUMMYFUNCTION("""COMPUTED_VALUE"""),"")</f>
        <v/>
      </c>
      <c r="L149" s="94" t="str">
        <f ca="1">IFERROR(__xludf.DUMMYFUNCTION("""COMPUTED_VALUE"""),"08h25 85340 Les Sables d'Olonne (Olonne sur Mer)")</f>
        <v>08h25 85340 Les Sables d'Olonne (Olonne sur Mer)</v>
      </c>
    </row>
    <row r="150" spans="1:12" ht="15.75" customHeight="1" x14ac:dyDescent="0.2">
      <c r="A150" s="94" t="s">
        <v>56</v>
      </c>
      <c r="B150" s="91">
        <v>0</v>
      </c>
      <c r="C150" s="91">
        <v>1</v>
      </c>
      <c r="H150" s="91" t="e">
        <f t="shared" ca="1" si="0"/>
        <v>#REF!</v>
      </c>
      <c r="I150" s="91" t="e">
        <f t="shared" ca="1" si="1"/>
        <v>#REF!</v>
      </c>
      <c r="J150" s="91" t="str">
        <f ca="1">IFERROR(__xludf.DUMMYFUNCTION("""COMPUTED_VALUE"""),"")</f>
        <v/>
      </c>
      <c r="K150" s="91" t="str">
        <f ca="1">IFERROR(__xludf.DUMMYFUNCTION("""COMPUTED_VALUE"""),"")</f>
        <v/>
      </c>
      <c r="L150" s="94" t="str">
        <f ca="1">IFERROR(__xludf.DUMMYFUNCTION("""COMPUTED_VALUE"""),"08h25 85180 Les Sables d'Olonne (le Château d'Olonne)-.")</f>
        <v>08h25 85180 Les Sables d'Olonne (le Château d'Olonne)-.</v>
      </c>
    </row>
    <row r="151" spans="1:12" ht="15.75" customHeight="1" x14ac:dyDescent="0.2">
      <c r="A151" s="94" t="s">
        <v>55</v>
      </c>
      <c r="B151" s="91">
        <v>0</v>
      </c>
      <c r="C151" s="91">
        <v>1</v>
      </c>
      <c r="H151" s="91" t="e">
        <f t="shared" ca="1" si="0"/>
        <v>#REF!</v>
      </c>
      <c r="I151" s="91" t="e">
        <f t="shared" ca="1" si="1"/>
        <v>#REF!</v>
      </c>
      <c r="J151" s="91" t="str">
        <f ca="1">IFERROR(__xludf.DUMMYFUNCTION("""COMPUTED_VALUE"""),"")</f>
        <v/>
      </c>
      <c r="K151" s="91" t="str">
        <f ca="1">IFERROR(__xludf.DUMMYFUNCTION("""COMPUTED_VALUE"""),"")</f>
        <v/>
      </c>
      <c r="L151" s="94" t="str">
        <f ca="1">IFERROR(__xludf.DUMMYFUNCTION("""COMPUTED_VALUE"""),"08h25 85180 Les Sables d'Olonne (le Château d'Olonne)")</f>
        <v>08h25 85180 Les Sables d'Olonne (le Château d'Olonne)</v>
      </c>
    </row>
    <row r="152" spans="1:12" ht="15.75" customHeight="1" x14ac:dyDescent="0.2">
      <c r="A152" s="94" t="s">
        <v>145</v>
      </c>
      <c r="B152" s="91">
        <v>0</v>
      </c>
      <c r="C152" s="91">
        <v>1</v>
      </c>
      <c r="H152" s="91" t="e">
        <f t="shared" ca="1" si="0"/>
        <v>#REF!</v>
      </c>
      <c r="I152" s="91" t="e">
        <f t="shared" ca="1" si="1"/>
        <v>#REF!</v>
      </c>
      <c r="J152" s="91" t="str">
        <f ca="1">IFERROR(__xludf.DUMMYFUNCTION("""COMPUTED_VALUE"""),"")</f>
        <v/>
      </c>
      <c r="K152" s="91" t="str">
        <f ca="1">IFERROR(__xludf.DUMMYFUNCTION("""COMPUTED_VALUE"""),"")</f>
        <v/>
      </c>
      <c r="L152" s="94" t="str">
        <f ca="1">IFERROR(__xludf.DUMMYFUNCTION("""COMPUTED_VALUE"""),"08h25 85340 l'Île d'Olonne")</f>
        <v>08h25 85340 l'Île d'Olonne</v>
      </c>
    </row>
    <row r="153" spans="1:12" ht="15.75" customHeight="1" x14ac:dyDescent="0.2">
      <c r="A153" s="94" t="s">
        <v>29</v>
      </c>
      <c r="B153" s="91">
        <v>0</v>
      </c>
      <c r="C153" s="91">
        <v>1</v>
      </c>
      <c r="H153" s="91" t="e">
        <f t="shared" ca="1" si="0"/>
        <v>#REF!</v>
      </c>
      <c r="I153" s="91" t="e">
        <f t="shared" ca="1" si="1"/>
        <v>#REF!</v>
      </c>
      <c r="J153" s="91" t="str">
        <f ca="1">IFERROR(__xludf.DUMMYFUNCTION("""COMPUTED_VALUE"""),"")</f>
        <v/>
      </c>
      <c r="K153" s="91" t="str">
        <f ca="1">IFERROR(__xludf.DUMMYFUNCTION("""COMPUTED_VALUE"""),"")</f>
        <v/>
      </c>
      <c r="L153" s="94" t="str">
        <f ca="1">IFERROR(__xludf.DUMMYFUNCTION("""COMPUTED_VALUE"""),"08h30 85100 Les Sables d'Olonne (les Sables d'Olonne)-.")</f>
        <v>08h30 85100 Les Sables d'Olonne (les Sables d'Olonne)-.</v>
      </c>
    </row>
    <row r="154" spans="1:12" ht="15.75" customHeight="1" x14ac:dyDescent="0.2">
      <c r="A154" s="94" t="s">
        <v>28</v>
      </c>
      <c r="B154" s="91">
        <v>0</v>
      </c>
      <c r="C154" s="91">
        <v>1</v>
      </c>
      <c r="H154" s="91" t="e">
        <f t="shared" ca="1" si="0"/>
        <v>#REF!</v>
      </c>
      <c r="I154" s="91" t="e">
        <f t="shared" ca="1" si="1"/>
        <v>#REF!</v>
      </c>
      <c r="J154" s="91" t="str">
        <f ca="1">IFERROR(__xludf.DUMMYFUNCTION("""COMPUTED_VALUE"""),"")</f>
        <v/>
      </c>
      <c r="K154" s="91" t="str">
        <f ca="1">IFERROR(__xludf.DUMMYFUNCTION("""COMPUTED_VALUE"""),"")</f>
        <v/>
      </c>
      <c r="L154" s="94" t="str">
        <f ca="1">IFERROR(__xludf.DUMMYFUNCTION("""COMPUTED_VALUE"""),"08h30 85100 Les Sables d'Olonne (les Sables d'Olonne)")</f>
        <v>08h30 85100 Les Sables d'Olonne (les Sables d'Olonne)</v>
      </c>
    </row>
    <row r="155" spans="1:12" ht="15.75" customHeight="1" x14ac:dyDescent="0.2">
      <c r="A155" s="94" t="s">
        <v>20</v>
      </c>
      <c r="B155" s="91">
        <v>0</v>
      </c>
      <c r="C155" s="91">
        <v>1</v>
      </c>
      <c r="H155" s="91" t="e">
        <f t="shared" ca="1" si="0"/>
        <v>#REF!</v>
      </c>
      <c r="I155" s="91" t="e">
        <f t="shared" ca="1" si="1"/>
        <v>#REF!</v>
      </c>
      <c r="J155" s="91" t="str">
        <f ca="1">IFERROR(__xludf.DUMMYFUNCTION("""COMPUTED_VALUE"""),"")</f>
        <v/>
      </c>
      <c r="K155" s="91" t="str">
        <f ca="1">IFERROR(__xludf.DUMMYFUNCTION("""COMPUTED_VALUE"""),"")</f>
        <v/>
      </c>
      <c r="L155" s="94" t="str">
        <f ca="1">IFERROR(__xludf.DUMMYFUNCTION("""COMPUTED_VALUE"""),"08h30 85100 Les Sables d'Olonne ( la Chaume)")</f>
        <v>08h30 85100 Les Sables d'Olonne ( la Chaume)</v>
      </c>
    </row>
    <row r="156" spans="1:12" ht="15.75" customHeight="1" x14ac:dyDescent="0.2">
      <c r="A156" s="94" t="s">
        <v>99</v>
      </c>
      <c r="B156" s="91">
        <v>0</v>
      </c>
      <c r="C156" s="91">
        <v>1</v>
      </c>
      <c r="H156" s="91" t="e">
        <f t="shared" ca="1" si="0"/>
        <v>#REF!</v>
      </c>
      <c r="I156" s="91" t="e">
        <f t="shared" ca="1" si="1"/>
        <v>#REF!</v>
      </c>
      <c r="J156" s="91" t="str">
        <f ca="1">IFERROR(__xludf.DUMMYFUNCTION("""COMPUTED_VALUE"""),"")</f>
        <v/>
      </c>
      <c r="K156" s="91" t="str">
        <f ca="1">IFERROR(__xludf.DUMMYFUNCTION("""COMPUTED_VALUE"""),"")</f>
        <v/>
      </c>
      <c r="L156" s="94" t="str">
        <f ca="1">IFERROR(__xludf.DUMMYFUNCTION("""COMPUTED_VALUE"""),"08h30 85340 Les Sables d'Olonne (Olonne sur Mer)-.")</f>
        <v>08h30 85340 Les Sables d'Olonne (Olonne sur Mer)-.</v>
      </c>
    </row>
    <row r="157" spans="1:12" ht="15.75" customHeight="1" x14ac:dyDescent="0.2">
      <c r="A157" s="94" t="s">
        <v>252</v>
      </c>
      <c r="B157" s="91">
        <v>0</v>
      </c>
      <c r="C157" s="91">
        <v>1</v>
      </c>
      <c r="H157" s="91" t="e">
        <f t="shared" ca="1" si="0"/>
        <v>#REF!</v>
      </c>
      <c r="I157" s="91" t="e">
        <f t="shared" ca="1" si="1"/>
        <v>#REF!</v>
      </c>
      <c r="J157" s="91" t="str">
        <f ca="1">IFERROR(__xludf.DUMMYFUNCTION("""COMPUTED_VALUE"""),"")</f>
        <v/>
      </c>
      <c r="K157" s="91" t="str">
        <f ca="1">IFERROR(__xludf.DUMMYFUNCTION("""COMPUTED_VALUE"""),"")</f>
        <v/>
      </c>
      <c r="L157" s="94" t="str">
        <f ca="1">IFERROR(__xludf.DUMMYFUNCTION("""COMPUTED_VALUE"""),"08h30 85340 Les Sables d'Olonne (Olonne sur Mer)")</f>
        <v>08h30 85340 Les Sables d'Olonne (Olonne sur Mer)</v>
      </c>
    </row>
    <row r="158" spans="1:12" ht="15.75" customHeight="1" x14ac:dyDescent="0.2">
      <c r="A158" s="94" t="s">
        <v>57</v>
      </c>
      <c r="B158" s="91">
        <v>0</v>
      </c>
      <c r="C158" s="91">
        <v>1</v>
      </c>
      <c r="H158" s="91" t="e">
        <f t="shared" ca="1" si="0"/>
        <v>#REF!</v>
      </c>
      <c r="I158" s="91" t="e">
        <f t="shared" ca="1" si="1"/>
        <v>#REF!</v>
      </c>
      <c r="J158" s="91" t="str">
        <f ca="1">IFERROR(__xludf.DUMMYFUNCTION("""COMPUTED_VALUE"""),"")</f>
        <v/>
      </c>
      <c r="K158" s="91" t="str">
        <f ca="1">IFERROR(__xludf.DUMMYFUNCTION("""COMPUTED_VALUE"""),"")</f>
        <v/>
      </c>
      <c r="L158" s="94" t="str">
        <f ca="1">IFERROR(__xludf.DUMMYFUNCTION("""COMPUTED_VALUE"""),"08h30 85180 Les Sables d'Olonne (le Château d'Olonne)-.")</f>
        <v>08h30 85180 Les Sables d'Olonne (le Château d'Olonne)-.</v>
      </c>
    </row>
    <row r="159" spans="1:12" ht="15.75" customHeight="1" x14ac:dyDescent="0.2">
      <c r="A159" s="94" t="s">
        <v>253</v>
      </c>
      <c r="B159" s="91">
        <v>0</v>
      </c>
      <c r="C159" s="91">
        <v>1</v>
      </c>
      <c r="H159" s="91" t="e">
        <f t="shared" ca="1" si="0"/>
        <v>#REF!</v>
      </c>
      <c r="I159" s="91" t="e">
        <f t="shared" ca="1" si="1"/>
        <v>#REF!</v>
      </c>
      <c r="J159" s="91" t="str">
        <f ca="1">IFERROR(__xludf.DUMMYFUNCTION("""COMPUTED_VALUE"""),"")</f>
        <v/>
      </c>
      <c r="K159" s="91" t="str">
        <f ca="1">IFERROR(__xludf.DUMMYFUNCTION("""COMPUTED_VALUE"""),"")</f>
        <v/>
      </c>
      <c r="L159" s="94" t="str">
        <f ca="1">IFERROR(__xludf.DUMMYFUNCTION("""COMPUTED_VALUE"""),"08h30 85180 Les Sables d'Olonne (le Château d'Olonne)")</f>
        <v>08h30 85180 Les Sables d'Olonne (le Château d'Olonne)</v>
      </c>
    </row>
    <row r="160" spans="1:12" ht="15.75" customHeight="1" x14ac:dyDescent="0.2">
      <c r="A160" s="94" t="s">
        <v>146</v>
      </c>
      <c r="B160" s="91">
        <v>0</v>
      </c>
      <c r="C160" s="91">
        <v>1</v>
      </c>
      <c r="H160" s="91" t="e">
        <f t="shared" ca="1" si="0"/>
        <v>#REF!</v>
      </c>
      <c r="I160" s="91" t="e">
        <f t="shared" ca="1" si="1"/>
        <v>#REF!</v>
      </c>
      <c r="J160" s="91" t="str">
        <f ca="1">IFERROR(__xludf.DUMMYFUNCTION("""COMPUTED_VALUE"""),"")</f>
        <v/>
      </c>
      <c r="K160" s="91" t="str">
        <f ca="1">IFERROR(__xludf.DUMMYFUNCTION("""COMPUTED_VALUE"""),"")</f>
        <v/>
      </c>
      <c r="L160" s="94" t="str">
        <f ca="1">IFERROR(__xludf.DUMMYFUNCTION("""COMPUTED_VALUE"""),"08h30 85340 l'Île d'Olonne")</f>
        <v>08h30 85340 l'Île d'Olonne</v>
      </c>
    </row>
    <row r="161" spans="1:12" ht="15.75" customHeight="1" x14ac:dyDescent="0.2">
      <c r="A161" s="94" t="s">
        <v>254</v>
      </c>
      <c r="B161" s="91">
        <v>0</v>
      </c>
      <c r="C161" s="91">
        <v>1</v>
      </c>
      <c r="H161" s="91" t="e">
        <f t="shared" ca="1" si="0"/>
        <v>#REF!</v>
      </c>
      <c r="I161" s="91" t="e">
        <f t="shared" ca="1" si="1"/>
        <v>#REF!</v>
      </c>
      <c r="J161" s="91" t="str">
        <f ca="1">IFERROR(__xludf.DUMMYFUNCTION("""COMPUTED_VALUE"""),"")</f>
        <v/>
      </c>
      <c r="K161" s="91" t="str">
        <f ca="1">IFERROR(__xludf.DUMMYFUNCTION("""COMPUTED_VALUE"""),"")</f>
        <v/>
      </c>
      <c r="L161" s="94" t="str">
        <f ca="1">IFERROR(__xludf.DUMMYFUNCTION("""COMPUTED_VALUE"""),"08h35 85100 Les Sables d'Olonne (les Sables d'Olonne)-.")</f>
        <v>08h35 85100 Les Sables d'Olonne (les Sables d'Olonne)-.</v>
      </c>
    </row>
    <row r="162" spans="1:12" ht="15.75" customHeight="1" x14ac:dyDescent="0.2">
      <c r="A162" s="94" t="s">
        <v>255</v>
      </c>
      <c r="B162" s="91">
        <v>0</v>
      </c>
      <c r="C162" s="91">
        <v>1</v>
      </c>
      <c r="H162" s="91" t="e">
        <f t="shared" ca="1" si="0"/>
        <v>#REF!</v>
      </c>
      <c r="I162" s="91" t="e">
        <f t="shared" ca="1" si="1"/>
        <v>#REF!</v>
      </c>
      <c r="J162" s="91" t="str">
        <f ca="1">IFERROR(__xludf.DUMMYFUNCTION("""COMPUTED_VALUE"""),"")</f>
        <v/>
      </c>
      <c r="K162" s="91" t="str">
        <f ca="1">IFERROR(__xludf.DUMMYFUNCTION("""COMPUTED_VALUE"""),"")</f>
        <v/>
      </c>
      <c r="L162" s="94" t="str">
        <f ca="1">IFERROR(__xludf.DUMMYFUNCTION("""COMPUTED_VALUE"""),"08h35 85100 Les Sables d'Olonne (les Sables d'Olonne)")</f>
        <v>08h35 85100 Les Sables d'Olonne (les Sables d'Olonne)</v>
      </c>
    </row>
    <row r="163" spans="1:12" ht="15.75" customHeight="1" x14ac:dyDescent="0.2">
      <c r="A163" s="94" t="s">
        <v>256</v>
      </c>
      <c r="B163" s="91">
        <v>0</v>
      </c>
      <c r="C163" s="91">
        <v>1</v>
      </c>
      <c r="H163" s="91" t="e">
        <f t="shared" ca="1" si="0"/>
        <v>#REF!</v>
      </c>
      <c r="I163" s="91" t="e">
        <f t="shared" ca="1" si="1"/>
        <v>#REF!</v>
      </c>
      <c r="J163" s="91" t="str">
        <f ca="1">IFERROR(__xludf.DUMMYFUNCTION("""COMPUTED_VALUE"""),"")</f>
        <v/>
      </c>
      <c r="K163" s="91" t="str">
        <f ca="1">IFERROR(__xludf.DUMMYFUNCTION("""COMPUTED_VALUE"""),"")</f>
        <v/>
      </c>
      <c r="L163" s="94" t="str">
        <f ca="1">IFERROR(__xludf.DUMMYFUNCTION("""COMPUTED_VALUE"""),"08h35 85100 Les Sables d'Olonne ( la Chaume)")</f>
        <v>08h35 85100 Les Sables d'Olonne ( la Chaume)</v>
      </c>
    </row>
    <row r="164" spans="1:12" ht="15.75" customHeight="1" x14ac:dyDescent="0.2">
      <c r="A164" s="94" t="s">
        <v>100</v>
      </c>
      <c r="B164" s="91">
        <v>0</v>
      </c>
      <c r="C164" s="91">
        <v>1</v>
      </c>
      <c r="H164" s="91" t="e">
        <f t="shared" ca="1" si="0"/>
        <v>#REF!</v>
      </c>
      <c r="I164" s="91" t="e">
        <f t="shared" ca="1" si="1"/>
        <v>#REF!</v>
      </c>
      <c r="J164" s="91" t="str">
        <f ca="1">IFERROR(__xludf.DUMMYFUNCTION("""COMPUTED_VALUE"""),"")</f>
        <v/>
      </c>
      <c r="K164" s="91" t="str">
        <f ca="1">IFERROR(__xludf.DUMMYFUNCTION("""COMPUTED_VALUE"""),"")</f>
        <v/>
      </c>
      <c r="L164" s="94" t="str">
        <f ca="1">IFERROR(__xludf.DUMMYFUNCTION("""COMPUTED_VALUE"""),"08h35 85340 Les Sables d'Olonne (Olonne sur Mer)-.")</f>
        <v>08h35 85340 Les Sables d'Olonne (Olonne sur Mer)-.</v>
      </c>
    </row>
    <row r="165" spans="1:12" ht="15.75" customHeight="1" x14ac:dyDescent="0.2">
      <c r="A165" s="94" t="s">
        <v>257</v>
      </c>
      <c r="B165" s="91">
        <v>0</v>
      </c>
      <c r="C165" s="91">
        <v>1</v>
      </c>
      <c r="H165" s="91" t="e">
        <f t="shared" ca="1" si="0"/>
        <v>#REF!</v>
      </c>
      <c r="I165" s="91" t="e">
        <f t="shared" ca="1" si="1"/>
        <v>#REF!</v>
      </c>
      <c r="J165" s="91" t="str">
        <f ca="1">IFERROR(__xludf.DUMMYFUNCTION("""COMPUTED_VALUE"""),"")</f>
        <v/>
      </c>
      <c r="K165" s="91" t="str">
        <f ca="1">IFERROR(__xludf.DUMMYFUNCTION("""COMPUTED_VALUE"""),"")</f>
        <v/>
      </c>
      <c r="L165" s="94" t="str">
        <f ca="1">IFERROR(__xludf.DUMMYFUNCTION("""COMPUTED_VALUE"""),"08h35 85340 Les Sables d'Olonne (Olonne sur Mer)")</f>
        <v>08h35 85340 Les Sables d'Olonne (Olonne sur Mer)</v>
      </c>
    </row>
    <row r="166" spans="1:12" ht="15.75" customHeight="1" x14ac:dyDescent="0.2">
      <c r="A166" s="94" t="s">
        <v>58</v>
      </c>
      <c r="B166" s="91">
        <v>0</v>
      </c>
      <c r="C166" s="91">
        <v>1</v>
      </c>
      <c r="H166" s="91" t="e">
        <f t="shared" ca="1" si="0"/>
        <v>#REF!</v>
      </c>
      <c r="I166" s="91" t="e">
        <f t="shared" ca="1" si="1"/>
        <v>#REF!</v>
      </c>
      <c r="J166" s="91" t="str">
        <f ca="1">IFERROR(__xludf.DUMMYFUNCTION("""COMPUTED_VALUE"""),"")</f>
        <v/>
      </c>
      <c r="K166" s="91" t="str">
        <f ca="1">IFERROR(__xludf.DUMMYFUNCTION("""COMPUTED_VALUE"""),"")</f>
        <v/>
      </c>
      <c r="L166" s="94" t="str">
        <f ca="1">IFERROR(__xludf.DUMMYFUNCTION("""COMPUTED_VALUE"""),"08h35 85180 Les Sables d'Olonne (le Château d'Olonne)-.")</f>
        <v>08h35 85180 Les Sables d'Olonne (le Château d'Olonne)-.</v>
      </c>
    </row>
    <row r="167" spans="1:12" ht="15.75" customHeight="1" x14ac:dyDescent="0.2">
      <c r="A167" s="94" t="s">
        <v>258</v>
      </c>
      <c r="B167" s="91">
        <v>0</v>
      </c>
      <c r="C167" s="91">
        <v>1</v>
      </c>
      <c r="H167" s="91" t="e">
        <f t="shared" ca="1" si="0"/>
        <v>#REF!</v>
      </c>
      <c r="I167" s="91" t="e">
        <f t="shared" ca="1" si="1"/>
        <v>#REF!</v>
      </c>
      <c r="J167" s="91" t="str">
        <f ca="1">IFERROR(__xludf.DUMMYFUNCTION("""COMPUTED_VALUE"""),"")</f>
        <v/>
      </c>
      <c r="K167" s="91" t="str">
        <f ca="1">IFERROR(__xludf.DUMMYFUNCTION("""COMPUTED_VALUE"""),"")</f>
        <v/>
      </c>
      <c r="L167" s="94" t="str">
        <f ca="1">IFERROR(__xludf.DUMMYFUNCTION("""COMPUTED_VALUE"""),"08h35 85180 Les Sables d'Olonne (le Château d'Olonne)")</f>
        <v>08h35 85180 Les Sables d'Olonne (le Château d'Olonne)</v>
      </c>
    </row>
    <row r="168" spans="1:12" ht="15.75" customHeight="1" x14ac:dyDescent="0.2">
      <c r="A168" s="94" t="s">
        <v>35</v>
      </c>
      <c r="B168" s="91">
        <v>0</v>
      </c>
      <c r="C168" s="91">
        <v>1</v>
      </c>
      <c r="H168" s="91" t="e">
        <f t="shared" ca="1" si="0"/>
        <v>#REF!</v>
      </c>
      <c r="I168" s="91" t="e">
        <f t="shared" ca="1" si="1"/>
        <v>#REF!</v>
      </c>
      <c r="J168" s="91" t="str">
        <f ca="1">IFERROR(__xludf.DUMMYFUNCTION("""COMPUTED_VALUE"""),"")</f>
        <v/>
      </c>
      <c r="K168" s="91" t="str">
        <f ca="1">IFERROR(__xludf.DUMMYFUNCTION("""COMPUTED_VALUE"""),"")</f>
        <v/>
      </c>
      <c r="L168" s="94" t="str">
        <f ca="1">IFERROR(__xludf.DUMMYFUNCTION("""COMPUTED_VALUE"""),"08h35 85150 Saint-Mathurin")</f>
        <v>08h35 85150 Saint-Mathurin</v>
      </c>
    </row>
    <row r="169" spans="1:12" ht="15.75" customHeight="1" x14ac:dyDescent="0.2">
      <c r="A169" s="94" t="s">
        <v>259</v>
      </c>
      <c r="B169" s="91">
        <v>0</v>
      </c>
      <c r="C169" s="91">
        <v>1</v>
      </c>
      <c r="H169" s="91" t="e">
        <f t="shared" ca="1" si="0"/>
        <v>#REF!</v>
      </c>
      <c r="I169" s="91" t="e">
        <f t="shared" ca="1" si="1"/>
        <v>#REF!</v>
      </c>
      <c r="J169" s="91" t="str">
        <f ca="1">IFERROR(__xludf.DUMMYFUNCTION("""COMPUTED_VALUE"""),"")</f>
        <v/>
      </c>
      <c r="K169" s="91" t="str">
        <f ca="1">IFERROR(__xludf.DUMMYFUNCTION("""COMPUTED_VALUE"""),"")</f>
        <v/>
      </c>
      <c r="L169" s="94" t="str">
        <f ca="1">IFERROR(__xludf.DUMMYFUNCTION("""COMPUTED_VALUE"""),"08h40 85100 Les Sables d'Olonne (les Sables d'Olonne)-.")</f>
        <v>08h40 85100 Les Sables d'Olonne (les Sables d'Olonne)-.</v>
      </c>
    </row>
    <row r="170" spans="1:12" ht="15.75" customHeight="1" x14ac:dyDescent="0.2">
      <c r="A170" s="94" t="s">
        <v>260</v>
      </c>
      <c r="B170" s="91">
        <v>0</v>
      </c>
      <c r="C170" s="91">
        <v>1</v>
      </c>
      <c r="H170" s="91" t="e">
        <f t="shared" ca="1" si="0"/>
        <v>#REF!</v>
      </c>
      <c r="I170" s="91" t="e">
        <f t="shared" ca="1" si="1"/>
        <v>#REF!</v>
      </c>
      <c r="J170" s="91" t="str">
        <f ca="1">IFERROR(__xludf.DUMMYFUNCTION("""COMPUTED_VALUE"""),"")</f>
        <v/>
      </c>
      <c r="K170" s="91" t="str">
        <f ca="1">IFERROR(__xludf.DUMMYFUNCTION("""COMPUTED_VALUE"""),"")</f>
        <v/>
      </c>
      <c r="L170" s="94" t="str">
        <f ca="1">IFERROR(__xludf.DUMMYFUNCTION("""COMPUTED_VALUE"""),"08h40 85100 Les Sables d'Olonne (les Sables d'Olonne)")</f>
        <v>08h40 85100 Les Sables d'Olonne (les Sables d'Olonne)</v>
      </c>
    </row>
    <row r="171" spans="1:12" ht="15.75" customHeight="1" x14ac:dyDescent="0.2">
      <c r="A171" s="94" t="s">
        <v>261</v>
      </c>
      <c r="B171" s="91">
        <v>0</v>
      </c>
      <c r="C171" s="91">
        <v>1</v>
      </c>
      <c r="H171" s="91" t="e">
        <f t="shared" ca="1" si="0"/>
        <v>#REF!</v>
      </c>
      <c r="I171" s="91" t="e">
        <f t="shared" ca="1" si="1"/>
        <v>#REF!</v>
      </c>
      <c r="J171" s="91" t="str">
        <f ca="1">IFERROR(__xludf.DUMMYFUNCTION("""COMPUTED_VALUE"""),"")</f>
        <v/>
      </c>
      <c r="K171" s="91" t="str">
        <f ca="1">IFERROR(__xludf.DUMMYFUNCTION("""COMPUTED_VALUE"""),"")</f>
        <v/>
      </c>
      <c r="L171" s="94" t="str">
        <f ca="1">IFERROR(__xludf.DUMMYFUNCTION("""COMPUTED_VALUE"""),"08h40 85100 Les Sables d'Olonne ( la Chaume)")</f>
        <v>08h40 85100 Les Sables d'Olonne ( la Chaume)</v>
      </c>
    </row>
    <row r="172" spans="1:12" ht="15.75" customHeight="1" x14ac:dyDescent="0.2">
      <c r="A172" s="94" t="s">
        <v>102</v>
      </c>
      <c r="B172" s="91">
        <v>0</v>
      </c>
      <c r="C172" s="91">
        <v>1</v>
      </c>
      <c r="H172" s="91" t="e">
        <f t="shared" ca="1" si="0"/>
        <v>#REF!</v>
      </c>
      <c r="I172" s="91" t="e">
        <f t="shared" ca="1" si="1"/>
        <v>#REF!</v>
      </c>
      <c r="J172" s="91" t="str">
        <f ca="1">IFERROR(__xludf.DUMMYFUNCTION("""COMPUTED_VALUE"""),"")</f>
        <v/>
      </c>
      <c r="K172" s="91" t="str">
        <f ca="1">IFERROR(__xludf.DUMMYFUNCTION("""COMPUTED_VALUE"""),"")</f>
        <v/>
      </c>
      <c r="L172" s="94" t="str">
        <f ca="1">IFERROR(__xludf.DUMMYFUNCTION("""COMPUTED_VALUE"""),"08h40 85340 Les Sables d'Olonne (Olonne sur Mer)-.")</f>
        <v>08h40 85340 Les Sables d'Olonne (Olonne sur Mer)-.</v>
      </c>
    </row>
    <row r="173" spans="1:12" ht="15.75" customHeight="1" x14ac:dyDescent="0.2">
      <c r="A173" s="94" t="s">
        <v>101</v>
      </c>
      <c r="B173" s="91">
        <v>0</v>
      </c>
      <c r="C173" s="91">
        <v>1</v>
      </c>
      <c r="H173" s="91" t="e">
        <f t="shared" ca="1" si="0"/>
        <v>#REF!</v>
      </c>
      <c r="I173" s="91" t="e">
        <f t="shared" ca="1" si="1"/>
        <v>#REF!</v>
      </c>
      <c r="J173" s="91" t="str">
        <f ca="1">IFERROR(__xludf.DUMMYFUNCTION("""COMPUTED_VALUE"""),"")</f>
        <v/>
      </c>
      <c r="K173" s="91" t="str">
        <f ca="1">IFERROR(__xludf.DUMMYFUNCTION("""COMPUTED_VALUE"""),"")</f>
        <v/>
      </c>
      <c r="L173" s="94" t="str">
        <f ca="1">IFERROR(__xludf.DUMMYFUNCTION("""COMPUTED_VALUE"""),"08h40 85340 Les Sables d'Olonne (Olonne sur Mer)")</f>
        <v>08h40 85340 Les Sables d'Olonne (Olonne sur Mer)</v>
      </c>
    </row>
    <row r="174" spans="1:12" ht="15.75" customHeight="1" x14ac:dyDescent="0.2">
      <c r="A174" s="94" t="s">
        <v>262</v>
      </c>
      <c r="B174" s="91">
        <v>0</v>
      </c>
      <c r="C174" s="91">
        <v>1</v>
      </c>
      <c r="H174" s="91" t="e">
        <f t="shared" ca="1" si="0"/>
        <v>#REF!</v>
      </c>
      <c r="I174" s="91" t="e">
        <f t="shared" ca="1" si="1"/>
        <v>#REF!</v>
      </c>
      <c r="J174" s="91" t="str">
        <f ca="1">IFERROR(__xludf.DUMMYFUNCTION("""COMPUTED_VALUE"""),"")</f>
        <v/>
      </c>
      <c r="K174" s="91" t="str">
        <f ca="1">IFERROR(__xludf.DUMMYFUNCTION("""COMPUTED_VALUE"""),"")</f>
        <v/>
      </c>
      <c r="L174" s="94" t="str">
        <f ca="1">IFERROR(__xludf.DUMMYFUNCTION("""COMPUTED_VALUE"""),"08h40 85180 Les Sables d'Olonne (le Château d'Olonne)-.")</f>
        <v>08h40 85180 Les Sables d'Olonne (le Château d'Olonne)-.</v>
      </c>
    </row>
    <row r="175" spans="1:12" ht="15.75" customHeight="1" x14ac:dyDescent="0.2">
      <c r="A175" s="94" t="s">
        <v>263</v>
      </c>
      <c r="B175" s="91">
        <v>0</v>
      </c>
      <c r="C175" s="91">
        <v>1</v>
      </c>
      <c r="H175" s="91" t="e">
        <f t="shared" ca="1" si="0"/>
        <v>#REF!</v>
      </c>
      <c r="I175" s="91" t="e">
        <f t="shared" ca="1" si="1"/>
        <v>#REF!</v>
      </c>
      <c r="J175" s="91" t="str">
        <f ca="1">IFERROR(__xludf.DUMMYFUNCTION("""COMPUTED_VALUE"""),"")</f>
        <v/>
      </c>
      <c r="K175" s="91" t="str">
        <f ca="1">IFERROR(__xludf.DUMMYFUNCTION("""COMPUTED_VALUE"""),"")</f>
        <v/>
      </c>
      <c r="L175" s="94" t="str">
        <f ca="1">IFERROR(__xludf.DUMMYFUNCTION("""COMPUTED_VALUE"""),"08h40 85180 Les Sables d'Olonne (le Château d'Olonne)")</f>
        <v>08h40 85180 Les Sables d'Olonne (le Château d'Olonne)</v>
      </c>
    </row>
    <row r="176" spans="1:12" ht="15.75" customHeight="1" x14ac:dyDescent="0.2">
      <c r="A176" s="94" t="s">
        <v>36</v>
      </c>
      <c r="B176" s="91">
        <v>0</v>
      </c>
      <c r="C176" s="91">
        <v>1</v>
      </c>
      <c r="H176" s="91" t="e">
        <f t="shared" ca="1" si="0"/>
        <v>#REF!</v>
      </c>
      <c r="I176" s="91" t="e">
        <f t="shared" ca="1" si="1"/>
        <v>#REF!</v>
      </c>
      <c r="J176" s="91" t="str">
        <f ca="1">IFERROR(__xludf.DUMMYFUNCTION("""COMPUTED_VALUE"""),"")</f>
        <v/>
      </c>
      <c r="K176" s="91" t="str">
        <f ca="1">IFERROR(__xludf.DUMMYFUNCTION("""COMPUTED_VALUE"""),"")</f>
        <v/>
      </c>
      <c r="L176" s="94" t="str">
        <f ca="1">IFERROR(__xludf.DUMMYFUNCTION("""COMPUTED_VALUE"""),"08h40 85150 Saint-Mathurin")</f>
        <v>08h40 85150 Saint-Mathurin</v>
      </c>
    </row>
    <row r="177" spans="1:12" ht="15.75" customHeight="1" x14ac:dyDescent="0.2">
      <c r="A177" s="94" t="s">
        <v>264</v>
      </c>
      <c r="B177" s="91">
        <v>0</v>
      </c>
      <c r="C177" s="91">
        <v>1</v>
      </c>
      <c r="H177" s="91" t="e">
        <f t="shared" ca="1" si="0"/>
        <v>#REF!</v>
      </c>
      <c r="I177" s="91" t="e">
        <f t="shared" ca="1" si="1"/>
        <v>#REF!</v>
      </c>
      <c r="J177" s="91" t="str">
        <f ca="1">IFERROR(__xludf.DUMMYFUNCTION("""COMPUTED_VALUE"""),"")</f>
        <v/>
      </c>
      <c r="K177" s="91" t="str">
        <f ca="1">IFERROR(__xludf.DUMMYFUNCTION("""COMPUTED_VALUE"""),"")</f>
        <v/>
      </c>
      <c r="L177" s="94" t="str">
        <f ca="1">IFERROR(__xludf.DUMMYFUNCTION("""COMPUTED_VALUE"""),"08h45 85100 Les Sables d'Olonne (les Sables d'Olonne)-.")</f>
        <v>08h45 85100 Les Sables d'Olonne (les Sables d'Olonne)-.</v>
      </c>
    </row>
    <row r="178" spans="1:12" ht="15.75" customHeight="1" x14ac:dyDescent="0.2">
      <c r="A178" s="94" t="s">
        <v>265</v>
      </c>
      <c r="B178" s="91">
        <v>0</v>
      </c>
      <c r="C178" s="91">
        <v>1</v>
      </c>
      <c r="H178" s="91" t="e">
        <f t="shared" ca="1" si="0"/>
        <v>#REF!</v>
      </c>
      <c r="I178" s="91" t="e">
        <f t="shared" ca="1" si="1"/>
        <v>#REF!</v>
      </c>
      <c r="J178" s="91" t="str">
        <f ca="1">IFERROR(__xludf.DUMMYFUNCTION("""COMPUTED_VALUE"""),"")</f>
        <v/>
      </c>
      <c r="K178" s="91" t="str">
        <f ca="1">IFERROR(__xludf.DUMMYFUNCTION("""COMPUTED_VALUE"""),"")</f>
        <v/>
      </c>
      <c r="L178" s="94" t="str">
        <f ca="1">IFERROR(__xludf.DUMMYFUNCTION("""COMPUTED_VALUE"""),"08h45 85100 Les Sables d'Olonne (les Sables d'Olonne)")</f>
        <v>08h45 85100 Les Sables d'Olonne (les Sables d'Olonne)</v>
      </c>
    </row>
    <row r="179" spans="1:12" ht="15.75" customHeight="1" x14ac:dyDescent="0.2">
      <c r="A179" s="94" t="s">
        <v>266</v>
      </c>
      <c r="B179" s="91">
        <v>0</v>
      </c>
      <c r="C179" s="91">
        <v>1</v>
      </c>
      <c r="H179" s="91" t="e">
        <f t="shared" ca="1" si="0"/>
        <v>#REF!</v>
      </c>
      <c r="I179" s="91" t="e">
        <f t="shared" ca="1" si="1"/>
        <v>#REF!</v>
      </c>
      <c r="J179" s="91" t="str">
        <f ca="1">IFERROR(__xludf.DUMMYFUNCTION("""COMPUTED_VALUE"""),"")</f>
        <v/>
      </c>
      <c r="K179" s="91" t="str">
        <f ca="1">IFERROR(__xludf.DUMMYFUNCTION("""COMPUTED_VALUE"""),"")</f>
        <v/>
      </c>
      <c r="L179" s="94" t="str">
        <f ca="1">IFERROR(__xludf.DUMMYFUNCTION("""COMPUTED_VALUE"""),"08h45 85100 Les Sables d'Olonne ( la Chaume)")</f>
        <v>08h45 85100 Les Sables d'Olonne ( la Chaume)</v>
      </c>
    </row>
    <row r="180" spans="1:12" ht="15.75" customHeight="1" x14ac:dyDescent="0.2">
      <c r="A180" s="94" t="s">
        <v>103</v>
      </c>
      <c r="B180" s="91">
        <v>0</v>
      </c>
      <c r="C180" s="91">
        <v>1</v>
      </c>
      <c r="H180" s="91" t="e">
        <f t="shared" ca="1" si="0"/>
        <v>#REF!</v>
      </c>
      <c r="I180" s="91" t="e">
        <f t="shared" ca="1" si="1"/>
        <v>#REF!</v>
      </c>
      <c r="J180" s="91" t="str">
        <f ca="1">IFERROR(__xludf.DUMMYFUNCTION("""COMPUTED_VALUE"""),"")</f>
        <v/>
      </c>
      <c r="K180" s="91" t="str">
        <f ca="1">IFERROR(__xludf.DUMMYFUNCTION("""COMPUTED_VALUE"""),"")</f>
        <v/>
      </c>
      <c r="L180" s="94" t="str">
        <f ca="1">IFERROR(__xludf.DUMMYFUNCTION("""COMPUTED_VALUE"""),"08h45 85340 Les Sables d'Olonne (Olonne sur Mer)-.")</f>
        <v>08h45 85340 Les Sables d'Olonne (Olonne sur Mer)-.</v>
      </c>
    </row>
    <row r="181" spans="1:12" ht="15.75" customHeight="1" x14ac:dyDescent="0.2">
      <c r="A181" s="94" t="s">
        <v>267</v>
      </c>
      <c r="B181" s="91">
        <v>0</v>
      </c>
      <c r="C181" s="91">
        <v>1</v>
      </c>
      <c r="H181" s="91" t="e">
        <f t="shared" ca="1" si="0"/>
        <v>#REF!</v>
      </c>
      <c r="I181" s="91" t="e">
        <f t="shared" ca="1" si="1"/>
        <v>#REF!</v>
      </c>
      <c r="J181" s="91" t="str">
        <f ca="1">IFERROR(__xludf.DUMMYFUNCTION("""COMPUTED_VALUE"""),"")</f>
        <v/>
      </c>
      <c r="K181" s="91" t="str">
        <f ca="1">IFERROR(__xludf.DUMMYFUNCTION("""COMPUTED_VALUE"""),"")</f>
        <v/>
      </c>
      <c r="L181" s="94" t="str">
        <f ca="1">IFERROR(__xludf.DUMMYFUNCTION("""COMPUTED_VALUE"""),"08h45 85340 Les Sables d'Olonne (Olonne sur Mer)")</f>
        <v>08h45 85340 Les Sables d'Olonne (Olonne sur Mer)</v>
      </c>
    </row>
    <row r="182" spans="1:12" ht="15.75" customHeight="1" x14ac:dyDescent="0.2">
      <c r="A182" s="94" t="s">
        <v>59</v>
      </c>
      <c r="B182" s="91">
        <v>0</v>
      </c>
      <c r="C182" s="91">
        <v>1</v>
      </c>
      <c r="H182" s="91" t="e">
        <f t="shared" ca="1" si="0"/>
        <v>#REF!</v>
      </c>
      <c r="I182" s="91" t="e">
        <f t="shared" ca="1" si="1"/>
        <v>#REF!</v>
      </c>
      <c r="J182" s="91" t="str">
        <f ca="1">IFERROR(__xludf.DUMMYFUNCTION("""COMPUTED_VALUE"""),"")</f>
        <v/>
      </c>
      <c r="K182" s="91" t="str">
        <f ca="1">IFERROR(__xludf.DUMMYFUNCTION("""COMPUTED_VALUE"""),"")</f>
        <v/>
      </c>
      <c r="L182" s="94" t="str">
        <f ca="1">IFERROR(__xludf.DUMMYFUNCTION("""COMPUTED_VALUE"""),"08h45 85180 Les Sables d'Olonne (le Château d'Olonne)-.")</f>
        <v>08h45 85180 Les Sables d'Olonne (le Château d'Olonne)-.</v>
      </c>
    </row>
    <row r="183" spans="1:12" ht="15.75" customHeight="1" x14ac:dyDescent="0.2">
      <c r="A183" s="94" t="s">
        <v>268</v>
      </c>
      <c r="B183" s="91">
        <v>0</v>
      </c>
      <c r="C183" s="91">
        <v>1</v>
      </c>
      <c r="H183" s="91" t="e">
        <f t="shared" ca="1" si="0"/>
        <v>#REF!</v>
      </c>
      <c r="I183" s="91" t="e">
        <f t="shared" ca="1" si="1"/>
        <v>#REF!</v>
      </c>
      <c r="J183" s="91" t="str">
        <f ca="1">IFERROR(__xludf.DUMMYFUNCTION("""COMPUTED_VALUE"""),"")</f>
        <v/>
      </c>
      <c r="K183" s="91" t="str">
        <f ca="1">IFERROR(__xludf.DUMMYFUNCTION("""COMPUTED_VALUE"""),"")</f>
        <v/>
      </c>
      <c r="L183" s="94" t="str">
        <f ca="1">IFERROR(__xludf.DUMMYFUNCTION("""COMPUTED_VALUE"""),"08h45 85180 Les Sables d'Olonne (le Château d'Olonne)")</f>
        <v>08h45 85180 Les Sables d'Olonne (le Château d'Olonne)</v>
      </c>
    </row>
    <row r="184" spans="1:12" ht="15.75" customHeight="1" x14ac:dyDescent="0.2">
      <c r="A184" s="94" t="s">
        <v>37</v>
      </c>
      <c r="B184" s="91">
        <v>0</v>
      </c>
      <c r="C184" s="91">
        <v>1</v>
      </c>
      <c r="H184" s="91" t="e">
        <f t="shared" ca="1" si="0"/>
        <v>#REF!</v>
      </c>
      <c r="I184" s="91" t="e">
        <f t="shared" ca="1" si="1"/>
        <v>#REF!</v>
      </c>
      <c r="J184" s="91" t="str">
        <f ca="1">IFERROR(__xludf.DUMMYFUNCTION("""COMPUTED_VALUE"""),"")</f>
        <v/>
      </c>
      <c r="K184" s="91" t="str">
        <f ca="1">IFERROR(__xludf.DUMMYFUNCTION("""COMPUTED_VALUE"""),"")</f>
        <v/>
      </c>
      <c r="L184" s="94" t="str">
        <f ca="1">IFERROR(__xludf.DUMMYFUNCTION("""COMPUTED_VALUE"""),"08h45 85150 Saint-Mathurin")</f>
        <v>08h45 85150 Saint-Mathurin</v>
      </c>
    </row>
    <row r="185" spans="1:12" ht="15.75" customHeight="1" x14ac:dyDescent="0.2">
      <c r="A185" s="94" t="s">
        <v>269</v>
      </c>
      <c r="B185" s="91">
        <v>0</v>
      </c>
      <c r="C185" s="91">
        <v>1</v>
      </c>
      <c r="H185" s="91" t="e">
        <f t="shared" ca="1" si="0"/>
        <v>#REF!</v>
      </c>
      <c r="I185" s="91" t="e">
        <f t="shared" ca="1" si="1"/>
        <v>#REF!</v>
      </c>
      <c r="J185" s="91" t="str">
        <f ca="1">IFERROR(__xludf.DUMMYFUNCTION("""COMPUTED_VALUE"""),"")</f>
        <v/>
      </c>
      <c r="K185" s="91" t="str">
        <f ca="1">IFERROR(__xludf.DUMMYFUNCTION("""COMPUTED_VALUE"""),"")</f>
        <v/>
      </c>
      <c r="L185" s="94" t="str">
        <f ca="1">IFERROR(__xludf.DUMMYFUNCTION("""COMPUTED_VALUE"""),"08h50 85100 Les Sables d'Olonne (les Sables d'Olonne)-.")</f>
        <v>08h50 85100 Les Sables d'Olonne (les Sables d'Olonne)-.</v>
      </c>
    </row>
    <row r="186" spans="1:12" ht="15.75" customHeight="1" x14ac:dyDescent="0.2">
      <c r="A186" s="94" t="s">
        <v>270</v>
      </c>
      <c r="B186" s="91">
        <v>0</v>
      </c>
      <c r="C186" s="91">
        <v>1</v>
      </c>
      <c r="H186" s="91" t="e">
        <f t="shared" ca="1" si="0"/>
        <v>#REF!</v>
      </c>
      <c r="I186" s="91" t="e">
        <f t="shared" ca="1" si="1"/>
        <v>#REF!</v>
      </c>
      <c r="J186" s="91" t="str">
        <f ca="1">IFERROR(__xludf.DUMMYFUNCTION("""COMPUTED_VALUE"""),"")</f>
        <v/>
      </c>
      <c r="K186" s="91" t="str">
        <f ca="1">IFERROR(__xludf.DUMMYFUNCTION("""COMPUTED_VALUE"""),"")</f>
        <v/>
      </c>
      <c r="L186" s="94" t="str">
        <f ca="1">IFERROR(__xludf.DUMMYFUNCTION("""COMPUTED_VALUE"""),"08h50 85100 Les Sables d'Olonne (les Sables d'Olonne)")</f>
        <v>08h50 85100 Les Sables d'Olonne (les Sables d'Olonne)</v>
      </c>
    </row>
    <row r="187" spans="1:12" ht="15.75" customHeight="1" x14ac:dyDescent="0.2">
      <c r="A187" s="94" t="s">
        <v>271</v>
      </c>
      <c r="B187" s="91">
        <v>0</v>
      </c>
      <c r="C187" s="91">
        <v>1</v>
      </c>
      <c r="H187" s="91" t="e">
        <f t="shared" ca="1" si="0"/>
        <v>#REF!</v>
      </c>
      <c r="I187" s="91" t="e">
        <f t="shared" ca="1" si="1"/>
        <v>#REF!</v>
      </c>
      <c r="J187" s="91" t="str">
        <f ca="1">IFERROR(__xludf.DUMMYFUNCTION("""COMPUTED_VALUE"""),"")</f>
        <v/>
      </c>
      <c r="K187" s="91" t="str">
        <f ca="1">IFERROR(__xludf.DUMMYFUNCTION("""COMPUTED_VALUE"""),"")</f>
        <v/>
      </c>
      <c r="L187" s="94" t="str">
        <f ca="1">IFERROR(__xludf.DUMMYFUNCTION("""COMPUTED_VALUE"""),"08h50 85100 Les Sables d'Olonne ( la Chaume)")</f>
        <v>08h50 85100 Les Sables d'Olonne ( la Chaume)</v>
      </c>
    </row>
    <row r="188" spans="1:12" ht="15.75" customHeight="1" x14ac:dyDescent="0.2">
      <c r="A188" s="94" t="s">
        <v>105</v>
      </c>
      <c r="B188" s="91">
        <v>0</v>
      </c>
      <c r="C188" s="91">
        <v>1</v>
      </c>
      <c r="H188" s="91" t="e">
        <f t="shared" ca="1" si="0"/>
        <v>#REF!</v>
      </c>
      <c r="I188" s="91" t="e">
        <f t="shared" ca="1" si="1"/>
        <v>#REF!</v>
      </c>
      <c r="J188" s="91" t="str">
        <f ca="1">IFERROR(__xludf.DUMMYFUNCTION("""COMPUTED_VALUE"""),"")</f>
        <v/>
      </c>
      <c r="K188" s="91" t="str">
        <f ca="1">IFERROR(__xludf.DUMMYFUNCTION("""COMPUTED_VALUE"""),"")</f>
        <v/>
      </c>
      <c r="L188" s="94" t="str">
        <f ca="1">IFERROR(__xludf.DUMMYFUNCTION("""COMPUTED_VALUE"""),"08h50 85340 Les Sables d'Olonne (Olonne sur Mer)-.")</f>
        <v>08h50 85340 Les Sables d'Olonne (Olonne sur Mer)-.</v>
      </c>
    </row>
    <row r="189" spans="1:12" ht="15.75" customHeight="1" x14ac:dyDescent="0.2">
      <c r="A189" s="94" t="s">
        <v>104</v>
      </c>
      <c r="B189" s="91">
        <v>0</v>
      </c>
      <c r="C189" s="91">
        <v>1</v>
      </c>
      <c r="H189" s="91" t="e">
        <f t="shared" ca="1" si="0"/>
        <v>#REF!</v>
      </c>
      <c r="I189" s="91" t="e">
        <f t="shared" ca="1" si="1"/>
        <v>#REF!</v>
      </c>
      <c r="J189" s="91" t="str">
        <f ca="1">IFERROR(__xludf.DUMMYFUNCTION("""COMPUTED_VALUE"""),"")</f>
        <v/>
      </c>
      <c r="K189" s="91" t="str">
        <f ca="1">IFERROR(__xludf.DUMMYFUNCTION("""COMPUTED_VALUE"""),"")</f>
        <v/>
      </c>
      <c r="L189" s="94" t="str">
        <f ca="1">IFERROR(__xludf.DUMMYFUNCTION("""COMPUTED_VALUE"""),"08h50 85340 Les Sables d'Olonne (Olonne sur Mer)")</f>
        <v>08h50 85340 Les Sables d'Olonne (Olonne sur Mer)</v>
      </c>
    </row>
    <row r="190" spans="1:12" ht="15.75" customHeight="1" x14ac:dyDescent="0.2">
      <c r="A190" s="94" t="s">
        <v>60</v>
      </c>
      <c r="B190" s="91">
        <v>0</v>
      </c>
      <c r="C190" s="91">
        <v>1</v>
      </c>
      <c r="H190" s="91" t="e">
        <f t="shared" ca="1" si="0"/>
        <v>#REF!</v>
      </c>
      <c r="I190" s="91" t="e">
        <f t="shared" ca="1" si="1"/>
        <v>#REF!</v>
      </c>
      <c r="J190" s="91" t="str">
        <f ca="1">IFERROR(__xludf.DUMMYFUNCTION("""COMPUTED_VALUE"""),"")</f>
        <v/>
      </c>
      <c r="K190" s="91" t="str">
        <f ca="1">IFERROR(__xludf.DUMMYFUNCTION("""COMPUTED_VALUE"""),"")</f>
        <v/>
      </c>
      <c r="L190" s="94" t="str">
        <f ca="1">IFERROR(__xludf.DUMMYFUNCTION("""COMPUTED_VALUE"""),"08h50 85180 Les Sables d'Olonne (le Château d'Olonne)-.")</f>
        <v>08h50 85180 Les Sables d'Olonne (le Château d'Olonne)-.</v>
      </c>
    </row>
    <row r="191" spans="1:12" ht="15.75" customHeight="1" x14ac:dyDescent="0.2">
      <c r="A191" s="94" t="s">
        <v>272</v>
      </c>
      <c r="B191" s="91">
        <v>0</v>
      </c>
      <c r="C191" s="91">
        <v>1</v>
      </c>
      <c r="H191" s="91" t="e">
        <f t="shared" ca="1" si="0"/>
        <v>#REF!</v>
      </c>
      <c r="I191" s="91" t="e">
        <f t="shared" ca="1" si="1"/>
        <v>#REF!</v>
      </c>
      <c r="J191" s="91" t="str">
        <f ca="1">IFERROR(__xludf.DUMMYFUNCTION("""COMPUTED_VALUE"""),"")</f>
        <v/>
      </c>
      <c r="K191" s="91" t="str">
        <f ca="1">IFERROR(__xludf.DUMMYFUNCTION("""COMPUTED_VALUE"""),"")</f>
        <v/>
      </c>
      <c r="L191" s="94" t="str">
        <f ca="1">IFERROR(__xludf.DUMMYFUNCTION("""COMPUTED_VALUE"""),"08h50 85180 Les Sables d'Olonne (le Château d'Olonne)")</f>
        <v>08h50 85180 Les Sables d'Olonne (le Château d'Olonne)</v>
      </c>
    </row>
    <row r="192" spans="1:12" ht="15.75" customHeight="1" x14ac:dyDescent="0.2">
      <c r="A192" s="94" t="s">
        <v>38</v>
      </c>
      <c r="B192" s="91">
        <v>0</v>
      </c>
      <c r="C192" s="91">
        <v>1</v>
      </c>
      <c r="H192" s="91" t="e">
        <f t="shared" ca="1" si="0"/>
        <v>#REF!</v>
      </c>
      <c r="I192" s="91" t="e">
        <f t="shared" ca="1" si="1"/>
        <v>#REF!</v>
      </c>
      <c r="J192" s="91" t="str">
        <f ca="1">IFERROR(__xludf.DUMMYFUNCTION("""COMPUTED_VALUE"""),"")</f>
        <v/>
      </c>
      <c r="K192" s="91" t="str">
        <f ca="1">IFERROR(__xludf.DUMMYFUNCTION("""COMPUTED_VALUE"""),"")</f>
        <v/>
      </c>
      <c r="L192" s="94" t="str">
        <f ca="1">IFERROR(__xludf.DUMMYFUNCTION("""COMPUTED_VALUE"""),"08h50 85150 Saint-Mathurin")</f>
        <v>08h50 85150 Saint-Mathurin</v>
      </c>
    </row>
    <row r="193" spans="1:12" ht="15.75" customHeight="1" x14ac:dyDescent="0.2">
      <c r="A193" s="94" t="s">
        <v>30</v>
      </c>
      <c r="B193" s="91">
        <v>0</v>
      </c>
      <c r="C193" s="91">
        <v>1</v>
      </c>
      <c r="H193" s="91" t="e">
        <f t="shared" ca="1" si="0"/>
        <v>#REF!</v>
      </c>
      <c r="I193" s="91" t="e">
        <f t="shared" ca="1" si="1"/>
        <v>#REF!</v>
      </c>
      <c r="J193" s="91" t="str">
        <f ca="1">IFERROR(__xludf.DUMMYFUNCTION("""COMPUTED_VALUE"""),"")</f>
        <v/>
      </c>
      <c r="K193" s="91" t="str">
        <f ca="1">IFERROR(__xludf.DUMMYFUNCTION("""COMPUTED_VALUE"""),"")</f>
        <v/>
      </c>
      <c r="L193" s="94" t="str">
        <f ca="1">IFERROR(__xludf.DUMMYFUNCTION("""COMPUTED_VALUE"""),"08h55 85100 Les Sables d'Olonne (les Sables d'Olonne)-.")</f>
        <v>08h55 85100 Les Sables d'Olonne (les Sables d'Olonne)-.</v>
      </c>
    </row>
    <row r="194" spans="1:12" ht="15.75" customHeight="1" x14ac:dyDescent="0.2">
      <c r="A194" s="94" t="s">
        <v>273</v>
      </c>
      <c r="B194" s="91">
        <v>0</v>
      </c>
      <c r="C194" s="91">
        <v>1</v>
      </c>
      <c r="H194" s="91" t="e">
        <f t="shared" ca="1" si="0"/>
        <v>#REF!</v>
      </c>
      <c r="I194" s="91" t="e">
        <f t="shared" ca="1" si="1"/>
        <v>#REF!</v>
      </c>
      <c r="J194" s="91" t="str">
        <f ca="1">IFERROR(__xludf.DUMMYFUNCTION("""COMPUTED_VALUE"""),"")</f>
        <v/>
      </c>
      <c r="K194" s="91" t="str">
        <f ca="1">IFERROR(__xludf.DUMMYFUNCTION("""COMPUTED_VALUE"""),"")</f>
        <v/>
      </c>
      <c r="L194" s="94" t="str">
        <f ca="1">IFERROR(__xludf.DUMMYFUNCTION("""COMPUTED_VALUE"""),"08h55 85100 Les Sables d'Olonne (les Sables d'Olonne)")</f>
        <v>08h55 85100 Les Sables d'Olonne (les Sables d'Olonne)</v>
      </c>
    </row>
    <row r="195" spans="1:12" ht="15.75" customHeight="1" x14ac:dyDescent="0.2">
      <c r="A195" s="94" t="s">
        <v>21</v>
      </c>
      <c r="B195" s="91">
        <v>0</v>
      </c>
      <c r="C195" s="91">
        <v>1</v>
      </c>
      <c r="H195" s="91" t="e">
        <f t="shared" ca="1" si="0"/>
        <v>#REF!</v>
      </c>
      <c r="I195" s="91" t="e">
        <f t="shared" ca="1" si="1"/>
        <v>#REF!</v>
      </c>
      <c r="J195" s="91" t="str">
        <f ca="1">IFERROR(__xludf.DUMMYFUNCTION("""COMPUTED_VALUE"""),"")</f>
        <v/>
      </c>
      <c r="K195" s="91" t="str">
        <f ca="1">IFERROR(__xludf.DUMMYFUNCTION("""COMPUTED_VALUE"""),"")</f>
        <v/>
      </c>
      <c r="L195" s="94" t="str">
        <f ca="1">IFERROR(__xludf.DUMMYFUNCTION("""COMPUTED_VALUE"""),"08h55 85100 Les Sables d'Olonne ( la Chaume)")</f>
        <v>08h55 85100 Les Sables d'Olonne ( la Chaume)</v>
      </c>
    </row>
    <row r="196" spans="1:12" ht="15.75" customHeight="1" x14ac:dyDescent="0.2">
      <c r="A196" s="94" t="s">
        <v>107</v>
      </c>
      <c r="B196" s="91">
        <v>0</v>
      </c>
      <c r="C196" s="91">
        <v>1</v>
      </c>
      <c r="H196" s="91" t="e">
        <f t="shared" ca="1" si="0"/>
        <v>#REF!</v>
      </c>
      <c r="I196" s="91" t="e">
        <f t="shared" ca="1" si="1"/>
        <v>#REF!</v>
      </c>
      <c r="J196" s="91" t="str">
        <f ca="1">IFERROR(__xludf.DUMMYFUNCTION("""COMPUTED_VALUE"""),"")</f>
        <v/>
      </c>
      <c r="K196" s="91" t="str">
        <f ca="1">IFERROR(__xludf.DUMMYFUNCTION("""COMPUTED_VALUE"""),"")</f>
        <v/>
      </c>
      <c r="L196" s="94" t="str">
        <f ca="1">IFERROR(__xludf.DUMMYFUNCTION("""COMPUTED_VALUE"""),"08h55 85340 Les Sables d'Olonne (Olonne sur Mer)-.")</f>
        <v>08h55 85340 Les Sables d'Olonne (Olonne sur Mer)-.</v>
      </c>
    </row>
    <row r="197" spans="1:12" ht="15.75" customHeight="1" x14ac:dyDescent="0.2">
      <c r="A197" s="94" t="s">
        <v>106</v>
      </c>
      <c r="B197" s="91">
        <v>0</v>
      </c>
      <c r="C197" s="91">
        <v>1</v>
      </c>
      <c r="H197" s="91" t="e">
        <f t="shared" ca="1" si="0"/>
        <v>#REF!</v>
      </c>
      <c r="I197" s="91" t="e">
        <f t="shared" ca="1" si="1"/>
        <v>#REF!</v>
      </c>
      <c r="J197" s="91" t="str">
        <f ca="1">IFERROR(__xludf.DUMMYFUNCTION("""COMPUTED_VALUE"""),"")</f>
        <v/>
      </c>
      <c r="K197" s="91" t="str">
        <f ca="1">IFERROR(__xludf.DUMMYFUNCTION("""COMPUTED_VALUE"""),"")</f>
        <v/>
      </c>
      <c r="L197" s="94" t="str">
        <f ca="1">IFERROR(__xludf.DUMMYFUNCTION("""COMPUTED_VALUE"""),"08h55 85340 Les Sables d'Olonne (Olonne sur Mer)")</f>
        <v>08h55 85340 Les Sables d'Olonne (Olonne sur Mer)</v>
      </c>
    </row>
    <row r="198" spans="1:12" ht="15.75" customHeight="1" x14ac:dyDescent="0.2">
      <c r="A198" s="94" t="s">
        <v>62</v>
      </c>
      <c r="B198" s="91">
        <v>0</v>
      </c>
      <c r="C198" s="91">
        <v>1</v>
      </c>
      <c r="H198" s="91" t="e">
        <f t="shared" ca="1" si="0"/>
        <v>#REF!</v>
      </c>
      <c r="I198" s="91" t="e">
        <f t="shared" ca="1" si="1"/>
        <v>#REF!</v>
      </c>
      <c r="J198" s="91" t="str">
        <f ca="1">IFERROR(__xludf.DUMMYFUNCTION("""COMPUTED_VALUE"""),"")</f>
        <v/>
      </c>
      <c r="K198" s="91" t="str">
        <f ca="1">IFERROR(__xludf.DUMMYFUNCTION("""COMPUTED_VALUE"""),"")</f>
        <v/>
      </c>
      <c r="L198" s="94" t="str">
        <f ca="1">IFERROR(__xludf.DUMMYFUNCTION("""COMPUTED_VALUE"""),"08h55 85180 Les Sables d'Olonne (le Château d'Olonne)-.")</f>
        <v>08h55 85180 Les Sables d'Olonne (le Château d'Olonne)-.</v>
      </c>
    </row>
    <row r="199" spans="1:12" ht="15.75" customHeight="1" x14ac:dyDescent="0.2">
      <c r="A199" s="94" t="s">
        <v>61</v>
      </c>
      <c r="B199" s="91">
        <v>0</v>
      </c>
      <c r="C199" s="91">
        <v>1</v>
      </c>
      <c r="H199" s="91" t="e">
        <f t="shared" ca="1" si="0"/>
        <v>#REF!</v>
      </c>
      <c r="I199" s="91" t="e">
        <f t="shared" ca="1" si="1"/>
        <v>#REF!</v>
      </c>
      <c r="J199" s="91" t="str">
        <f ca="1">IFERROR(__xludf.DUMMYFUNCTION("""COMPUTED_VALUE"""),"")</f>
        <v/>
      </c>
      <c r="K199" s="91" t="str">
        <f ca="1">IFERROR(__xludf.DUMMYFUNCTION("""COMPUTED_VALUE"""),"")</f>
        <v/>
      </c>
      <c r="L199" s="94" t="str">
        <f ca="1">IFERROR(__xludf.DUMMYFUNCTION("""COMPUTED_VALUE"""),"08h55 85180 Les Sables d'Olonne (le Château d'Olonne)")</f>
        <v>08h55 85180 Les Sables d'Olonne (le Château d'Olonne)</v>
      </c>
    </row>
    <row r="200" spans="1:12" ht="15.75" customHeight="1" x14ac:dyDescent="0.2">
      <c r="A200" s="94" t="s">
        <v>39</v>
      </c>
      <c r="B200" s="91">
        <v>0</v>
      </c>
      <c r="C200" s="91">
        <v>1</v>
      </c>
      <c r="H200" s="91" t="e">
        <f t="shared" ca="1" si="0"/>
        <v>#REF!</v>
      </c>
      <c r="I200" s="91" t="e">
        <f t="shared" ca="1" si="1"/>
        <v>#REF!</v>
      </c>
      <c r="J200" s="91" t="str">
        <f ca="1">IFERROR(__xludf.DUMMYFUNCTION("""COMPUTED_VALUE"""),"")</f>
        <v/>
      </c>
      <c r="K200" s="91" t="str">
        <f ca="1">IFERROR(__xludf.DUMMYFUNCTION("""COMPUTED_VALUE"""),"")</f>
        <v/>
      </c>
      <c r="L200" s="94" t="str">
        <f ca="1">IFERROR(__xludf.DUMMYFUNCTION("""COMPUTED_VALUE"""),"08h55 85150 Saint-Mathurin")</f>
        <v>08h55 85150 Saint-Mathurin</v>
      </c>
    </row>
    <row r="201" spans="1:12" ht="15.75" customHeight="1" x14ac:dyDescent="0.2">
      <c r="A201" s="94" t="s">
        <v>31</v>
      </c>
      <c r="B201" s="91">
        <v>0</v>
      </c>
      <c r="C201" s="91">
        <v>1</v>
      </c>
      <c r="H201" s="91" t="e">
        <f t="shared" ca="1" si="0"/>
        <v>#REF!</v>
      </c>
      <c r="I201" s="91" t="e">
        <f t="shared" ca="1" si="1"/>
        <v>#REF!</v>
      </c>
      <c r="J201" s="91" t="str">
        <f ca="1">IFERROR(__xludf.DUMMYFUNCTION("""COMPUTED_VALUE"""),"")</f>
        <v/>
      </c>
      <c r="K201" s="91" t="str">
        <f ca="1">IFERROR(__xludf.DUMMYFUNCTION("""COMPUTED_VALUE"""),"")</f>
        <v/>
      </c>
      <c r="L201" s="94" t="str">
        <f ca="1">IFERROR(__xludf.DUMMYFUNCTION("""COMPUTED_VALUE"""),"09h00 85100 Les Sables d'Olonne (les Sables d'Olonne)-.")</f>
        <v>09h00 85100 Les Sables d'Olonne (les Sables d'Olonne)-.</v>
      </c>
    </row>
    <row r="202" spans="1:12" ht="15.75" customHeight="1" x14ac:dyDescent="0.2">
      <c r="A202" s="94" t="s">
        <v>274</v>
      </c>
      <c r="B202" s="91">
        <v>0</v>
      </c>
      <c r="C202" s="91">
        <v>1</v>
      </c>
      <c r="H202" s="91" t="e">
        <f t="shared" ca="1" si="0"/>
        <v>#REF!</v>
      </c>
      <c r="I202" s="91" t="e">
        <f t="shared" ca="1" si="1"/>
        <v>#REF!</v>
      </c>
      <c r="J202" s="91" t="str">
        <f ca="1">IFERROR(__xludf.DUMMYFUNCTION("""COMPUTED_VALUE"""),"")</f>
        <v/>
      </c>
      <c r="K202" s="91" t="str">
        <f ca="1">IFERROR(__xludf.DUMMYFUNCTION("""COMPUTED_VALUE"""),"")</f>
        <v/>
      </c>
      <c r="L202" s="94" t="str">
        <f ca="1">IFERROR(__xludf.DUMMYFUNCTION("""COMPUTED_VALUE"""),"09h00 85100 Les Sables d'Olonne (les Sables d'Olonne)")</f>
        <v>09h00 85100 Les Sables d'Olonne (les Sables d'Olonne)</v>
      </c>
    </row>
    <row r="203" spans="1:12" ht="15.75" customHeight="1" x14ac:dyDescent="0.2">
      <c r="A203" s="94" t="s">
        <v>22</v>
      </c>
      <c r="B203" s="91">
        <v>0</v>
      </c>
      <c r="C203" s="91">
        <v>1</v>
      </c>
      <c r="H203" s="91" t="e">
        <f t="shared" ca="1" si="0"/>
        <v>#REF!</v>
      </c>
      <c r="I203" s="91" t="e">
        <f t="shared" ca="1" si="1"/>
        <v>#REF!</v>
      </c>
      <c r="J203" s="91" t="str">
        <f ca="1">IFERROR(__xludf.DUMMYFUNCTION("""COMPUTED_VALUE"""),"")</f>
        <v/>
      </c>
      <c r="K203" s="91" t="str">
        <f ca="1">IFERROR(__xludf.DUMMYFUNCTION("""COMPUTED_VALUE"""),"")</f>
        <v/>
      </c>
      <c r="L203" s="94" t="str">
        <f ca="1">IFERROR(__xludf.DUMMYFUNCTION("""COMPUTED_VALUE"""),"09h00 85100 Les Sables d'Olonne ( la Chaume)")</f>
        <v>09h00 85100 Les Sables d'Olonne ( la Chaume)</v>
      </c>
    </row>
    <row r="204" spans="1:12" ht="15.75" customHeight="1" x14ac:dyDescent="0.2">
      <c r="A204" s="94" t="s">
        <v>108</v>
      </c>
      <c r="B204" s="91">
        <v>0</v>
      </c>
      <c r="C204" s="91">
        <v>1</v>
      </c>
      <c r="H204" s="91" t="e">
        <f t="shared" ca="1" si="0"/>
        <v>#REF!</v>
      </c>
      <c r="I204" s="91" t="e">
        <f t="shared" ca="1" si="1"/>
        <v>#REF!</v>
      </c>
      <c r="J204" s="91" t="str">
        <f ca="1">IFERROR(__xludf.DUMMYFUNCTION("""COMPUTED_VALUE"""),"")</f>
        <v/>
      </c>
      <c r="K204" s="91" t="str">
        <f ca="1">IFERROR(__xludf.DUMMYFUNCTION("""COMPUTED_VALUE"""),"")</f>
        <v/>
      </c>
      <c r="L204" s="94" t="str">
        <f ca="1">IFERROR(__xludf.DUMMYFUNCTION("""COMPUTED_VALUE"""),"09h00 85340 Les Sables d'Olonne (Olonne sur Mer)-.")</f>
        <v>09h00 85340 Les Sables d'Olonne (Olonne sur Mer)-.</v>
      </c>
    </row>
    <row r="205" spans="1:12" ht="15.75" customHeight="1" x14ac:dyDescent="0.2">
      <c r="A205" s="94" t="s">
        <v>275</v>
      </c>
      <c r="B205" s="91">
        <v>0</v>
      </c>
      <c r="C205" s="91">
        <v>1</v>
      </c>
      <c r="H205" s="91" t="e">
        <f t="shared" ca="1" si="0"/>
        <v>#REF!</v>
      </c>
      <c r="I205" s="91" t="e">
        <f t="shared" ca="1" si="1"/>
        <v>#REF!</v>
      </c>
      <c r="J205" s="91" t="str">
        <f ca="1">IFERROR(__xludf.DUMMYFUNCTION("""COMPUTED_VALUE"""),"")</f>
        <v/>
      </c>
      <c r="K205" s="91" t="str">
        <f ca="1">IFERROR(__xludf.DUMMYFUNCTION("""COMPUTED_VALUE"""),"")</f>
        <v/>
      </c>
      <c r="L205" s="94" t="str">
        <f ca="1">IFERROR(__xludf.DUMMYFUNCTION("""COMPUTED_VALUE"""),"09h00 85340 Les Sables d'Olonne (Olonne sur Mer)")</f>
        <v>09h00 85340 Les Sables d'Olonne (Olonne sur Mer)</v>
      </c>
    </row>
    <row r="206" spans="1:12" ht="15.75" customHeight="1" x14ac:dyDescent="0.2">
      <c r="A206" s="94" t="s">
        <v>64</v>
      </c>
      <c r="B206" s="91">
        <v>0</v>
      </c>
      <c r="C206" s="91">
        <v>1</v>
      </c>
      <c r="H206" s="91" t="e">
        <f t="shared" ca="1" si="0"/>
        <v>#REF!</v>
      </c>
      <c r="I206" s="91" t="e">
        <f t="shared" ca="1" si="1"/>
        <v>#REF!</v>
      </c>
      <c r="J206" s="91" t="str">
        <f ca="1">IFERROR(__xludf.DUMMYFUNCTION("""COMPUTED_VALUE"""),"")</f>
        <v/>
      </c>
      <c r="K206" s="91" t="str">
        <f ca="1">IFERROR(__xludf.DUMMYFUNCTION("""COMPUTED_VALUE"""),"")</f>
        <v/>
      </c>
      <c r="L206" s="94" t="str">
        <f ca="1">IFERROR(__xludf.DUMMYFUNCTION("""COMPUTED_VALUE"""),"09h00 85180 Les Sables d'Olonne (le Château d'Olonne)-.")</f>
        <v>09h00 85180 Les Sables d'Olonne (le Château d'Olonne)-.</v>
      </c>
    </row>
    <row r="207" spans="1:12" ht="15.75" customHeight="1" x14ac:dyDescent="0.2">
      <c r="A207" s="94" t="s">
        <v>63</v>
      </c>
      <c r="B207" s="91">
        <v>0</v>
      </c>
      <c r="C207" s="91">
        <v>1</v>
      </c>
      <c r="H207" s="91" t="e">
        <f t="shared" ca="1" si="0"/>
        <v>#REF!</v>
      </c>
      <c r="I207" s="91" t="e">
        <f t="shared" ca="1" si="1"/>
        <v>#REF!</v>
      </c>
      <c r="J207" s="91" t="str">
        <f ca="1">IFERROR(__xludf.DUMMYFUNCTION("""COMPUTED_VALUE"""),"")</f>
        <v/>
      </c>
      <c r="K207" s="91" t="str">
        <f ca="1">IFERROR(__xludf.DUMMYFUNCTION("""COMPUTED_VALUE"""),"")</f>
        <v/>
      </c>
      <c r="L207" s="94" t="str">
        <f ca="1">IFERROR(__xludf.DUMMYFUNCTION("""COMPUTED_VALUE"""),"09h00 85180 Les Sables d'Olonne (le Château d'Olonne)")</f>
        <v>09h00 85180 Les Sables d'Olonne (le Château d'Olonne)</v>
      </c>
    </row>
    <row r="208" spans="1:12" ht="15.75" customHeight="1" x14ac:dyDescent="0.2">
      <c r="A208" s="94" t="s">
        <v>40</v>
      </c>
      <c r="B208" s="91">
        <v>0</v>
      </c>
      <c r="C208" s="91">
        <v>1</v>
      </c>
      <c r="H208" s="91" t="e">
        <f t="shared" ca="1" si="0"/>
        <v>#REF!</v>
      </c>
      <c r="I208" s="91" t="e">
        <f t="shared" ca="1" si="1"/>
        <v>#REF!</v>
      </c>
      <c r="J208" s="91" t="str">
        <f ca="1">IFERROR(__xludf.DUMMYFUNCTION("""COMPUTED_VALUE"""),"")</f>
        <v/>
      </c>
      <c r="K208" s="91" t="str">
        <f ca="1">IFERROR(__xludf.DUMMYFUNCTION("""COMPUTED_VALUE"""),"")</f>
        <v/>
      </c>
      <c r="L208" s="94" t="str">
        <f ca="1">IFERROR(__xludf.DUMMYFUNCTION("""COMPUTED_VALUE"""),"09h00 85150 Saint-Mathurin")</f>
        <v>09h00 85150 Saint-Mathurin</v>
      </c>
    </row>
    <row r="209" spans="1:12" ht="15.75" customHeight="1" x14ac:dyDescent="0.2">
      <c r="A209" s="94" t="s">
        <v>32</v>
      </c>
      <c r="B209" s="91">
        <v>0</v>
      </c>
      <c r="C209" s="91">
        <v>1</v>
      </c>
      <c r="H209" s="91" t="e">
        <f t="shared" ca="1" si="0"/>
        <v>#REF!</v>
      </c>
      <c r="I209" s="91" t="e">
        <f t="shared" ca="1" si="1"/>
        <v>#REF!</v>
      </c>
      <c r="J209" s="91" t="str">
        <f ca="1">IFERROR(__xludf.DUMMYFUNCTION("""COMPUTED_VALUE"""),"")</f>
        <v/>
      </c>
      <c r="K209" s="91" t="str">
        <f ca="1">IFERROR(__xludf.DUMMYFUNCTION("""COMPUTED_VALUE"""),"")</f>
        <v/>
      </c>
      <c r="L209" s="94" t="str">
        <f ca="1">IFERROR(__xludf.DUMMYFUNCTION("""COMPUTED_VALUE"""),"09h05 85100 Les Sables d'Olonne (les Sables d'Olonne)-.")</f>
        <v>09h05 85100 Les Sables d'Olonne (les Sables d'Olonne)-.</v>
      </c>
    </row>
    <row r="210" spans="1:12" ht="15.75" customHeight="1" x14ac:dyDescent="0.2">
      <c r="A210" s="94" t="s">
        <v>276</v>
      </c>
      <c r="B210" s="91">
        <v>0</v>
      </c>
      <c r="C210" s="91">
        <v>1</v>
      </c>
      <c r="H210" s="91" t="e">
        <f t="shared" ca="1" si="0"/>
        <v>#REF!</v>
      </c>
      <c r="I210" s="91" t="e">
        <f t="shared" ca="1" si="1"/>
        <v>#REF!</v>
      </c>
      <c r="J210" s="91" t="str">
        <f ca="1">IFERROR(__xludf.DUMMYFUNCTION("""COMPUTED_VALUE"""),"")</f>
        <v/>
      </c>
      <c r="K210" s="91" t="str">
        <f ca="1">IFERROR(__xludf.DUMMYFUNCTION("""COMPUTED_VALUE"""),"")</f>
        <v/>
      </c>
      <c r="L210" s="94" t="str">
        <f ca="1">IFERROR(__xludf.DUMMYFUNCTION("""COMPUTED_VALUE"""),"09h05 85100 Les Sables d'Olonne (les Sables d'Olonne)")</f>
        <v>09h05 85100 Les Sables d'Olonne (les Sables d'Olonne)</v>
      </c>
    </row>
    <row r="211" spans="1:12" ht="15.75" customHeight="1" x14ac:dyDescent="0.2">
      <c r="A211" s="94" t="s">
        <v>277</v>
      </c>
      <c r="B211" s="91">
        <v>0</v>
      </c>
      <c r="C211" s="91">
        <v>1</v>
      </c>
      <c r="H211" s="91" t="e">
        <f t="shared" ca="1" si="0"/>
        <v>#REF!</v>
      </c>
      <c r="I211" s="91" t="e">
        <f t="shared" ca="1" si="1"/>
        <v>#REF!</v>
      </c>
      <c r="J211" s="91" t="str">
        <f ca="1">IFERROR(__xludf.DUMMYFUNCTION("""COMPUTED_VALUE"""),"")</f>
        <v/>
      </c>
      <c r="K211" s="91" t="str">
        <f ca="1">IFERROR(__xludf.DUMMYFUNCTION("""COMPUTED_VALUE"""),"")</f>
        <v/>
      </c>
      <c r="L211" s="94" t="str">
        <f ca="1">IFERROR(__xludf.DUMMYFUNCTION("""COMPUTED_VALUE"""),"09h05 85100 Les Sables d'Olonne ( la Chaume)")</f>
        <v>09h05 85100 Les Sables d'Olonne ( la Chaume)</v>
      </c>
    </row>
    <row r="212" spans="1:12" ht="15.75" customHeight="1" x14ac:dyDescent="0.2">
      <c r="A212" s="94" t="s">
        <v>111</v>
      </c>
      <c r="B212" s="91">
        <v>0</v>
      </c>
      <c r="C212" s="91">
        <v>1</v>
      </c>
      <c r="H212" s="91" t="e">
        <f t="shared" ca="1" si="0"/>
        <v>#REF!</v>
      </c>
      <c r="I212" s="91" t="e">
        <f t="shared" ca="1" si="1"/>
        <v>#REF!</v>
      </c>
      <c r="J212" s="91" t="str">
        <f ca="1">IFERROR(__xludf.DUMMYFUNCTION("""COMPUTED_VALUE"""),"")</f>
        <v/>
      </c>
      <c r="K212" s="91" t="str">
        <f ca="1">IFERROR(__xludf.DUMMYFUNCTION("""COMPUTED_VALUE"""),"")</f>
        <v/>
      </c>
      <c r="L212" s="94" t="str">
        <f ca="1">IFERROR(__xludf.DUMMYFUNCTION("""COMPUTED_VALUE"""),"09h05 85340 Les Sables d'Olonne (Olonne sur Mer)-.")</f>
        <v>09h05 85340 Les Sables d'Olonne (Olonne sur Mer)-.</v>
      </c>
    </row>
    <row r="213" spans="1:12" ht="15.75" customHeight="1" x14ac:dyDescent="0.2">
      <c r="A213" s="94" t="s">
        <v>110</v>
      </c>
      <c r="B213" s="91">
        <v>0</v>
      </c>
      <c r="C213" s="91">
        <v>1</v>
      </c>
      <c r="H213" s="91" t="e">
        <f t="shared" ca="1" si="0"/>
        <v>#REF!</v>
      </c>
      <c r="I213" s="91" t="e">
        <f t="shared" ca="1" si="1"/>
        <v>#REF!</v>
      </c>
      <c r="J213" s="91" t="str">
        <f ca="1">IFERROR(__xludf.DUMMYFUNCTION("""COMPUTED_VALUE"""),"")</f>
        <v/>
      </c>
      <c r="K213" s="91" t="str">
        <f ca="1">IFERROR(__xludf.DUMMYFUNCTION("""COMPUTED_VALUE"""),"")</f>
        <v/>
      </c>
      <c r="L213" s="94" t="str">
        <f ca="1">IFERROR(__xludf.DUMMYFUNCTION("""COMPUTED_VALUE"""),"09h05 85340 Les Sables d'Olonne (Olonne sur Mer)")</f>
        <v>09h05 85340 Les Sables d'Olonne (Olonne sur Mer)</v>
      </c>
    </row>
    <row r="214" spans="1:12" ht="15.75" customHeight="1" x14ac:dyDescent="0.2">
      <c r="A214" s="94" t="s">
        <v>65</v>
      </c>
      <c r="B214" s="91">
        <v>0</v>
      </c>
      <c r="C214" s="91">
        <v>1</v>
      </c>
      <c r="H214" s="91" t="e">
        <f t="shared" ca="1" si="0"/>
        <v>#REF!</v>
      </c>
      <c r="I214" s="91" t="e">
        <f t="shared" ca="1" si="1"/>
        <v>#REF!</v>
      </c>
      <c r="J214" s="91" t="str">
        <f ca="1">IFERROR(__xludf.DUMMYFUNCTION("""COMPUTED_VALUE"""),"")</f>
        <v/>
      </c>
      <c r="K214" s="91" t="str">
        <f ca="1">IFERROR(__xludf.DUMMYFUNCTION("""COMPUTED_VALUE"""),"")</f>
        <v/>
      </c>
      <c r="L214" s="94" t="str">
        <f ca="1">IFERROR(__xludf.DUMMYFUNCTION("""COMPUTED_VALUE"""),"09h05 85180 Les Sables d'Olonne (le Château d'Olonne)-.")</f>
        <v>09h05 85180 Les Sables d'Olonne (le Château d'Olonne)-.</v>
      </c>
    </row>
    <row r="215" spans="1:12" ht="15.75" customHeight="1" x14ac:dyDescent="0.2">
      <c r="A215" s="94" t="s">
        <v>278</v>
      </c>
      <c r="B215" s="91">
        <v>0</v>
      </c>
      <c r="C215" s="91">
        <v>1</v>
      </c>
      <c r="H215" s="91" t="e">
        <f t="shared" ca="1" si="0"/>
        <v>#REF!</v>
      </c>
      <c r="I215" s="91" t="e">
        <f t="shared" ca="1" si="1"/>
        <v>#REF!</v>
      </c>
      <c r="J215" s="91" t="str">
        <f ca="1">IFERROR(__xludf.DUMMYFUNCTION("""COMPUTED_VALUE"""),"")</f>
        <v/>
      </c>
      <c r="K215" s="91" t="str">
        <f ca="1">IFERROR(__xludf.DUMMYFUNCTION("""COMPUTED_VALUE"""),"")</f>
        <v/>
      </c>
      <c r="L215" s="94" t="str">
        <f ca="1">IFERROR(__xludf.DUMMYFUNCTION("""COMPUTED_VALUE"""),"09h05 85180 Les Sables d'Olonne (le Château d'Olonne)")</f>
        <v>09h05 85180 Les Sables d'Olonne (le Château d'Olonne)</v>
      </c>
    </row>
    <row r="216" spans="1:12" ht="15.75" customHeight="1" x14ac:dyDescent="0.2">
      <c r="A216" s="94" t="s">
        <v>41</v>
      </c>
      <c r="B216" s="91">
        <v>0</v>
      </c>
      <c r="C216" s="91">
        <v>1</v>
      </c>
      <c r="H216" s="91" t="e">
        <f t="shared" ca="1" si="0"/>
        <v>#REF!</v>
      </c>
      <c r="I216" s="91" t="e">
        <f t="shared" ca="1" si="1"/>
        <v>#REF!</v>
      </c>
      <c r="J216" s="91" t="str">
        <f ca="1">IFERROR(__xludf.DUMMYFUNCTION("""COMPUTED_VALUE"""),"")</f>
        <v/>
      </c>
      <c r="K216" s="91" t="str">
        <f ca="1">IFERROR(__xludf.DUMMYFUNCTION("""COMPUTED_VALUE"""),"")</f>
        <v/>
      </c>
      <c r="L216" s="94" t="str">
        <f ca="1">IFERROR(__xludf.DUMMYFUNCTION("""COMPUTED_VALUE"""),"09h05 85150 Saint-Mathurin")</f>
        <v>09h05 85150 Saint-Mathurin</v>
      </c>
    </row>
    <row r="217" spans="1:12" ht="15.75" customHeight="1" x14ac:dyDescent="0.2">
      <c r="A217" s="94" t="s">
        <v>33</v>
      </c>
      <c r="B217" s="91">
        <v>0</v>
      </c>
      <c r="C217" s="91">
        <v>1</v>
      </c>
      <c r="H217" s="91" t="e">
        <f t="shared" ca="1" si="0"/>
        <v>#REF!</v>
      </c>
      <c r="I217" s="91" t="e">
        <f t="shared" ca="1" si="1"/>
        <v>#REF!</v>
      </c>
      <c r="J217" s="91" t="str">
        <f ca="1">IFERROR(__xludf.DUMMYFUNCTION("""COMPUTED_VALUE"""),"")</f>
        <v/>
      </c>
      <c r="K217" s="91" t="str">
        <f ca="1">IFERROR(__xludf.DUMMYFUNCTION("""COMPUTED_VALUE"""),"")</f>
        <v/>
      </c>
      <c r="L217" s="94" t="str">
        <f ca="1">IFERROR(__xludf.DUMMYFUNCTION("""COMPUTED_VALUE"""),"09h10 85100 Les Sables d'Olonne (les Sables d'Olonne)-.")</f>
        <v>09h10 85100 Les Sables d'Olonne (les Sables d'Olonne)-.</v>
      </c>
    </row>
    <row r="218" spans="1:12" ht="15.75" customHeight="1" x14ac:dyDescent="0.2">
      <c r="A218" s="94" t="s">
        <v>279</v>
      </c>
      <c r="B218" s="91">
        <v>0</v>
      </c>
      <c r="C218" s="91">
        <v>1</v>
      </c>
      <c r="H218" s="91" t="e">
        <f t="shared" ca="1" si="0"/>
        <v>#REF!</v>
      </c>
      <c r="I218" s="91" t="e">
        <f t="shared" ca="1" si="1"/>
        <v>#REF!</v>
      </c>
      <c r="J218" s="91" t="str">
        <f ca="1">IFERROR(__xludf.DUMMYFUNCTION("""COMPUTED_VALUE"""),"")</f>
        <v/>
      </c>
      <c r="K218" s="91" t="str">
        <f ca="1">IFERROR(__xludf.DUMMYFUNCTION("""COMPUTED_VALUE"""),"")</f>
        <v/>
      </c>
      <c r="L218" s="94" t="str">
        <f ca="1">IFERROR(__xludf.DUMMYFUNCTION("""COMPUTED_VALUE"""),"09h10 85100 Les Sables d'Olonne (les Sables d'Olonne)")</f>
        <v>09h10 85100 Les Sables d'Olonne (les Sables d'Olonne)</v>
      </c>
    </row>
    <row r="219" spans="1:12" ht="15.75" customHeight="1" x14ac:dyDescent="0.2">
      <c r="A219" s="94" t="s">
        <v>280</v>
      </c>
      <c r="B219" s="91">
        <v>0</v>
      </c>
      <c r="C219" s="91">
        <v>1</v>
      </c>
      <c r="H219" s="91" t="e">
        <f t="shared" ca="1" si="0"/>
        <v>#REF!</v>
      </c>
      <c r="I219" s="91" t="e">
        <f t="shared" ca="1" si="1"/>
        <v>#REF!</v>
      </c>
      <c r="J219" s="91" t="str">
        <f ca="1">IFERROR(__xludf.DUMMYFUNCTION("""COMPUTED_VALUE"""),"")</f>
        <v/>
      </c>
      <c r="K219" s="91" t="str">
        <f ca="1">IFERROR(__xludf.DUMMYFUNCTION("""COMPUTED_VALUE"""),"")</f>
        <v/>
      </c>
      <c r="L219" s="94" t="str">
        <f ca="1">IFERROR(__xludf.DUMMYFUNCTION("""COMPUTED_VALUE"""),"09h10 85100 Les Sables d'Olonne ( la Chaume)")</f>
        <v>09h10 85100 Les Sables d'Olonne ( la Chaume)</v>
      </c>
    </row>
    <row r="220" spans="1:12" ht="15.75" customHeight="1" x14ac:dyDescent="0.2">
      <c r="A220" s="94" t="s">
        <v>112</v>
      </c>
      <c r="B220" s="91">
        <v>0</v>
      </c>
      <c r="C220" s="91">
        <v>1</v>
      </c>
      <c r="H220" s="91" t="e">
        <f t="shared" ca="1" si="0"/>
        <v>#REF!</v>
      </c>
      <c r="I220" s="91" t="e">
        <f t="shared" ca="1" si="1"/>
        <v>#REF!</v>
      </c>
      <c r="J220" s="91" t="str">
        <f ca="1">IFERROR(__xludf.DUMMYFUNCTION("""COMPUTED_VALUE"""),"")</f>
        <v/>
      </c>
      <c r="K220" s="91" t="str">
        <f ca="1">IFERROR(__xludf.DUMMYFUNCTION("""COMPUTED_VALUE"""),"")</f>
        <v/>
      </c>
      <c r="L220" s="94" t="str">
        <f ca="1">IFERROR(__xludf.DUMMYFUNCTION("""COMPUTED_VALUE"""),"09h10 85340 Les Sables d'Olonne (Olonne sur Mer)-.")</f>
        <v>09h10 85340 Les Sables d'Olonne (Olonne sur Mer)-.</v>
      </c>
    </row>
    <row r="221" spans="1:12" ht="15.75" customHeight="1" x14ac:dyDescent="0.2">
      <c r="A221" s="94" t="s">
        <v>281</v>
      </c>
      <c r="B221" s="91">
        <v>0</v>
      </c>
      <c r="C221" s="91">
        <v>1</v>
      </c>
      <c r="H221" s="91" t="e">
        <f t="shared" ca="1" si="0"/>
        <v>#REF!</v>
      </c>
      <c r="I221" s="91" t="e">
        <f t="shared" ca="1" si="1"/>
        <v>#REF!</v>
      </c>
      <c r="J221" s="91" t="str">
        <f ca="1">IFERROR(__xludf.DUMMYFUNCTION("""COMPUTED_VALUE"""),"")</f>
        <v/>
      </c>
      <c r="K221" s="91" t="str">
        <f ca="1">IFERROR(__xludf.DUMMYFUNCTION("""COMPUTED_VALUE"""),"")</f>
        <v/>
      </c>
      <c r="L221" s="94" t="str">
        <f ca="1">IFERROR(__xludf.DUMMYFUNCTION("""COMPUTED_VALUE"""),"09h10 85340 Les Sables d'Olonne (Olonne sur Mer)")</f>
        <v>09h10 85340 Les Sables d'Olonne (Olonne sur Mer)</v>
      </c>
    </row>
    <row r="222" spans="1:12" ht="15.75" customHeight="1" x14ac:dyDescent="0.2">
      <c r="A222" s="94" t="s">
        <v>67</v>
      </c>
      <c r="B222" s="91">
        <v>0</v>
      </c>
      <c r="C222" s="91">
        <v>1</v>
      </c>
      <c r="H222" s="91" t="e">
        <f t="shared" ca="1" si="0"/>
        <v>#REF!</v>
      </c>
      <c r="I222" s="91" t="e">
        <f t="shared" ca="1" si="1"/>
        <v>#REF!</v>
      </c>
      <c r="J222" s="91" t="str">
        <f ca="1">IFERROR(__xludf.DUMMYFUNCTION("""COMPUTED_VALUE"""),"")</f>
        <v/>
      </c>
      <c r="K222" s="91" t="str">
        <f ca="1">IFERROR(__xludf.DUMMYFUNCTION("""COMPUTED_VALUE"""),"")</f>
        <v/>
      </c>
      <c r="L222" s="94" t="str">
        <f ca="1">IFERROR(__xludf.DUMMYFUNCTION("""COMPUTED_VALUE"""),"09h10 85180 Les Sables d'Olonne (le Château d'Olonne)-.")</f>
        <v>09h10 85180 Les Sables d'Olonne (le Château d'Olonne)-.</v>
      </c>
    </row>
    <row r="223" spans="1:12" ht="15.75" customHeight="1" x14ac:dyDescent="0.2">
      <c r="A223" s="94" t="s">
        <v>66</v>
      </c>
      <c r="B223" s="91">
        <v>0</v>
      </c>
      <c r="C223" s="91">
        <v>1</v>
      </c>
      <c r="H223" s="91" t="e">
        <f t="shared" ca="1" si="0"/>
        <v>#REF!</v>
      </c>
      <c r="I223" s="91" t="e">
        <f t="shared" ca="1" si="1"/>
        <v>#REF!</v>
      </c>
      <c r="J223" s="91" t="str">
        <f ca="1">IFERROR(__xludf.DUMMYFUNCTION("""COMPUTED_VALUE"""),"")</f>
        <v/>
      </c>
      <c r="K223" s="91" t="str">
        <f ca="1">IFERROR(__xludf.DUMMYFUNCTION("""COMPUTED_VALUE"""),"")</f>
        <v/>
      </c>
      <c r="L223" s="94" t="str">
        <f ca="1">IFERROR(__xludf.DUMMYFUNCTION("""COMPUTED_VALUE"""),"09h10 85180 Les Sables d'Olonne (le Château d'Olonne)")</f>
        <v>09h10 85180 Les Sables d'Olonne (le Château d'Olonne)</v>
      </c>
    </row>
    <row r="224" spans="1:12" ht="15.75" customHeight="1" x14ac:dyDescent="0.2">
      <c r="A224" s="94" t="s">
        <v>42</v>
      </c>
      <c r="B224" s="91">
        <v>0</v>
      </c>
      <c r="C224" s="91">
        <v>1</v>
      </c>
      <c r="H224" s="91" t="e">
        <f t="shared" ca="1" si="0"/>
        <v>#REF!</v>
      </c>
      <c r="I224" s="91" t="e">
        <f t="shared" ca="1" si="1"/>
        <v>#REF!</v>
      </c>
      <c r="J224" s="91" t="str">
        <f ca="1">IFERROR(__xludf.DUMMYFUNCTION("""COMPUTED_VALUE"""),"")</f>
        <v/>
      </c>
      <c r="K224" s="91" t="str">
        <f ca="1">IFERROR(__xludf.DUMMYFUNCTION("""COMPUTED_VALUE"""),"")</f>
        <v/>
      </c>
      <c r="L224" s="94" t="str">
        <f ca="1">IFERROR(__xludf.DUMMYFUNCTION("""COMPUTED_VALUE"""),"09h10 85150 Saint-Mathurin")</f>
        <v>09h10 85150 Saint-Mathurin</v>
      </c>
    </row>
    <row r="225" spans="1:12" ht="15.75" customHeight="1" x14ac:dyDescent="0.2">
      <c r="A225" s="94" t="s">
        <v>282</v>
      </c>
      <c r="B225" s="91">
        <v>0</v>
      </c>
      <c r="C225" s="91">
        <v>1</v>
      </c>
      <c r="H225" s="91" t="e">
        <f t="shared" ca="1" si="0"/>
        <v>#REF!</v>
      </c>
      <c r="I225" s="91" t="e">
        <f t="shared" ca="1" si="1"/>
        <v>#REF!</v>
      </c>
      <c r="J225" s="91" t="str">
        <f ca="1">IFERROR(__xludf.DUMMYFUNCTION("""COMPUTED_VALUE"""),"")</f>
        <v/>
      </c>
      <c r="K225" s="91" t="str">
        <f ca="1">IFERROR(__xludf.DUMMYFUNCTION("""COMPUTED_VALUE"""),"")</f>
        <v/>
      </c>
      <c r="L225" s="94" t="str">
        <f ca="1">IFERROR(__xludf.DUMMYFUNCTION("""COMPUTED_VALUE"""),"09h15 85100 Les Sables d'Olonne (les Sables d'Olonne)-.")</f>
        <v>09h15 85100 Les Sables d'Olonne (les Sables d'Olonne)-.</v>
      </c>
    </row>
    <row r="226" spans="1:12" ht="15.75" customHeight="1" x14ac:dyDescent="0.2">
      <c r="A226" s="94" t="s">
        <v>283</v>
      </c>
      <c r="B226" s="91">
        <v>0</v>
      </c>
      <c r="C226" s="91">
        <v>1</v>
      </c>
      <c r="H226" s="91" t="e">
        <f t="shared" ca="1" si="0"/>
        <v>#REF!</v>
      </c>
      <c r="I226" s="91" t="e">
        <f t="shared" ca="1" si="1"/>
        <v>#REF!</v>
      </c>
      <c r="J226" s="91" t="str">
        <f ca="1">IFERROR(__xludf.DUMMYFUNCTION("""COMPUTED_VALUE"""),"")</f>
        <v/>
      </c>
      <c r="K226" s="91" t="str">
        <f ca="1">IFERROR(__xludf.DUMMYFUNCTION("""COMPUTED_VALUE"""),"")</f>
        <v/>
      </c>
      <c r="L226" s="94" t="str">
        <f ca="1">IFERROR(__xludf.DUMMYFUNCTION("""COMPUTED_VALUE"""),"09h15 85100 Les Sables d'Olonne (les Sables d'Olonne)")</f>
        <v>09h15 85100 Les Sables d'Olonne (les Sables d'Olonne)</v>
      </c>
    </row>
    <row r="227" spans="1:12" ht="15.75" customHeight="1" x14ac:dyDescent="0.2">
      <c r="A227" s="94" t="s">
        <v>284</v>
      </c>
      <c r="B227" s="91">
        <v>0</v>
      </c>
      <c r="C227" s="91">
        <v>1</v>
      </c>
      <c r="H227" s="91" t="e">
        <f t="shared" ca="1" si="0"/>
        <v>#REF!</v>
      </c>
      <c r="I227" s="91" t="e">
        <f t="shared" ca="1" si="1"/>
        <v>#REF!</v>
      </c>
      <c r="J227" s="91" t="str">
        <f ca="1">IFERROR(__xludf.DUMMYFUNCTION("""COMPUTED_VALUE"""),"")</f>
        <v/>
      </c>
      <c r="K227" s="91" t="str">
        <f ca="1">IFERROR(__xludf.DUMMYFUNCTION("""COMPUTED_VALUE"""),"")</f>
        <v/>
      </c>
      <c r="L227" s="94" t="str">
        <f ca="1">IFERROR(__xludf.DUMMYFUNCTION("""COMPUTED_VALUE"""),"09h15 85100 Les Sables d'Olonne ( la Chaume)")</f>
        <v>09h15 85100 Les Sables d'Olonne ( la Chaume)</v>
      </c>
    </row>
    <row r="228" spans="1:12" ht="15.75" customHeight="1" x14ac:dyDescent="0.2">
      <c r="A228" s="94" t="s">
        <v>114</v>
      </c>
      <c r="B228" s="91">
        <v>0</v>
      </c>
      <c r="C228" s="91">
        <v>1</v>
      </c>
      <c r="H228" s="91" t="e">
        <f t="shared" ca="1" si="0"/>
        <v>#REF!</v>
      </c>
      <c r="I228" s="91" t="e">
        <f t="shared" ca="1" si="1"/>
        <v>#REF!</v>
      </c>
      <c r="J228" s="91" t="str">
        <f ca="1">IFERROR(__xludf.DUMMYFUNCTION("""COMPUTED_VALUE"""),"")</f>
        <v/>
      </c>
      <c r="K228" s="91" t="str">
        <f ca="1">IFERROR(__xludf.DUMMYFUNCTION("""COMPUTED_VALUE"""),"")</f>
        <v/>
      </c>
      <c r="L228" s="94" t="str">
        <f ca="1">IFERROR(__xludf.DUMMYFUNCTION("""COMPUTED_VALUE"""),"09h15 85340 Les Sables d'Olonne (Olonne sur Mer)-.")</f>
        <v>09h15 85340 Les Sables d'Olonne (Olonne sur Mer)-.</v>
      </c>
    </row>
    <row r="229" spans="1:12" ht="15.75" customHeight="1" x14ac:dyDescent="0.2">
      <c r="A229" s="94" t="s">
        <v>113</v>
      </c>
      <c r="B229" s="91">
        <v>0</v>
      </c>
      <c r="C229" s="91">
        <v>1</v>
      </c>
      <c r="H229" s="91" t="e">
        <f t="shared" ca="1" si="0"/>
        <v>#REF!</v>
      </c>
      <c r="I229" s="91" t="e">
        <f t="shared" ca="1" si="1"/>
        <v>#REF!</v>
      </c>
      <c r="J229" s="91" t="str">
        <f ca="1">IFERROR(__xludf.DUMMYFUNCTION("""COMPUTED_VALUE"""),"")</f>
        <v/>
      </c>
      <c r="K229" s="91" t="str">
        <f ca="1">IFERROR(__xludf.DUMMYFUNCTION("""COMPUTED_VALUE"""),"")</f>
        <v/>
      </c>
      <c r="L229" s="94" t="str">
        <f ca="1">IFERROR(__xludf.DUMMYFUNCTION("""COMPUTED_VALUE"""),"09h15 85340 Les Sables d'Olonne (Olonne sur Mer)")</f>
        <v>09h15 85340 Les Sables d'Olonne (Olonne sur Mer)</v>
      </c>
    </row>
    <row r="230" spans="1:12" ht="15.75" customHeight="1" x14ac:dyDescent="0.2">
      <c r="A230" s="94" t="s">
        <v>69</v>
      </c>
      <c r="B230" s="91">
        <v>0</v>
      </c>
      <c r="C230" s="91">
        <v>1</v>
      </c>
      <c r="H230" s="91" t="e">
        <f t="shared" ca="1" si="0"/>
        <v>#REF!</v>
      </c>
      <c r="I230" s="91" t="e">
        <f t="shared" ca="1" si="1"/>
        <v>#REF!</v>
      </c>
      <c r="J230" s="91" t="str">
        <f ca="1">IFERROR(__xludf.DUMMYFUNCTION("""COMPUTED_VALUE"""),"")</f>
        <v/>
      </c>
      <c r="K230" s="91" t="str">
        <f ca="1">IFERROR(__xludf.DUMMYFUNCTION("""COMPUTED_VALUE"""),"")</f>
        <v/>
      </c>
      <c r="L230" s="94" t="str">
        <f ca="1">IFERROR(__xludf.DUMMYFUNCTION("""COMPUTED_VALUE"""),"09h15 85180 Les Sables d'Olonne (le Château d'Olonne)-.")</f>
        <v>09h15 85180 Les Sables d'Olonne (le Château d'Olonne)-.</v>
      </c>
    </row>
    <row r="231" spans="1:12" ht="15.75" customHeight="1" x14ac:dyDescent="0.2">
      <c r="A231" s="94" t="s">
        <v>68</v>
      </c>
      <c r="B231" s="91">
        <v>0</v>
      </c>
      <c r="C231" s="91">
        <v>1</v>
      </c>
      <c r="H231" s="91" t="e">
        <f t="shared" ca="1" si="0"/>
        <v>#REF!</v>
      </c>
      <c r="I231" s="91" t="e">
        <f t="shared" ca="1" si="1"/>
        <v>#REF!</v>
      </c>
      <c r="J231" s="91" t="str">
        <f ca="1">IFERROR(__xludf.DUMMYFUNCTION("""COMPUTED_VALUE"""),"")</f>
        <v/>
      </c>
      <c r="K231" s="91" t="str">
        <f ca="1">IFERROR(__xludf.DUMMYFUNCTION("""COMPUTED_VALUE"""),"")</f>
        <v/>
      </c>
      <c r="L231" s="94" t="str">
        <f ca="1">IFERROR(__xludf.DUMMYFUNCTION("""COMPUTED_VALUE"""),"09h15 85180 Les Sables d'Olonne (le Château d'Olonne)")</f>
        <v>09h15 85180 Les Sables d'Olonne (le Château d'Olonne)</v>
      </c>
    </row>
    <row r="232" spans="1:12" ht="15.75" customHeight="1" x14ac:dyDescent="0.2">
      <c r="A232" s="94" t="s">
        <v>43</v>
      </c>
      <c r="B232" s="91">
        <v>0</v>
      </c>
      <c r="C232" s="91">
        <v>1</v>
      </c>
      <c r="H232" s="91" t="e">
        <f t="shared" ca="1" si="0"/>
        <v>#REF!</v>
      </c>
      <c r="I232" s="91" t="e">
        <f t="shared" ca="1" si="1"/>
        <v>#REF!</v>
      </c>
      <c r="J232" s="91" t="str">
        <f ca="1">IFERROR(__xludf.DUMMYFUNCTION("""COMPUTED_VALUE"""),"")</f>
        <v/>
      </c>
      <c r="K232" s="91" t="str">
        <f ca="1">IFERROR(__xludf.DUMMYFUNCTION("""COMPUTED_VALUE"""),"")</f>
        <v/>
      </c>
      <c r="L232" s="94" t="str">
        <f ca="1">IFERROR(__xludf.DUMMYFUNCTION("""COMPUTED_VALUE"""),"09h15 85150 Saint-Mathurin")</f>
        <v>09h15 85150 Saint-Mathurin</v>
      </c>
    </row>
    <row r="233" spans="1:12" ht="15.75" customHeight="1" x14ac:dyDescent="0.2">
      <c r="A233" s="94" t="s">
        <v>285</v>
      </c>
      <c r="B233" s="91">
        <v>0</v>
      </c>
      <c r="C233" s="91">
        <v>1</v>
      </c>
      <c r="H233" s="91" t="e">
        <f t="shared" ca="1" si="0"/>
        <v>#REF!</v>
      </c>
      <c r="I233" s="91" t="e">
        <f t="shared" ca="1" si="1"/>
        <v>#REF!</v>
      </c>
      <c r="J233" s="91" t="str">
        <f ca="1">IFERROR(__xludf.DUMMYFUNCTION("""COMPUTED_VALUE"""),"")</f>
        <v/>
      </c>
      <c r="K233" s="91" t="str">
        <f ca="1">IFERROR(__xludf.DUMMYFUNCTION("""COMPUTED_VALUE"""),"")</f>
        <v/>
      </c>
      <c r="L233" s="94" t="str">
        <f ca="1">IFERROR(__xludf.DUMMYFUNCTION("""COMPUTED_VALUE"""),"09h20 85100 Les Sables d'Olonne (les Sables d'Olonne)-.")</f>
        <v>09h20 85100 Les Sables d'Olonne (les Sables d'Olonne)-.</v>
      </c>
    </row>
    <row r="234" spans="1:12" ht="15.75" customHeight="1" x14ac:dyDescent="0.2">
      <c r="A234" s="94" t="s">
        <v>286</v>
      </c>
      <c r="B234" s="91">
        <v>0</v>
      </c>
      <c r="C234" s="91">
        <v>1</v>
      </c>
      <c r="H234" s="91" t="e">
        <f t="shared" ca="1" si="0"/>
        <v>#REF!</v>
      </c>
      <c r="I234" s="91" t="e">
        <f t="shared" ca="1" si="1"/>
        <v>#REF!</v>
      </c>
      <c r="J234" s="91" t="str">
        <f ca="1">IFERROR(__xludf.DUMMYFUNCTION("""COMPUTED_VALUE"""),"")</f>
        <v/>
      </c>
      <c r="K234" s="91" t="str">
        <f ca="1">IFERROR(__xludf.DUMMYFUNCTION("""COMPUTED_VALUE"""),"")</f>
        <v/>
      </c>
      <c r="L234" s="94" t="str">
        <f ca="1">IFERROR(__xludf.DUMMYFUNCTION("""COMPUTED_VALUE"""),"09h20 85100 Les Sables d'Olonne (les Sables d'Olonne)")</f>
        <v>09h20 85100 Les Sables d'Olonne (les Sables d'Olonne)</v>
      </c>
    </row>
    <row r="235" spans="1:12" ht="15.75" customHeight="1" x14ac:dyDescent="0.2">
      <c r="A235" s="94" t="s">
        <v>287</v>
      </c>
      <c r="B235" s="91">
        <v>0</v>
      </c>
      <c r="C235" s="91">
        <v>1</v>
      </c>
      <c r="H235" s="91" t="e">
        <f t="shared" ca="1" si="0"/>
        <v>#REF!</v>
      </c>
      <c r="I235" s="91" t="e">
        <f t="shared" ca="1" si="1"/>
        <v>#REF!</v>
      </c>
      <c r="J235" s="91" t="str">
        <f ca="1">IFERROR(__xludf.DUMMYFUNCTION("""COMPUTED_VALUE"""),"")</f>
        <v/>
      </c>
      <c r="K235" s="91" t="str">
        <f ca="1">IFERROR(__xludf.DUMMYFUNCTION("""COMPUTED_VALUE"""),"")</f>
        <v/>
      </c>
      <c r="L235" s="94" t="str">
        <f ca="1">IFERROR(__xludf.DUMMYFUNCTION("""COMPUTED_VALUE"""),"09h20 85100 Les Sables d'Olonne ( la Chaume)")</f>
        <v>09h20 85100 Les Sables d'Olonne ( la Chaume)</v>
      </c>
    </row>
    <row r="236" spans="1:12" ht="15.75" customHeight="1" x14ac:dyDescent="0.2">
      <c r="A236" s="94" t="s">
        <v>115</v>
      </c>
      <c r="B236" s="91">
        <v>0</v>
      </c>
      <c r="C236" s="91">
        <v>1</v>
      </c>
      <c r="H236" s="91" t="e">
        <f t="shared" ca="1" si="0"/>
        <v>#REF!</v>
      </c>
      <c r="I236" s="91" t="e">
        <f t="shared" ca="1" si="1"/>
        <v>#REF!</v>
      </c>
      <c r="J236" s="91" t="str">
        <f ca="1">IFERROR(__xludf.DUMMYFUNCTION("""COMPUTED_VALUE"""),"")</f>
        <v/>
      </c>
      <c r="K236" s="91" t="str">
        <f ca="1">IFERROR(__xludf.DUMMYFUNCTION("""COMPUTED_VALUE"""),"")</f>
        <v/>
      </c>
      <c r="L236" s="94" t="str">
        <f ca="1">IFERROR(__xludf.DUMMYFUNCTION("""COMPUTED_VALUE"""),"09h20 85340 Les Sables d'Olonne (Olonne sur Mer)-.")</f>
        <v>09h20 85340 Les Sables d'Olonne (Olonne sur Mer)-.</v>
      </c>
    </row>
    <row r="237" spans="1:12" ht="15.75" customHeight="1" x14ac:dyDescent="0.2">
      <c r="A237" s="94" t="s">
        <v>288</v>
      </c>
      <c r="B237" s="91">
        <v>0</v>
      </c>
      <c r="C237" s="91">
        <v>1</v>
      </c>
      <c r="H237" s="91" t="e">
        <f t="shared" ca="1" si="0"/>
        <v>#REF!</v>
      </c>
      <c r="I237" s="91" t="e">
        <f t="shared" ca="1" si="1"/>
        <v>#REF!</v>
      </c>
      <c r="J237" s="91" t="str">
        <f ca="1">IFERROR(__xludf.DUMMYFUNCTION("""COMPUTED_VALUE"""),"")</f>
        <v/>
      </c>
      <c r="K237" s="91" t="str">
        <f ca="1">IFERROR(__xludf.DUMMYFUNCTION("""COMPUTED_VALUE"""),"")</f>
        <v/>
      </c>
      <c r="L237" s="94" t="str">
        <f ca="1">IFERROR(__xludf.DUMMYFUNCTION("""COMPUTED_VALUE"""),"09h20 85340 Les Sables d'Olonne (Olonne sur Mer)")</f>
        <v>09h20 85340 Les Sables d'Olonne (Olonne sur Mer)</v>
      </c>
    </row>
    <row r="238" spans="1:12" ht="15.75" customHeight="1" x14ac:dyDescent="0.2">
      <c r="A238" s="94" t="s">
        <v>289</v>
      </c>
      <c r="B238" s="91">
        <v>0</v>
      </c>
      <c r="C238" s="91">
        <v>1</v>
      </c>
      <c r="H238" s="91" t="e">
        <f t="shared" ca="1" si="0"/>
        <v>#REF!</v>
      </c>
      <c r="I238" s="91" t="e">
        <f t="shared" ca="1" si="1"/>
        <v>#REF!</v>
      </c>
      <c r="J238" s="91" t="str">
        <f ca="1">IFERROR(__xludf.DUMMYFUNCTION("""COMPUTED_VALUE"""),"")</f>
        <v/>
      </c>
      <c r="K238" s="91" t="str">
        <f ca="1">IFERROR(__xludf.DUMMYFUNCTION("""COMPUTED_VALUE"""),"")</f>
        <v/>
      </c>
      <c r="L238" s="94" t="str">
        <f ca="1">IFERROR(__xludf.DUMMYFUNCTION("""COMPUTED_VALUE"""),"09h20 85180 Les Sables d'Olonne (le Château d'Olonne)-.")</f>
        <v>09h20 85180 Les Sables d'Olonne (le Château d'Olonne)-.</v>
      </c>
    </row>
    <row r="239" spans="1:12" ht="15.75" customHeight="1" x14ac:dyDescent="0.2">
      <c r="A239" s="94" t="s">
        <v>290</v>
      </c>
      <c r="B239" s="91">
        <v>0</v>
      </c>
      <c r="C239" s="91">
        <v>1</v>
      </c>
      <c r="H239" s="91" t="e">
        <f t="shared" ca="1" si="0"/>
        <v>#REF!</v>
      </c>
      <c r="I239" s="91" t="e">
        <f t="shared" ca="1" si="1"/>
        <v>#REF!</v>
      </c>
      <c r="J239" s="91" t="str">
        <f ca="1">IFERROR(__xludf.DUMMYFUNCTION("""COMPUTED_VALUE"""),"")</f>
        <v/>
      </c>
      <c r="K239" s="91" t="str">
        <f ca="1">IFERROR(__xludf.DUMMYFUNCTION("""COMPUTED_VALUE"""),"")</f>
        <v/>
      </c>
      <c r="L239" s="94" t="str">
        <f ca="1">IFERROR(__xludf.DUMMYFUNCTION("""COMPUTED_VALUE"""),"09h20 85180 Les Sables d'Olonne (le Château d'Olonne)")</f>
        <v>09h20 85180 Les Sables d'Olonne (le Château d'Olonne)</v>
      </c>
    </row>
    <row r="240" spans="1:12" ht="15.75" customHeight="1" x14ac:dyDescent="0.2">
      <c r="A240" s="94" t="s">
        <v>291</v>
      </c>
      <c r="B240" s="91">
        <v>0</v>
      </c>
      <c r="C240" s="91">
        <v>1</v>
      </c>
      <c r="H240" s="91" t="e">
        <f t="shared" ca="1" si="0"/>
        <v>#REF!</v>
      </c>
      <c r="I240" s="91" t="e">
        <f t="shared" ca="1" si="1"/>
        <v>#REF!</v>
      </c>
      <c r="J240" s="91" t="str">
        <f ca="1">IFERROR(__xludf.DUMMYFUNCTION("""COMPUTED_VALUE"""),"")</f>
        <v/>
      </c>
      <c r="K240" s="91" t="str">
        <f ca="1">IFERROR(__xludf.DUMMYFUNCTION("""COMPUTED_VALUE"""),"")</f>
        <v/>
      </c>
      <c r="L240" s="94" t="str">
        <f ca="1">IFERROR(__xludf.DUMMYFUNCTION("""COMPUTED_VALUE"""),"09h20 85150 Saint-Mathurin")</f>
        <v>09h20 85150 Saint-Mathurin</v>
      </c>
    </row>
    <row r="241" spans="1:12" ht="15.75" customHeight="1" x14ac:dyDescent="0.2">
      <c r="A241" s="94" t="s">
        <v>292</v>
      </c>
      <c r="B241" s="91">
        <v>0</v>
      </c>
      <c r="C241" s="91">
        <v>1</v>
      </c>
      <c r="H241" s="91" t="e">
        <f t="shared" ca="1" si="0"/>
        <v>#REF!</v>
      </c>
      <c r="I241" s="91" t="e">
        <f t="shared" ca="1" si="1"/>
        <v>#REF!</v>
      </c>
      <c r="J241" s="91" t="str">
        <f ca="1">IFERROR(__xludf.DUMMYFUNCTION("""COMPUTED_VALUE"""),"")</f>
        <v/>
      </c>
      <c r="K241" s="91" t="str">
        <f ca="1">IFERROR(__xludf.DUMMYFUNCTION("""COMPUTED_VALUE"""),"")</f>
        <v/>
      </c>
      <c r="L241" s="94" t="str">
        <f ca="1">IFERROR(__xludf.DUMMYFUNCTION("""COMPUTED_VALUE"""),"09h25 85100 Les Sables d'Olonne (les Sables d'Olonne)-.")</f>
        <v>09h25 85100 Les Sables d'Olonne (les Sables d'Olonne)-.</v>
      </c>
    </row>
    <row r="242" spans="1:12" ht="15.75" customHeight="1" x14ac:dyDescent="0.2">
      <c r="A242" s="94" t="s">
        <v>293</v>
      </c>
      <c r="B242" s="91">
        <v>0</v>
      </c>
      <c r="C242" s="91">
        <v>1</v>
      </c>
      <c r="H242" s="91" t="e">
        <f t="shared" ca="1" si="0"/>
        <v>#REF!</v>
      </c>
      <c r="I242" s="91" t="e">
        <f t="shared" ca="1" si="1"/>
        <v>#REF!</v>
      </c>
      <c r="J242" s="91" t="str">
        <f ca="1">IFERROR(__xludf.DUMMYFUNCTION("""COMPUTED_VALUE"""),"")</f>
        <v/>
      </c>
      <c r="K242" s="91" t="str">
        <f ca="1">IFERROR(__xludf.DUMMYFUNCTION("""COMPUTED_VALUE"""),"")</f>
        <v/>
      </c>
      <c r="L242" s="94" t="str">
        <f ca="1">IFERROR(__xludf.DUMMYFUNCTION("""COMPUTED_VALUE"""),"09h25 85100 Les Sables d'Olonne (les Sables d'Olonne)")</f>
        <v>09h25 85100 Les Sables d'Olonne (les Sables d'Olonne)</v>
      </c>
    </row>
    <row r="243" spans="1:12" ht="15.75" customHeight="1" x14ac:dyDescent="0.2">
      <c r="A243" s="94" t="s">
        <v>294</v>
      </c>
      <c r="B243" s="91">
        <v>0</v>
      </c>
      <c r="C243" s="91">
        <v>1</v>
      </c>
      <c r="H243" s="91" t="e">
        <f t="shared" ca="1" si="0"/>
        <v>#REF!</v>
      </c>
      <c r="I243" s="91" t="e">
        <f t="shared" ca="1" si="1"/>
        <v>#REF!</v>
      </c>
      <c r="J243" s="91" t="str">
        <f ca="1">IFERROR(__xludf.DUMMYFUNCTION("""COMPUTED_VALUE"""),"")</f>
        <v/>
      </c>
      <c r="K243" s="91" t="str">
        <f ca="1">IFERROR(__xludf.DUMMYFUNCTION("""COMPUTED_VALUE"""),"")</f>
        <v/>
      </c>
      <c r="L243" s="94" t="str">
        <f ca="1">IFERROR(__xludf.DUMMYFUNCTION("""COMPUTED_VALUE"""),"09h25 85100 Les Sables d'Olonne ( la Chaume)")</f>
        <v>09h25 85100 Les Sables d'Olonne ( la Chaume)</v>
      </c>
    </row>
    <row r="244" spans="1:12" ht="15.75" customHeight="1" x14ac:dyDescent="0.2">
      <c r="A244" s="94" t="s">
        <v>116</v>
      </c>
      <c r="B244" s="91">
        <v>0</v>
      </c>
      <c r="C244" s="91">
        <v>1</v>
      </c>
      <c r="H244" s="91" t="e">
        <f t="shared" ca="1" si="0"/>
        <v>#REF!</v>
      </c>
      <c r="I244" s="91" t="e">
        <f t="shared" ca="1" si="1"/>
        <v>#REF!</v>
      </c>
      <c r="J244" s="91" t="str">
        <f ca="1">IFERROR(__xludf.DUMMYFUNCTION("""COMPUTED_VALUE"""),"")</f>
        <v/>
      </c>
      <c r="K244" s="91" t="str">
        <f ca="1">IFERROR(__xludf.DUMMYFUNCTION("""COMPUTED_VALUE"""),"")</f>
        <v/>
      </c>
      <c r="L244" s="94" t="str">
        <f ca="1">IFERROR(__xludf.DUMMYFUNCTION("""COMPUTED_VALUE"""),"09h25 85340 Les Sables d'Olonne (Olonne sur Mer)-.")</f>
        <v>09h25 85340 Les Sables d'Olonne (Olonne sur Mer)-.</v>
      </c>
    </row>
    <row r="245" spans="1:12" ht="15.75" customHeight="1" x14ac:dyDescent="0.2">
      <c r="A245" s="94" t="s">
        <v>295</v>
      </c>
      <c r="B245" s="91">
        <v>0</v>
      </c>
      <c r="C245" s="91">
        <v>1</v>
      </c>
      <c r="H245" s="91" t="e">
        <f t="shared" ca="1" si="0"/>
        <v>#REF!</v>
      </c>
      <c r="I245" s="91" t="e">
        <f t="shared" ca="1" si="1"/>
        <v>#REF!</v>
      </c>
      <c r="J245" s="91" t="str">
        <f ca="1">IFERROR(__xludf.DUMMYFUNCTION("""COMPUTED_VALUE"""),"")</f>
        <v/>
      </c>
      <c r="K245" s="91" t="str">
        <f ca="1">IFERROR(__xludf.DUMMYFUNCTION("""COMPUTED_VALUE"""),"")</f>
        <v/>
      </c>
      <c r="L245" s="94" t="str">
        <f ca="1">IFERROR(__xludf.DUMMYFUNCTION("""COMPUTED_VALUE"""),"09h25 85340 Les Sables d'Olonne (Olonne sur Mer)")</f>
        <v>09h25 85340 Les Sables d'Olonne (Olonne sur Mer)</v>
      </c>
    </row>
    <row r="246" spans="1:12" ht="15.75" customHeight="1" x14ac:dyDescent="0.2">
      <c r="A246" s="94" t="s">
        <v>296</v>
      </c>
      <c r="B246" s="91">
        <v>0</v>
      </c>
      <c r="C246" s="91">
        <v>1</v>
      </c>
      <c r="H246" s="91" t="e">
        <f t="shared" ca="1" si="0"/>
        <v>#REF!</v>
      </c>
      <c r="I246" s="91" t="e">
        <f t="shared" ca="1" si="1"/>
        <v>#REF!</v>
      </c>
      <c r="J246" s="91" t="str">
        <f ca="1">IFERROR(__xludf.DUMMYFUNCTION("""COMPUTED_VALUE"""),"")</f>
        <v/>
      </c>
      <c r="K246" s="91" t="str">
        <f ca="1">IFERROR(__xludf.DUMMYFUNCTION("""COMPUTED_VALUE"""),"")</f>
        <v/>
      </c>
      <c r="L246" s="94" t="str">
        <f ca="1">IFERROR(__xludf.DUMMYFUNCTION("""COMPUTED_VALUE"""),"09h25 85180 Les Sables d'Olonne (le Château d'Olonne)-.")</f>
        <v>09h25 85180 Les Sables d'Olonne (le Château d'Olonne)-.</v>
      </c>
    </row>
    <row r="247" spans="1:12" ht="15.75" customHeight="1" x14ac:dyDescent="0.2">
      <c r="A247" s="94" t="s">
        <v>297</v>
      </c>
      <c r="B247" s="91">
        <v>0</v>
      </c>
      <c r="C247" s="91">
        <v>1</v>
      </c>
      <c r="H247" s="91" t="e">
        <f t="shared" ca="1" si="0"/>
        <v>#REF!</v>
      </c>
      <c r="I247" s="91" t="e">
        <f t="shared" ca="1" si="1"/>
        <v>#REF!</v>
      </c>
      <c r="J247" s="91" t="str">
        <f ca="1">IFERROR(__xludf.DUMMYFUNCTION("""COMPUTED_VALUE"""),"")</f>
        <v/>
      </c>
      <c r="K247" s="91" t="str">
        <f ca="1">IFERROR(__xludf.DUMMYFUNCTION("""COMPUTED_VALUE"""),"")</f>
        <v/>
      </c>
      <c r="L247" s="94" t="str">
        <f ca="1">IFERROR(__xludf.DUMMYFUNCTION("""COMPUTED_VALUE"""),"09h25 85180 Les Sables d'Olonne (le Château d'Olonne)")</f>
        <v>09h25 85180 Les Sables d'Olonne (le Château d'Olonne)</v>
      </c>
    </row>
    <row r="248" spans="1:12" ht="15.75" customHeight="1" x14ac:dyDescent="0.2">
      <c r="A248" s="94" t="s">
        <v>298</v>
      </c>
      <c r="B248" s="91">
        <v>0</v>
      </c>
      <c r="C248" s="91">
        <v>1</v>
      </c>
      <c r="H248" s="91" t="e">
        <f t="shared" ca="1" si="0"/>
        <v>#REF!</v>
      </c>
      <c r="I248" s="91" t="e">
        <f t="shared" ca="1" si="1"/>
        <v>#REF!</v>
      </c>
      <c r="J248" s="91" t="str">
        <f ca="1">IFERROR(__xludf.DUMMYFUNCTION("""COMPUTED_VALUE"""),"")</f>
        <v/>
      </c>
      <c r="K248" s="91" t="str">
        <f ca="1">IFERROR(__xludf.DUMMYFUNCTION("""COMPUTED_VALUE"""),"")</f>
        <v/>
      </c>
      <c r="L248" s="94" t="str">
        <f ca="1">IFERROR(__xludf.DUMMYFUNCTION("""COMPUTED_VALUE"""),"09h25 85150 Saint-Mathurin")</f>
        <v>09h25 85150 Saint-Mathurin</v>
      </c>
    </row>
    <row r="249" spans="1:12" ht="15.75" customHeight="1" x14ac:dyDescent="0.2">
      <c r="A249" s="94" t="s">
        <v>299</v>
      </c>
      <c r="B249" s="91">
        <v>0</v>
      </c>
      <c r="C249" s="91">
        <v>1</v>
      </c>
      <c r="H249" s="91" t="e">
        <f t="shared" ca="1" si="0"/>
        <v>#REF!</v>
      </c>
      <c r="I249" s="91" t="e">
        <f t="shared" ca="1" si="1"/>
        <v>#REF!</v>
      </c>
      <c r="J249" s="91" t="str">
        <f ca="1">IFERROR(__xludf.DUMMYFUNCTION("""COMPUTED_VALUE"""),"")</f>
        <v/>
      </c>
      <c r="K249" s="91" t="str">
        <f ca="1">IFERROR(__xludf.DUMMYFUNCTION("""COMPUTED_VALUE"""),"")</f>
        <v/>
      </c>
      <c r="L249" s="94" t="str">
        <f ca="1">IFERROR(__xludf.DUMMYFUNCTION("""COMPUTED_VALUE"""),"09h30 85100 Les Sables d'Olonne (les Sables d'Olonne)-.")</f>
        <v>09h30 85100 Les Sables d'Olonne (les Sables d'Olonne)-.</v>
      </c>
    </row>
    <row r="250" spans="1:12" ht="15.75" customHeight="1" x14ac:dyDescent="0.2">
      <c r="A250" s="94" t="s">
        <v>34</v>
      </c>
      <c r="B250" s="91">
        <v>0</v>
      </c>
      <c r="C250" s="91">
        <v>1</v>
      </c>
      <c r="H250" s="91" t="e">
        <f t="shared" ca="1" si="0"/>
        <v>#REF!</v>
      </c>
      <c r="I250" s="91" t="e">
        <f t="shared" ca="1" si="1"/>
        <v>#REF!</v>
      </c>
      <c r="J250" s="91" t="str">
        <f ca="1">IFERROR(__xludf.DUMMYFUNCTION("""COMPUTED_VALUE"""),"")</f>
        <v/>
      </c>
      <c r="K250" s="91" t="str">
        <f ca="1">IFERROR(__xludf.DUMMYFUNCTION("""COMPUTED_VALUE"""),"")</f>
        <v/>
      </c>
      <c r="L250" s="94" t="str">
        <f ca="1">IFERROR(__xludf.DUMMYFUNCTION("""COMPUTED_VALUE"""),"09h30 85100 Les Sables d'Olonne (les Sables d'Olonne)")</f>
        <v>09h30 85100 Les Sables d'Olonne (les Sables d'Olonne)</v>
      </c>
    </row>
    <row r="251" spans="1:12" ht="15.75" customHeight="1" x14ac:dyDescent="0.2">
      <c r="A251" s="94" t="s">
        <v>300</v>
      </c>
      <c r="B251" s="91">
        <v>0</v>
      </c>
      <c r="C251" s="91">
        <v>1</v>
      </c>
      <c r="H251" s="91" t="e">
        <f t="shared" ca="1" si="0"/>
        <v>#REF!</v>
      </c>
      <c r="I251" s="91" t="e">
        <f t="shared" ca="1" si="1"/>
        <v>#REF!</v>
      </c>
      <c r="J251" s="91" t="str">
        <f ca="1">IFERROR(__xludf.DUMMYFUNCTION("""COMPUTED_VALUE"""),"")</f>
        <v/>
      </c>
      <c r="K251" s="91" t="str">
        <f ca="1">IFERROR(__xludf.DUMMYFUNCTION("""COMPUTED_VALUE"""),"")</f>
        <v/>
      </c>
      <c r="L251" s="94" t="str">
        <f ca="1">IFERROR(__xludf.DUMMYFUNCTION("""COMPUTED_VALUE"""),"09h30 85100 Les Sables d'Olonne ( la Chaume)")</f>
        <v>09h30 85100 Les Sables d'Olonne ( la Chaume)</v>
      </c>
    </row>
    <row r="252" spans="1:12" ht="15.75" customHeight="1" x14ac:dyDescent="0.2">
      <c r="A252" s="94" t="s">
        <v>117</v>
      </c>
      <c r="B252" s="91">
        <v>0</v>
      </c>
      <c r="C252" s="91">
        <v>1</v>
      </c>
      <c r="H252" s="91" t="e">
        <f t="shared" ca="1" si="0"/>
        <v>#REF!</v>
      </c>
      <c r="I252" s="91" t="e">
        <f t="shared" ca="1" si="1"/>
        <v>#REF!</v>
      </c>
      <c r="J252" s="91" t="str">
        <f ca="1">IFERROR(__xludf.DUMMYFUNCTION("""COMPUTED_VALUE"""),"")</f>
        <v/>
      </c>
      <c r="K252" s="91" t="str">
        <f ca="1">IFERROR(__xludf.DUMMYFUNCTION("""COMPUTED_VALUE"""),"")</f>
        <v/>
      </c>
      <c r="L252" s="94" t="str">
        <f ca="1">IFERROR(__xludf.DUMMYFUNCTION("""COMPUTED_VALUE"""),"09h30 85340 Les Sables d'Olonne (Olonne sur Mer)-.")</f>
        <v>09h30 85340 Les Sables d'Olonne (Olonne sur Mer)-.</v>
      </c>
    </row>
    <row r="253" spans="1:12" ht="15.75" customHeight="1" x14ac:dyDescent="0.2">
      <c r="A253" s="94" t="s">
        <v>301</v>
      </c>
      <c r="B253" s="91">
        <v>0</v>
      </c>
      <c r="C253" s="91">
        <v>1</v>
      </c>
      <c r="H253" s="91" t="e">
        <f t="shared" ca="1" si="0"/>
        <v>#REF!</v>
      </c>
      <c r="I253" s="91" t="e">
        <f t="shared" ca="1" si="1"/>
        <v>#REF!</v>
      </c>
      <c r="J253" s="91" t="str">
        <f ca="1">IFERROR(__xludf.DUMMYFUNCTION("""COMPUTED_VALUE"""),"")</f>
        <v/>
      </c>
      <c r="K253" s="91" t="str">
        <f ca="1">IFERROR(__xludf.DUMMYFUNCTION("""COMPUTED_VALUE"""),"")</f>
        <v/>
      </c>
      <c r="L253" s="94" t="str">
        <f ca="1">IFERROR(__xludf.DUMMYFUNCTION("""COMPUTED_VALUE"""),"09h30 85340 Les Sables d'Olonne (Olonne sur Mer)")</f>
        <v>09h30 85340 Les Sables d'Olonne (Olonne sur Mer)</v>
      </c>
    </row>
    <row r="254" spans="1:12" ht="15.75" customHeight="1" x14ac:dyDescent="0.2">
      <c r="A254" s="94" t="s">
        <v>70</v>
      </c>
      <c r="B254" s="91">
        <v>0</v>
      </c>
      <c r="C254" s="91">
        <v>1</v>
      </c>
      <c r="H254" s="91" t="e">
        <f t="shared" ca="1" si="0"/>
        <v>#REF!</v>
      </c>
      <c r="I254" s="91" t="e">
        <f t="shared" ca="1" si="1"/>
        <v>#REF!</v>
      </c>
      <c r="J254" s="91" t="str">
        <f ca="1">IFERROR(__xludf.DUMMYFUNCTION("""COMPUTED_VALUE"""),"")</f>
        <v/>
      </c>
      <c r="K254" s="91" t="str">
        <f ca="1">IFERROR(__xludf.DUMMYFUNCTION("""COMPUTED_VALUE"""),"")</f>
        <v/>
      </c>
      <c r="L254" s="94" t="str">
        <f ca="1">IFERROR(__xludf.DUMMYFUNCTION("""COMPUTED_VALUE"""),"09h30 85180 Les Sables d'Olonne (le Château d'Olonne)-.")</f>
        <v>09h30 85180 Les Sables d'Olonne (le Château d'Olonne)-.</v>
      </c>
    </row>
    <row r="255" spans="1:12" ht="15.75" customHeight="1" x14ac:dyDescent="0.2">
      <c r="A255" s="94" t="s">
        <v>302</v>
      </c>
      <c r="B255" s="91">
        <v>0</v>
      </c>
      <c r="C255" s="91">
        <v>1</v>
      </c>
      <c r="H255" s="91" t="e">
        <f t="shared" ca="1" si="0"/>
        <v>#REF!</v>
      </c>
      <c r="I255" s="91" t="e">
        <f t="shared" ca="1" si="1"/>
        <v>#REF!</v>
      </c>
      <c r="J255" s="91" t="str">
        <f ca="1">IFERROR(__xludf.DUMMYFUNCTION("""COMPUTED_VALUE"""),"")</f>
        <v/>
      </c>
      <c r="K255" s="91" t="str">
        <f ca="1">IFERROR(__xludf.DUMMYFUNCTION("""COMPUTED_VALUE"""),"")</f>
        <v/>
      </c>
      <c r="L255" s="94" t="str">
        <f ca="1">IFERROR(__xludf.DUMMYFUNCTION("""COMPUTED_VALUE"""),"09h30 85180 Les Sables d'Olonne (le Château d'Olonne)")</f>
        <v>09h30 85180 Les Sables d'Olonne (le Château d'Olonne)</v>
      </c>
    </row>
    <row r="256" spans="1:12" ht="15.75" customHeight="1" x14ac:dyDescent="0.2">
      <c r="A256" s="94" t="s">
        <v>303</v>
      </c>
      <c r="B256" s="91">
        <v>0</v>
      </c>
      <c r="C256" s="91">
        <v>1</v>
      </c>
      <c r="H256" s="91" t="e">
        <f t="shared" ca="1" si="0"/>
        <v>#REF!</v>
      </c>
      <c r="I256" s="91" t="e">
        <f t="shared" ca="1" si="1"/>
        <v>#REF!</v>
      </c>
      <c r="J256" s="91" t="str">
        <f ca="1">IFERROR(__xludf.DUMMYFUNCTION("""COMPUTED_VALUE"""),"")</f>
        <v/>
      </c>
      <c r="K256" s="91" t="str">
        <f ca="1">IFERROR(__xludf.DUMMYFUNCTION("""COMPUTED_VALUE"""),"")</f>
        <v/>
      </c>
      <c r="L256" s="94" t="str">
        <f ca="1">IFERROR(__xludf.DUMMYFUNCTION("""COMPUTED_VALUE"""),"09h30 85150 Saint-Mathurin")</f>
        <v>09h30 85150 Saint-Mathurin</v>
      </c>
    </row>
    <row r="257" spans="1:12" ht="15.75" customHeight="1" x14ac:dyDescent="0.2">
      <c r="A257" s="94" t="s">
        <v>304</v>
      </c>
      <c r="B257" s="91">
        <v>0</v>
      </c>
      <c r="C257" s="91">
        <v>1</v>
      </c>
      <c r="H257" s="91" t="e">
        <f t="shared" ca="1" si="0"/>
        <v>#REF!</v>
      </c>
      <c r="I257" s="91" t="e">
        <f t="shared" ca="1" si="1"/>
        <v>#REF!</v>
      </c>
      <c r="J257" s="91" t="str">
        <f ca="1">IFERROR(__xludf.DUMMYFUNCTION("""COMPUTED_VALUE"""),"")</f>
        <v/>
      </c>
      <c r="K257" s="91" t="str">
        <f ca="1">IFERROR(__xludf.DUMMYFUNCTION("""COMPUTED_VALUE"""),"")</f>
        <v/>
      </c>
      <c r="L257" s="94" t="str">
        <f ca="1">IFERROR(__xludf.DUMMYFUNCTION("""COMPUTED_VALUE"""),"09h35 85100 Les Sables d'Olonne (les Sables d'Olonne)-.")</f>
        <v>09h35 85100 Les Sables d'Olonne (les Sables d'Olonne)-.</v>
      </c>
    </row>
    <row r="258" spans="1:12" ht="15.75" customHeight="1" x14ac:dyDescent="0.2">
      <c r="A258" s="94" t="s">
        <v>305</v>
      </c>
      <c r="B258" s="91">
        <v>0</v>
      </c>
      <c r="C258" s="91">
        <v>1</v>
      </c>
      <c r="H258" s="91" t="e">
        <f t="shared" ca="1" si="0"/>
        <v>#REF!</v>
      </c>
      <c r="I258" s="91" t="e">
        <f t="shared" ca="1" si="1"/>
        <v>#REF!</v>
      </c>
      <c r="J258" s="91" t="str">
        <f ca="1">IFERROR(__xludf.DUMMYFUNCTION("""COMPUTED_VALUE"""),"")</f>
        <v/>
      </c>
      <c r="K258" s="91" t="str">
        <f ca="1">IFERROR(__xludf.DUMMYFUNCTION("""COMPUTED_VALUE"""),"")</f>
        <v/>
      </c>
      <c r="L258" s="94" t="str">
        <f ca="1">IFERROR(__xludf.DUMMYFUNCTION("""COMPUTED_VALUE"""),"09h35 85100 Les Sables d'Olonne (les Sables d'Olonne)")</f>
        <v>09h35 85100 Les Sables d'Olonne (les Sables d'Olonne)</v>
      </c>
    </row>
    <row r="259" spans="1:12" ht="15.75" customHeight="1" x14ac:dyDescent="0.2">
      <c r="A259" s="94" t="s">
        <v>306</v>
      </c>
      <c r="B259" s="91">
        <v>0</v>
      </c>
      <c r="C259" s="91">
        <v>1</v>
      </c>
      <c r="H259" s="91" t="e">
        <f t="shared" ca="1" si="0"/>
        <v>#REF!</v>
      </c>
      <c r="I259" s="91" t="e">
        <f t="shared" ca="1" si="1"/>
        <v>#REF!</v>
      </c>
      <c r="J259" s="91" t="str">
        <f ca="1">IFERROR(__xludf.DUMMYFUNCTION("""COMPUTED_VALUE"""),"")</f>
        <v/>
      </c>
      <c r="K259" s="91" t="str">
        <f ca="1">IFERROR(__xludf.DUMMYFUNCTION("""COMPUTED_VALUE"""),"")</f>
        <v/>
      </c>
      <c r="L259" s="94" t="str">
        <f ca="1">IFERROR(__xludf.DUMMYFUNCTION("""COMPUTED_VALUE"""),"09h35 85100 Les Sables d'Olonne ( la Chaume)")</f>
        <v>09h35 85100 Les Sables d'Olonne ( la Chaume)</v>
      </c>
    </row>
    <row r="260" spans="1:12" ht="15.75" customHeight="1" x14ac:dyDescent="0.2">
      <c r="A260" s="94" t="s">
        <v>118</v>
      </c>
      <c r="B260" s="91">
        <v>0</v>
      </c>
      <c r="C260" s="91">
        <v>1</v>
      </c>
      <c r="H260" s="91" t="e">
        <f t="shared" ca="1" si="0"/>
        <v>#REF!</v>
      </c>
      <c r="I260" s="91" t="e">
        <f t="shared" ca="1" si="1"/>
        <v>#REF!</v>
      </c>
      <c r="J260" s="91" t="str">
        <f ca="1">IFERROR(__xludf.DUMMYFUNCTION("""COMPUTED_VALUE"""),"")</f>
        <v/>
      </c>
      <c r="K260" s="91" t="str">
        <f ca="1">IFERROR(__xludf.DUMMYFUNCTION("""COMPUTED_VALUE"""),"")</f>
        <v/>
      </c>
      <c r="L260" s="94" t="str">
        <f ca="1">IFERROR(__xludf.DUMMYFUNCTION("""COMPUTED_VALUE"""),"09h35 85340 Les Sables d'Olonne (Olonne sur Mer)-.")</f>
        <v>09h35 85340 Les Sables d'Olonne (Olonne sur Mer)-.</v>
      </c>
    </row>
    <row r="261" spans="1:12" ht="15.75" customHeight="1" x14ac:dyDescent="0.2">
      <c r="A261" s="94" t="s">
        <v>307</v>
      </c>
      <c r="B261" s="91">
        <v>0</v>
      </c>
      <c r="C261" s="91">
        <v>1</v>
      </c>
      <c r="H261" s="91" t="e">
        <f t="shared" ca="1" si="0"/>
        <v>#REF!</v>
      </c>
      <c r="I261" s="91" t="e">
        <f t="shared" ca="1" si="1"/>
        <v>#REF!</v>
      </c>
      <c r="J261" s="91" t="str">
        <f ca="1">IFERROR(__xludf.DUMMYFUNCTION("""COMPUTED_VALUE"""),"")</f>
        <v/>
      </c>
      <c r="K261" s="91" t="str">
        <f ca="1">IFERROR(__xludf.DUMMYFUNCTION("""COMPUTED_VALUE"""),"")</f>
        <v/>
      </c>
      <c r="L261" s="94" t="str">
        <f ca="1">IFERROR(__xludf.DUMMYFUNCTION("""COMPUTED_VALUE"""),"09h35 85340 Les Sables d'Olonne (Olonne sur Mer)")</f>
        <v>09h35 85340 Les Sables d'Olonne (Olonne sur Mer)</v>
      </c>
    </row>
    <row r="262" spans="1:12" ht="15.75" customHeight="1" x14ac:dyDescent="0.2">
      <c r="A262" s="94" t="s">
        <v>71</v>
      </c>
      <c r="B262" s="91">
        <v>0</v>
      </c>
      <c r="C262" s="91">
        <v>1</v>
      </c>
      <c r="H262" s="91" t="e">
        <f t="shared" ca="1" si="0"/>
        <v>#REF!</v>
      </c>
      <c r="I262" s="91" t="e">
        <f t="shared" ca="1" si="1"/>
        <v>#REF!</v>
      </c>
      <c r="J262" s="91" t="str">
        <f ca="1">IFERROR(__xludf.DUMMYFUNCTION("""COMPUTED_VALUE"""),"")</f>
        <v/>
      </c>
      <c r="K262" s="91" t="str">
        <f ca="1">IFERROR(__xludf.DUMMYFUNCTION("""COMPUTED_VALUE"""),"")</f>
        <v/>
      </c>
      <c r="L262" s="94" t="str">
        <f ca="1">IFERROR(__xludf.DUMMYFUNCTION("""COMPUTED_VALUE"""),"09h35 85180 Les Sables d'Olonne (le Château d'Olonne)-.")</f>
        <v>09h35 85180 Les Sables d'Olonne (le Château d'Olonne)-.</v>
      </c>
    </row>
    <row r="263" spans="1:12" ht="15.75" customHeight="1" x14ac:dyDescent="0.2">
      <c r="A263" s="94" t="s">
        <v>308</v>
      </c>
      <c r="B263" s="91">
        <v>0</v>
      </c>
      <c r="C263" s="91">
        <v>1</v>
      </c>
      <c r="H263" s="91" t="e">
        <f t="shared" ca="1" si="0"/>
        <v>#REF!</v>
      </c>
      <c r="I263" s="91" t="e">
        <f t="shared" ca="1" si="1"/>
        <v>#REF!</v>
      </c>
      <c r="J263" s="91" t="str">
        <f ca="1">IFERROR(__xludf.DUMMYFUNCTION("""COMPUTED_VALUE"""),"")</f>
        <v/>
      </c>
      <c r="K263" s="91" t="str">
        <f ca="1">IFERROR(__xludf.DUMMYFUNCTION("""COMPUTED_VALUE"""),"")</f>
        <v/>
      </c>
      <c r="L263" s="94" t="str">
        <f ca="1">IFERROR(__xludf.DUMMYFUNCTION("""COMPUTED_VALUE"""),"09h35 85180 Les Sables d'Olonne (le Château d'Olonne)")</f>
        <v>09h35 85180 Les Sables d'Olonne (le Château d'Olonne)</v>
      </c>
    </row>
    <row r="264" spans="1:12" ht="15.75" customHeight="1" x14ac:dyDescent="0.2">
      <c r="A264" s="94" t="s">
        <v>309</v>
      </c>
      <c r="B264" s="91">
        <v>0</v>
      </c>
      <c r="C264" s="91">
        <v>1</v>
      </c>
      <c r="H264" s="91" t="e">
        <f t="shared" ca="1" si="0"/>
        <v>#REF!</v>
      </c>
      <c r="I264" s="91" t="e">
        <f t="shared" ca="1" si="1"/>
        <v>#REF!</v>
      </c>
      <c r="J264" s="91" t="str">
        <f ca="1">IFERROR(__xludf.DUMMYFUNCTION("""COMPUTED_VALUE"""),"")</f>
        <v/>
      </c>
      <c r="K264" s="91" t="str">
        <f ca="1">IFERROR(__xludf.DUMMYFUNCTION("""COMPUTED_VALUE"""),"")</f>
        <v/>
      </c>
      <c r="L264" s="94" t="str">
        <f ca="1">IFERROR(__xludf.DUMMYFUNCTION("""COMPUTED_VALUE"""),"09h35 85150 Saint-Mathurin")</f>
        <v>09h35 85150 Saint-Mathurin</v>
      </c>
    </row>
    <row r="265" spans="1:12" ht="15.75" customHeight="1" x14ac:dyDescent="0.2">
      <c r="A265" s="94" t="s">
        <v>310</v>
      </c>
      <c r="B265" s="91">
        <v>0</v>
      </c>
      <c r="C265" s="91">
        <v>1</v>
      </c>
      <c r="H265" s="91" t="e">
        <f t="shared" ca="1" si="0"/>
        <v>#REF!</v>
      </c>
      <c r="I265" s="91" t="e">
        <f t="shared" ca="1" si="1"/>
        <v>#REF!</v>
      </c>
      <c r="J265" s="91" t="str">
        <f ca="1">IFERROR(__xludf.DUMMYFUNCTION("""COMPUTED_VALUE"""),"")</f>
        <v/>
      </c>
      <c r="K265" s="91" t="str">
        <f ca="1">IFERROR(__xludf.DUMMYFUNCTION("""COMPUTED_VALUE"""),"")</f>
        <v/>
      </c>
      <c r="L265" s="94" t="str">
        <f ca="1">IFERROR(__xludf.DUMMYFUNCTION("""COMPUTED_VALUE"""),"09h40 85100 Les Sables d'Olonne (les Sables d'Olonne)-.")</f>
        <v>09h40 85100 Les Sables d'Olonne (les Sables d'Olonne)-.</v>
      </c>
    </row>
    <row r="266" spans="1:12" ht="15.75" customHeight="1" x14ac:dyDescent="0.2">
      <c r="A266" s="94" t="s">
        <v>311</v>
      </c>
      <c r="B266" s="91">
        <v>0</v>
      </c>
      <c r="C266" s="91">
        <v>1</v>
      </c>
      <c r="H266" s="91" t="e">
        <f t="shared" ca="1" si="0"/>
        <v>#REF!</v>
      </c>
      <c r="I266" s="91" t="e">
        <f t="shared" ca="1" si="1"/>
        <v>#REF!</v>
      </c>
      <c r="J266" s="91" t="str">
        <f ca="1">IFERROR(__xludf.DUMMYFUNCTION("""COMPUTED_VALUE"""),"")</f>
        <v/>
      </c>
      <c r="K266" s="91" t="str">
        <f ca="1">IFERROR(__xludf.DUMMYFUNCTION("""COMPUTED_VALUE"""),"")</f>
        <v/>
      </c>
      <c r="L266" s="94" t="str">
        <f ca="1">IFERROR(__xludf.DUMMYFUNCTION("""COMPUTED_VALUE"""),"09h40 85100 Les Sables d'Olonne (les Sables d'Olonne)")</f>
        <v>09h40 85100 Les Sables d'Olonne (les Sables d'Olonne)</v>
      </c>
    </row>
    <row r="267" spans="1:12" ht="15.75" customHeight="1" x14ac:dyDescent="0.2">
      <c r="A267" s="94" t="s">
        <v>312</v>
      </c>
      <c r="B267" s="91">
        <v>0</v>
      </c>
      <c r="C267" s="91">
        <v>1</v>
      </c>
      <c r="H267" s="91" t="e">
        <f t="shared" ca="1" si="0"/>
        <v>#REF!</v>
      </c>
      <c r="I267" s="91" t="e">
        <f t="shared" ca="1" si="1"/>
        <v>#REF!</v>
      </c>
      <c r="J267" s="91" t="str">
        <f ca="1">IFERROR(__xludf.DUMMYFUNCTION("""COMPUTED_VALUE"""),"")</f>
        <v/>
      </c>
      <c r="K267" s="91" t="str">
        <f ca="1">IFERROR(__xludf.DUMMYFUNCTION("""COMPUTED_VALUE"""),"")</f>
        <v/>
      </c>
      <c r="L267" s="94" t="str">
        <f ca="1">IFERROR(__xludf.DUMMYFUNCTION("""COMPUTED_VALUE"""),"09h40 85100 Les Sables d'Olonne ( la Chaume)")</f>
        <v>09h40 85100 Les Sables d'Olonne ( la Chaume)</v>
      </c>
    </row>
    <row r="268" spans="1:12" ht="15.75" customHeight="1" x14ac:dyDescent="0.2">
      <c r="A268" s="94" t="s">
        <v>119</v>
      </c>
      <c r="B268" s="91">
        <v>0</v>
      </c>
      <c r="C268" s="91">
        <v>1</v>
      </c>
      <c r="H268" s="91" t="e">
        <f t="shared" ca="1" si="0"/>
        <v>#REF!</v>
      </c>
      <c r="I268" s="91" t="e">
        <f t="shared" ca="1" si="1"/>
        <v>#REF!</v>
      </c>
      <c r="J268" s="91" t="str">
        <f ca="1">IFERROR(__xludf.DUMMYFUNCTION("""COMPUTED_VALUE"""),"")</f>
        <v/>
      </c>
      <c r="K268" s="91" t="str">
        <f ca="1">IFERROR(__xludf.DUMMYFUNCTION("""COMPUTED_VALUE"""),"")</f>
        <v/>
      </c>
      <c r="L268" s="94" t="str">
        <f ca="1">IFERROR(__xludf.DUMMYFUNCTION("""COMPUTED_VALUE"""),"09h40 85340 Les Sables d'Olonne (Olonne sur Mer)-.")</f>
        <v>09h40 85340 Les Sables d'Olonne (Olonne sur Mer)-.</v>
      </c>
    </row>
    <row r="269" spans="1:12" ht="15.75" customHeight="1" x14ac:dyDescent="0.2">
      <c r="A269" s="94" t="s">
        <v>313</v>
      </c>
      <c r="B269" s="91">
        <v>0</v>
      </c>
      <c r="C269" s="91">
        <v>1</v>
      </c>
      <c r="H269" s="91" t="e">
        <f t="shared" ca="1" si="0"/>
        <v>#REF!</v>
      </c>
      <c r="I269" s="91" t="e">
        <f t="shared" ca="1" si="1"/>
        <v>#REF!</v>
      </c>
      <c r="J269" s="91" t="str">
        <f ca="1">IFERROR(__xludf.DUMMYFUNCTION("""COMPUTED_VALUE"""),"")</f>
        <v/>
      </c>
      <c r="K269" s="91" t="str">
        <f ca="1">IFERROR(__xludf.DUMMYFUNCTION("""COMPUTED_VALUE"""),"")</f>
        <v/>
      </c>
      <c r="L269" s="94" t="str">
        <f ca="1">IFERROR(__xludf.DUMMYFUNCTION("""COMPUTED_VALUE"""),"09h40 85340 Les Sables d'Olonne (Olonne sur Mer)")</f>
        <v>09h40 85340 Les Sables d'Olonne (Olonne sur Mer)</v>
      </c>
    </row>
    <row r="270" spans="1:12" ht="15.75" customHeight="1" x14ac:dyDescent="0.2">
      <c r="A270" s="94" t="s">
        <v>314</v>
      </c>
      <c r="B270" s="91">
        <v>0</v>
      </c>
      <c r="C270" s="91">
        <v>1</v>
      </c>
      <c r="H270" s="91" t="e">
        <f t="shared" ca="1" si="0"/>
        <v>#REF!</v>
      </c>
      <c r="I270" s="91" t="e">
        <f t="shared" ca="1" si="1"/>
        <v>#REF!</v>
      </c>
      <c r="J270" s="91" t="str">
        <f ca="1">IFERROR(__xludf.DUMMYFUNCTION("""COMPUTED_VALUE"""),"")</f>
        <v/>
      </c>
      <c r="K270" s="91" t="str">
        <f ca="1">IFERROR(__xludf.DUMMYFUNCTION("""COMPUTED_VALUE"""),"")</f>
        <v/>
      </c>
      <c r="L270" s="94" t="str">
        <f ca="1">IFERROR(__xludf.DUMMYFUNCTION("""COMPUTED_VALUE"""),"09h40 85180 Les Sables d'Olonne (le Château d'Olonne)-.")</f>
        <v>09h40 85180 Les Sables d'Olonne (le Château d'Olonne)-.</v>
      </c>
    </row>
    <row r="271" spans="1:12" ht="15.75" customHeight="1" x14ac:dyDescent="0.2">
      <c r="A271" s="94" t="s">
        <v>315</v>
      </c>
      <c r="B271" s="91">
        <v>0</v>
      </c>
      <c r="C271" s="91">
        <v>1</v>
      </c>
      <c r="H271" s="91" t="e">
        <f t="shared" ca="1" si="0"/>
        <v>#REF!</v>
      </c>
      <c r="I271" s="91" t="e">
        <f t="shared" ca="1" si="1"/>
        <v>#REF!</v>
      </c>
      <c r="J271" s="91" t="str">
        <f ca="1">IFERROR(__xludf.DUMMYFUNCTION("""COMPUTED_VALUE"""),"")</f>
        <v/>
      </c>
      <c r="K271" s="91" t="str">
        <f ca="1">IFERROR(__xludf.DUMMYFUNCTION("""COMPUTED_VALUE"""),"")</f>
        <v/>
      </c>
      <c r="L271" s="94" t="str">
        <f ca="1">IFERROR(__xludf.DUMMYFUNCTION("""COMPUTED_VALUE"""),"09h40 85180 Les Sables d'Olonne (le Château d'Olonne)")</f>
        <v>09h40 85180 Les Sables d'Olonne (le Château d'Olonne)</v>
      </c>
    </row>
    <row r="272" spans="1:12" ht="15.75" customHeight="1" x14ac:dyDescent="0.2">
      <c r="A272" s="94" t="s">
        <v>316</v>
      </c>
      <c r="B272" s="91">
        <v>0</v>
      </c>
      <c r="C272" s="91">
        <v>1</v>
      </c>
      <c r="H272" s="91" t="e">
        <f t="shared" ca="1" si="0"/>
        <v>#REF!</v>
      </c>
      <c r="I272" s="91" t="e">
        <f t="shared" ca="1" si="1"/>
        <v>#REF!</v>
      </c>
      <c r="J272" s="91" t="str">
        <f ca="1">IFERROR(__xludf.DUMMYFUNCTION("""COMPUTED_VALUE"""),"")</f>
        <v/>
      </c>
      <c r="K272" s="91" t="str">
        <f ca="1">IFERROR(__xludf.DUMMYFUNCTION("""COMPUTED_VALUE"""),"")</f>
        <v/>
      </c>
      <c r="L272" s="94" t="str">
        <f ca="1">IFERROR(__xludf.DUMMYFUNCTION("""COMPUTED_VALUE"""),"09h40 85150 Saint-Mathurin")</f>
        <v>09h40 85150 Saint-Mathurin</v>
      </c>
    </row>
    <row r="273" spans="1:12" ht="15.75" customHeight="1" x14ac:dyDescent="0.2">
      <c r="A273" s="94" t="s">
        <v>317</v>
      </c>
      <c r="B273" s="91">
        <v>0</v>
      </c>
      <c r="C273" s="91">
        <v>1</v>
      </c>
      <c r="H273" s="91" t="e">
        <f t="shared" ca="1" si="0"/>
        <v>#REF!</v>
      </c>
      <c r="I273" s="91" t="e">
        <f t="shared" ca="1" si="1"/>
        <v>#REF!</v>
      </c>
      <c r="J273" s="91" t="str">
        <f ca="1">IFERROR(__xludf.DUMMYFUNCTION("""COMPUTED_VALUE"""),"")</f>
        <v/>
      </c>
      <c r="K273" s="91" t="str">
        <f ca="1">IFERROR(__xludf.DUMMYFUNCTION("""COMPUTED_VALUE"""),"")</f>
        <v/>
      </c>
      <c r="L273" s="94" t="str">
        <f ca="1">IFERROR(__xludf.DUMMYFUNCTION("""COMPUTED_VALUE"""),"09h45 85100 Les Sables d'Olonne (les Sables d'Olonne)-.")</f>
        <v>09h45 85100 Les Sables d'Olonne (les Sables d'Olonne)-.</v>
      </c>
    </row>
    <row r="274" spans="1:12" ht="15.75" customHeight="1" x14ac:dyDescent="0.2">
      <c r="A274" s="94" t="s">
        <v>318</v>
      </c>
      <c r="B274" s="91">
        <v>0</v>
      </c>
      <c r="C274" s="91">
        <v>1</v>
      </c>
      <c r="H274" s="91" t="e">
        <f t="shared" ca="1" si="0"/>
        <v>#REF!</v>
      </c>
      <c r="I274" s="91" t="e">
        <f t="shared" ca="1" si="1"/>
        <v>#REF!</v>
      </c>
      <c r="J274" s="91" t="str">
        <f ca="1">IFERROR(__xludf.DUMMYFUNCTION("""COMPUTED_VALUE"""),"")</f>
        <v/>
      </c>
      <c r="K274" s="91" t="str">
        <f ca="1">IFERROR(__xludf.DUMMYFUNCTION("""COMPUTED_VALUE"""),"")</f>
        <v/>
      </c>
      <c r="L274" s="94" t="str">
        <f ca="1">IFERROR(__xludf.DUMMYFUNCTION("""COMPUTED_VALUE"""),"09h45 85100 Les Sables d'Olonne (les Sables d'Olonne)")</f>
        <v>09h45 85100 Les Sables d'Olonne (les Sables d'Olonne)</v>
      </c>
    </row>
    <row r="275" spans="1:12" ht="15.75" customHeight="1" x14ac:dyDescent="0.2">
      <c r="A275" s="94" t="s">
        <v>319</v>
      </c>
      <c r="B275" s="91">
        <v>0</v>
      </c>
      <c r="C275" s="91">
        <v>1</v>
      </c>
      <c r="H275" s="91" t="e">
        <f t="shared" ca="1" si="0"/>
        <v>#REF!</v>
      </c>
      <c r="I275" s="91" t="e">
        <f t="shared" ca="1" si="1"/>
        <v>#REF!</v>
      </c>
      <c r="J275" s="91" t="str">
        <f ca="1">IFERROR(__xludf.DUMMYFUNCTION("""COMPUTED_VALUE"""),"")</f>
        <v/>
      </c>
      <c r="K275" s="91" t="str">
        <f ca="1">IFERROR(__xludf.DUMMYFUNCTION("""COMPUTED_VALUE"""),"")</f>
        <v/>
      </c>
      <c r="L275" s="94" t="str">
        <f ca="1">IFERROR(__xludf.DUMMYFUNCTION("""COMPUTED_VALUE"""),"09h45 85100 Les Sables d'Olonne ( la Chaume)")</f>
        <v>09h45 85100 Les Sables d'Olonne ( la Chaume)</v>
      </c>
    </row>
    <row r="276" spans="1:12" ht="15.75" customHeight="1" x14ac:dyDescent="0.2">
      <c r="A276" s="94" t="s">
        <v>120</v>
      </c>
      <c r="B276" s="91">
        <v>0</v>
      </c>
      <c r="C276" s="91">
        <v>1</v>
      </c>
      <c r="H276" s="91" t="e">
        <f t="shared" ca="1" si="0"/>
        <v>#REF!</v>
      </c>
      <c r="I276" s="91" t="e">
        <f t="shared" ca="1" si="1"/>
        <v>#REF!</v>
      </c>
      <c r="J276" s="91" t="str">
        <f ca="1">IFERROR(__xludf.DUMMYFUNCTION("""COMPUTED_VALUE"""),"")</f>
        <v/>
      </c>
      <c r="K276" s="91" t="str">
        <f ca="1">IFERROR(__xludf.DUMMYFUNCTION("""COMPUTED_VALUE"""),"")</f>
        <v/>
      </c>
      <c r="L276" s="94" t="str">
        <f ca="1">IFERROR(__xludf.DUMMYFUNCTION("""COMPUTED_VALUE"""),"09h45 85340 Les Sables d'Olonne (Olonne sur Mer)-.")</f>
        <v>09h45 85340 Les Sables d'Olonne (Olonne sur Mer)-.</v>
      </c>
    </row>
    <row r="277" spans="1:12" ht="15.75" customHeight="1" x14ac:dyDescent="0.2">
      <c r="A277" s="94" t="s">
        <v>320</v>
      </c>
      <c r="B277" s="91">
        <v>0</v>
      </c>
      <c r="C277" s="91">
        <v>1</v>
      </c>
      <c r="H277" s="91" t="e">
        <f t="shared" ca="1" si="0"/>
        <v>#REF!</v>
      </c>
      <c r="I277" s="91" t="e">
        <f t="shared" ca="1" si="1"/>
        <v>#REF!</v>
      </c>
      <c r="J277" s="91" t="str">
        <f ca="1">IFERROR(__xludf.DUMMYFUNCTION("""COMPUTED_VALUE"""),"")</f>
        <v/>
      </c>
      <c r="K277" s="91" t="str">
        <f ca="1">IFERROR(__xludf.DUMMYFUNCTION("""COMPUTED_VALUE"""),"")</f>
        <v/>
      </c>
      <c r="L277" s="94" t="str">
        <f ca="1">IFERROR(__xludf.DUMMYFUNCTION("""COMPUTED_VALUE"""),"09h45 85340 Les Sables d'Olonne (Olonne sur Mer)")</f>
        <v>09h45 85340 Les Sables d'Olonne (Olonne sur Mer)</v>
      </c>
    </row>
    <row r="278" spans="1:12" ht="15.75" customHeight="1" x14ac:dyDescent="0.2">
      <c r="A278" s="94" t="s">
        <v>72</v>
      </c>
      <c r="B278" s="91">
        <v>0</v>
      </c>
      <c r="C278" s="91">
        <v>1</v>
      </c>
      <c r="H278" s="91" t="e">
        <f t="shared" ca="1" si="0"/>
        <v>#REF!</v>
      </c>
      <c r="I278" s="91" t="e">
        <f t="shared" ca="1" si="1"/>
        <v>#REF!</v>
      </c>
      <c r="J278" s="91" t="str">
        <f ca="1">IFERROR(__xludf.DUMMYFUNCTION("""COMPUTED_VALUE"""),"")</f>
        <v/>
      </c>
      <c r="K278" s="91" t="str">
        <f ca="1">IFERROR(__xludf.DUMMYFUNCTION("""COMPUTED_VALUE"""),"")</f>
        <v/>
      </c>
      <c r="L278" s="94" t="str">
        <f ca="1">IFERROR(__xludf.DUMMYFUNCTION("""COMPUTED_VALUE"""),"09h45 85180 Les Sables d'Olonne (le Château d'Olonne)-.")</f>
        <v>09h45 85180 Les Sables d'Olonne (le Château d'Olonne)-.</v>
      </c>
    </row>
    <row r="279" spans="1:12" ht="15.75" customHeight="1" x14ac:dyDescent="0.2">
      <c r="A279" s="94" t="s">
        <v>321</v>
      </c>
      <c r="B279" s="91">
        <v>0</v>
      </c>
      <c r="C279" s="91">
        <v>1</v>
      </c>
      <c r="H279" s="91" t="e">
        <f t="shared" ca="1" si="0"/>
        <v>#REF!</v>
      </c>
      <c r="I279" s="91" t="e">
        <f t="shared" ca="1" si="1"/>
        <v>#REF!</v>
      </c>
      <c r="J279" s="91" t="str">
        <f ca="1">IFERROR(__xludf.DUMMYFUNCTION("""COMPUTED_VALUE"""),"")</f>
        <v/>
      </c>
      <c r="K279" s="91" t="str">
        <f ca="1">IFERROR(__xludf.DUMMYFUNCTION("""COMPUTED_VALUE"""),"")</f>
        <v/>
      </c>
      <c r="L279" s="94" t="str">
        <f ca="1">IFERROR(__xludf.DUMMYFUNCTION("""COMPUTED_VALUE"""),"09h45 85180 Les Sables d'Olonne (le Château d'Olonne)")</f>
        <v>09h45 85180 Les Sables d'Olonne (le Château d'Olonne)</v>
      </c>
    </row>
    <row r="280" spans="1:12" ht="15.75" customHeight="1" x14ac:dyDescent="0.2">
      <c r="A280" s="94" t="s">
        <v>322</v>
      </c>
      <c r="B280" s="91">
        <v>0</v>
      </c>
      <c r="C280" s="91">
        <v>1</v>
      </c>
      <c r="H280" s="91" t="e">
        <f t="shared" ca="1" si="0"/>
        <v>#REF!</v>
      </c>
      <c r="I280" s="91" t="e">
        <f t="shared" ca="1" si="1"/>
        <v>#REF!</v>
      </c>
      <c r="J280" s="91" t="str">
        <f ca="1">IFERROR(__xludf.DUMMYFUNCTION("""COMPUTED_VALUE"""),"")</f>
        <v/>
      </c>
      <c r="K280" s="91" t="str">
        <f ca="1">IFERROR(__xludf.DUMMYFUNCTION("""COMPUTED_VALUE"""),"")</f>
        <v/>
      </c>
      <c r="L280" s="94" t="str">
        <f ca="1">IFERROR(__xludf.DUMMYFUNCTION("""COMPUTED_VALUE"""),"09h45 85150 Saint-Mathurin")</f>
        <v>09h45 85150 Saint-Mathurin</v>
      </c>
    </row>
    <row r="281" spans="1:12" ht="15.75" customHeight="1" x14ac:dyDescent="0.2">
      <c r="A281" s="94" t="s">
        <v>323</v>
      </c>
      <c r="B281" s="91">
        <v>0</v>
      </c>
      <c r="C281" s="91">
        <v>1</v>
      </c>
      <c r="H281" s="91" t="e">
        <f t="shared" ca="1" si="0"/>
        <v>#REF!</v>
      </c>
      <c r="I281" s="91" t="e">
        <f t="shared" ca="1" si="1"/>
        <v>#REF!</v>
      </c>
      <c r="J281" s="91" t="str">
        <f ca="1">IFERROR(__xludf.DUMMYFUNCTION("""COMPUTED_VALUE"""),"")</f>
        <v/>
      </c>
      <c r="K281" s="91" t="str">
        <f ca="1">IFERROR(__xludf.DUMMYFUNCTION("""COMPUTED_VALUE"""),"")</f>
        <v/>
      </c>
      <c r="L281" s="94" t="str">
        <f ca="1">IFERROR(__xludf.DUMMYFUNCTION("""COMPUTED_VALUE"""),"09h50 85100 Les Sables d'Olonne (les Sables d'Olonne)-.")</f>
        <v>09h50 85100 Les Sables d'Olonne (les Sables d'Olonne)-.</v>
      </c>
    </row>
    <row r="282" spans="1:12" ht="15.75" customHeight="1" x14ac:dyDescent="0.2">
      <c r="A282" s="94" t="s">
        <v>324</v>
      </c>
      <c r="B282" s="91">
        <v>0</v>
      </c>
      <c r="C282" s="91">
        <v>1</v>
      </c>
      <c r="H282" s="91" t="e">
        <f t="shared" ca="1" si="0"/>
        <v>#REF!</v>
      </c>
      <c r="I282" s="91" t="e">
        <f t="shared" ca="1" si="1"/>
        <v>#REF!</v>
      </c>
      <c r="J282" s="91" t="str">
        <f ca="1">IFERROR(__xludf.DUMMYFUNCTION("""COMPUTED_VALUE"""),"")</f>
        <v/>
      </c>
      <c r="K282" s="91" t="str">
        <f ca="1">IFERROR(__xludf.DUMMYFUNCTION("""COMPUTED_VALUE"""),"")</f>
        <v/>
      </c>
      <c r="L282" s="94" t="str">
        <f ca="1">IFERROR(__xludf.DUMMYFUNCTION("""COMPUTED_VALUE"""),"09h50 85100 Les Sables d'Olonne (les Sables d'Olonne)")</f>
        <v>09h50 85100 Les Sables d'Olonne (les Sables d'Olonne)</v>
      </c>
    </row>
    <row r="283" spans="1:12" ht="15.75" customHeight="1" x14ac:dyDescent="0.2">
      <c r="A283" s="94" t="s">
        <v>325</v>
      </c>
      <c r="B283" s="91">
        <v>0</v>
      </c>
      <c r="C283" s="91">
        <v>1</v>
      </c>
      <c r="H283" s="91" t="e">
        <f t="shared" ca="1" si="0"/>
        <v>#REF!</v>
      </c>
      <c r="I283" s="91" t="e">
        <f t="shared" ca="1" si="1"/>
        <v>#REF!</v>
      </c>
      <c r="J283" s="91" t="str">
        <f ca="1">IFERROR(__xludf.DUMMYFUNCTION("""COMPUTED_VALUE"""),"")</f>
        <v/>
      </c>
      <c r="K283" s="91" t="str">
        <f ca="1">IFERROR(__xludf.DUMMYFUNCTION("""COMPUTED_VALUE"""),"")</f>
        <v/>
      </c>
      <c r="L283" s="94" t="str">
        <f ca="1">IFERROR(__xludf.DUMMYFUNCTION("""COMPUTED_VALUE"""),"09h50 85100 Les Sables d'Olonne ( la Chaume)")</f>
        <v>09h50 85100 Les Sables d'Olonne ( la Chaume)</v>
      </c>
    </row>
    <row r="284" spans="1:12" ht="15.75" customHeight="1" x14ac:dyDescent="0.2">
      <c r="A284" s="94" t="s">
        <v>326</v>
      </c>
      <c r="B284" s="91">
        <v>0</v>
      </c>
      <c r="C284" s="91">
        <v>1</v>
      </c>
      <c r="H284" s="91" t="e">
        <f t="shared" ca="1" si="0"/>
        <v>#REF!</v>
      </c>
      <c r="I284" s="91" t="e">
        <f t="shared" ca="1" si="1"/>
        <v>#REF!</v>
      </c>
      <c r="J284" s="91" t="str">
        <f ca="1">IFERROR(__xludf.DUMMYFUNCTION("""COMPUTED_VALUE"""),"")</f>
        <v/>
      </c>
      <c r="K284" s="91" t="str">
        <f ca="1">IFERROR(__xludf.DUMMYFUNCTION("""COMPUTED_VALUE"""),"")</f>
        <v/>
      </c>
      <c r="L284" s="94" t="str">
        <f ca="1">IFERROR(__xludf.DUMMYFUNCTION("""COMPUTED_VALUE"""),"09h50 85340 Les Sables d'Olonne (Olonne sur Mer)-.")</f>
        <v>09h50 85340 Les Sables d'Olonne (Olonne sur Mer)-.</v>
      </c>
    </row>
    <row r="285" spans="1:12" ht="15.75" customHeight="1" x14ac:dyDescent="0.2">
      <c r="A285" s="94" t="s">
        <v>121</v>
      </c>
      <c r="B285" s="91">
        <v>0</v>
      </c>
      <c r="C285" s="91">
        <v>1</v>
      </c>
      <c r="H285" s="91" t="e">
        <f t="shared" ca="1" si="0"/>
        <v>#REF!</v>
      </c>
      <c r="I285" s="91" t="e">
        <f t="shared" ca="1" si="1"/>
        <v>#REF!</v>
      </c>
      <c r="J285" s="91" t="str">
        <f ca="1">IFERROR(__xludf.DUMMYFUNCTION("""COMPUTED_VALUE"""),"")</f>
        <v/>
      </c>
      <c r="K285" s="91" t="str">
        <f ca="1">IFERROR(__xludf.DUMMYFUNCTION("""COMPUTED_VALUE"""),"")</f>
        <v/>
      </c>
      <c r="L285" s="94" t="str">
        <f ca="1">IFERROR(__xludf.DUMMYFUNCTION("""COMPUTED_VALUE"""),"09h50 85340 Les Sables d'Olonne (Olonne sur Mer)")</f>
        <v>09h50 85340 Les Sables d'Olonne (Olonne sur Mer)</v>
      </c>
    </row>
    <row r="286" spans="1:12" ht="15.75" customHeight="1" x14ac:dyDescent="0.2">
      <c r="A286" s="94" t="s">
        <v>327</v>
      </c>
      <c r="B286" s="91">
        <v>0</v>
      </c>
      <c r="C286" s="91">
        <v>1</v>
      </c>
      <c r="H286" s="91" t="e">
        <f t="shared" ca="1" si="0"/>
        <v>#REF!</v>
      </c>
      <c r="I286" s="91" t="e">
        <f t="shared" ca="1" si="1"/>
        <v>#REF!</v>
      </c>
      <c r="J286" s="91" t="str">
        <f ca="1">IFERROR(__xludf.DUMMYFUNCTION("""COMPUTED_VALUE"""),"")</f>
        <v/>
      </c>
      <c r="K286" s="91" t="str">
        <f ca="1">IFERROR(__xludf.DUMMYFUNCTION("""COMPUTED_VALUE"""),"")</f>
        <v/>
      </c>
      <c r="L286" s="94" t="str">
        <f ca="1">IFERROR(__xludf.DUMMYFUNCTION("""COMPUTED_VALUE"""),"09h50 85180 Les Sables d'Olonne (le Château d'Olonne)-.")</f>
        <v>09h50 85180 Les Sables d'Olonne (le Château d'Olonne)-.</v>
      </c>
    </row>
    <row r="287" spans="1:12" ht="15.75" customHeight="1" x14ac:dyDescent="0.2">
      <c r="A287" s="94" t="s">
        <v>328</v>
      </c>
      <c r="B287" s="91">
        <v>0</v>
      </c>
      <c r="C287" s="91">
        <v>1</v>
      </c>
      <c r="H287" s="91" t="e">
        <f t="shared" ca="1" si="0"/>
        <v>#REF!</v>
      </c>
      <c r="I287" s="91" t="e">
        <f t="shared" ca="1" si="1"/>
        <v>#REF!</v>
      </c>
      <c r="J287" s="91" t="str">
        <f ca="1">IFERROR(__xludf.DUMMYFUNCTION("""COMPUTED_VALUE"""),"")</f>
        <v/>
      </c>
      <c r="K287" s="91" t="str">
        <f ca="1">IFERROR(__xludf.DUMMYFUNCTION("""COMPUTED_VALUE"""),"")</f>
        <v/>
      </c>
      <c r="L287" s="94" t="str">
        <f ca="1">IFERROR(__xludf.DUMMYFUNCTION("""COMPUTED_VALUE"""),"09h50 85180 Les Sables d'Olonne (le Château d'Olonne)")</f>
        <v>09h50 85180 Les Sables d'Olonne (le Château d'Olonne)</v>
      </c>
    </row>
    <row r="288" spans="1:12" ht="15.75" customHeight="1" x14ac:dyDescent="0.2">
      <c r="A288" s="94" t="s">
        <v>329</v>
      </c>
      <c r="B288" s="91">
        <v>0</v>
      </c>
      <c r="C288" s="91">
        <v>1</v>
      </c>
      <c r="H288" s="91" t="e">
        <f t="shared" ca="1" si="0"/>
        <v>#REF!</v>
      </c>
      <c r="I288" s="91" t="e">
        <f t="shared" ca="1" si="1"/>
        <v>#REF!</v>
      </c>
      <c r="J288" s="91" t="str">
        <f ca="1">IFERROR(__xludf.DUMMYFUNCTION("""COMPUTED_VALUE"""),"")</f>
        <v/>
      </c>
      <c r="K288" s="91" t="str">
        <f ca="1">IFERROR(__xludf.DUMMYFUNCTION("""COMPUTED_VALUE"""),"")</f>
        <v/>
      </c>
      <c r="L288" s="94" t="str">
        <f ca="1">IFERROR(__xludf.DUMMYFUNCTION("""COMPUTED_VALUE"""),"09h50 85150 Saint-Mathurin")</f>
        <v>09h50 85150 Saint-Mathurin</v>
      </c>
    </row>
    <row r="289" spans="1:12" ht="15.75" customHeight="1" x14ac:dyDescent="0.2">
      <c r="A289" s="94" t="s">
        <v>330</v>
      </c>
      <c r="B289" s="91">
        <v>0</v>
      </c>
      <c r="C289" s="91">
        <v>1</v>
      </c>
      <c r="H289" s="91" t="e">
        <f t="shared" ca="1" si="0"/>
        <v>#REF!</v>
      </c>
      <c r="I289" s="91" t="e">
        <f t="shared" ca="1" si="1"/>
        <v>#REF!</v>
      </c>
      <c r="J289" s="91" t="str">
        <f ca="1">IFERROR(__xludf.DUMMYFUNCTION("""COMPUTED_VALUE"""),"")</f>
        <v/>
      </c>
      <c r="K289" s="91" t="str">
        <f ca="1">IFERROR(__xludf.DUMMYFUNCTION("""COMPUTED_VALUE"""),"")</f>
        <v/>
      </c>
      <c r="L289" s="94" t="str">
        <f ca="1">IFERROR(__xludf.DUMMYFUNCTION("""COMPUTED_VALUE"""),"09h55 85100 Les Sables d'Olonne (les Sables d'Olonne)-.")</f>
        <v>09h55 85100 Les Sables d'Olonne (les Sables d'Olonne)-.</v>
      </c>
    </row>
    <row r="290" spans="1:12" ht="15.75" customHeight="1" x14ac:dyDescent="0.2">
      <c r="A290" s="94" t="s">
        <v>331</v>
      </c>
      <c r="B290" s="91">
        <v>0</v>
      </c>
      <c r="C290" s="91">
        <v>1</v>
      </c>
      <c r="H290" s="91" t="e">
        <f t="shared" ca="1" si="0"/>
        <v>#REF!</v>
      </c>
      <c r="I290" s="91" t="e">
        <f t="shared" ca="1" si="1"/>
        <v>#REF!</v>
      </c>
      <c r="J290" s="91" t="str">
        <f ca="1">IFERROR(__xludf.DUMMYFUNCTION("""COMPUTED_VALUE"""),"")</f>
        <v/>
      </c>
      <c r="K290" s="91" t="str">
        <f ca="1">IFERROR(__xludf.DUMMYFUNCTION("""COMPUTED_VALUE"""),"")</f>
        <v/>
      </c>
      <c r="L290" s="94" t="str">
        <f ca="1">IFERROR(__xludf.DUMMYFUNCTION("""COMPUTED_VALUE"""),"09h55 85100 Les Sables d'Olonne (les Sables d'Olonne)")</f>
        <v>09h55 85100 Les Sables d'Olonne (les Sables d'Olonne)</v>
      </c>
    </row>
    <row r="291" spans="1:12" ht="15.75" customHeight="1" x14ac:dyDescent="0.2">
      <c r="A291" s="94" t="s">
        <v>332</v>
      </c>
      <c r="B291" s="91">
        <v>0</v>
      </c>
      <c r="C291" s="91">
        <v>1</v>
      </c>
      <c r="H291" s="91" t="e">
        <f t="shared" ca="1" si="0"/>
        <v>#REF!</v>
      </c>
      <c r="I291" s="91" t="e">
        <f t="shared" ca="1" si="1"/>
        <v>#REF!</v>
      </c>
      <c r="J291" s="91" t="str">
        <f ca="1">IFERROR(__xludf.DUMMYFUNCTION("""COMPUTED_VALUE"""),"")</f>
        <v/>
      </c>
      <c r="K291" s="91" t="str">
        <f ca="1">IFERROR(__xludf.DUMMYFUNCTION("""COMPUTED_VALUE"""),"")</f>
        <v/>
      </c>
      <c r="L291" s="94" t="str">
        <f ca="1">IFERROR(__xludf.DUMMYFUNCTION("""COMPUTED_VALUE"""),"09h55 85100 Les Sables d'Olonne ( la Chaume)")</f>
        <v>09h55 85100 Les Sables d'Olonne ( la Chaume)</v>
      </c>
    </row>
    <row r="292" spans="1:12" ht="15.75" customHeight="1" x14ac:dyDescent="0.2">
      <c r="A292" s="94" t="s">
        <v>333</v>
      </c>
      <c r="B292" s="91">
        <v>0</v>
      </c>
      <c r="C292" s="91">
        <v>1</v>
      </c>
      <c r="H292" s="91" t="e">
        <f t="shared" ca="1" si="0"/>
        <v>#REF!</v>
      </c>
      <c r="I292" s="91" t="e">
        <f t="shared" ca="1" si="1"/>
        <v>#REF!</v>
      </c>
      <c r="J292" s="91" t="str">
        <f ca="1">IFERROR(__xludf.DUMMYFUNCTION("""COMPUTED_VALUE"""),"")</f>
        <v/>
      </c>
      <c r="K292" s="91" t="str">
        <f ca="1">IFERROR(__xludf.DUMMYFUNCTION("""COMPUTED_VALUE"""),"")</f>
        <v/>
      </c>
      <c r="L292" s="94" t="str">
        <f ca="1">IFERROR(__xludf.DUMMYFUNCTION("""COMPUTED_VALUE"""),"09h55 85340 Les Sables d'Olonne (Olonne sur Mer)-.")</f>
        <v>09h55 85340 Les Sables d'Olonne (Olonne sur Mer)-.</v>
      </c>
    </row>
    <row r="293" spans="1:12" ht="15.75" customHeight="1" x14ac:dyDescent="0.2">
      <c r="A293" s="94" t="s">
        <v>334</v>
      </c>
      <c r="B293" s="91">
        <v>0</v>
      </c>
      <c r="C293" s="91">
        <v>1</v>
      </c>
      <c r="H293" s="91" t="e">
        <f t="shared" ca="1" si="0"/>
        <v>#REF!</v>
      </c>
      <c r="I293" s="91" t="e">
        <f t="shared" ca="1" si="1"/>
        <v>#REF!</v>
      </c>
      <c r="J293" s="91" t="str">
        <f ca="1">IFERROR(__xludf.DUMMYFUNCTION("""COMPUTED_VALUE"""),"")</f>
        <v/>
      </c>
      <c r="K293" s="91" t="str">
        <f ca="1">IFERROR(__xludf.DUMMYFUNCTION("""COMPUTED_VALUE"""),"")</f>
        <v/>
      </c>
      <c r="L293" s="94" t="str">
        <f ca="1">IFERROR(__xludf.DUMMYFUNCTION("""COMPUTED_VALUE"""),"09h55 85340 Les Sables d'Olonne (Olonne sur Mer)")</f>
        <v>09h55 85340 Les Sables d'Olonne (Olonne sur Mer)</v>
      </c>
    </row>
    <row r="294" spans="1:12" ht="15.75" customHeight="1" x14ac:dyDescent="0.2">
      <c r="A294" s="94" t="s">
        <v>335</v>
      </c>
      <c r="B294" s="91">
        <v>0</v>
      </c>
      <c r="C294" s="91">
        <v>1</v>
      </c>
      <c r="H294" s="91" t="e">
        <f t="shared" ca="1" si="0"/>
        <v>#REF!</v>
      </c>
      <c r="I294" s="91" t="e">
        <f t="shared" ca="1" si="1"/>
        <v>#REF!</v>
      </c>
      <c r="J294" s="91" t="str">
        <f ca="1">IFERROR(__xludf.DUMMYFUNCTION("""COMPUTED_VALUE"""),"")</f>
        <v/>
      </c>
      <c r="K294" s="91" t="str">
        <f ca="1">IFERROR(__xludf.DUMMYFUNCTION("""COMPUTED_VALUE"""),"")</f>
        <v/>
      </c>
      <c r="L294" s="94" t="str">
        <f ca="1">IFERROR(__xludf.DUMMYFUNCTION("""COMPUTED_VALUE"""),"09h55 85180 Les Sables d'Olonne (le Château d'Olonne)-.")</f>
        <v>09h55 85180 Les Sables d'Olonne (le Château d'Olonne)-.</v>
      </c>
    </row>
    <row r="295" spans="1:12" ht="15.75" customHeight="1" x14ac:dyDescent="0.2">
      <c r="A295" s="94" t="s">
        <v>336</v>
      </c>
      <c r="B295" s="91">
        <v>0</v>
      </c>
      <c r="C295" s="91">
        <v>1</v>
      </c>
      <c r="H295" s="91" t="e">
        <f t="shared" ca="1" si="0"/>
        <v>#REF!</v>
      </c>
      <c r="I295" s="91" t="e">
        <f t="shared" ca="1" si="1"/>
        <v>#REF!</v>
      </c>
      <c r="J295" s="91" t="str">
        <f ca="1">IFERROR(__xludf.DUMMYFUNCTION("""COMPUTED_VALUE"""),"")</f>
        <v/>
      </c>
      <c r="K295" s="91" t="str">
        <f ca="1">IFERROR(__xludf.DUMMYFUNCTION("""COMPUTED_VALUE"""),"")</f>
        <v/>
      </c>
      <c r="L295" s="94" t="str">
        <f ca="1">IFERROR(__xludf.DUMMYFUNCTION("""COMPUTED_VALUE"""),"09h55 85180 Les Sables d'Olonne (le Château d'Olonne)")</f>
        <v>09h55 85180 Les Sables d'Olonne (le Château d'Olonne)</v>
      </c>
    </row>
    <row r="296" spans="1:12" ht="15.75" customHeight="1" x14ac:dyDescent="0.2">
      <c r="A296" s="94" t="s">
        <v>337</v>
      </c>
      <c r="B296" s="91">
        <v>0</v>
      </c>
      <c r="C296" s="91">
        <v>1</v>
      </c>
      <c r="H296" s="91" t="e">
        <f t="shared" ca="1" si="0"/>
        <v>#REF!</v>
      </c>
      <c r="I296" s="91" t="e">
        <f t="shared" ca="1" si="1"/>
        <v>#REF!</v>
      </c>
      <c r="J296" s="91" t="str">
        <f ca="1">IFERROR(__xludf.DUMMYFUNCTION("""COMPUTED_VALUE"""),"")</f>
        <v/>
      </c>
      <c r="K296" s="91" t="str">
        <f ca="1">IFERROR(__xludf.DUMMYFUNCTION("""COMPUTED_VALUE"""),"")</f>
        <v/>
      </c>
      <c r="L296" s="94" t="str">
        <f ca="1">IFERROR(__xludf.DUMMYFUNCTION("""COMPUTED_VALUE"""),"09h55 85150 Saint-Mathurin")</f>
        <v>09h55 85150 Saint-Mathurin</v>
      </c>
    </row>
    <row r="297" spans="1:12" ht="15.75" customHeight="1" x14ac:dyDescent="0.2">
      <c r="A297" s="94" t="s">
        <v>338</v>
      </c>
      <c r="B297" s="91">
        <v>0</v>
      </c>
      <c r="C297" s="91">
        <v>1</v>
      </c>
      <c r="H297" s="91" t="e">
        <f t="shared" ca="1" si="0"/>
        <v>#REF!</v>
      </c>
      <c r="I297" s="91" t="e">
        <f t="shared" ca="1" si="1"/>
        <v>#REF!</v>
      </c>
      <c r="J297" s="91" t="str">
        <f ca="1">IFERROR(__xludf.DUMMYFUNCTION("""COMPUTED_VALUE"""),"")</f>
        <v/>
      </c>
      <c r="K297" s="91" t="str">
        <f ca="1">IFERROR(__xludf.DUMMYFUNCTION("""COMPUTED_VALUE"""),"")</f>
        <v/>
      </c>
      <c r="L297" s="94" t="str">
        <f ca="1">IFERROR(__xludf.DUMMYFUNCTION("""COMPUTED_VALUE"""),"10h00 85100 Les Sables d'Olonne (les Sables d'Olonne)-.")</f>
        <v>10h00 85100 Les Sables d'Olonne (les Sables d'Olonne)-.</v>
      </c>
    </row>
    <row r="298" spans="1:12" ht="15.75" customHeight="1" x14ac:dyDescent="0.2">
      <c r="A298" s="94" t="s">
        <v>339</v>
      </c>
      <c r="B298" s="91">
        <v>0</v>
      </c>
      <c r="C298" s="91">
        <v>1</v>
      </c>
      <c r="H298" s="91" t="e">
        <f t="shared" ca="1" si="0"/>
        <v>#REF!</v>
      </c>
      <c r="I298" s="91" t="e">
        <f t="shared" ca="1" si="1"/>
        <v>#REF!</v>
      </c>
      <c r="J298" s="91" t="str">
        <f ca="1">IFERROR(__xludf.DUMMYFUNCTION("""COMPUTED_VALUE"""),"")</f>
        <v/>
      </c>
      <c r="K298" s="91" t="str">
        <f ca="1">IFERROR(__xludf.DUMMYFUNCTION("""COMPUTED_VALUE"""),"")</f>
        <v/>
      </c>
      <c r="L298" s="94" t="str">
        <f ca="1">IFERROR(__xludf.DUMMYFUNCTION("""COMPUTED_VALUE"""),"10h00 85100 Les Sables d'Olonne (les Sables d'Olonne)")</f>
        <v>10h00 85100 Les Sables d'Olonne (les Sables d'Olonne)</v>
      </c>
    </row>
    <row r="299" spans="1:12" ht="15.75" customHeight="1" x14ac:dyDescent="0.2">
      <c r="A299" s="94" t="s">
        <v>340</v>
      </c>
      <c r="B299" s="91">
        <v>0</v>
      </c>
      <c r="C299" s="91">
        <v>1</v>
      </c>
      <c r="H299" s="91" t="e">
        <f t="shared" ca="1" si="0"/>
        <v>#REF!</v>
      </c>
      <c r="I299" s="91" t="e">
        <f t="shared" ca="1" si="1"/>
        <v>#REF!</v>
      </c>
      <c r="J299" s="91" t="str">
        <f ca="1">IFERROR(__xludf.DUMMYFUNCTION("""COMPUTED_VALUE"""),"")</f>
        <v/>
      </c>
      <c r="K299" s="91" t="str">
        <f ca="1">IFERROR(__xludf.DUMMYFUNCTION("""COMPUTED_VALUE"""),"")</f>
        <v/>
      </c>
      <c r="L299" s="94" t="str">
        <f ca="1">IFERROR(__xludf.DUMMYFUNCTION("""COMPUTED_VALUE"""),"10h00 85100 Les Sables d'Olonne ( la Chaume)")</f>
        <v>10h00 85100 Les Sables d'Olonne ( la Chaume)</v>
      </c>
    </row>
    <row r="300" spans="1:12" ht="15.75" customHeight="1" x14ac:dyDescent="0.2">
      <c r="A300" s="94" t="s">
        <v>123</v>
      </c>
      <c r="B300" s="91">
        <v>0</v>
      </c>
      <c r="C300" s="91">
        <v>1</v>
      </c>
      <c r="H300" s="91" t="e">
        <f t="shared" ca="1" si="0"/>
        <v>#REF!</v>
      </c>
      <c r="I300" s="91" t="e">
        <f t="shared" ca="1" si="1"/>
        <v>#REF!</v>
      </c>
      <c r="J300" s="91" t="str">
        <f ca="1">IFERROR(__xludf.DUMMYFUNCTION("""COMPUTED_VALUE"""),"")</f>
        <v/>
      </c>
      <c r="K300" s="91" t="str">
        <f ca="1">IFERROR(__xludf.DUMMYFUNCTION("""COMPUTED_VALUE"""),"")</f>
        <v/>
      </c>
      <c r="L300" s="94" t="str">
        <f ca="1">IFERROR(__xludf.DUMMYFUNCTION("""COMPUTED_VALUE"""),"10h00 85340 Les Sables d'Olonne (Olonne sur Mer)-.")</f>
        <v>10h00 85340 Les Sables d'Olonne (Olonne sur Mer)-.</v>
      </c>
    </row>
    <row r="301" spans="1:12" ht="15.75" customHeight="1" x14ac:dyDescent="0.2">
      <c r="A301" s="94" t="s">
        <v>122</v>
      </c>
      <c r="B301" s="91">
        <v>0</v>
      </c>
      <c r="C301" s="91">
        <v>1</v>
      </c>
      <c r="H301" s="91" t="e">
        <f t="shared" ca="1" si="0"/>
        <v>#REF!</v>
      </c>
      <c r="I301" s="91" t="e">
        <f t="shared" ca="1" si="1"/>
        <v>#REF!</v>
      </c>
      <c r="J301" s="91" t="str">
        <f ca="1">IFERROR(__xludf.DUMMYFUNCTION("""COMPUTED_VALUE"""),"")</f>
        <v/>
      </c>
      <c r="K301" s="91" t="str">
        <f ca="1">IFERROR(__xludf.DUMMYFUNCTION("""COMPUTED_VALUE"""),"")</f>
        <v/>
      </c>
      <c r="L301" s="94" t="str">
        <f ca="1">IFERROR(__xludf.DUMMYFUNCTION("""COMPUTED_VALUE"""),"10h00 85340 Les Sables d'Olonne (Olonne sur Mer)")</f>
        <v>10h00 85340 Les Sables d'Olonne (Olonne sur Mer)</v>
      </c>
    </row>
    <row r="302" spans="1:12" ht="15.75" customHeight="1" x14ac:dyDescent="0.2">
      <c r="A302" s="94" t="s">
        <v>341</v>
      </c>
      <c r="B302" s="91">
        <v>0</v>
      </c>
      <c r="C302" s="91">
        <v>1</v>
      </c>
      <c r="H302" s="91" t="e">
        <f t="shared" ca="1" si="0"/>
        <v>#REF!</v>
      </c>
      <c r="I302" s="91" t="e">
        <f t="shared" ca="1" si="1"/>
        <v>#REF!</v>
      </c>
      <c r="J302" s="91" t="str">
        <f ca="1">IFERROR(__xludf.DUMMYFUNCTION("""COMPUTED_VALUE"""),"")</f>
        <v/>
      </c>
      <c r="K302" s="91" t="str">
        <f ca="1">IFERROR(__xludf.DUMMYFUNCTION("""COMPUTED_VALUE"""),"")</f>
        <v/>
      </c>
      <c r="L302" s="94" t="str">
        <f ca="1">IFERROR(__xludf.DUMMYFUNCTION("""COMPUTED_VALUE"""),"10h00 85180 Les Sables d'Olonne (le Château d'Olonne)-.")</f>
        <v>10h00 85180 Les Sables d'Olonne (le Château d'Olonne)-.</v>
      </c>
    </row>
    <row r="303" spans="1:12" ht="15.75" customHeight="1" x14ac:dyDescent="0.2">
      <c r="A303" s="94" t="s">
        <v>342</v>
      </c>
      <c r="B303" s="91">
        <v>0</v>
      </c>
      <c r="C303" s="91">
        <v>1</v>
      </c>
      <c r="H303" s="91" t="e">
        <f t="shared" ca="1" si="0"/>
        <v>#REF!</v>
      </c>
      <c r="I303" s="91" t="e">
        <f t="shared" ca="1" si="1"/>
        <v>#REF!</v>
      </c>
      <c r="J303" s="91" t="str">
        <f ca="1">IFERROR(__xludf.DUMMYFUNCTION("""COMPUTED_VALUE"""),"")</f>
        <v/>
      </c>
      <c r="K303" s="91" t="str">
        <f ca="1">IFERROR(__xludf.DUMMYFUNCTION("""COMPUTED_VALUE"""),"")</f>
        <v/>
      </c>
      <c r="L303" s="94" t="str">
        <f ca="1">IFERROR(__xludf.DUMMYFUNCTION("""COMPUTED_VALUE"""),"10h00 85180 Les Sables d'Olonne (le Château d'Olonne)")</f>
        <v>10h00 85180 Les Sables d'Olonne (le Château d'Olonne)</v>
      </c>
    </row>
    <row r="304" spans="1:12" ht="15.75" customHeight="1" x14ac:dyDescent="0.2">
      <c r="A304" s="94" t="s">
        <v>343</v>
      </c>
      <c r="B304" s="91">
        <v>0</v>
      </c>
      <c r="C304" s="91">
        <v>1</v>
      </c>
      <c r="H304" s="91" t="e">
        <f t="shared" ca="1" si="0"/>
        <v>#REF!</v>
      </c>
      <c r="I304" s="91" t="e">
        <f t="shared" ca="1" si="1"/>
        <v>#REF!</v>
      </c>
      <c r="J304" s="91" t="str">
        <f ca="1">IFERROR(__xludf.DUMMYFUNCTION("""COMPUTED_VALUE"""),"")</f>
        <v/>
      </c>
      <c r="K304" s="91" t="str">
        <f ca="1">IFERROR(__xludf.DUMMYFUNCTION("""COMPUTED_VALUE"""),"")</f>
        <v/>
      </c>
      <c r="L304" s="94" t="str">
        <f ca="1">IFERROR(__xludf.DUMMYFUNCTION("""COMPUTED_VALUE"""),"10h00 85150 Saint-Mathurin")</f>
        <v>10h00 85150 Saint-Mathurin</v>
      </c>
    </row>
    <row r="305" spans="1:12" ht="15.75" customHeight="1" x14ac:dyDescent="0.2">
      <c r="A305" s="94" t="s">
        <v>344</v>
      </c>
      <c r="B305" s="91">
        <v>0</v>
      </c>
      <c r="C305" s="91">
        <v>1</v>
      </c>
      <c r="H305" s="91" t="e">
        <f t="shared" ca="1" si="0"/>
        <v>#REF!</v>
      </c>
      <c r="I305" s="91" t="e">
        <f t="shared" ca="1" si="1"/>
        <v>#REF!</v>
      </c>
      <c r="J305" s="91" t="str">
        <f ca="1">IFERROR(__xludf.DUMMYFUNCTION("""COMPUTED_VALUE"""),"")</f>
        <v/>
      </c>
      <c r="K305" s="91" t="str">
        <f ca="1">IFERROR(__xludf.DUMMYFUNCTION("""COMPUTED_VALUE"""),"")</f>
        <v/>
      </c>
      <c r="L305" s="94" t="str">
        <f ca="1">IFERROR(__xludf.DUMMYFUNCTION("""COMPUTED_VALUE"""),"10h05 85100 Les Sables d'Olonne (les Sables d'Olonne)-.")</f>
        <v>10h05 85100 Les Sables d'Olonne (les Sables d'Olonne)-.</v>
      </c>
    </row>
    <row r="306" spans="1:12" ht="15.75" customHeight="1" x14ac:dyDescent="0.2">
      <c r="A306" s="94" t="s">
        <v>345</v>
      </c>
      <c r="B306" s="91">
        <v>0</v>
      </c>
      <c r="C306" s="91">
        <v>1</v>
      </c>
      <c r="H306" s="91" t="e">
        <f t="shared" ca="1" si="0"/>
        <v>#REF!</v>
      </c>
      <c r="I306" s="91" t="e">
        <f t="shared" ca="1" si="1"/>
        <v>#REF!</v>
      </c>
      <c r="J306" s="91" t="str">
        <f ca="1">IFERROR(__xludf.DUMMYFUNCTION("""COMPUTED_VALUE"""),"")</f>
        <v/>
      </c>
      <c r="K306" s="91" t="str">
        <f ca="1">IFERROR(__xludf.DUMMYFUNCTION("""COMPUTED_VALUE"""),"")</f>
        <v/>
      </c>
      <c r="L306" s="94" t="str">
        <f ca="1">IFERROR(__xludf.DUMMYFUNCTION("""COMPUTED_VALUE"""),"10h05 85100 Les Sables d'Olonne (les Sables d'Olonne)")</f>
        <v>10h05 85100 Les Sables d'Olonne (les Sables d'Olonne)</v>
      </c>
    </row>
    <row r="307" spans="1:12" ht="15.75" customHeight="1" x14ac:dyDescent="0.2">
      <c r="A307" s="94" t="s">
        <v>346</v>
      </c>
      <c r="B307" s="91">
        <v>0</v>
      </c>
      <c r="C307" s="91">
        <v>1</v>
      </c>
      <c r="H307" s="91" t="e">
        <f t="shared" ca="1" si="0"/>
        <v>#REF!</v>
      </c>
      <c r="I307" s="91" t="e">
        <f t="shared" ca="1" si="1"/>
        <v>#REF!</v>
      </c>
      <c r="J307" s="91" t="str">
        <f ca="1">IFERROR(__xludf.DUMMYFUNCTION("""COMPUTED_VALUE"""),"")</f>
        <v/>
      </c>
      <c r="K307" s="91" t="str">
        <f ca="1">IFERROR(__xludf.DUMMYFUNCTION("""COMPUTED_VALUE"""),"")</f>
        <v/>
      </c>
      <c r="L307" s="94" t="str">
        <f ca="1">IFERROR(__xludf.DUMMYFUNCTION("""COMPUTED_VALUE"""),"10h05 85100 Les Sables d'Olonne ( la Chaume)")</f>
        <v>10h05 85100 Les Sables d'Olonne ( la Chaume)</v>
      </c>
    </row>
    <row r="308" spans="1:12" ht="15.75" customHeight="1" x14ac:dyDescent="0.2">
      <c r="A308" s="94" t="s">
        <v>347</v>
      </c>
      <c r="B308" s="91">
        <v>0</v>
      </c>
      <c r="C308" s="91">
        <v>1</v>
      </c>
      <c r="H308" s="91" t="e">
        <f t="shared" ca="1" si="0"/>
        <v>#REF!</v>
      </c>
      <c r="I308" s="91" t="e">
        <f t="shared" ca="1" si="1"/>
        <v>#REF!</v>
      </c>
      <c r="J308" s="91" t="str">
        <f ca="1">IFERROR(__xludf.DUMMYFUNCTION("""COMPUTED_VALUE"""),"")</f>
        <v/>
      </c>
      <c r="K308" s="91" t="str">
        <f ca="1">IFERROR(__xludf.DUMMYFUNCTION("""COMPUTED_VALUE"""),"")</f>
        <v/>
      </c>
      <c r="L308" s="94" t="str">
        <f ca="1">IFERROR(__xludf.DUMMYFUNCTION("""COMPUTED_VALUE"""),"10h05 85340 Les Sables d'Olonne (Olonne sur Mer)-.")</f>
        <v>10h05 85340 Les Sables d'Olonne (Olonne sur Mer)-.</v>
      </c>
    </row>
    <row r="309" spans="1:12" ht="15.75" customHeight="1" x14ac:dyDescent="0.2">
      <c r="A309" s="94" t="s">
        <v>348</v>
      </c>
      <c r="B309" s="91">
        <v>0</v>
      </c>
      <c r="C309" s="91">
        <v>1</v>
      </c>
      <c r="H309" s="91" t="e">
        <f t="shared" ca="1" si="0"/>
        <v>#REF!</v>
      </c>
      <c r="I309" s="91" t="e">
        <f t="shared" ca="1" si="1"/>
        <v>#REF!</v>
      </c>
      <c r="J309" s="91" t="str">
        <f ca="1">IFERROR(__xludf.DUMMYFUNCTION("""COMPUTED_VALUE"""),"")</f>
        <v/>
      </c>
      <c r="K309" s="91" t="str">
        <f ca="1">IFERROR(__xludf.DUMMYFUNCTION("""COMPUTED_VALUE"""),"")</f>
        <v/>
      </c>
      <c r="L309" s="94" t="str">
        <f ca="1">IFERROR(__xludf.DUMMYFUNCTION("""COMPUTED_VALUE"""),"10h05 85340 Les Sables d'Olonne (Olonne sur Mer)")</f>
        <v>10h05 85340 Les Sables d'Olonne (Olonne sur Mer)</v>
      </c>
    </row>
    <row r="310" spans="1:12" ht="15.75" customHeight="1" x14ac:dyDescent="0.2">
      <c r="A310" s="94" t="s">
        <v>349</v>
      </c>
      <c r="B310" s="91">
        <v>0</v>
      </c>
      <c r="C310" s="91">
        <v>1</v>
      </c>
      <c r="H310" s="91" t="e">
        <f t="shared" ca="1" si="0"/>
        <v>#REF!</v>
      </c>
      <c r="I310" s="91" t="e">
        <f t="shared" ca="1" si="1"/>
        <v>#REF!</v>
      </c>
      <c r="J310" s="91" t="str">
        <f ca="1">IFERROR(__xludf.DUMMYFUNCTION("""COMPUTED_VALUE"""),"")</f>
        <v/>
      </c>
      <c r="K310" s="91" t="str">
        <f ca="1">IFERROR(__xludf.DUMMYFUNCTION("""COMPUTED_VALUE"""),"")</f>
        <v/>
      </c>
      <c r="L310" s="94" t="str">
        <f ca="1">IFERROR(__xludf.DUMMYFUNCTION("""COMPUTED_VALUE"""),"10h05 85180 Les Sables d'Olonne (le Château d'Olonne)-.")</f>
        <v>10h05 85180 Les Sables d'Olonne (le Château d'Olonne)-.</v>
      </c>
    </row>
    <row r="311" spans="1:12" ht="15.75" customHeight="1" x14ac:dyDescent="0.2">
      <c r="A311" s="94" t="s">
        <v>350</v>
      </c>
      <c r="B311" s="91">
        <v>0</v>
      </c>
      <c r="C311" s="91">
        <v>1</v>
      </c>
      <c r="H311" s="91" t="e">
        <f t="shared" ca="1" si="0"/>
        <v>#REF!</v>
      </c>
      <c r="I311" s="91" t="e">
        <f t="shared" ca="1" si="1"/>
        <v>#REF!</v>
      </c>
      <c r="J311" s="91" t="str">
        <f ca="1">IFERROR(__xludf.DUMMYFUNCTION("""COMPUTED_VALUE"""),"")</f>
        <v/>
      </c>
      <c r="K311" s="91" t="str">
        <f ca="1">IFERROR(__xludf.DUMMYFUNCTION("""COMPUTED_VALUE"""),"")</f>
        <v/>
      </c>
      <c r="L311" s="94" t="str">
        <f ca="1">IFERROR(__xludf.DUMMYFUNCTION("""COMPUTED_VALUE"""),"10h05 85180 Les Sables d'Olonne (le Château d'Olonne)")</f>
        <v>10h05 85180 Les Sables d'Olonne (le Château d'Olonne)</v>
      </c>
    </row>
    <row r="312" spans="1:12" ht="15.75" customHeight="1" x14ac:dyDescent="0.2">
      <c r="A312" s="94" t="s">
        <v>351</v>
      </c>
      <c r="B312" s="91">
        <v>0</v>
      </c>
      <c r="C312" s="91">
        <v>1</v>
      </c>
      <c r="H312" s="91" t="e">
        <f t="shared" ca="1" si="0"/>
        <v>#REF!</v>
      </c>
      <c r="I312" s="91" t="e">
        <f t="shared" ca="1" si="1"/>
        <v>#REF!</v>
      </c>
      <c r="J312" s="91" t="str">
        <f ca="1">IFERROR(__xludf.DUMMYFUNCTION("""COMPUTED_VALUE"""),"")</f>
        <v/>
      </c>
      <c r="K312" s="91" t="str">
        <f ca="1">IFERROR(__xludf.DUMMYFUNCTION("""COMPUTED_VALUE"""),"")</f>
        <v/>
      </c>
      <c r="L312" s="94" t="str">
        <f ca="1">IFERROR(__xludf.DUMMYFUNCTION("""COMPUTED_VALUE"""),"10h05 85150 Saint-Mathurin")</f>
        <v>10h05 85150 Saint-Mathurin</v>
      </c>
    </row>
    <row r="313" spans="1:12" ht="15.75" customHeight="1" x14ac:dyDescent="0.2">
      <c r="A313" s="94" t="s">
        <v>352</v>
      </c>
      <c r="B313" s="91">
        <v>0</v>
      </c>
      <c r="C313" s="91">
        <v>1</v>
      </c>
      <c r="H313" s="91" t="e">
        <f t="shared" ca="1" si="0"/>
        <v>#REF!</v>
      </c>
      <c r="I313" s="91" t="e">
        <f t="shared" ca="1" si="1"/>
        <v>#REF!</v>
      </c>
      <c r="J313" s="91" t="str">
        <f ca="1">IFERROR(__xludf.DUMMYFUNCTION("""COMPUTED_VALUE"""),"")</f>
        <v/>
      </c>
      <c r="K313" s="91" t="str">
        <f ca="1">IFERROR(__xludf.DUMMYFUNCTION("""COMPUTED_VALUE"""),"")</f>
        <v/>
      </c>
      <c r="L313" s="94" t="str">
        <f ca="1">IFERROR(__xludf.DUMMYFUNCTION("""COMPUTED_VALUE"""),"10h10 85100 Les Sables d'Olonne (les Sables d'Olonne)-.")</f>
        <v>10h10 85100 Les Sables d'Olonne (les Sables d'Olonne)-.</v>
      </c>
    </row>
    <row r="314" spans="1:12" ht="15.75" customHeight="1" x14ac:dyDescent="0.2">
      <c r="A314" s="94" t="s">
        <v>353</v>
      </c>
      <c r="B314" s="91">
        <v>0</v>
      </c>
      <c r="C314" s="91">
        <v>1</v>
      </c>
      <c r="H314" s="91" t="e">
        <f t="shared" ca="1" si="0"/>
        <v>#REF!</v>
      </c>
      <c r="I314" s="91" t="e">
        <f t="shared" ca="1" si="1"/>
        <v>#REF!</v>
      </c>
      <c r="J314" s="91" t="str">
        <f ca="1">IFERROR(__xludf.DUMMYFUNCTION("""COMPUTED_VALUE"""),"")</f>
        <v/>
      </c>
      <c r="K314" s="91" t="str">
        <f ca="1">IFERROR(__xludf.DUMMYFUNCTION("""COMPUTED_VALUE"""),"")</f>
        <v/>
      </c>
      <c r="L314" s="94" t="str">
        <f ca="1">IFERROR(__xludf.DUMMYFUNCTION("""COMPUTED_VALUE"""),"10h10 85100 Les Sables d'Olonne (les Sables d'Olonne)")</f>
        <v>10h10 85100 Les Sables d'Olonne (les Sables d'Olonne)</v>
      </c>
    </row>
    <row r="315" spans="1:12" ht="15.75" customHeight="1" x14ac:dyDescent="0.2">
      <c r="A315" s="94" t="s">
        <v>354</v>
      </c>
      <c r="B315" s="91">
        <v>0</v>
      </c>
      <c r="C315" s="91">
        <v>1</v>
      </c>
      <c r="H315" s="91" t="e">
        <f t="shared" ca="1" si="0"/>
        <v>#REF!</v>
      </c>
      <c r="I315" s="91" t="e">
        <f t="shared" ca="1" si="1"/>
        <v>#REF!</v>
      </c>
      <c r="J315" s="91" t="str">
        <f ca="1">IFERROR(__xludf.DUMMYFUNCTION("""COMPUTED_VALUE"""),"")</f>
        <v/>
      </c>
      <c r="K315" s="91" t="str">
        <f ca="1">IFERROR(__xludf.DUMMYFUNCTION("""COMPUTED_VALUE"""),"")</f>
        <v/>
      </c>
      <c r="L315" s="94" t="str">
        <f ca="1">IFERROR(__xludf.DUMMYFUNCTION("""COMPUTED_VALUE"""),"10h10 85100 Les Sables d'Olonne ( la Chaume)")</f>
        <v>10h10 85100 Les Sables d'Olonne ( la Chaume)</v>
      </c>
    </row>
    <row r="316" spans="1:12" ht="15.75" customHeight="1" x14ac:dyDescent="0.2">
      <c r="A316" s="94" t="s">
        <v>355</v>
      </c>
      <c r="B316" s="91">
        <v>0</v>
      </c>
      <c r="C316" s="91">
        <v>1</v>
      </c>
      <c r="H316" s="91" t="e">
        <f t="shared" ca="1" si="0"/>
        <v>#REF!</v>
      </c>
      <c r="I316" s="91" t="e">
        <f t="shared" ca="1" si="1"/>
        <v>#REF!</v>
      </c>
      <c r="J316" s="91" t="str">
        <f ca="1">IFERROR(__xludf.DUMMYFUNCTION("""COMPUTED_VALUE"""),"")</f>
        <v/>
      </c>
      <c r="K316" s="91" t="str">
        <f ca="1">IFERROR(__xludf.DUMMYFUNCTION("""COMPUTED_VALUE"""),"")</f>
        <v/>
      </c>
      <c r="L316" s="94" t="str">
        <f ca="1">IFERROR(__xludf.DUMMYFUNCTION("""COMPUTED_VALUE"""),"10h10 85340 Les Sables d'Olonne (Olonne sur Mer)-.")</f>
        <v>10h10 85340 Les Sables d'Olonne (Olonne sur Mer)-.</v>
      </c>
    </row>
    <row r="317" spans="1:12" ht="15.75" customHeight="1" x14ac:dyDescent="0.2">
      <c r="A317" s="94" t="s">
        <v>356</v>
      </c>
      <c r="B317" s="91">
        <v>0</v>
      </c>
      <c r="C317" s="91">
        <v>1</v>
      </c>
      <c r="H317" s="91" t="e">
        <f t="shared" ca="1" si="0"/>
        <v>#REF!</v>
      </c>
      <c r="I317" s="91" t="e">
        <f t="shared" ca="1" si="1"/>
        <v>#REF!</v>
      </c>
      <c r="J317" s="91" t="str">
        <f ca="1">IFERROR(__xludf.DUMMYFUNCTION("""COMPUTED_VALUE"""),"")</f>
        <v/>
      </c>
      <c r="K317" s="91" t="str">
        <f ca="1">IFERROR(__xludf.DUMMYFUNCTION("""COMPUTED_VALUE"""),"")</f>
        <v/>
      </c>
      <c r="L317" s="94" t="str">
        <f ca="1">IFERROR(__xludf.DUMMYFUNCTION("""COMPUTED_VALUE"""),"10h10 85340 Les Sables d'Olonne (Olonne sur Mer)")</f>
        <v>10h10 85340 Les Sables d'Olonne (Olonne sur Mer)</v>
      </c>
    </row>
    <row r="318" spans="1:12" ht="15.75" customHeight="1" x14ac:dyDescent="0.2">
      <c r="A318" s="94" t="s">
        <v>73</v>
      </c>
      <c r="B318" s="91">
        <v>0</v>
      </c>
      <c r="C318" s="91">
        <v>1</v>
      </c>
      <c r="H318" s="91" t="e">
        <f t="shared" ca="1" si="0"/>
        <v>#REF!</v>
      </c>
      <c r="I318" s="91" t="e">
        <f t="shared" ca="1" si="1"/>
        <v>#REF!</v>
      </c>
      <c r="J318" s="91" t="str">
        <f ca="1">IFERROR(__xludf.DUMMYFUNCTION("""COMPUTED_VALUE"""),"")</f>
        <v/>
      </c>
      <c r="K318" s="91" t="str">
        <f ca="1">IFERROR(__xludf.DUMMYFUNCTION("""COMPUTED_VALUE"""),"")</f>
        <v/>
      </c>
      <c r="L318" s="94" t="str">
        <f ca="1">IFERROR(__xludf.DUMMYFUNCTION("""COMPUTED_VALUE"""),"10h10 85180 Les Sables d'Olonne (le Château d'Olonne)-.")</f>
        <v>10h10 85180 Les Sables d'Olonne (le Château d'Olonne)-.</v>
      </c>
    </row>
    <row r="319" spans="1:12" ht="15.75" customHeight="1" x14ac:dyDescent="0.2">
      <c r="A319" s="94" t="s">
        <v>357</v>
      </c>
      <c r="B319" s="91">
        <v>0</v>
      </c>
      <c r="C319" s="91">
        <v>1</v>
      </c>
      <c r="H319" s="91" t="e">
        <f t="shared" ca="1" si="0"/>
        <v>#REF!</v>
      </c>
      <c r="I319" s="91" t="e">
        <f t="shared" ca="1" si="1"/>
        <v>#REF!</v>
      </c>
      <c r="J319" s="91" t="str">
        <f ca="1">IFERROR(__xludf.DUMMYFUNCTION("""COMPUTED_VALUE"""),"")</f>
        <v/>
      </c>
      <c r="K319" s="91" t="str">
        <f ca="1">IFERROR(__xludf.DUMMYFUNCTION("""COMPUTED_VALUE"""),"")</f>
        <v/>
      </c>
      <c r="L319" s="94" t="str">
        <f ca="1">IFERROR(__xludf.DUMMYFUNCTION("""COMPUTED_VALUE"""),"10h10 85180 Les Sables d'Olonne (le Château d'Olonne)")</f>
        <v>10h10 85180 Les Sables d'Olonne (le Château d'Olonne)</v>
      </c>
    </row>
    <row r="320" spans="1:12" ht="15.75" customHeight="1" x14ac:dyDescent="0.2">
      <c r="A320" s="94" t="s">
        <v>358</v>
      </c>
      <c r="B320" s="91">
        <v>0</v>
      </c>
      <c r="C320" s="91">
        <v>1</v>
      </c>
      <c r="H320" s="91" t="e">
        <f t="shared" ca="1" si="0"/>
        <v>#REF!</v>
      </c>
      <c r="I320" s="91" t="e">
        <f t="shared" ca="1" si="1"/>
        <v>#REF!</v>
      </c>
      <c r="J320" s="91" t="str">
        <f ca="1">IFERROR(__xludf.DUMMYFUNCTION("""COMPUTED_VALUE"""),"")</f>
        <v/>
      </c>
      <c r="K320" s="91" t="str">
        <f ca="1">IFERROR(__xludf.DUMMYFUNCTION("""COMPUTED_VALUE"""),"")</f>
        <v/>
      </c>
      <c r="L320" s="94" t="str">
        <f ca="1">IFERROR(__xludf.DUMMYFUNCTION("""COMPUTED_VALUE"""),"10h10 85150 Saint-Mathurin")</f>
        <v>10h10 85150 Saint-Mathurin</v>
      </c>
    </row>
    <row r="321" spans="1:12" ht="15.75" customHeight="1" x14ac:dyDescent="0.2">
      <c r="A321" s="94" t="s">
        <v>359</v>
      </c>
      <c r="B321" s="91">
        <v>0</v>
      </c>
      <c r="C321" s="91">
        <v>1</v>
      </c>
      <c r="H321" s="91" t="e">
        <f t="shared" ca="1" si="0"/>
        <v>#REF!</v>
      </c>
      <c r="I321" s="91" t="e">
        <f t="shared" ca="1" si="1"/>
        <v>#REF!</v>
      </c>
      <c r="J321" s="91" t="str">
        <f ca="1">IFERROR(__xludf.DUMMYFUNCTION("""COMPUTED_VALUE"""),"")</f>
        <v/>
      </c>
      <c r="K321" s="91" t="str">
        <f ca="1">IFERROR(__xludf.DUMMYFUNCTION("""COMPUTED_VALUE"""),"")</f>
        <v/>
      </c>
      <c r="L321" s="94" t="str">
        <f ca="1">IFERROR(__xludf.DUMMYFUNCTION("""COMPUTED_VALUE"""),"10h15 85100 Les Sables d'Olonne (les Sables d'Olonne)-.")</f>
        <v>10h15 85100 Les Sables d'Olonne (les Sables d'Olonne)-.</v>
      </c>
    </row>
    <row r="322" spans="1:12" ht="15.75" customHeight="1" x14ac:dyDescent="0.2">
      <c r="A322" s="94" t="s">
        <v>360</v>
      </c>
      <c r="B322" s="91">
        <v>0</v>
      </c>
      <c r="C322" s="91">
        <v>1</v>
      </c>
      <c r="H322" s="91" t="e">
        <f t="shared" ca="1" si="0"/>
        <v>#REF!</v>
      </c>
      <c r="I322" s="91" t="e">
        <f t="shared" ca="1" si="1"/>
        <v>#REF!</v>
      </c>
      <c r="J322" s="91" t="str">
        <f ca="1">IFERROR(__xludf.DUMMYFUNCTION("""COMPUTED_VALUE"""),"")</f>
        <v/>
      </c>
      <c r="K322" s="91" t="str">
        <f ca="1">IFERROR(__xludf.DUMMYFUNCTION("""COMPUTED_VALUE"""),"")</f>
        <v/>
      </c>
      <c r="L322" s="94" t="str">
        <f ca="1">IFERROR(__xludf.DUMMYFUNCTION("""COMPUTED_VALUE"""),"10h15 85100 Les Sables d'Olonne (les Sables d'Olonne)")</f>
        <v>10h15 85100 Les Sables d'Olonne (les Sables d'Olonne)</v>
      </c>
    </row>
    <row r="323" spans="1:12" ht="15.75" customHeight="1" x14ac:dyDescent="0.2">
      <c r="A323" s="94" t="s">
        <v>361</v>
      </c>
      <c r="B323" s="91">
        <v>0</v>
      </c>
      <c r="C323" s="91">
        <v>1</v>
      </c>
      <c r="H323" s="91" t="e">
        <f t="shared" ca="1" si="0"/>
        <v>#REF!</v>
      </c>
      <c r="I323" s="91" t="e">
        <f t="shared" ca="1" si="1"/>
        <v>#REF!</v>
      </c>
      <c r="J323" s="91" t="str">
        <f ca="1">IFERROR(__xludf.DUMMYFUNCTION("""COMPUTED_VALUE"""),"")</f>
        <v/>
      </c>
      <c r="K323" s="91" t="str">
        <f ca="1">IFERROR(__xludf.DUMMYFUNCTION("""COMPUTED_VALUE"""),"")</f>
        <v/>
      </c>
      <c r="L323" s="94" t="str">
        <f ca="1">IFERROR(__xludf.DUMMYFUNCTION("""COMPUTED_VALUE"""),"10h15 85100 Les Sables d'Olonne ( la Chaume)")</f>
        <v>10h15 85100 Les Sables d'Olonne ( la Chaume)</v>
      </c>
    </row>
    <row r="324" spans="1:12" ht="15.75" customHeight="1" x14ac:dyDescent="0.2">
      <c r="A324" s="94" t="s">
        <v>124</v>
      </c>
      <c r="B324" s="91">
        <v>0</v>
      </c>
      <c r="C324" s="91">
        <v>1</v>
      </c>
      <c r="H324" s="91" t="e">
        <f t="shared" ca="1" si="0"/>
        <v>#REF!</v>
      </c>
      <c r="I324" s="91" t="e">
        <f t="shared" ca="1" si="1"/>
        <v>#REF!</v>
      </c>
      <c r="J324" s="91" t="str">
        <f ca="1">IFERROR(__xludf.DUMMYFUNCTION("""COMPUTED_VALUE"""),"")</f>
        <v/>
      </c>
      <c r="K324" s="91" t="str">
        <f ca="1">IFERROR(__xludf.DUMMYFUNCTION("""COMPUTED_VALUE"""),"")</f>
        <v/>
      </c>
      <c r="L324" s="94" t="str">
        <f ca="1">IFERROR(__xludf.DUMMYFUNCTION("""COMPUTED_VALUE"""),"10h15 85340 Les Sables d'Olonne (Olonne sur Mer)-.")</f>
        <v>10h15 85340 Les Sables d'Olonne (Olonne sur Mer)-.</v>
      </c>
    </row>
    <row r="325" spans="1:12" ht="15.75" customHeight="1" x14ac:dyDescent="0.2">
      <c r="A325" s="94" t="s">
        <v>362</v>
      </c>
      <c r="B325" s="91">
        <v>0</v>
      </c>
      <c r="C325" s="91">
        <v>1</v>
      </c>
      <c r="H325" s="91" t="e">
        <f t="shared" ca="1" si="0"/>
        <v>#REF!</v>
      </c>
      <c r="I325" s="91" t="e">
        <f t="shared" ca="1" si="1"/>
        <v>#REF!</v>
      </c>
      <c r="J325" s="91" t="str">
        <f ca="1">IFERROR(__xludf.DUMMYFUNCTION("""COMPUTED_VALUE"""),"")</f>
        <v/>
      </c>
      <c r="K325" s="91" t="str">
        <f ca="1">IFERROR(__xludf.DUMMYFUNCTION("""COMPUTED_VALUE"""),"")</f>
        <v/>
      </c>
      <c r="L325" s="94" t="str">
        <f ca="1">IFERROR(__xludf.DUMMYFUNCTION("""COMPUTED_VALUE"""),"10h15 85340 Les Sables d'Olonne (Olonne sur Mer)")</f>
        <v>10h15 85340 Les Sables d'Olonne (Olonne sur Mer)</v>
      </c>
    </row>
    <row r="326" spans="1:12" ht="15.75" customHeight="1" x14ac:dyDescent="0.2">
      <c r="A326" s="94" t="s">
        <v>363</v>
      </c>
      <c r="B326" s="91">
        <v>0</v>
      </c>
      <c r="C326" s="91">
        <v>1</v>
      </c>
      <c r="H326" s="91" t="e">
        <f t="shared" ca="1" si="0"/>
        <v>#REF!</v>
      </c>
      <c r="I326" s="91" t="e">
        <f t="shared" ca="1" si="1"/>
        <v>#REF!</v>
      </c>
      <c r="J326" s="91" t="str">
        <f ca="1">IFERROR(__xludf.DUMMYFUNCTION("""COMPUTED_VALUE"""),"")</f>
        <v/>
      </c>
      <c r="K326" s="91" t="str">
        <f ca="1">IFERROR(__xludf.DUMMYFUNCTION("""COMPUTED_VALUE"""),"")</f>
        <v/>
      </c>
      <c r="L326" s="94" t="str">
        <f ca="1">IFERROR(__xludf.DUMMYFUNCTION("""COMPUTED_VALUE"""),"10h15 85180 Les Sables d'Olonne (le Château d'Olonne)-.")</f>
        <v>10h15 85180 Les Sables d'Olonne (le Château d'Olonne)-.</v>
      </c>
    </row>
    <row r="327" spans="1:12" ht="15.75" customHeight="1" x14ac:dyDescent="0.2">
      <c r="A327" s="94" t="s">
        <v>364</v>
      </c>
      <c r="B327" s="91">
        <v>0</v>
      </c>
      <c r="C327" s="91">
        <v>1</v>
      </c>
      <c r="H327" s="91" t="e">
        <f t="shared" ca="1" si="0"/>
        <v>#REF!</v>
      </c>
      <c r="I327" s="91" t="e">
        <f t="shared" ca="1" si="1"/>
        <v>#REF!</v>
      </c>
      <c r="J327" s="91" t="str">
        <f ca="1">IFERROR(__xludf.DUMMYFUNCTION("""COMPUTED_VALUE"""),"")</f>
        <v/>
      </c>
      <c r="K327" s="91" t="str">
        <f ca="1">IFERROR(__xludf.DUMMYFUNCTION("""COMPUTED_VALUE"""),"")</f>
        <v/>
      </c>
      <c r="L327" s="94" t="str">
        <f ca="1">IFERROR(__xludf.DUMMYFUNCTION("""COMPUTED_VALUE"""),"10h15 85180 Les Sables d'Olonne (le Château d'Olonne)")</f>
        <v>10h15 85180 Les Sables d'Olonne (le Château d'Olonne)</v>
      </c>
    </row>
    <row r="328" spans="1:12" ht="15.75" customHeight="1" x14ac:dyDescent="0.2">
      <c r="A328" s="94" t="s">
        <v>365</v>
      </c>
      <c r="B328" s="91">
        <v>0</v>
      </c>
      <c r="C328" s="91">
        <v>1</v>
      </c>
      <c r="H328" s="91" t="e">
        <f t="shared" ca="1" si="0"/>
        <v>#REF!</v>
      </c>
      <c r="I328" s="91" t="e">
        <f t="shared" ca="1" si="1"/>
        <v>#REF!</v>
      </c>
      <c r="J328" s="91" t="str">
        <f ca="1">IFERROR(__xludf.DUMMYFUNCTION("""COMPUTED_VALUE"""),"")</f>
        <v/>
      </c>
      <c r="K328" s="91" t="str">
        <f ca="1">IFERROR(__xludf.DUMMYFUNCTION("""COMPUTED_VALUE"""),"")</f>
        <v/>
      </c>
      <c r="L328" s="94" t="str">
        <f ca="1">IFERROR(__xludf.DUMMYFUNCTION("""COMPUTED_VALUE"""),"10h15 85150 Saint-Mathurin")</f>
        <v>10h15 85150 Saint-Mathurin</v>
      </c>
    </row>
    <row r="329" spans="1:12" ht="15.75" customHeight="1" x14ac:dyDescent="0.2">
      <c r="A329" s="94" t="s">
        <v>366</v>
      </c>
      <c r="B329" s="91">
        <v>0</v>
      </c>
      <c r="C329" s="91">
        <v>1</v>
      </c>
      <c r="H329" s="91" t="e">
        <f t="shared" ca="1" si="0"/>
        <v>#REF!</v>
      </c>
      <c r="I329" s="91" t="e">
        <f t="shared" ca="1" si="1"/>
        <v>#REF!</v>
      </c>
      <c r="J329" s="91" t="str">
        <f ca="1">IFERROR(__xludf.DUMMYFUNCTION("""COMPUTED_VALUE"""),"")</f>
        <v/>
      </c>
      <c r="K329" s="91" t="str">
        <f ca="1">IFERROR(__xludf.DUMMYFUNCTION("""COMPUTED_VALUE"""),"")</f>
        <v/>
      </c>
      <c r="L329" s="94" t="str">
        <f ca="1">IFERROR(__xludf.DUMMYFUNCTION("""COMPUTED_VALUE"""),"10h20 85100 Les Sables d'Olonne (les Sables d'Olonne)-.")</f>
        <v>10h20 85100 Les Sables d'Olonne (les Sables d'Olonne)-.</v>
      </c>
    </row>
    <row r="330" spans="1:12" ht="15.75" customHeight="1" x14ac:dyDescent="0.2">
      <c r="A330" s="94" t="s">
        <v>367</v>
      </c>
      <c r="B330" s="91">
        <v>0</v>
      </c>
      <c r="C330" s="91">
        <v>1</v>
      </c>
      <c r="H330" s="91" t="e">
        <f t="shared" ca="1" si="0"/>
        <v>#REF!</v>
      </c>
      <c r="I330" s="91" t="e">
        <f t="shared" ca="1" si="1"/>
        <v>#REF!</v>
      </c>
      <c r="J330" s="91" t="str">
        <f ca="1">IFERROR(__xludf.DUMMYFUNCTION("""COMPUTED_VALUE"""),"")</f>
        <v/>
      </c>
      <c r="K330" s="91" t="str">
        <f ca="1">IFERROR(__xludf.DUMMYFUNCTION("""COMPUTED_VALUE"""),"")</f>
        <v/>
      </c>
      <c r="L330" s="94" t="str">
        <f ca="1">IFERROR(__xludf.DUMMYFUNCTION("""COMPUTED_VALUE"""),"10h20 85100 Les Sables d'Olonne (les Sables d'Olonne)")</f>
        <v>10h20 85100 Les Sables d'Olonne (les Sables d'Olonne)</v>
      </c>
    </row>
    <row r="331" spans="1:12" ht="15.75" customHeight="1" x14ac:dyDescent="0.2">
      <c r="A331" s="94" t="s">
        <v>368</v>
      </c>
      <c r="B331" s="91">
        <v>0</v>
      </c>
      <c r="C331" s="91">
        <v>1</v>
      </c>
      <c r="H331" s="91" t="e">
        <f t="shared" ca="1" si="0"/>
        <v>#REF!</v>
      </c>
      <c r="I331" s="91" t="e">
        <f t="shared" ca="1" si="1"/>
        <v>#REF!</v>
      </c>
      <c r="J331" s="91" t="str">
        <f ca="1">IFERROR(__xludf.DUMMYFUNCTION("""COMPUTED_VALUE"""),"")</f>
        <v/>
      </c>
      <c r="K331" s="91" t="str">
        <f ca="1">IFERROR(__xludf.DUMMYFUNCTION("""COMPUTED_VALUE"""),"")</f>
        <v/>
      </c>
      <c r="L331" s="94" t="str">
        <f ca="1">IFERROR(__xludf.DUMMYFUNCTION("""COMPUTED_VALUE"""),"10h20 85100 Les Sables d'Olonne ( la Chaume)")</f>
        <v>10h20 85100 Les Sables d'Olonne ( la Chaume)</v>
      </c>
    </row>
    <row r="332" spans="1:12" ht="15.75" customHeight="1" x14ac:dyDescent="0.2">
      <c r="A332" s="94" t="s">
        <v>369</v>
      </c>
      <c r="B332" s="91">
        <v>0</v>
      </c>
      <c r="C332" s="91">
        <v>1</v>
      </c>
      <c r="H332" s="91" t="e">
        <f t="shared" ca="1" si="0"/>
        <v>#REF!</v>
      </c>
      <c r="I332" s="91" t="e">
        <f t="shared" ca="1" si="1"/>
        <v>#REF!</v>
      </c>
      <c r="J332" s="91" t="str">
        <f ca="1">IFERROR(__xludf.DUMMYFUNCTION("""COMPUTED_VALUE"""),"")</f>
        <v/>
      </c>
      <c r="K332" s="91" t="str">
        <f ca="1">IFERROR(__xludf.DUMMYFUNCTION("""COMPUTED_VALUE"""),"")</f>
        <v/>
      </c>
      <c r="L332" s="94" t="str">
        <f ca="1">IFERROR(__xludf.DUMMYFUNCTION("""COMPUTED_VALUE"""),"10h20 85340 Les Sables d'Olonne (Olonne sur Mer)-.")</f>
        <v>10h20 85340 Les Sables d'Olonne (Olonne sur Mer)-.</v>
      </c>
    </row>
    <row r="333" spans="1:12" ht="15.75" customHeight="1" x14ac:dyDescent="0.2">
      <c r="A333" s="94" t="s">
        <v>370</v>
      </c>
      <c r="B333" s="91">
        <v>0</v>
      </c>
      <c r="C333" s="91">
        <v>1</v>
      </c>
      <c r="H333" s="91" t="e">
        <f t="shared" ca="1" si="0"/>
        <v>#REF!</v>
      </c>
      <c r="I333" s="91" t="e">
        <f t="shared" ca="1" si="1"/>
        <v>#REF!</v>
      </c>
      <c r="J333" s="91" t="str">
        <f ca="1">IFERROR(__xludf.DUMMYFUNCTION("""COMPUTED_VALUE"""),"")</f>
        <v/>
      </c>
      <c r="K333" s="91" t="str">
        <f ca="1">IFERROR(__xludf.DUMMYFUNCTION("""COMPUTED_VALUE"""),"")</f>
        <v/>
      </c>
      <c r="L333" s="94" t="str">
        <f ca="1">IFERROR(__xludf.DUMMYFUNCTION("""COMPUTED_VALUE"""),"10h20 85340 Les Sables d'Olonne (Olonne sur Mer)")</f>
        <v>10h20 85340 Les Sables d'Olonne (Olonne sur Mer)</v>
      </c>
    </row>
    <row r="334" spans="1:12" ht="15.75" customHeight="1" x14ac:dyDescent="0.2">
      <c r="A334" s="94" t="s">
        <v>371</v>
      </c>
      <c r="B334" s="91">
        <v>0</v>
      </c>
      <c r="C334" s="91">
        <v>1</v>
      </c>
      <c r="H334" s="91" t="e">
        <f t="shared" ca="1" si="0"/>
        <v>#REF!</v>
      </c>
      <c r="I334" s="91" t="e">
        <f t="shared" ca="1" si="1"/>
        <v>#REF!</v>
      </c>
      <c r="J334" s="91" t="str">
        <f ca="1">IFERROR(__xludf.DUMMYFUNCTION("""COMPUTED_VALUE"""),"")</f>
        <v/>
      </c>
      <c r="K334" s="91" t="str">
        <f ca="1">IFERROR(__xludf.DUMMYFUNCTION("""COMPUTED_VALUE"""),"")</f>
        <v/>
      </c>
      <c r="L334" s="94" t="str">
        <f ca="1">IFERROR(__xludf.DUMMYFUNCTION("""COMPUTED_VALUE"""),"10h20 85180 Les Sables d'Olonne (le Château d'Olonne)-.")</f>
        <v>10h20 85180 Les Sables d'Olonne (le Château d'Olonne)-.</v>
      </c>
    </row>
    <row r="335" spans="1:12" ht="15.75" customHeight="1" x14ac:dyDescent="0.2">
      <c r="A335" s="94" t="s">
        <v>372</v>
      </c>
      <c r="B335" s="91">
        <v>0</v>
      </c>
      <c r="C335" s="91">
        <v>1</v>
      </c>
      <c r="H335" s="91" t="e">
        <f t="shared" ca="1" si="0"/>
        <v>#REF!</v>
      </c>
      <c r="I335" s="91" t="e">
        <f t="shared" ca="1" si="1"/>
        <v>#REF!</v>
      </c>
      <c r="J335" s="91" t="str">
        <f ca="1">IFERROR(__xludf.DUMMYFUNCTION("""COMPUTED_VALUE"""),"")</f>
        <v/>
      </c>
      <c r="K335" s="91" t="str">
        <f ca="1">IFERROR(__xludf.DUMMYFUNCTION("""COMPUTED_VALUE"""),"")</f>
        <v/>
      </c>
      <c r="L335" s="94" t="str">
        <f ca="1">IFERROR(__xludf.DUMMYFUNCTION("""COMPUTED_VALUE"""),"10h20 85180 Les Sables d'Olonne (le Château d'Olonne)")</f>
        <v>10h20 85180 Les Sables d'Olonne (le Château d'Olonne)</v>
      </c>
    </row>
    <row r="336" spans="1:12" ht="15.75" customHeight="1" x14ac:dyDescent="0.2">
      <c r="A336" s="94" t="s">
        <v>373</v>
      </c>
      <c r="B336" s="91">
        <v>0</v>
      </c>
      <c r="C336" s="91">
        <v>1</v>
      </c>
      <c r="H336" s="91" t="e">
        <f t="shared" ca="1" si="0"/>
        <v>#REF!</v>
      </c>
      <c r="I336" s="91" t="e">
        <f t="shared" ca="1" si="1"/>
        <v>#REF!</v>
      </c>
      <c r="J336" s="91" t="str">
        <f ca="1">IFERROR(__xludf.DUMMYFUNCTION("""COMPUTED_VALUE"""),"")</f>
        <v/>
      </c>
      <c r="K336" s="91" t="str">
        <f ca="1">IFERROR(__xludf.DUMMYFUNCTION("""COMPUTED_VALUE"""),"")</f>
        <v/>
      </c>
      <c r="L336" s="94" t="str">
        <f ca="1">IFERROR(__xludf.DUMMYFUNCTION("""COMPUTED_VALUE"""),"10h20 85150 Saint-Mathurin")</f>
        <v>10h20 85150 Saint-Mathurin</v>
      </c>
    </row>
    <row r="337" spans="1:12" ht="15.75" customHeight="1" x14ac:dyDescent="0.2">
      <c r="A337" s="94" t="s">
        <v>374</v>
      </c>
      <c r="B337" s="91">
        <v>0</v>
      </c>
      <c r="C337" s="91">
        <v>1</v>
      </c>
      <c r="H337" s="91" t="e">
        <f t="shared" ca="1" si="0"/>
        <v>#REF!</v>
      </c>
      <c r="I337" s="91" t="e">
        <f t="shared" ca="1" si="1"/>
        <v>#REF!</v>
      </c>
      <c r="J337" s="91" t="str">
        <f ca="1">IFERROR(__xludf.DUMMYFUNCTION("""COMPUTED_VALUE"""),"")</f>
        <v/>
      </c>
      <c r="K337" s="91" t="str">
        <f ca="1">IFERROR(__xludf.DUMMYFUNCTION("""COMPUTED_VALUE"""),"")</f>
        <v/>
      </c>
      <c r="L337" s="94" t="str">
        <f ca="1">IFERROR(__xludf.DUMMYFUNCTION("""COMPUTED_VALUE"""),"10h25 85100 Les Sables d'Olonne (les Sables d'Olonne)-.")</f>
        <v>10h25 85100 Les Sables d'Olonne (les Sables d'Olonne)-.</v>
      </c>
    </row>
    <row r="338" spans="1:12" ht="15.75" customHeight="1" x14ac:dyDescent="0.2">
      <c r="A338" s="94" t="s">
        <v>375</v>
      </c>
      <c r="B338" s="91">
        <v>0</v>
      </c>
      <c r="C338" s="91">
        <v>1</v>
      </c>
      <c r="H338" s="91" t="e">
        <f t="shared" ca="1" si="0"/>
        <v>#REF!</v>
      </c>
      <c r="I338" s="91" t="e">
        <f t="shared" ca="1" si="1"/>
        <v>#REF!</v>
      </c>
      <c r="J338" s="91" t="str">
        <f ca="1">IFERROR(__xludf.DUMMYFUNCTION("""COMPUTED_VALUE"""),"")</f>
        <v/>
      </c>
      <c r="K338" s="91" t="str">
        <f ca="1">IFERROR(__xludf.DUMMYFUNCTION("""COMPUTED_VALUE"""),"")</f>
        <v/>
      </c>
      <c r="L338" s="94" t="str">
        <f ca="1">IFERROR(__xludf.DUMMYFUNCTION("""COMPUTED_VALUE"""),"10h25 85100 Les Sables d'Olonne (les Sables d'Olonne)")</f>
        <v>10h25 85100 Les Sables d'Olonne (les Sables d'Olonne)</v>
      </c>
    </row>
    <row r="339" spans="1:12" ht="15.75" customHeight="1" x14ac:dyDescent="0.2">
      <c r="A339" s="94" t="s">
        <v>376</v>
      </c>
      <c r="B339" s="91">
        <v>0</v>
      </c>
      <c r="C339" s="91">
        <v>1</v>
      </c>
      <c r="H339" s="91" t="e">
        <f t="shared" ca="1" si="0"/>
        <v>#REF!</v>
      </c>
      <c r="I339" s="91" t="e">
        <f t="shared" ca="1" si="1"/>
        <v>#REF!</v>
      </c>
      <c r="J339" s="91" t="str">
        <f ca="1">IFERROR(__xludf.DUMMYFUNCTION("""COMPUTED_VALUE"""),"")</f>
        <v/>
      </c>
      <c r="K339" s="91" t="str">
        <f ca="1">IFERROR(__xludf.DUMMYFUNCTION("""COMPUTED_VALUE"""),"")</f>
        <v/>
      </c>
      <c r="L339" s="94" t="str">
        <f ca="1">IFERROR(__xludf.DUMMYFUNCTION("""COMPUTED_VALUE"""),"10h25 85100 Les Sables d'Olonne ( la Chaume)")</f>
        <v>10h25 85100 Les Sables d'Olonne ( la Chaume)</v>
      </c>
    </row>
    <row r="340" spans="1:12" ht="15.75" customHeight="1" x14ac:dyDescent="0.2">
      <c r="A340" s="94" t="s">
        <v>126</v>
      </c>
      <c r="B340" s="91">
        <v>0</v>
      </c>
      <c r="C340" s="91">
        <v>1</v>
      </c>
      <c r="H340" s="91" t="e">
        <f t="shared" ca="1" si="0"/>
        <v>#REF!</v>
      </c>
      <c r="I340" s="91" t="e">
        <f t="shared" ca="1" si="1"/>
        <v>#REF!</v>
      </c>
      <c r="J340" s="91" t="str">
        <f ca="1">IFERROR(__xludf.DUMMYFUNCTION("""COMPUTED_VALUE"""),"")</f>
        <v/>
      </c>
      <c r="K340" s="91" t="str">
        <f ca="1">IFERROR(__xludf.DUMMYFUNCTION("""COMPUTED_VALUE"""),"")</f>
        <v/>
      </c>
      <c r="L340" s="94" t="str">
        <f ca="1">IFERROR(__xludf.DUMMYFUNCTION("""COMPUTED_VALUE"""),"10h25 85340 Les Sables d'Olonne (Olonne sur Mer)-.")</f>
        <v>10h25 85340 Les Sables d'Olonne (Olonne sur Mer)-.</v>
      </c>
    </row>
    <row r="341" spans="1:12" ht="15.75" customHeight="1" x14ac:dyDescent="0.2">
      <c r="A341" s="94" t="s">
        <v>125</v>
      </c>
      <c r="B341" s="91">
        <v>0</v>
      </c>
      <c r="C341" s="91">
        <v>1</v>
      </c>
      <c r="H341" s="91" t="e">
        <f t="shared" ca="1" si="0"/>
        <v>#REF!</v>
      </c>
      <c r="I341" s="91" t="e">
        <f t="shared" ca="1" si="1"/>
        <v>#REF!</v>
      </c>
      <c r="J341" s="91" t="str">
        <f ca="1">IFERROR(__xludf.DUMMYFUNCTION("""COMPUTED_VALUE"""),"")</f>
        <v/>
      </c>
      <c r="K341" s="91" t="str">
        <f ca="1">IFERROR(__xludf.DUMMYFUNCTION("""COMPUTED_VALUE"""),"")</f>
        <v/>
      </c>
      <c r="L341" s="94" t="str">
        <f ca="1">IFERROR(__xludf.DUMMYFUNCTION("""COMPUTED_VALUE"""),"10h25 85340 Les Sables d'Olonne (Olonne sur Mer)")</f>
        <v>10h25 85340 Les Sables d'Olonne (Olonne sur Mer)</v>
      </c>
    </row>
    <row r="342" spans="1:12" ht="15.75" customHeight="1" x14ac:dyDescent="0.2">
      <c r="A342" s="94" t="s">
        <v>377</v>
      </c>
      <c r="B342" s="91">
        <v>0</v>
      </c>
      <c r="C342" s="91">
        <v>1</v>
      </c>
      <c r="H342" s="91" t="e">
        <f t="shared" ca="1" si="0"/>
        <v>#REF!</v>
      </c>
      <c r="I342" s="91" t="e">
        <f t="shared" ca="1" si="1"/>
        <v>#REF!</v>
      </c>
      <c r="J342" s="91" t="str">
        <f ca="1">IFERROR(__xludf.DUMMYFUNCTION("""COMPUTED_VALUE"""),"")</f>
        <v/>
      </c>
      <c r="K342" s="91" t="str">
        <f ca="1">IFERROR(__xludf.DUMMYFUNCTION("""COMPUTED_VALUE"""),"")</f>
        <v/>
      </c>
      <c r="L342" s="94" t="str">
        <f ca="1">IFERROR(__xludf.DUMMYFUNCTION("""COMPUTED_VALUE"""),"10h25 85180 Les Sables d'Olonne (le Château d'Olonne)-.")</f>
        <v>10h25 85180 Les Sables d'Olonne (le Château d'Olonne)-.</v>
      </c>
    </row>
    <row r="343" spans="1:12" ht="15.75" customHeight="1" x14ac:dyDescent="0.2">
      <c r="A343" s="94" t="s">
        <v>378</v>
      </c>
      <c r="B343" s="91">
        <v>0</v>
      </c>
      <c r="C343" s="91">
        <v>1</v>
      </c>
      <c r="H343" s="91" t="e">
        <f t="shared" ca="1" si="0"/>
        <v>#REF!</v>
      </c>
      <c r="I343" s="91" t="e">
        <f t="shared" ca="1" si="1"/>
        <v>#REF!</v>
      </c>
      <c r="J343" s="91" t="str">
        <f ca="1">IFERROR(__xludf.DUMMYFUNCTION("""COMPUTED_VALUE"""),"")</f>
        <v/>
      </c>
      <c r="K343" s="91" t="str">
        <f ca="1">IFERROR(__xludf.DUMMYFUNCTION("""COMPUTED_VALUE"""),"")</f>
        <v/>
      </c>
      <c r="L343" s="94" t="str">
        <f ca="1">IFERROR(__xludf.DUMMYFUNCTION("""COMPUTED_VALUE"""),"10h25 85180 Les Sables d'Olonne (le Château d'Olonne)")</f>
        <v>10h25 85180 Les Sables d'Olonne (le Château d'Olonne)</v>
      </c>
    </row>
    <row r="344" spans="1:12" ht="15.75" customHeight="1" x14ac:dyDescent="0.2">
      <c r="A344" s="94" t="s">
        <v>379</v>
      </c>
      <c r="B344" s="91">
        <v>0</v>
      </c>
      <c r="C344" s="91">
        <v>1</v>
      </c>
      <c r="H344" s="91" t="e">
        <f t="shared" ca="1" si="0"/>
        <v>#REF!</v>
      </c>
      <c r="I344" s="91" t="e">
        <f t="shared" ca="1" si="1"/>
        <v>#REF!</v>
      </c>
      <c r="J344" s="91" t="str">
        <f ca="1">IFERROR(__xludf.DUMMYFUNCTION("""COMPUTED_VALUE"""),"")</f>
        <v/>
      </c>
      <c r="K344" s="91" t="str">
        <f ca="1">IFERROR(__xludf.DUMMYFUNCTION("""COMPUTED_VALUE"""),"")</f>
        <v/>
      </c>
      <c r="L344" s="94" t="str">
        <f ca="1">IFERROR(__xludf.DUMMYFUNCTION("""COMPUTED_VALUE"""),"10h25 85150 Saint-Mathurin")</f>
        <v>10h25 85150 Saint-Mathurin</v>
      </c>
    </row>
    <row r="345" spans="1:12" ht="15.75" customHeight="1" x14ac:dyDescent="0.2">
      <c r="A345" s="94" t="s">
        <v>380</v>
      </c>
      <c r="B345" s="91">
        <v>0</v>
      </c>
      <c r="C345" s="91">
        <v>1</v>
      </c>
      <c r="H345" s="91" t="e">
        <f t="shared" ca="1" si="0"/>
        <v>#REF!</v>
      </c>
      <c r="I345" s="91" t="e">
        <f t="shared" ca="1" si="1"/>
        <v>#REF!</v>
      </c>
      <c r="J345" s="91" t="str">
        <f ca="1">IFERROR(__xludf.DUMMYFUNCTION("""COMPUTED_VALUE"""),"")</f>
        <v/>
      </c>
      <c r="K345" s="91" t="str">
        <f ca="1">IFERROR(__xludf.DUMMYFUNCTION("""COMPUTED_VALUE"""),"")</f>
        <v/>
      </c>
      <c r="L345" s="94" t="str">
        <f ca="1">IFERROR(__xludf.DUMMYFUNCTION("""COMPUTED_VALUE"""),"10h30 85100 Les Sables d'Olonne (les Sables d'Olonne)-.")</f>
        <v>10h30 85100 Les Sables d'Olonne (les Sables d'Olonne)-.</v>
      </c>
    </row>
    <row r="346" spans="1:12" ht="15.75" customHeight="1" x14ac:dyDescent="0.2">
      <c r="A346" s="94" t="s">
        <v>381</v>
      </c>
      <c r="B346" s="91">
        <v>0</v>
      </c>
      <c r="C346" s="91">
        <v>1</v>
      </c>
      <c r="H346" s="91" t="e">
        <f t="shared" ca="1" si="0"/>
        <v>#REF!</v>
      </c>
      <c r="I346" s="91" t="e">
        <f t="shared" ca="1" si="1"/>
        <v>#REF!</v>
      </c>
      <c r="J346" s="91" t="str">
        <f ca="1">IFERROR(__xludf.DUMMYFUNCTION("""COMPUTED_VALUE"""),"")</f>
        <v/>
      </c>
      <c r="K346" s="91" t="str">
        <f ca="1">IFERROR(__xludf.DUMMYFUNCTION("""COMPUTED_VALUE"""),"")</f>
        <v/>
      </c>
      <c r="L346" s="94" t="str">
        <f ca="1">IFERROR(__xludf.DUMMYFUNCTION("""COMPUTED_VALUE"""),"10h30 85100 Les Sables d'Olonne (les Sables d'Olonne)")</f>
        <v>10h30 85100 Les Sables d'Olonne (les Sables d'Olonne)</v>
      </c>
    </row>
    <row r="347" spans="1:12" ht="15.75" customHeight="1" x14ac:dyDescent="0.2">
      <c r="A347" s="94" t="s">
        <v>382</v>
      </c>
      <c r="B347" s="91">
        <v>0</v>
      </c>
      <c r="C347" s="91">
        <v>1</v>
      </c>
      <c r="H347" s="91" t="e">
        <f t="shared" ca="1" si="0"/>
        <v>#REF!</v>
      </c>
      <c r="I347" s="91" t="e">
        <f t="shared" ca="1" si="1"/>
        <v>#REF!</v>
      </c>
      <c r="J347" t="str">
        <f ca="1">IFERROR(__xludf.DUMMYFUNCTION("""COMPUTED_VALUE"""),"")</f>
        <v/>
      </c>
      <c r="K347" t="str">
        <f ca="1">IFERROR(__xludf.DUMMYFUNCTION("""COMPUTED_VALUE"""),"")</f>
        <v/>
      </c>
      <c r="L347" s="95" t="str">
        <f ca="1">IFERROR(__xludf.DUMMYFUNCTION("""COMPUTED_VALUE"""),"10h30 85100 Les Sables d'Olonne ( la Chaume)")</f>
        <v>10h30 85100 Les Sables d'Olonne ( la Chaume)</v>
      </c>
    </row>
    <row r="348" spans="1:12" ht="15.75" customHeight="1" x14ac:dyDescent="0.2">
      <c r="A348" s="94" t="s">
        <v>128</v>
      </c>
      <c r="B348" s="91">
        <v>0</v>
      </c>
      <c r="C348" s="91">
        <v>1</v>
      </c>
      <c r="H348" s="91" t="e">
        <f t="shared" ca="1" si="0"/>
        <v>#REF!</v>
      </c>
      <c r="I348" s="91" t="e">
        <f t="shared" ca="1" si="1"/>
        <v>#REF!</v>
      </c>
      <c r="J348" t="str">
        <f ca="1">IFERROR(__xludf.DUMMYFUNCTION("""COMPUTED_VALUE"""),"")</f>
        <v/>
      </c>
      <c r="K348" t="str">
        <f ca="1">IFERROR(__xludf.DUMMYFUNCTION("""COMPUTED_VALUE"""),"")</f>
        <v/>
      </c>
      <c r="L348" s="95" t="str">
        <f ca="1">IFERROR(__xludf.DUMMYFUNCTION("""COMPUTED_VALUE"""),"10h30 85340 Les Sables d'Olonne (Olonne sur Mer)-.")</f>
        <v>10h30 85340 Les Sables d'Olonne (Olonne sur Mer)-.</v>
      </c>
    </row>
    <row r="349" spans="1:12" ht="15.75" customHeight="1" x14ac:dyDescent="0.2">
      <c r="A349" s="94" t="s">
        <v>127</v>
      </c>
      <c r="B349" s="91">
        <v>0</v>
      </c>
      <c r="C349" s="91">
        <v>1</v>
      </c>
      <c r="H349" s="91" t="e">
        <f t="shared" ca="1" si="0"/>
        <v>#REF!</v>
      </c>
      <c r="I349" s="91" t="e">
        <f t="shared" ca="1" si="1"/>
        <v>#REF!</v>
      </c>
      <c r="J349" t="str">
        <f ca="1">IFERROR(__xludf.DUMMYFUNCTION("""COMPUTED_VALUE"""),"")</f>
        <v/>
      </c>
      <c r="K349" t="str">
        <f ca="1">IFERROR(__xludf.DUMMYFUNCTION("""COMPUTED_VALUE"""),"")</f>
        <v/>
      </c>
      <c r="L349" s="95" t="str">
        <f ca="1">IFERROR(__xludf.DUMMYFUNCTION("""COMPUTED_VALUE"""),"10h30 85340 Les Sables d'Olonne (Olonne sur Mer)")</f>
        <v>10h30 85340 Les Sables d'Olonne (Olonne sur Mer)</v>
      </c>
    </row>
    <row r="350" spans="1:12" ht="15.75" customHeight="1" x14ac:dyDescent="0.2">
      <c r="A350" s="94" t="s">
        <v>75</v>
      </c>
      <c r="B350" s="91">
        <v>0</v>
      </c>
      <c r="C350" s="91">
        <v>1</v>
      </c>
      <c r="H350" s="91" t="e">
        <f t="shared" ca="1" si="0"/>
        <v>#REF!</v>
      </c>
      <c r="I350" s="91" t="e">
        <f t="shared" ca="1" si="1"/>
        <v>#REF!</v>
      </c>
      <c r="J350" t="str">
        <f ca="1">IFERROR(__xludf.DUMMYFUNCTION("""COMPUTED_VALUE"""),"")</f>
        <v/>
      </c>
      <c r="K350" t="str">
        <f ca="1">IFERROR(__xludf.DUMMYFUNCTION("""COMPUTED_VALUE"""),"")</f>
        <v/>
      </c>
      <c r="L350" s="95" t="str">
        <f ca="1">IFERROR(__xludf.DUMMYFUNCTION("""COMPUTED_VALUE"""),"10h30 85180 Les Sables d'Olonne (le Château d'Olonne)-.")</f>
        <v>10h30 85180 Les Sables d'Olonne (le Château d'Olonne)-.</v>
      </c>
    </row>
    <row r="351" spans="1:12" ht="15.75" customHeight="1" x14ac:dyDescent="0.2">
      <c r="A351" s="94" t="s">
        <v>74</v>
      </c>
      <c r="B351" s="91">
        <v>0</v>
      </c>
      <c r="C351" s="91">
        <v>1</v>
      </c>
      <c r="H351" s="91" t="e">
        <f t="shared" ca="1" si="0"/>
        <v>#REF!</v>
      </c>
      <c r="I351" s="91" t="e">
        <f t="shared" ca="1" si="1"/>
        <v>#REF!</v>
      </c>
      <c r="J351" t="str">
        <f ca="1">IFERROR(__xludf.DUMMYFUNCTION("""COMPUTED_VALUE"""),"")</f>
        <v/>
      </c>
      <c r="K351" t="str">
        <f ca="1">IFERROR(__xludf.DUMMYFUNCTION("""COMPUTED_VALUE"""),"")</f>
        <v/>
      </c>
      <c r="L351" s="95" t="str">
        <f ca="1">IFERROR(__xludf.DUMMYFUNCTION("""COMPUTED_VALUE"""),"10h30 85180 Les Sables d'Olonne (le Château d'Olonne)")</f>
        <v>10h30 85180 Les Sables d'Olonne (le Château d'Olonne)</v>
      </c>
    </row>
    <row r="352" spans="1:12" ht="15.75" customHeight="1" x14ac:dyDescent="0.2">
      <c r="A352" s="94" t="s">
        <v>383</v>
      </c>
      <c r="B352" s="91">
        <v>0</v>
      </c>
      <c r="C352" s="91">
        <v>1</v>
      </c>
      <c r="H352" s="91" t="e">
        <f t="shared" ca="1" si="0"/>
        <v>#REF!</v>
      </c>
      <c r="I352" s="91" t="e">
        <f t="shared" ca="1" si="1"/>
        <v>#REF!</v>
      </c>
      <c r="J352" t="str">
        <f ca="1">IFERROR(__xludf.DUMMYFUNCTION("""COMPUTED_VALUE"""),"")</f>
        <v/>
      </c>
      <c r="K352" t="str">
        <f ca="1">IFERROR(__xludf.DUMMYFUNCTION("""COMPUTED_VALUE"""),"")</f>
        <v/>
      </c>
      <c r="L352" s="95" t="str">
        <f ca="1">IFERROR(__xludf.DUMMYFUNCTION("""COMPUTED_VALUE"""),"10h30 85150 Saint-Mathurin")</f>
        <v>10h30 85150 Saint-Mathurin</v>
      </c>
    </row>
    <row r="353" spans="1:12" ht="15.75" customHeight="1" x14ac:dyDescent="0.2">
      <c r="A353" s="94" t="s">
        <v>129</v>
      </c>
      <c r="B353" s="91">
        <v>0</v>
      </c>
      <c r="C353" s="91">
        <v>1</v>
      </c>
      <c r="H353" s="91" t="e">
        <f t="shared" ca="1" si="0"/>
        <v>#REF!</v>
      </c>
      <c r="I353" s="91" t="e">
        <f t="shared" ca="1" si="1"/>
        <v>#REF!</v>
      </c>
      <c r="J353" t="str">
        <f ca="1">IFERROR(__xludf.DUMMYFUNCTION("""COMPUTED_VALUE"""),"")</f>
        <v/>
      </c>
      <c r="K353" t="str">
        <f ca="1">IFERROR(__xludf.DUMMYFUNCTION("""COMPUTED_VALUE"""),"")</f>
        <v/>
      </c>
      <c r="L353" s="95" t="str">
        <f ca="1">IFERROR(__xludf.DUMMYFUNCTION("""COMPUTED_VALUE"""),"10h31 au local-.")</f>
        <v>10h31 au local-.</v>
      </c>
    </row>
    <row r="354" spans="1:12" ht="15.75" customHeight="1" x14ac:dyDescent="0.2">
      <c r="A354" s="94" t="s">
        <v>384</v>
      </c>
      <c r="B354" s="91">
        <v>0</v>
      </c>
      <c r="C354" s="91">
        <v>1</v>
      </c>
      <c r="H354" s="91" t="e">
        <f t="shared" ca="1" si="0"/>
        <v>#REF!</v>
      </c>
      <c r="I354" s="91" t="e">
        <f t="shared" ca="1" si="1"/>
        <v>#REF!</v>
      </c>
      <c r="J354" t="str">
        <f ca="1">IFERROR(__xludf.DUMMYFUNCTION("""COMPUTED_VALUE"""),"")</f>
        <v/>
      </c>
      <c r="K354" t="str">
        <f ca="1">IFERROR(__xludf.DUMMYFUNCTION("""COMPUTED_VALUE"""),"")</f>
        <v/>
      </c>
      <c r="L354" s="95" t="str">
        <f ca="1">IFERROR(__xludf.DUMMYFUNCTION("""COMPUTED_VALUE"""),"10h31 au local")</f>
        <v>10h31 au local</v>
      </c>
    </row>
    <row r="355" spans="1:12" ht="15.75" customHeight="1" x14ac:dyDescent="0.2">
      <c r="A355" s="94" t="s">
        <v>385</v>
      </c>
      <c r="B355" s="91">
        <v>0</v>
      </c>
      <c r="C355" s="91">
        <v>1</v>
      </c>
      <c r="H355" s="91" t="e">
        <f t="shared" ca="1" si="0"/>
        <v>#REF!</v>
      </c>
      <c r="I355" s="91" t="e">
        <f t="shared" ca="1" si="1"/>
        <v>#REF!</v>
      </c>
      <c r="J355" t="str">
        <f ca="1">IFERROR(__xludf.DUMMYFUNCTION("""COMPUTED_VALUE"""),"")</f>
        <v/>
      </c>
      <c r="K355" t="str">
        <f ca="1">IFERROR(__xludf.DUMMYFUNCTION("""COMPUTED_VALUE"""),"")</f>
        <v/>
      </c>
      <c r="L355" s="95" t="str">
        <f ca="1">IFERROR(__xludf.DUMMYFUNCTION("""COMPUTED_VALUE"""),"10h32 au local-.")</f>
        <v>10h32 au local-.</v>
      </c>
    </row>
    <row r="356" spans="1:12" ht="15.75" customHeight="1" x14ac:dyDescent="0.2">
      <c r="A356" s="94" t="s">
        <v>130</v>
      </c>
      <c r="B356" s="91">
        <v>0</v>
      </c>
      <c r="C356" s="91">
        <v>1</v>
      </c>
      <c r="H356" s="91" t="e">
        <f t="shared" ca="1" si="0"/>
        <v>#REF!</v>
      </c>
      <c r="I356" s="91" t="e">
        <f t="shared" ca="1" si="1"/>
        <v>#REF!</v>
      </c>
      <c r="J356" t="str">
        <f ca="1">IFERROR(__xludf.DUMMYFUNCTION("""COMPUTED_VALUE"""),"")</f>
        <v/>
      </c>
      <c r="K356" t="str">
        <f ca="1">IFERROR(__xludf.DUMMYFUNCTION("""COMPUTED_VALUE"""),"")</f>
        <v/>
      </c>
      <c r="L356" s="95" t="str">
        <f ca="1">IFERROR(__xludf.DUMMYFUNCTION("""COMPUTED_VALUE"""),"10h32 au local")</f>
        <v>10h32 au local</v>
      </c>
    </row>
    <row r="357" spans="1:12" ht="15.75" customHeight="1" x14ac:dyDescent="0.2">
      <c r="A357" s="94" t="s">
        <v>386</v>
      </c>
      <c r="B357" s="91">
        <v>0</v>
      </c>
      <c r="C357" s="91">
        <v>1</v>
      </c>
      <c r="H357" s="91" t="e">
        <f t="shared" ca="1" si="0"/>
        <v>#REF!</v>
      </c>
      <c r="I357" s="91" t="e">
        <f t="shared" ca="1" si="1"/>
        <v>#REF!</v>
      </c>
      <c r="J357" t="str">
        <f ca="1">IFERROR(__xludf.DUMMYFUNCTION("""COMPUTED_VALUE"""),"")</f>
        <v/>
      </c>
      <c r="K357" t="str">
        <f ca="1">IFERROR(__xludf.DUMMYFUNCTION("""COMPUTED_VALUE"""),"")</f>
        <v/>
      </c>
      <c r="L357" s="95" t="str">
        <f ca="1">IFERROR(__xludf.DUMMYFUNCTION("""COMPUTED_VALUE"""),"10h33 au local-.")</f>
        <v>10h33 au local-.</v>
      </c>
    </row>
    <row r="358" spans="1:12" ht="15.75" customHeight="1" x14ac:dyDescent="0.2">
      <c r="A358" s="94" t="s">
        <v>387</v>
      </c>
      <c r="B358" s="91">
        <v>0</v>
      </c>
      <c r="C358" s="91">
        <v>1</v>
      </c>
      <c r="H358" s="91" t="e">
        <f t="shared" ca="1" si="0"/>
        <v>#REF!</v>
      </c>
      <c r="I358" s="91" t="e">
        <f t="shared" ca="1" si="1"/>
        <v>#REF!</v>
      </c>
      <c r="J358" t="str">
        <f ca="1">IFERROR(__xludf.DUMMYFUNCTION("""COMPUTED_VALUE"""),"")</f>
        <v/>
      </c>
      <c r="K358" t="str">
        <f ca="1">IFERROR(__xludf.DUMMYFUNCTION("""COMPUTED_VALUE"""),"")</f>
        <v/>
      </c>
      <c r="L358" s="95" t="str">
        <f ca="1">IFERROR(__xludf.DUMMYFUNCTION("""COMPUTED_VALUE"""),"10h34 au local")</f>
        <v>10h34 au local</v>
      </c>
    </row>
    <row r="359" spans="1:12" ht="15.75" customHeight="1" x14ac:dyDescent="0.2">
      <c r="A359" s="94" t="s">
        <v>388</v>
      </c>
      <c r="B359" s="91">
        <v>0</v>
      </c>
      <c r="C359" s="91">
        <v>1</v>
      </c>
      <c r="H359" s="91" t="e">
        <f t="shared" ca="1" si="0"/>
        <v>#REF!</v>
      </c>
      <c r="I359" s="91" t="e">
        <f t="shared" ca="1" si="1"/>
        <v>#REF!</v>
      </c>
      <c r="J359" t="str">
        <f ca="1">IFERROR(__xludf.DUMMYFUNCTION("""COMPUTED_VALUE"""),"")</f>
        <v/>
      </c>
      <c r="K359" t="str">
        <f ca="1">IFERROR(__xludf.DUMMYFUNCTION("""COMPUTED_VALUE"""),"")</f>
        <v/>
      </c>
      <c r="L359" s="95" t="str">
        <f ca="1">IFERROR(__xludf.DUMMYFUNCTION("""COMPUTED_VALUE"""),"10h34 au local-.")</f>
        <v>10h34 au local-.</v>
      </c>
    </row>
    <row r="360" spans="1:12" ht="15.75" customHeight="1" x14ac:dyDescent="0.2">
      <c r="A360" s="94" t="s">
        <v>389</v>
      </c>
      <c r="B360" s="91">
        <v>0</v>
      </c>
      <c r="C360" s="91">
        <v>1</v>
      </c>
      <c r="H360" s="91" t="e">
        <f t="shared" ca="1" si="0"/>
        <v>#REF!</v>
      </c>
      <c r="I360" s="91" t="e">
        <f t="shared" ca="1" si="1"/>
        <v>#REF!</v>
      </c>
      <c r="J360" t="str">
        <f ca="1">IFERROR(__xludf.DUMMYFUNCTION("""COMPUTED_VALUE"""),"")</f>
        <v/>
      </c>
      <c r="K360" t="str">
        <f ca="1">IFERROR(__xludf.DUMMYFUNCTION("""COMPUTED_VALUE"""),"")</f>
        <v/>
      </c>
      <c r="L360" s="95" t="str">
        <f ca="1">IFERROR(__xludf.DUMMYFUNCTION("""COMPUTED_VALUE"""),"10h35 au local")</f>
        <v>10h35 au local</v>
      </c>
    </row>
    <row r="361" spans="1:12" ht="15.75" customHeight="1" x14ac:dyDescent="0.2">
      <c r="A361" s="94" t="s">
        <v>390</v>
      </c>
      <c r="B361" s="91">
        <v>0</v>
      </c>
      <c r="C361" s="91">
        <v>1</v>
      </c>
      <c r="H361" s="91" t="e">
        <f t="shared" ca="1" si="0"/>
        <v>#REF!</v>
      </c>
      <c r="I361" s="91" t="e">
        <f t="shared" ca="1" si="1"/>
        <v>#REF!</v>
      </c>
      <c r="J361" t="str">
        <f ca="1">IFERROR(__xludf.DUMMYFUNCTION("""COMPUTED_VALUE"""),"")</f>
        <v/>
      </c>
      <c r="K361" t="str">
        <f ca="1">IFERROR(__xludf.DUMMYFUNCTION("""COMPUTED_VALUE"""),"")</f>
        <v/>
      </c>
      <c r="L361" s="95" t="str">
        <f ca="1">IFERROR(__xludf.DUMMYFUNCTION("""COMPUTED_VALUE"""),"10h35 au local-.")</f>
        <v>10h35 au local-.</v>
      </c>
    </row>
    <row r="362" spans="1:12" ht="15.75" customHeight="1" x14ac:dyDescent="0.2">
      <c r="A362" s="94" t="s">
        <v>391</v>
      </c>
      <c r="B362" s="91">
        <v>0</v>
      </c>
      <c r="C362" s="91">
        <v>1</v>
      </c>
      <c r="H362" s="91" t="e">
        <f t="shared" ca="1" si="0"/>
        <v>#REF!</v>
      </c>
      <c r="I362" s="91" t="e">
        <f t="shared" ca="1" si="1"/>
        <v>#REF!</v>
      </c>
      <c r="J362" t="str">
        <f ca="1">IFERROR(__xludf.DUMMYFUNCTION("""COMPUTED_VALUE"""),"")</f>
        <v/>
      </c>
      <c r="K362" t="str">
        <f ca="1">IFERROR(__xludf.DUMMYFUNCTION("""COMPUTED_VALUE"""),"")</f>
        <v/>
      </c>
      <c r="L362" s="95" t="str">
        <f ca="1">IFERROR(__xludf.DUMMYFUNCTION("""COMPUTED_VALUE"""),"10h36 au local")</f>
        <v>10h36 au local</v>
      </c>
    </row>
    <row r="363" spans="1:12" ht="15.75" customHeight="1" x14ac:dyDescent="0.2">
      <c r="A363" s="94" t="s">
        <v>392</v>
      </c>
      <c r="B363" s="91">
        <v>0</v>
      </c>
      <c r="C363" s="91">
        <v>1</v>
      </c>
      <c r="H363" s="91" t="e">
        <f t="shared" ca="1" si="0"/>
        <v>#REF!</v>
      </c>
      <c r="I363" s="91" t="e">
        <f t="shared" ca="1" si="1"/>
        <v>#REF!</v>
      </c>
      <c r="J363" t="str">
        <f ca="1">IFERROR(__xludf.DUMMYFUNCTION("""COMPUTED_VALUE"""),"")</f>
        <v/>
      </c>
      <c r="K363" t="str">
        <f ca="1">IFERROR(__xludf.DUMMYFUNCTION("""COMPUTED_VALUE"""),"")</f>
        <v/>
      </c>
      <c r="L363" s="95" t="str">
        <f ca="1">IFERROR(__xludf.DUMMYFUNCTION("""COMPUTED_VALUE"""),"10h36 au local-.")</f>
        <v>10h36 au local-.</v>
      </c>
    </row>
    <row r="364" spans="1:12" ht="15.75" customHeight="1" x14ac:dyDescent="0.2">
      <c r="A364" s="94" t="s">
        <v>393</v>
      </c>
      <c r="B364" s="91">
        <v>0</v>
      </c>
      <c r="C364" s="91">
        <v>1</v>
      </c>
      <c r="H364" s="91" t="e">
        <f t="shared" ca="1" si="0"/>
        <v>#REF!</v>
      </c>
      <c r="I364" s="91" t="e">
        <f t="shared" ca="1" si="1"/>
        <v>#REF!</v>
      </c>
      <c r="J364" t="str">
        <f ca="1">IFERROR(__xludf.DUMMYFUNCTION("""COMPUTED_VALUE"""),"")</f>
        <v/>
      </c>
      <c r="K364" t="str">
        <f ca="1">IFERROR(__xludf.DUMMYFUNCTION("""COMPUTED_VALUE"""),"")</f>
        <v/>
      </c>
      <c r="L364" s="95" t="str">
        <f ca="1">IFERROR(__xludf.DUMMYFUNCTION("""COMPUTED_VALUE"""),"10h37 au local-.")</f>
        <v>10h37 au local-.</v>
      </c>
    </row>
    <row r="365" spans="1:12" ht="15.75" customHeight="1" x14ac:dyDescent="0.2">
      <c r="A365" s="94" t="s">
        <v>394</v>
      </c>
      <c r="B365" s="91">
        <v>0</v>
      </c>
      <c r="C365" s="91">
        <v>1</v>
      </c>
      <c r="H365" s="91" t="e">
        <f t="shared" ca="1" si="0"/>
        <v>#REF!</v>
      </c>
      <c r="I365" s="91" t="e">
        <f t="shared" ca="1" si="1"/>
        <v>#REF!</v>
      </c>
      <c r="J365" t="str">
        <f ca="1">IFERROR(__xludf.DUMMYFUNCTION("""COMPUTED_VALUE"""),"")</f>
        <v/>
      </c>
      <c r="K365" t="str">
        <f ca="1">IFERROR(__xludf.DUMMYFUNCTION("""COMPUTED_VALUE"""),"")</f>
        <v/>
      </c>
      <c r="L365" s="95" t="str">
        <f ca="1">IFERROR(__xludf.DUMMYFUNCTION("""COMPUTED_VALUE"""),"10h37 au local")</f>
        <v>10h37 au local</v>
      </c>
    </row>
    <row r="366" spans="1:12" ht="15.75" customHeight="1" x14ac:dyDescent="0.2">
      <c r="A366" s="94" t="s">
        <v>390</v>
      </c>
      <c r="B366" s="91">
        <v>0</v>
      </c>
      <c r="C366" s="91">
        <v>1</v>
      </c>
      <c r="H366" s="91" t="e">
        <f t="shared" ca="1" si="0"/>
        <v>#REF!</v>
      </c>
      <c r="I366" s="91" t="e">
        <f t="shared" ca="1" si="1"/>
        <v>#REF!</v>
      </c>
      <c r="J366" t="str">
        <f ca="1">IFERROR(__xludf.DUMMYFUNCTION("""COMPUTED_VALUE"""),"")</f>
        <v/>
      </c>
      <c r="K366" t="str">
        <f ca="1">IFERROR(__xludf.DUMMYFUNCTION("""COMPUTED_VALUE"""),"")</f>
        <v/>
      </c>
      <c r="L366" s="95" t="str">
        <f ca="1">IFERROR(__xludf.DUMMYFUNCTION("""COMPUTED_VALUE"""),"10h35 au local-.")</f>
        <v>10h35 au local-.</v>
      </c>
    </row>
    <row r="367" spans="1:12" ht="15.75" customHeight="1" x14ac:dyDescent="0.2">
      <c r="A367" s="94" t="s">
        <v>131</v>
      </c>
      <c r="B367" s="91">
        <v>1</v>
      </c>
      <c r="C367" s="91">
        <v>1</v>
      </c>
      <c r="H367" s="91" t="e">
        <f t="shared" ca="1" si="0"/>
        <v>#REF!</v>
      </c>
      <c r="I367" s="91" t="e">
        <f t="shared" ca="1" si="1"/>
        <v>#REF!</v>
      </c>
      <c r="J367" t="str">
        <f ca="1">IFERROR(__xludf.DUMMYFUNCTION("""COMPUTED_VALUE"""),"")</f>
        <v/>
      </c>
      <c r="K367" t="str">
        <f ca="1">IFERROR(__xludf.DUMMYFUNCTION("""COMPUTED_VALUE"""),"")</f>
        <v/>
      </c>
      <c r="L367" s="95" t="str">
        <f ca="1">IFERROR(__xludf.DUMMYFUNCTION("""COMPUTED_VALUE"""),"10h40 au local")</f>
        <v>10h40 au local</v>
      </c>
    </row>
    <row r="368" spans="1:12" ht="15.75" customHeight="1" x14ac:dyDescent="0.2">
      <c r="A368" s="94" t="s">
        <v>132</v>
      </c>
      <c r="B368" s="91">
        <v>0</v>
      </c>
      <c r="C368" s="91">
        <v>1</v>
      </c>
      <c r="H368" s="91" t="e">
        <f t="shared" ca="1" si="0"/>
        <v>#REF!</v>
      </c>
      <c r="I368" s="91" t="e">
        <f t="shared" ca="1" si="1"/>
        <v>#REF!</v>
      </c>
      <c r="J368" t="str">
        <f ca="1">IFERROR(__xludf.DUMMYFUNCTION("""COMPUTED_VALUE"""),"")</f>
        <v/>
      </c>
      <c r="K368" t="str">
        <f ca="1">IFERROR(__xludf.DUMMYFUNCTION("""COMPUTED_VALUE"""),"")</f>
        <v/>
      </c>
      <c r="L368" s="95" t="str">
        <f ca="1">IFERROR(__xludf.DUMMYFUNCTION("""COMPUTED_VALUE"""),"10h40 au local-.")</f>
        <v>10h40 au local-.</v>
      </c>
    </row>
    <row r="369" spans="1:12" ht="15.75" customHeight="1" x14ac:dyDescent="0.2">
      <c r="A369" s="94" t="s">
        <v>395</v>
      </c>
      <c r="B369" s="91">
        <v>0</v>
      </c>
      <c r="C369" s="91">
        <v>1</v>
      </c>
      <c r="H369" s="91" t="e">
        <f t="shared" ca="1" si="0"/>
        <v>#REF!</v>
      </c>
      <c r="I369" s="91" t="e">
        <f t="shared" ca="1" si="1"/>
        <v>#REF!</v>
      </c>
      <c r="J369" t="str">
        <f ca="1">IFERROR(__xludf.DUMMYFUNCTION("""COMPUTED_VALUE"""),"")</f>
        <v/>
      </c>
      <c r="K369" t="str">
        <f ca="1">IFERROR(__xludf.DUMMYFUNCTION("""COMPUTED_VALUE"""),"")</f>
        <v/>
      </c>
      <c r="L369" s="95" t="str">
        <f ca="1">IFERROR(__xludf.DUMMYFUNCTION("""COMPUTED_VALUE"""),"Option 361")</f>
        <v>Option 361</v>
      </c>
    </row>
    <row r="370" spans="1:12" ht="15.75" customHeight="1" x14ac:dyDescent="0.2">
      <c r="A370" s="94"/>
    </row>
    <row r="371" spans="1:12" ht="15.75" customHeight="1" x14ac:dyDescent="0.2">
      <c r="A371" s="94"/>
    </row>
    <row r="372" spans="1:12" ht="15.75" customHeight="1" x14ac:dyDescent="0.2">
      <c r="A372" s="94"/>
    </row>
    <row r="373" spans="1:12" ht="15.75" customHeight="1" x14ac:dyDescent="0.2">
      <c r="A373" s="94"/>
    </row>
    <row r="374" spans="1:12" ht="15.75" customHeight="1" x14ac:dyDescent="0.2">
      <c r="A374" s="94"/>
    </row>
    <row r="375" spans="1:12" ht="15.75" customHeight="1" x14ac:dyDescent="0.2">
      <c r="A375" s="94"/>
    </row>
    <row r="376" spans="1:12" ht="15.75" customHeight="1" x14ac:dyDescent="0.2">
      <c r="A376" s="94"/>
    </row>
    <row r="377" spans="1:12" ht="15.75" customHeight="1" x14ac:dyDescent="0.2">
      <c r="A377" s="94"/>
    </row>
    <row r="378" spans="1:12" ht="15.75" customHeight="1" x14ac:dyDescent="0.2">
      <c r="A378" s="94"/>
    </row>
    <row r="379" spans="1:12" ht="15.75" customHeight="1" x14ac:dyDescent="0.2">
      <c r="A379" s="94"/>
    </row>
    <row r="380" spans="1:12" ht="15.75" customHeight="1" x14ac:dyDescent="0.2">
      <c r="A380" s="94"/>
    </row>
    <row r="381" spans="1:12" ht="15.75" customHeight="1" x14ac:dyDescent="0.2">
      <c r="A381" s="94"/>
    </row>
    <row r="382" spans="1:12" ht="15.75" customHeight="1" x14ac:dyDescent="0.2">
      <c r="A382" s="94"/>
    </row>
    <row r="383" spans="1:12" ht="15.75" customHeight="1" x14ac:dyDescent="0.2">
      <c r="A383" s="94"/>
    </row>
    <row r="384" spans="1:12" ht="15.75" customHeight="1" x14ac:dyDescent="0.2">
      <c r="A384" s="94"/>
    </row>
    <row r="385" spans="1:1" ht="15.75" customHeight="1" x14ac:dyDescent="0.2">
      <c r="A385" s="94"/>
    </row>
    <row r="386" spans="1:1" ht="15.75" customHeight="1" x14ac:dyDescent="0.2">
      <c r="A386" s="94"/>
    </row>
    <row r="387" spans="1:1" ht="15.75" customHeight="1" x14ac:dyDescent="0.2">
      <c r="A387" s="94"/>
    </row>
    <row r="388" spans="1:1" ht="15.75" customHeight="1" x14ac:dyDescent="0.2">
      <c r="A388" s="94"/>
    </row>
    <row r="389" spans="1:1" ht="15.75" customHeight="1" x14ac:dyDescent="0.2">
      <c r="A389" s="94"/>
    </row>
    <row r="390" spans="1:1" ht="15.75" customHeight="1" x14ac:dyDescent="0.2">
      <c r="A390" s="94"/>
    </row>
    <row r="391" spans="1:1" ht="15.75" customHeight="1" x14ac:dyDescent="0.2">
      <c r="A391" s="94"/>
    </row>
    <row r="392" spans="1:1" ht="15.75" customHeight="1" x14ac:dyDescent="0.2">
      <c r="A392" s="94"/>
    </row>
    <row r="393" spans="1:1" ht="15.75" customHeight="1" x14ac:dyDescent="0.2">
      <c r="A393" s="94"/>
    </row>
    <row r="394" spans="1:1" ht="15.75" customHeight="1" x14ac:dyDescent="0.2">
      <c r="A394" s="94"/>
    </row>
    <row r="395" spans="1:1" ht="15.75" customHeight="1" x14ac:dyDescent="0.2">
      <c r="A395" s="94"/>
    </row>
    <row r="396" spans="1:1" ht="15.75" customHeight="1" x14ac:dyDescent="0.2">
      <c r="A396" s="94"/>
    </row>
    <row r="397" spans="1:1" ht="15.75" customHeight="1" x14ac:dyDescent="0.2">
      <c r="A397" s="94"/>
    </row>
    <row r="398" spans="1:1" ht="15.75" customHeight="1" x14ac:dyDescent="0.2">
      <c r="A398" s="94"/>
    </row>
    <row r="399" spans="1:1" ht="15.75" customHeight="1" x14ac:dyDescent="0.2">
      <c r="A399" s="94"/>
    </row>
    <row r="400" spans="1:1" ht="15.75" customHeight="1" x14ac:dyDescent="0.2">
      <c r="A400" s="94"/>
    </row>
    <row r="401" spans="1:1" ht="15.75" customHeight="1" x14ac:dyDescent="0.2">
      <c r="A401" s="94"/>
    </row>
    <row r="402" spans="1:1" ht="15.75" customHeight="1" x14ac:dyDescent="0.2">
      <c r="A402" s="94"/>
    </row>
    <row r="403" spans="1:1" ht="15.75" customHeight="1" x14ac:dyDescent="0.2">
      <c r="A403" s="94"/>
    </row>
    <row r="404" spans="1:1" ht="15.75" customHeight="1" x14ac:dyDescent="0.2">
      <c r="A404" s="94"/>
    </row>
    <row r="405" spans="1:1" ht="15.75" customHeight="1" x14ac:dyDescent="0.2">
      <c r="A405" s="94"/>
    </row>
    <row r="406" spans="1:1" ht="15.75" customHeight="1" x14ac:dyDescent="0.2">
      <c r="A406" s="94"/>
    </row>
    <row r="407" spans="1:1" ht="15.75" customHeight="1" x14ac:dyDescent="0.2">
      <c r="A407" s="94"/>
    </row>
    <row r="408" spans="1:1" ht="15.75" customHeight="1" x14ac:dyDescent="0.2">
      <c r="A408" s="94"/>
    </row>
    <row r="409" spans="1:1" ht="15.75" customHeight="1" x14ac:dyDescent="0.2">
      <c r="A409" s="94"/>
    </row>
    <row r="410" spans="1:1" ht="15.75" customHeight="1" x14ac:dyDescent="0.2">
      <c r="A410" s="94"/>
    </row>
    <row r="411" spans="1:1" ht="15.75" customHeight="1" x14ac:dyDescent="0.2">
      <c r="A411" s="94"/>
    </row>
    <row r="412" spans="1:1" ht="15.75" customHeight="1" x14ac:dyDescent="0.2">
      <c r="A412" s="94"/>
    </row>
    <row r="413" spans="1:1" ht="15.75" customHeight="1" x14ac:dyDescent="0.2">
      <c r="A413" s="94"/>
    </row>
    <row r="414" spans="1:1" ht="15.75" customHeight="1" x14ac:dyDescent="0.2">
      <c r="A414" s="94"/>
    </row>
    <row r="415" spans="1:1" ht="15.75" customHeight="1" x14ac:dyDescent="0.2">
      <c r="A415" s="94"/>
    </row>
    <row r="416" spans="1:1" ht="15.75" customHeight="1" x14ac:dyDescent="0.2">
      <c r="A416" s="94"/>
    </row>
    <row r="417" spans="1:1" ht="15.75" customHeight="1" x14ac:dyDescent="0.2">
      <c r="A417" s="94"/>
    </row>
    <row r="418" spans="1:1" ht="15.75" customHeight="1" x14ac:dyDescent="0.2">
      <c r="A418" s="94"/>
    </row>
    <row r="419" spans="1:1" ht="15.75" customHeight="1" x14ac:dyDescent="0.2">
      <c r="A419" s="94"/>
    </row>
    <row r="420" spans="1:1" ht="15.75" customHeight="1" x14ac:dyDescent="0.2">
      <c r="A420" s="94"/>
    </row>
    <row r="421" spans="1:1" ht="15.75" customHeight="1" x14ac:dyDescent="0.2">
      <c r="A421" s="94"/>
    </row>
    <row r="422" spans="1:1" ht="15.75" customHeight="1" x14ac:dyDescent="0.2">
      <c r="A422" s="94"/>
    </row>
    <row r="423" spans="1:1" ht="15.75" customHeight="1" x14ac:dyDescent="0.2">
      <c r="A423" s="94"/>
    </row>
    <row r="424" spans="1:1" ht="15.75" customHeight="1" x14ac:dyDescent="0.2">
      <c r="A424" s="94"/>
    </row>
    <row r="425" spans="1:1" ht="15.75" customHeight="1" x14ac:dyDescent="0.2">
      <c r="A425" s="94"/>
    </row>
    <row r="426" spans="1:1" ht="15.75" customHeight="1" x14ac:dyDescent="0.2">
      <c r="A426" s="94"/>
    </row>
    <row r="427" spans="1:1" ht="15.75" customHeight="1" x14ac:dyDescent="0.2">
      <c r="A427" s="94"/>
    </row>
    <row r="428" spans="1:1" ht="15.75" customHeight="1" x14ac:dyDescent="0.2">
      <c r="A428" s="94"/>
    </row>
    <row r="429" spans="1:1" ht="15.75" customHeight="1" x14ac:dyDescent="0.2">
      <c r="A429" s="94"/>
    </row>
    <row r="430" spans="1:1" ht="15.75" customHeight="1" x14ac:dyDescent="0.2">
      <c r="A430" s="94"/>
    </row>
    <row r="431" spans="1:1" ht="15.75" customHeight="1" x14ac:dyDescent="0.2">
      <c r="A431" s="94"/>
    </row>
    <row r="432" spans="1:1" ht="15.75" customHeight="1" x14ac:dyDescent="0.2">
      <c r="A432" s="94"/>
    </row>
    <row r="433" spans="1:1" ht="15.75" customHeight="1" x14ac:dyDescent="0.2">
      <c r="A433" s="94"/>
    </row>
    <row r="434" spans="1:1" ht="15.75" customHeight="1" x14ac:dyDescent="0.2">
      <c r="A434" s="94"/>
    </row>
    <row r="435" spans="1:1" ht="15.75" customHeight="1" x14ac:dyDescent="0.2">
      <c r="A435" s="94"/>
    </row>
    <row r="436" spans="1:1" ht="15.75" customHeight="1" x14ac:dyDescent="0.2">
      <c r="A436" s="94"/>
    </row>
    <row r="437" spans="1:1" ht="15.75" customHeight="1" x14ac:dyDescent="0.2">
      <c r="A437" s="94"/>
    </row>
    <row r="438" spans="1:1" ht="15.75" customHeight="1" x14ac:dyDescent="0.2">
      <c r="A438" s="94"/>
    </row>
    <row r="439" spans="1:1" ht="15.75" customHeight="1" x14ac:dyDescent="0.2">
      <c r="A439" s="94"/>
    </row>
    <row r="440" spans="1:1" ht="15.75" customHeight="1" x14ac:dyDescent="0.2">
      <c r="A440" s="94"/>
    </row>
    <row r="441" spans="1:1" ht="15.75" customHeight="1" x14ac:dyDescent="0.2">
      <c r="A441" s="94"/>
    </row>
    <row r="442" spans="1:1" ht="15.75" customHeight="1" x14ac:dyDescent="0.2">
      <c r="A442" s="94"/>
    </row>
    <row r="443" spans="1:1" ht="15.75" customHeight="1" x14ac:dyDescent="0.2">
      <c r="A443" s="94"/>
    </row>
    <row r="444" spans="1:1" ht="15.75" customHeight="1" x14ac:dyDescent="0.2">
      <c r="A444" s="94"/>
    </row>
    <row r="445" spans="1:1" ht="15.75" customHeight="1" x14ac:dyDescent="0.2">
      <c r="A445" s="94"/>
    </row>
    <row r="446" spans="1:1" ht="15.75" customHeight="1" x14ac:dyDescent="0.2">
      <c r="A446" s="94"/>
    </row>
    <row r="447" spans="1:1" ht="15.75" customHeight="1" x14ac:dyDescent="0.2">
      <c r="A447" s="94"/>
    </row>
    <row r="448" spans="1:1" ht="15.75" customHeight="1" x14ac:dyDescent="0.2">
      <c r="A448" s="94"/>
    </row>
    <row r="449" spans="1:1" ht="15.75" customHeight="1" x14ac:dyDescent="0.2">
      <c r="A449" s="94"/>
    </row>
    <row r="450" spans="1:1" ht="15.75" customHeight="1" x14ac:dyDescent="0.2">
      <c r="A450" s="94"/>
    </row>
    <row r="451" spans="1:1" ht="15.75" customHeight="1" x14ac:dyDescent="0.2">
      <c r="A451" s="94"/>
    </row>
    <row r="452" spans="1:1" ht="15.75" customHeight="1" x14ac:dyDescent="0.2">
      <c r="A452" s="94"/>
    </row>
    <row r="453" spans="1:1" ht="15.75" customHeight="1" x14ac:dyDescent="0.2">
      <c r="A453" s="94"/>
    </row>
    <row r="454" spans="1:1" ht="15.75" customHeight="1" x14ac:dyDescent="0.2">
      <c r="A454" s="94"/>
    </row>
    <row r="455" spans="1:1" ht="15.75" customHeight="1" x14ac:dyDescent="0.2">
      <c r="A455" s="94"/>
    </row>
    <row r="456" spans="1:1" ht="15.75" customHeight="1" x14ac:dyDescent="0.2">
      <c r="A456" s="94"/>
    </row>
    <row r="457" spans="1:1" ht="15.75" customHeight="1" x14ac:dyDescent="0.2">
      <c r="A457" s="94"/>
    </row>
    <row r="458" spans="1:1" ht="15.75" customHeight="1" x14ac:dyDescent="0.2">
      <c r="A458" s="94"/>
    </row>
    <row r="459" spans="1:1" ht="15.75" customHeight="1" x14ac:dyDescent="0.2">
      <c r="A459" s="94"/>
    </row>
    <row r="460" spans="1:1" ht="15.75" customHeight="1" x14ac:dyDescent="0.2">
      <c r="A460" s="94"/>
    </row>
    <row r="461" spans="1:1" ht="15.75" customHeight="1" x14ac:dyDescent="0.2">
      <c r="A461" s="94"/>
    </row>
    <row r="462" spans="1:1" ht="15.75" customHeight="1" x14ac:dyDescent="0.2">
      <c r="A462" s="94"/>
    </row>
    <row r="463" spans="1:1" ht="15.75" customHeight="1" x14ac:dyDescent="0.2">
      <c r="A463" s="94"/>
    </row>
    <row r="464" spans="1:1" ht="15.75" customHeight="1" x14ac:dyDescent="0.2">
      <c r="A464" s="94"/>
    </row>
    <row r="465" spans="1:1" ht="15.75" customHeight="1" x14ac:dyDescent="0.2">
      <c r="A465" s="94"/>
    </row>
    <row r="466" spans="1:1" ht="15.75" customHeight="1" x14ac:dyDescent="0.2">
      <c r="A466" s="94"/>
    </row>
    <row r="467" spans="1:1" ht="15.75" customHeight="1" x14ac:dyDescent="0.2">
      <c r="A467" s="94"/>
    </row>
    <row r="468" spans="1:1" ht="15.75" customHeight="1" x14ac:dyDescent="0.2">
      <c r="A468" s="94"/>
    </row>
    <row r="469" spans="1:1" ht="15.75" customHeight="1" x14ac:dyDescent="0.2">
      <c r="A469" s="94"/>
    </row>
    <row r="470" spans="1:1" ht="15.75" customHeight="1" x14ac:dyDescent="0.2">
      <c r="A470" s="94"/>
    </row>
    <row r="471" spans="1:1" ht="15.75" customHeight="1" x14ac:dyDescent="0.2">
      <c r="A471" s="94"/>
    </row>
    <row r="472" spans="1:1" ht="15.75" customHeight="1" x14ac:dyDescent="0.2">
      <c r="A472" s="94"/>
    </row>
    <row r="473" spans="1:1" ht="15.75" customHeight="1" x14ac:dyDescent="0.2">
      <c r="A473" s="94"/>
    </row>
    <row r="474" spans="1:1" ht="15.75" customHeight="1" x14ac:dyDescent="0.2">
      <c r="A474" s="94"/>
    </row>
    <row r="475" spans="1:1" ht="15.75" customHeight="1" x14ac:dyDescent="0.2">
      <c r="A475" s="94"/>
    </row>
    <row r="476" spans="1:1" ht="15.75" customHeight="1" x14ac:dyDescent="0.2">
      <c r="A476" s="94"/>
    </row>
    <row r="477" spans="1:1" ht="15.75" customHeight="1" x14ac:dyDescent="0.2">
      <c r="A477" s="94"/>
    </row>
    <row r="478" spans="1:1" ht="15.75" customHeight="1" x14ac:dyDescent="0.2">
      <c r="A478" s="94"/>
    </row>
    <row r="479" spans="1:1" ht="15.75" customHeight="1" x14ac:dyDescent="0.2">
      <c r="A479" s="94"/>
    </row>
    <row r="480" spans="1:1" ht="15.75" customHeight="1" x14ac:dyDescent="0.2">
      <c r="A480" s="94"/>
    </row>
    <row r="481" spans="1:1" ht="15.75" customHeight="1" x14ac:dyDescent="0.2">
      <c r="A481" s="94"/>
    </row>
    <row r="482" spans="1:1" ht="15.75" customHeight="1" x14ac:dyDescent="0.2">
      <c r="A482" s="94"/>
    </row>
    <row r="483" spans="1:1" ht="15.75" customHeight="1" x14ac:dyDescent="0.2">
      <c r="A483" s="94"/>
    </row>
    <row r="484" spans="1:1" ht="15.75" customHeight="1" x14ac:dyDescent="0.2">
      <c r="A484" s="94"/>
    </row>
    <row r="485" spans="1:1" ht="15.75" customHeight="1" x14ac:dyDescent="0.2">
      <c r="A485" s="94"/>
    </row>
    <row r="486" spans="1:1" ht="15.75" customHeight="1" x14ac:dyDescent="0.2">
      <c r="A486" s="94"/>
    </row>
    <row r="487" spans="1:1" ht="15.75" customHeight="1" x14ac:dyDescent="0.2">
      <c r="A487" s="94"/>
    </row>
    <row r="488" spans="1:1" ht="15.75" customHeight="1" x14ac:dyDescent="0.2">
      <c r="A488" s="94"/>
    </row>
    <row r="489" spans="1:1" ht="15.75" customHeight="1" x14ac:dyDescent="0.2">
      <c r="A489" s="94"/>
    </row>
    <row r="490" spans="1:1" ht="15.75" customHeight="1" x14ac:dyDescent="0.2">
      <c r="A490" s="94"/>
    </row>
    <row r="491" spans="1:1" ht="15.75" customHeight="1" x14ac:dyDescent="0.2">
      <c r="A491" s="94"/>
    </row>
    <row r="492" spans="1:1" ht="15.75" customHeight="1" x14ac:dyDescent="0.2">
      <c r="A492" s="94"/>
    </row>
    <row r="493" spans="1:1" ht="15.75" customHeight="1" x14ac:dyDescent="0.2">
      <c r="A493" s="94"/>
    </row>
    <row r="494" spans="1:1" ht="15.75" customHeight="1" x14ac:dyDescent="0.2">
      <c r="A494" s="94"/>
    </row>
    <row r="495" spans="1:1" ht="15.75" customHeight="1" x14ac:dyDescent="0.2">
      <c r="A495" s="94"/>
    </row>
    <row r="496" spans="1:1" ht="15.75" customHeight="1" x14ac:dyDescent="0.2">
      <c r="A496" s="94"/>
    </row>
    <row r="497" spans="1:1" ht="15.75" customHeight="1" x14ac:dyDescent="0.2">
      <c r="A497" s="94"/>
    </row>
    <row r="498" spans="1:1" ht="15.75" customHeight="1" x14ac:dyDescent="0.2">
      <c r="A498" s="94"/>
    </row>
    <row r="499" spans="1:1" ht="15.75" customHeight="1" x14ac:dyDescent="0.2">
      <c r="A499" s="94"/>
    </row>
    <row r="500" spans="1:1" ht="15.75" customHeight="1" x14ac:dyDescent="0.2">
      <c r="A500" s="94"/>
    </row>
    <row r="501" spans="1:1" ht="15.75" customHeight="1" x14ac:dyDescent="0.2">
      <c r="A501" s="94"/>
    </row>
    <row r="502" spans="1:1" ht="15.75" customHeight="1" x14ac:dyDescent="0.2">
      <c r="A502" s="94"/>
    </row>
    <row r="503" spans="1:1" ht="15.75" customHeight="1" x14ac:dyDescent="0.2">
      <c r="A503" s="94"/>
    </row>
    <row r="504" spans="1:1" ht="15.75" customHeight="1" x14ac:dyDescent="0.2">
      <c r="A504" s="94"/>
    </row>
    <row r="505" spans="1:1" ht="15.75" customHeight="1" x14ac:dyDescent="0.2">
      <c r="A505" s="94"/>
    </row>
    <row r="506" spans="1:1" ht="15.75" customHeight="1" x14ac:dyDescent="0.2">
      <c r="A506" s="94"/>
    </row>
    <row r="507" spans="1:1" ht="15.75" customHeight="1" x14ac:dyDescent="0.2">
      <c r="A507" s="94"/>
    </row>
    <row r="508" spans="1:1" ht="15.75" customHeight="1" x14ac:dyDescent="0.2">
      <c r="A508" s="94"/>
    </row>
    <row r="509" spans="1:1" ht="15.75" customHeight="1" x14ac:dyDescent="0.2">
      <c r="A509" s="94"/>
    </row>
    <row r="510" spans="1:1" ht="15.75" customHeight="1" x14ac:dyDescent="0.2">
      <c r="A510" s="94"/>
    </row>
    <row r="511" spans="1:1" ht="15.75" customHeight="1" x14ac:dyDescent="0.2">
      <c r="A511" s="94"/>
    </row>
    <row r="512" spans="1:1" ht="15.75" customHeight="1" x14ac:dyDescent="0.2">
      <c r="A512" s="94"/>
    </row>
    <row r="513" spans="1:1" ht="15.75" customHeight="1" x14ac:dyDescent="0.2">
      <c r="A513" s="94"/>
    </row>
    <row r="514" spans="1:1" ht="15.75" customHeight="1" x14ac:dyDescent="0.2">
      <c r="A514" s="94"/>
    </row>
    <row r="515" spans="1:1" ht="15.75" customHeight="1" x14ac:dyDescent="0.2">
      <c r="A515" s="94"/>
    </row>
    <row r="516" spans="1:1" ht="15.75" customHeight="1" x14ac:dyDescent="0.2">
      <c r="A516" s="94"/>
    </row>
    <row r="517" spans="1:1" ht="15.75" customHeight="1" x14ac:dyDescent="0.2">
      <c r="A517" s="94"/>
    </row>
    <row r="518" spans="1:1" ht="15.75" customHeight="1" x14ac:dyDescent="0.2">
      <c r="A518" s="94"/>
    </row>
    <row r="519" spans="1:1" ht="15.75" customHeight="1" x14ac:dyDescent="0.2">
      <c r="A519" s="94"/>
    </row>
    <row r="520" spans="1:1" ht="15.75" customHeight="1" x14ac:dyDescent="0.2">
      <c r="A520" s="94"/>
    </row>
    <row r="521" spans="1:1" ht="15.75" customHeight="1" x14ac:dyDescent="0.2">
      <c r="A521" s="94"/>
    </row>
    <row r="522" spans="1:1" ht="15.75" customHeight="1" x14ac:dyDescent="0.2">
      <c r="A522" s="94"/>
    </row>
    <row r="523" spans="1:1" ht="15.75" customHeight="1" x14ac:dyDescent="0.2">
      <c r="A523" s="94"/>
    </row>
    <row r="524" spans="1:1" ht="15.75" customHeight="1" x14ac:dyDescent="0.2">
      <c r="A524" s="94"/>
    </row>
    <row r="525" spans="1:1" ht="15.75" customHeight="1" x14ac:dyDescent="0.2">
      <c r="A525" s="94"/>
    </row>
    <row r="526" spans="1:1" ht="15.75" customHeight="1" x14ac:dyDescent="0.2">
      <c r="A526" s="94"/>
    </row>
    <row r="527" spans="1:1" ht="15.75" customHeight="1" x14ac:dyDescent="0.2">
      <c r="A527" s="94"/>
    </row>
    <row r="528" spans="1:1" ht="15.75" customHeight="1" x14ac:dyDescent="0.2">
      <c r="A528" s="94"/>
    </row>
    <row r="529" spans="1:1" ht="15.75" customHeight="1" x14ac:dyDescent="0.2">
      <c r="A529" s="94"/>
    </row>
    <row r="530" spans="1:1" ht="15.75" customHeight="1" x14ac:dyDescent="0.2">
      <c r="A530" s="94"/>
    </row>
    <row r="531" spans="1:1" ht="15.75" customHeight="1" x14ac:dyDescent="0.2">
      <c r="A531" s="94"/>
    </row>
    <row r="532" spans="1:1" ht="15.75" customHeight="1" x14ac:dyDescent="0.2">
      <c r="A532" s="94"/>
    </row>
    <row r="533" spans="1:1" ht="15.75" customHeight="1" x14ac:dyDescent="0.2">
      <c r="A533" s="94"/>
    </row>
    <row r="534" spans="1:1" ht="15.75" customHeight="1" x14ac:dyDescent="0.2">
      <c r="A534" s="94"/>
    </row>
    <row r="535" spans="1:1" ht="15.75" customHeight="1" x14ac:dyDescent="0.2">
      <c r="A535" s="94"/>
    </row>
    <row r="536" spans="1:1" ht="15.75" customHeight="1" x14ac:dyDescent="0.2">
      <c r="A536" s="94"/>
    </row>
    <row r="537" spans="1:1" ht="15.75" customHeight="1" x14ac:dyDescent="0.2">
      <c r="A537" s="94"/>
    </row>
    <row r="538" spans="1:1" ht="15.75" customHeight="1" x14ac:dyDescent="0.2">
      <c r="A538" s="94"/>
    </row>
    <row r="539" spans="1:1" ht="15.75" customHeight="1" x14ac:dyDescent="0.2">
      <c r="A539" s="94"/>
    </row>
    <row r="540" spans="1:1" ht="15.75" customHeight="1" x14ac:dyDescent="0.2">
      <c r="A540" s="94"/>
    </row>
    <row r="541" spans="1:1" ht="15.75" customHeight="1" x14ac:dyDescent="0.2">
      <c r="A541" s="94"/>
    </row>
    <row r="542" spans="1:1" ht="15.75" customHeight="1" x14ac:dyDescent="0.2">
      <c r="A542" s="94"/>
    </row>
    <row r="543" spans="1:1" ht="15.75" customHeight="1" x14ac:dyDescent="0.2">
      <c r="A543" s="94"/>
    </row>
    <row r="544" spans="1:1" ht="15.75" customHeight="1" x14ac:dyDescent="0.2">
      <c r="A544" s="94"/>
    </row>
    <row r="545" spans="1:1" ht="15.75" customHeight="1" x14ac:dyDescent="0.2">
      <c r="A545" s="94"/>
    </row>
    <row r="546" spans="1:1" ht="15.75" customHeight="1" x14ac:dyDescent="0.2">
      <c r="A546" s="94"/>
    </row>
    <row r="547" spans="1:1" ht="15.75" customHeight="1" x14ac:dyDescent="0.2">
      <c r="A547" s="94"/>
    </row>
    <row r="548" spans="1:1" ht="15.75" customHeight="1" x14ac:dyDescent="0.2">
      <c r="A548" s="94"/>
    </row>
    <row r="549" spans="1:1" ht="15.75" customHeight="1" x14ac:dyDescent="0.2">
      <c r="A549" s="94"/>
    </row>
    <row r="550" spans="1:1" ht="15.75" customHeight="1" x14ac:dyDescent="0.2">
      <c r="A550" s="94"/>
    </row>
    <row r="551" spans="1:1" ht="15.75" customHeight="1" x14ac:dyDescent="0.2">
      <c r="A551" s="94"/>
    </row>
    <row r="552" spans="1:1" ht="15.75" customHeight="1" x14ac:dyDescent="0.2">
      <c r="A552" s="94"/>
    </row>
    <row r="553" spans="1:1" ht="15.75" customHeight="1" x14ac:dyDescent="0.2">
      <c r="A553" s="94"/>
    </row>
    <row r="554" spans="1:1" ht="15.75" customHeight="1" x14ac:dyDescent="0.2">
      <c r="A554" s="94"/>
    </row>
    <row r="555" spans="1:1" ht="15.75" customHeight="1" x14ac:dyDescent="0.2">
      <c r="A555" s="94"/>
    </row>
    <row r="556" spans="1:1" ht="15.75" customHeight="1" x14ac:dyDescent="0.2">
      <c r="A556" s="94"/>
    </row>
    <row r="557" spans="1:1" ht="15.75" customHeight="1" x14ac:dyDescent="0.2">
      <c r="A557" s="94"/>
    </row>
    <row r="558" spans="1:1" ht="15.75" customHeight="1" x14ac:dyDescent="0.2">
      <c r="A558" s="94"/>
    </row>
    <row r="559" spans="1:1" ht="15.75" customHeight="1" x14ac:dyDescent="0.2">
      <c r="A559" s="94"/>
    </row>
    <row r="560" spans="1:1" ht="15.75" customHeight="1" x14ac:dyDescent="0.2">
      <c r="A560" s="94"/>
    </row>
    <row r="561" spans="1:1" ht="15.75" customHeight="1" x14ac:dyDescent="0.2">
      <c r="A561" s="94"/>
    </row>
    <row r="562" spans="1:1" ht="15.75" customHeight="1" x14ac:dyDescent="0.2">
      <c r="A562" s="94"/>
    </row>
    <row r="563" spans="1:1" ht="15.75" customHeight="1" x14ac:dyDescent="0.2">
      <c r="A563" s="94"/>
    </row>
    <row r="564" spans="1:1" ht="15.75" customHeight="1" x14ac:dyDescent="0.2">
      <c r="A564" s="94"/>
    </row>
    <row r="565" spans="1:1" ht="15.75" customHeight="1" x14ac:dyDescent="0.2">
      <c r="A565" s="94"/>
    </row>
    <row r="566" spans="1:1" ht="15.75" customHeight="1" x14ac:dyDescent="0.2">
      <c r="A566" s="94"/>
    </row>
    <row r="567" spans="1:1" ht="15.75" customHeight="1" x14ac:dyDescent="0.2">
      <c r="A567" s="94"/>
    </row>
    <row r="568" spans="1:1" ht="15.75" customHeight="1" x14ac:dyDescent="0.2">
      <c r="A568" s="94"/>
    </row>
    <row r="569" spans="1:1" ht="15.75" customHeight="1" x14ac:dyDescent="0.2">
      <c r="A569" s="9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Réponses au formulaire</vt:lpstr>
      <vt:lpstr>530366850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 M</dc:creator>
  <cp:lastModifiedBy>h2so4</cp:lastModifiedBy>
  <cp:lastPrinted>2019-10-25T16:08:33Z</cp:lastPrinted>
  <dcterms:created xsi:type="dcterms:W3CDTF">2019-09-25T09:02:52Z</dcterms:created>
  <dcterms:modified xsi:type="dcterms:W3CDTF">2021-03-21T23:39:16Z</dcterms:modified>
</cp:coreProperties>
</file>