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ISP_Lipase" sheetId="1" r:id="rId1"/>
    <sheet name="IM_Lipase" sheetId="4" r:id="rId2"/>
  </sheets>
  <functionGroups builtInGroupCount="18"/>
  <calcPr calcId="152511"/>
</workbook>
</file>

<file path=xl/calcChain.xml><?xml version="1.0" encoding="utf-8"?>
<calcChain xmlns="http://schemas.openxmlformats.org/spreadsheetml/2006/main">
  <c r="B16" i="4" l="1"/>
  <c r="G9" i="4"/>
  <c r="F10" i="4" l="1"/>
  <c r="G11" i="1"/>
  <c r="I11" i="1"/>
  <c r="K11" i="1"/>
  <c r="G10" i="1"/>
  <c r="I10" i="1"/>
  <c r="K10" i="1"/>
  <c r="G9" i="1"/>
  <c r="I9" i="1"/>
  <c r="K9" i="1"/>
  <c r="B30" i="4" l="1"/>
  <c r="G5" i="1" l="1"/>
  <c r="G6" i="1"/>
  <c r="G7" i="1"/>
  <c r="G8" i="1"/>
  <c r="B17" i="4" l="1"/>
  <c r="G16" i="1"/>
  <c r="G14" i="1"/>
  <c r="B5" i="4"/>
  <c r="B6" i="4"/>
  <c r="B13" i="4" l="1"/>
  <c r="B18" i="4" s="1"/>
  <c r="B12" i="4"/>
  <c r="B11" i="4"/>
  <c r="B10" i="4"/>
  <c r="B14" i="4" l="1"/>
  <c r="K6" i="1" l="1"/>
  <c r="K7" i="1"/>
  <c r="K8" i="1"/>
  <c r="K5" i="1"/>
  <c r="I5" i="1" l="1"/>
  <c r="I6" i="1"/>
  <c r="I7" i="1"/>
  <c r="I8" i="1"/>
  <c r="B31" i="4" l="1"/>
  <c r="B33" i="4" s="1"/>
  <c r="B19" i="4" l="1"/>
  <c r="B20" i="4" s="1"/>
  <c r="B21" i="4" s="1"/>
  <c r="B34" i="4"/>
  <c r="B35" i="4" s="1"/>
  <c r="B32" i="4"/>
  <c r="B36" i="4" l="1"/>
</calcChain>
</file>

<file path=xl/sharedStrings.xml><?xml version="1.0" encoding="utf-8"?>
<sst xmlns="http://schemas.openxmlformats.org/spreadsheetml/2006/main" count="75" uniqueCount="66">
  <si>
    <t>Date</t>
  </si>
  <si>
    <t>Enquête</t>
  </si>
  <si>
    <t>N° échantillon</t>
  </si>
  <si>
    <t>Analyte</t>
  </si>
  <si>
    <t>Analyseur</t>
  </si>
  <si>
    <t>Unités</t>
  </si>
  <si>
    <t>Z-score</t>
  </si>
  <si>
    <t>Performance</t>
  </si>
  <si>
    <t>2017/1</t>
  </si>
  <si>
    <t>d (%)</t>
  </si>
  <si>
    <t>U-Score</t>
  </si>
  <si>
    <t>Performance U</t>
  </si>
  <si>
    <t>C/13858</t>
  </si>
  <si>
    <t>Lipase</t>
  </si>
  <si>
    <t>ROCHE</t>
  </si>
  <si>
    <t>COBAS C701/C702</t>
  </si>
  <si>
    <t>U/L</t>
  </si>
  <si>
    <t>2017/2</t>
  </si>
  <si>
    <t>C/15044</t>
  </si>
  <si>
    <t>2017/4</t>
  </si>
  <si>
    <t>C/13699</t>
  </si>
  <si>
    <t>C/14153</t>
  </si>
  <si>
    <t>ISP_Lipase</t>
  </si>
  <si>
    <t>Incertitudes de mesures  (Utilisation des CQI et des EEQ)</t>
  </si>
  <si>
    <t>Période :</t>
  </si>
  <si>
    <t>à</t>
  </si>
  <si>
    <t>Résumé des statistiques</t>
  </si>
  <si>
    <t>Cumulatif</t>
  </si>
  <si>
    <t>CQI Référence</t>
  </si>
  <si>
    <t>Moyenne</t>
  </si>
  <si>
    <t>ET</t>
  </si>
  <si>
    <t>Nbe de mesures</t>
  </si>
  <si>
    <t>CV</t>
  </si>
  <si>
    <t>Période</t>
  </si>
  <si>
    <t>Nombre de points</t>
  </si>
  <si>
    <t>Moyenne CQI Labo</t>
  </si>
  <si>
    <t>Ecart type CQI Labo</t>
  </si>
  <si>
    <t>100 x ET/Moyenne</t>
  </si>
  <si>
    <t>Ei=Valeur trouvée - Valeurs pair</t>
  </si>
  <si>
    <t>ET[Ei]</t>
  </si>
  <si>
    <t>U fidélité U(CQI)</t>
  </si>
  <si>
    <t>U justesse U(KEEQ)</t>
  </si>
  <si>
    <t>[(moy[Ei]/√3)²+ET²]½</t>
  </si>
  <si>
    <t>Incertitude combinée Uc</t>
  </si>
  <si>
    <t>[(U(CIQ)²+U(KEEQ)²]½</t>
  </si>
  <si>
    <t>Incertitude élargie</t>
  </si>
  <si>
    <t xml:space="preserve">Saisie le : </t>
  </si>
  <si>
    <t>Validé le :</t>
  </si>
  <si>
    <t>Période d'étude :</t>
  </si>
  <si>
    <t>Date de départ</t>
  </si>
  <si>
    <t>Date de fin</t>
  </si>
  <si>
    <t>Indicateurs Qualité :</t>
  </si>
  <si>
    <t>Nb EEQ sur cette période</t>
  </si>
  <si>
    <t>Nb EEQ avec note ABCD</t>
  </si>
  <si>
    <t>%A et B</t>
  </si>
  <si>
    <t>%C</t>
  </si>
  <si>
    <t>%D</t>
  </si>
  <si>
    <t>Méthode</t>
  </si>
  <si>
    <t>Valeur Labo</t>
  </si>
  <si>
    <t>Valeur Cible 
(Méthode)</t>
  </si>
  <si>
    <r>
      <t>IQZ</t>
    </r>
    <r>
      <rPr>
        <vertAlign val="subscript"/>
        <sz val="11"/>
        <rFont val="Calibri"/>
        <family val="2"/>
        <scheme val="minor"/>
      </rPr>
      <t>EEQ</t>
    </r>
  </si>
  <si>
    <r>
      <t>IQZ</t>
    </r>
    <r>
      <rPr>
        <vertAlign val="subscript"/>
        <sz val="11"/>
        <rFont val="Calibri"/>
        <family val="2"/>
        <scheme val="minor"/>
      </rPr>
      <t xml:space="preserve">EEQ </t>
    </r>
    <r>
      <rPr>
        <sz val="11"/>
        <rFont val="Calibri"/>
        <family val="2"/>
        <scheme val="minor"/>
      </rPr>
      <t>AB</t>
    </r>
  </si>
  <si>
    <t>Écart</t>
  </si>
  <si>
    <t>Moyenne[Ei]</t>
  </si>
  <si>
    <t>2 x Uc (k=2)</t>
  </si>
  <si>
    <t>Introduire conditions de dates 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</si>
</sst>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Trebuchet MS"/>
      <family val="2"/>
    </font>
    <font>
      <sz val="9"/>
      <color theme="1"/>
      <name val="Trebuchet MS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vertAlign val="subscript"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85">
    <xf numFmtId="0" fontId="0" fillId="0" borderId="0" xfId="0"/>
    <xf numFmtId="0" fontId="0" fillId="0" borderId="0" xfId="0" applyAlignment="1">
      <alignment textRotation="45"/>
    </xf>
    <xf numFmtId="0" fontId="0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/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2" xfId="0" applyFont="1" applyBorder="1" applyAlignment="1">
      <alignment horizontal="center"/>
    </xf>
    <xf numFmtId="14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3" xfId="0" applyBorder="1" applyAlignment="1">
      <alignment horizontal="center" textRotation="90"/>
    </xf>
    <xf numFmtId="0" fontId="0" fillId="3" borderId="3" xfId="0" applyFill="1" applyBorder="1" applyAlignment="1">
      <alignment horizontal="center" textRotation="90"/>
    </xf>
    <xf numFmtId="0" fontId="0" fillId="4" borderId="3" xfId="0" applyFill="1" applyBorder="1" applyAlignment="1">
      <alignment horizontal="center" textRotation="90"/>
    </xf>
    <xf numFmtId="0" fontId="0" fillId="0" borderId="0" xfId="0" applyBorder="1" applyAlignment="1">
      <alignment textRotation="90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3" xfId="0" applyBorder="1" applyAlignment="1">
      <alignment horizontal="center" textRotation="90" wrapText="1"/>
    </xf>
    <xf numFmtId="2" fontId="0" fillId="2" borderId="1" xfId="0" applyNumberFormat="1" applyFont="1" applyFill="1" applyBorder="1" applyAlignment="1">
      <alignment horizontal="center"/>
    </xf>
    <xf numFmtId="0" fontId="1" fillId="0" borderId="0" xfId="0" applyFont="1"/>
    <xf numFmtId="14" fontId="1" fillId="0" borderId="2" xfId="0" applyNumberFormat="1" applyFont="1" applyBorder="1" applyAlignment="1" applyProtection="1">
      <alignment horizontal="center"/>
      <protection locked="0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/>
      <protection locked="0"/>
    </xf>
    <xf numFmtId="2" fontId="1" fillId="0" borderId="0" xfId="0" applyNumberFormat="1" applyFont="1"/>
    <xf numFmtId="0" fontId="1" fillId="0" borderId="0" xfId="0" applyFont="1" applyFill="1"/>
    <xf numFmtId="0" fontId="3" fillId="0" borderId="0" xfId="2" applyFont="1" applyBorder="1"/>
    <xf numFmtId="0" fontId="11" fillId="0" borderId="0" xfId="2" applyFont="1" applyFill="1" applyBorder="1" applyAlignment="1">
      <alignment horizontal="left"/>
    </xf>
    <xf numFmtId="0" fontId="3" fillId="0" borderId="0" xfId="2" applyFont="1" applyFill="1" applyBorder="1" applyAlignment="1">
      <alignment horizontal="center"/>
    </xf>
    <xf numFmtId="0" fontId="11" fillId="0" borderId="0" xfId="2" applyFont="1" applyFill="1" applyAlignment="1">
      <alignment horizontal="left"/>
    </xf>
    <xf numFmtId="0" fontId="12" fillId="0" borderId="0" xfId="2" applyFont="1"/>
    <xf numFmtId="0" fontId="11" fillId="0" borderId="0" xfId="2" applyFont="1" applyBorder="1" applyAlignment="1">
      <alignment horizontal="left"/>
    </xf>
    <xf numFmtId="0" fontId="11" fillId="0" borderId="0" xfId="2" applyFont="1" applyAlignment="1">
      <alignment horizontal="left"/>
    </xf>
    <xf numFmtId="0" fontId="12" fillId="6" borderId="0" xfId="2" applyFont="1" applyFill="1"/>
    <xf numFmtId="0" fontId="13" fillId="6" borderId="0" xfId="2" applyFont="1" applyFill="1" applyAlignment="1">
      <alignment horizontal="center"/>
    </xf>
    <xf numFmtId="0" fontId="3" fillId="0" borderId="0" xfId="2" applyFont="1"/>
    <xf numFmtId="0" fontId="3" fillId="6" borderId="0" xfId="2" applyFont="1" applyFill="1" applyAlignment="1" applyProtection="1">
      <alignment horizontal="center"/>
      <protection locked="0"/>
    </xf>
    <xf numFmtId="0" fontId="12" fillId="0" borderId="0" xfId="2" applyFont="1" applyFill="1"/>
    <xf numFmtId="0" fontId="3" fillId="0" borderId="0" xfId="2" applyFont="1" applyFill="1"/>
    <xf numFmtId="0" fontId="11" fillId="6" borderId="0" xfId="2" applyFont="1" applyFill="1"/>
    <xf numFmtId="10" fontId="11" fillId="6" borderId="0" xfId="1" applyNumberFormat="1" applyFont="1" applyFill="1" applyAlignment="1">
      <alignment horizontal="center"/>
    </xf>
    <xf numFmtId="2" fontId="3" fillId="0" borderId="0" xfId="2" applyNumberFormat="1" applyFont="1" applyFill="1" applyAlignment="1">
      <alignment horizontal="center"/>
    </xf>
    <xf numFmtId="0" fontId="11" fillId="7" borderId="0" xfId="2" applyFont="1" applyFill="1"/>
    <xf numFmtId="2" fontId="11" fillId="7" borderId="0" xfId="2" applyNumberFormat="1" applyFont="1" applyFill="1" applyAlignment="1">
      <alignment horizontal="center"/>
    </xf>
    <xf numFmtId="0" fontId="3" fillId="0" borderId="0" xfId="2" applyFont="1" applyFill="1" applyAlignment="1">
      <alignment horizontal="center"/>
    </xf>
    <xf numFmtId="0" fontId="13" fillId="0" borderId="0" xfId="2" applyFont="1" applyFill="1" applyProtection="1">
      <protection locked="0"/>
    </xf>
    <xf numFmtId="17" fontId="3" fillId="0" borderId="0" xfId="2" applyNumberFormat="1" applyFont="1" applyAlignment="1" applyProtection="1">
      <alignment horizontal="center"/>
      <protection locked="0"/>
    </xf>
    <xf numFmtId="0" fontId="3" fillId="0" borderId="0" xfId="2" applyFont="1" applyProtection="1">
      <protection locked="0"/>
    </xf>
    <xf numFmtId="0" fontId="13" fillId="0" borderId="0" xfId="2" applyFont="1" applyProtection="1">
      <protection locked="0"/>
    </xf>
    <xf numFmtId="0" fontId="3" fillId="0" borderId="0" xfId="2" applyFont="1" applyAlignment="1" applyProtection="1">
      <alignment horizontal="center"/>
      <protection locked="0"/>
    </xf>
    <xf numFmtId="0" fontId="14" fillId="8" borderId="0" xfId="2" applyFont="1" applyFill="1"/>
    <xf numFmtId="0" fontId="3" fillId="8" borderId="0" xfId="2" applyFont="1" applyFill="1"/>
    <xf numFmtId="0" fontId="14" fillId="9" borderId="0" xfId="2" applyFont="1" applyFill="1"/>
    <xf numFmtId="0" fontId="3" fillId="9" borderId="0" xfId="2" applyFont="1" applyFill="1"/>
    <xf numFmtId="0" fontId="3" fillId="8" borderId="0" xfId="2" applyFont="1" applyFill="1" applyAlignment="1">
      <alignment horizontal="center"/>
    </xf>
    <xf numFmtId="14" fontId="2" fillId="8" borderId="0" xfId="0" applyNumberFormat="1" applyFont="1" applyFill="1" applyAlignment="1" applyProtection="1">
      <alignment horizontal="center"/>
      <protection locked="0"/>
    </xf>
    <xf numFmtId="0" fontId="11" fillId="9" borderId="0" xfId="2" applyFont="1" applyFill="1" applyAlignment="1">
      <alignment horizontal="center"/>
    </xf>
    <xf numFmtId="164" fontId="11" fillId="9" borderId="0" xfId="1" applyNumberFormat="1" applyFont="1" applyFill="1" applyAlignment="1">
      <alignment horizontal="center"/>
    </xf>
    <xf numFmtId="49" fontId="11" fillId="6" borderId="0" xfId="2" applyNumberFormat="1" applyFont="1" applyFill="1" applyAlignment="1" applyProtection="1">
      <alignment horizontal="center"/>
      <protection locked="0"/>
    </xf>
    <xf numFmtId="0" fontId="11" fillId="10" borderId="0" xfId="2" applyFont="1" applyFill="1"/>
    <xf numFmtId="0" fontId="1" fillId="0" borderId="0" xfId="0" applyFont="1" applyBorder="1"/>
    <xf numFmtId="0" fontId="6" fillId="0" borderId="0" xfId="0" applyFont="1" applyBorder="1" applyAlignment="1">
      <alignment vertical="center"/>
    </xf>
    <xf numFmtId="0" fontId="11" fillId="11" borderId="0" xfId="2" applyFont="1" applyFill="1" applyAlignment="1">
      <alignment horizontal="left"/>
    </xf>
    <xf numFmtId="0" fontId="0" fillId="2" borderId="3" xfId="0" applyFill="1" applyBorder="1" applyAlignment="1">
      <alignment horizontal="center"/>
    </xf>
    <xf numFmtId="2" fontId="16" fillId="2" borderId="3" xfId="0" applyNumberFormat="1" applyFont="1" applyFill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8" fillId="0" borderId="0" xfId="0" applyFont="1" applyBorder="1" applyAlignment="1">
      <alignment vertical="center"/>
    </xf>
    <xf numFmtId="0" fontId="7" fillId="0" borderId="0" xfId="0" applyFont="1" applyBorder="1" applyAlignment="1"/>
    <xf numFmtId="0" fontId="8" fillId="0" borderId="0" xfId="0" applyFont="1" applyBorder="1" applyAlignment="1">
      <alignment vertical="center" wrapText="1"/>
    </xf>
    <xf numFmtId="0" fontId="11" fillId="6" borderId="0" xfId="2" applyFont="1" applyFill="1" applyAlignment="1" applyProtection="1">
      <alignment horizontal="center"/>
    </xf>
    <xf numFmtId="14" fontId="11" fillId="6" borderId="0" xfId="2" applyNumberFormat="1" applyFont="1" applyFill="1" applyAlignment="1" applyProtection="1">
      <alignment horizontal="center"/>
    </xf>
    <xf numFmtId="10" fontId="1" fillId="0" borderId="2" xfId="1" applyNumberFormat="1" applyFont="1" applyBorder="1" applyAlignment="1" applyProtection="1">
      <alignment horizontal="center"/>
    </xf>
    <xf numFmtId="165" fontId="11" fillId="10" borderId="0" xfId="2" quotePrefix="1" applyNumberFormat="1" applyFont="1" applyFill="1" applyAlignment="1">
      <alignment horizontal="center"/>
    </xf>
    <xf numFmtId="165" fontId="11" fillId="5" borderId="0" xfId="2" applyNumberFormat="1" applyFont="1" applyFill="1" applyAlignment="1">
      <alignment horizontal="center"/>
    </xf>
    <xf numFmtId="0" fontId="17" fillId="0" borderId="0" xfId="0" applyFont="1" applyFill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11" fillId="0" borderId="0" xfId="2" applyFont="1" applyFill="1" applyBorder="1" applyAlignment="1">
      <alignment horizontal="center"/>
    </xf>
  </cellXfs>
  <cellStyles count="3">
    <cellStyle name="Normal" xfId="0" builtinId="0"/>
    <cellStyle name="Normal 2" xfId="2"/>
    <cellStyle name="Percent" xfId="1" builtinId="5"/>
  </cellStyles>
  <dxfs count="20"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166" formatCode="d/mm/yy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border>
        <bottom style="thin">
          <color rgb="FF002060"/>
        </bottom>
      </border>
    </dxf>
    <dxf>
      <alignment horizontal="center" vertical="bottom" textRotation="90" wrapText="0" indent="0" justifyLastLine="0" shrinkToFit="0" readingOrder="0"/>
      <border diagonalUp="0" diagonalDown="0" outline="0">
        <left/>
        <right/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133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4:K11" totalsRowShown="0" headerRowDxfId="12" headerRowBorderDxfId="11">
  <autoFilter ref="A4:K11"/>
  <tableColumns count="11">
    <tableColumn id="1" name="Date" dataDxfId="10"/>
    <tableColumn id="2" name="Enquête" dataDxfId="9"/>
    <tableColumn id="3" name="N° échantillon" dataDxfId="8"/>
    <tableColumn id="8" name="d (%)" dataDxfId="7"/>
    <tableColumn id="9" name="Valeur Labo" dataDxfId="6"/>
    <tableColumn id="10" name="Valeur Cible _x000a_(Méthode)" dataDxfId="5"/>
    <tableColumn id="4" name="Écart" dataDxfId="4">
      <calculatedColumnFormula>ABS(Tableau1[[#This Row],[Valeur Labo]]-Tableau1[[#This Row],[Valeur Cible 
(Méthode)]])</calculatedColumnFormula>
    </tableColumn>
    <tableColumn id="11" name="Z-score" dataDxfId="3"/>
    <tableColumn id="12" name="Performance" dataDxfId="2">
      <calculatedColumnFormula>IF(OR(ISBLANK(E5),(E5="NR")),"NUL",IF(AND(ABS(H5)&lt;1,0&lt;=ABS(H5)),"A",IF(AND(ABS(H5)&lt;2,ABS(H5)&gt;=1),"B",IF(AND(2&lt;=ABS(H5),ABS(H5)&lt;3),"C","D"))))</calculatedColumnFormula>
    </tableColumn>
    <tableColumn id="19" name="U-Score" dataDxfId="1"/>
    <tableColumn id="20" name="Performance U" dataDxfId="0">
      <calculatedColumnFormula>IF(ABS(J5)&gt;D5,"KO",IF(ABS(J5)&lt;D5,"OK"))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/>
    <pageSetUpPr fitToPage="1"/>
  </sheetPr>
  <dimension ref="A1:L27"/>
  <sheetViews>
    <sheetView workbookViewId="0">
      <selection activeCell="M11" sqref="M11"/>
    </sheetView>
  </sheetViews>
  <sheetFormatPr defaultColWidth="11.42578125" defaultRowHeight="15" x14ac:dyDescent="0.25"/>
  <cols>
    <col min="1" max="1" width="11.42578125" customWidth="1"/>
    <col min="2" max="2" width="8.7109375" customWidth="1"/>
    <col min="3" max="3" width="10.28515625" customWidth="1"/>
    <col min="4" max="5" width="8" customWidth="1"/>
    <col min="6" max="7" width="9.140625" customWidth="1"/>
    <col min="8" max="11" width="8" customWidth="1"/>
    <col min="12" max="12" width="11.42578125" style="13"/>
  </cols>
  <sheetData>
    <row r="1" spans="1:12" ht="14.45" customHeight="1" x14ac:dyDescent="0.25">
      <c r="D1" s="11"/>
      <c r="E1" s="11"/>
      <c r="F1" s="11"/>
      <c r="G1" s="11"/>
      <c r="H1" s="12"/>
      <c r="I1" s="12"/>
      <c r="J1" s="11"/>
      <c r="K1" s="11"/>
      <c r="L1" s="10"/>
    </row>
    <row r="2" spans="1:12" ht="14.45" customHeight="1" x14ac:dyDescent="0.25">
      <c r="A2" s="23" t="s">
        <v>3</v>
      </c>
      <c r="B2" s="74" t="s">
        <v>13</v>
      </c>
      <c r="C2" s="74"/>
      <c r="D2" s="24" t="s">
        <v>4</v>
      </c>
      <c r="E2" s="73" t="s">
        <v>14</v>
      </c>
      <c r="G2" s="22" t="s">
        <v>57</v>
      </c>
      <c r="H2" s="73" t="s">
        <v>15</v>
      </c>
      <c r="I2" s="73"/>
      <c r="J2" s="24" t="s">
        <v>5</v>
      </c>
      <c r="K2" s="75" t="s">
        <v>16</v>
      </c>
      <c r="L2" s="75"/>
    </row>
    <row r="3" spans="1:12" ht="14.45" customHeight="1" x14ac:dyDescent="0.25">
      <c r="D3" s="11"/>
      <c r="E3" s="11"/>
      <c r="F3" s="11"/>
      <c r="G3" s="11"/>
      <c r="H3" s="12"/>
      <c r="I3" s="12"/>
      <c r="J3" s="11"/>
      <c r="K3" s="11"/>
      <c r="L3" s="10"/>
    </row>
    <row r="4" spans="1:12" s="1" customFormat="1" ht="79.349999999999994" customHeight="1" x14ac:dyDescent="0.25">
      <c r="A4" s="14" t="s">
        <v>0</v>
      </c>
      <c r="B4" s="14" t="s">
        <v>1</v>
      </c>
      <c r="C4" s="14" t="s">
        <v>2</v>
      </c>
      <c r="D4" s="14" t="s">
        <v>9</v>
      </c>
      <c r="E4" s="14" t="s">
        <v>58</v>
      </c>
      <c r="F4" s="25" t="s">
        <v>59</v>
      </c>
      <c r="G4" s="25" t="s">
        <v>62</v>
      </c>
      <c r="H4" s="15" t="s">
        <v>6</v>
      </c>
      <c r="I4" s="16" t="s">
        <v>7</v>
      </c>
      <c r="J4" s="15" t="s">
        <v>10</v>
      </c>
      <c r="K4" s="16" t="s">
        <v>11</v>
      </c>
      <c r="L4" s="17"/>
    </row>
    <row r="5" spans="1:12" x14ac:dyDescent="0.25">
      <c r="A5" s="4">
        <v>42736</v>
      </c>
      <c r="B5" s="2" t="s">
        <v>8</v>
      </c>
      <c r="C5" s="2" t="s">
        <v>12</v>
      </c>
      <c r="D5" s="2">
        <v>14.3</v>
      </c>
      <c r="E5" s="2">
        <v>34</v>
      </c>
      <c r="F5" s="3">
        <v>33</v>
      </c>
      <c r="G5" s="26">
        <f>ABS(Tableau1[[#This Row],[Valeur Labo]]-Tableau1[[#This Row],[Valeur Cible 
(Méthode)]])</f>
        <v>1</v>
      </c>
      <c r="H5" s="3">
        <v>1.35</v>
      </c>
      <c r="I5" s="5" t="str">
        <f t="shared" ref="I5:I8" si="0">IF(OR(ISBLANK(E5),(E5="NR")),"NUL",IF(AND(ABS(H5)&lt;1,0&lt;=ABS(H5)),"A",IF(AND(ABS(H5)&lt;2,ABS(H5)&gt;=1),"B",IF(AND(2&lt;=ABS(H5),ABS(H5)&lt;3),"C","D"))))</f>
        <v>B</v>
      </c>
      <c r="J5" s="3">
        <v>3.03</v>
      </c>
      <c r="K5" s="5" t="str">
        <f t="shared" ref="K5:K11" si="1">IF(ABS(J5)&gt;D5,"KO",IF(ABS(J5)&lt;D5,"OK"))</f>
        <v>OK</v>
      </c>
    </row>
    <row r="6" spans="1:12" x14ac:dyDescent="0.25">
      <c r="A6" s="4">
        <v>42795</v>
      </c>
      <c r="B6" s="2" t="s">
        <v>17</v>
      </c>
      <c r="C6" s="2" t="s">
        <v>18</v>
      </c>
      <c r="D6" s="2">
        <v>14.3</v>
      </c>
      <c r="E6" s="2">
        <v>19</v>
      </c>
      <c r="F6" s="3">
        <v>19</v>
      </c>
      <c r="G6" s="26">
        <f>ABS(Tableau1[[#This Row],[Valeur Labo]]-Tableau1[[#This Row],[Valeur Cible 
(Méthode)]])</f>
        <v>0</v>
      </c>
      <c r="H6" s="3">
        <v>0</v>
      </c>
      <c r="I6" s="5" t="str">
        <f t="shared" si="0"/>
        <v>A</v>
      </c>
      <c r="J6" s="3">
        <v>0</v>
      </c>
      <c r="K6" s="5" t="str">
        <f t="shared" si="1"/>
        <v>OK</v>
      </c>
    </row>
    <row r="7" spans="1:12" x14ac:dyDescent="0.25">
      <c r="A7" s="4">
        <v>43070</v>
      </c>
      <c r="B7" s="2" t="s">
        <v>19</v>
      </c>
      <c r="C7" s="2" t="s">
        <v>20</v>
      </c>
      <c r="D7" s="2">
        <v>14.3</v>
      </c>
      <c r="E7" s="2">
        <v>56</v>
      </c>
      <c r="F7" s="3">
        <v>56</v>
      </c>
      <c r="G7" s="26">
        <f>ABS(Tableau1[[#This Row],[Valeur Labo]]-Tableau1[[#This Row],[Valeur Cible 
(Méthode)]])</f>
        <v>0</v>
      </c>
      <c r="H7" s="3">
        <v>0</v>
      </c>
      <c r="I7" s="5" t="str">
        <f t="shared" si="0"/>
        <v>A</v>
      </c>
      <c r="J7" s="3">
        <v>0</v>
      </c>
      <c r="K7" s="5" t="str">
        <f t="shared" si="1"/>
        <v>OK</v>
      </c>
    </row>
    <row r="8" spans="1:12" x14ac:dyDescent="0.25">
      <c r="A8" s="4">
        <v>43070</v>
      </c>
      <c r="B8" s="2" t="s">
        <v>19</v>
      </c>
      <c r="C8" s="2" t="s">
        <v>21</v>
      </c>
      <c r="D8" s="2">
        <v>14.3</v>
      </c>
      <c r="E8" s="2">
        <v>35</v>
      </c>
      <c r="F8" s="3">
        <v>34</v>
      </c>
      <c r="G8" s="26">
        <f>ABS(Tableau1[[#This Row],[Valeur Labo]]-Tableau1[[#This Row],[Valeur Cible 
(Méthode)]])</f>
        <v>1</v>
      </c>
      <c r="H8" s="3">
        <v>1.35</v>
      </c>
      <c r="I8" s="5" t="str">
        <f t="shared" si="0"/>
        <v>B</v>
      </c>
      <c r="J8" s="3">
        <v>2.94</v>
      </c>
      <c r="K8" s="5" t="str">
        <f t="shared" si="1"/>
        <v>OK</v>
      </c>
    </row>
    <row r="9" spans="1:12" x14ac:dyDescent="0.25">
      <c r="A9" s="4">
        <v>43070</v>
      </c>
      <c r="B9" s="8"/>
      <c r="C9" s="8"/>
      <c r="D9" s="8">
        <v>14.3</v>
      </c>
      <c r="E9" s="8">
        <v>43</v>
      </c>
      <c r="F9" s="70">
        <v>34</v>
      </c>
      <c r="G9" s="71">
        <f>ABS(Tableau1[[#This Row],[Valeur Labo]]-Tableau1[[#This Row],[Valeur Cible 
(Méthode)]])</f>
        <v>9</v>
      </c>
      <c r="H9" s="70">
        <v>2.09</v>
      </c>
      <c r="I9" s="72" t="str">
        <f>IF(OR(ISBLANK(E9),(E9="NR")),"NUL",IF(AND(ABS(H9)&lt;1,0&lt;=ABS(H9)),"A",IF(AND(ABS(H9)&lt;2,ABS(H9)&gt;=1),"B",IF(AND(2&lt;=ABS(H9),ABS(H9)&lt;3),"C","D"))))</f>
        <v>C</v>
      </c>
      <c r="J9" s="70">
        <v>14.98</v>
      </c>
      <c r="K9" s="72" t="str">
        <f t="shared" si="1"/>
        <v>KO</v>
      </c>
    </row>
    <row r="10" spans="1:12" x14ac:dyDescent="0.25">
      <c r="A10" s="7">
        <v>43081</v>
      </c>
      <c r="B10" s="8"/>
      <c r="C10" s="8"/>
      <c r="D10" s="8">
        <v>14.3</v>
      </c>
      <c r="E10" s="8">
        <v>78</v>
      </c>
      <c r="F10" s="70">
        <v>65</v>
      </c>
      <c r="G10" s="71">
        <f>ABS(Tableau1[[#This Row],[Valeur Labo]]-Tableau1[[#This Row],[Valeur Cible 
(Méthode)]])</f>
        <v>13</v>
      </c>
      <c r="H10" s="70">
        <v>3.78</v>
      </c>
      <c r="I10" s="72" t="str">
        <f>IF(OR(ISBLANK(E10),(E10="NR")),"NUL",IF(AND(ABS(H10)&lt;1,0&lt;=ABS(H10)),"A",IF(AND(ABS(H10)&lt;2,ABS(H10)&gt;=1),"B",IF(AND(2&lt;=ABS(H10),ABS(H10)&lt;3),"C","D"))))</f>
        <v>D</v>
      </c>
      <c r="J10" s="70">
        <v>12.09</v>
      </c>
      <c r="K10" s="72" t="str">
        <f t="shared" si="1"/>
        <v>OK</v>
      </c>
    </row>
    <row r="11" spans="1:12" x14ac:dyDescent="0.25">
      <c r="A11" s="7">
        <v>43082</v>
      </c>
      <c r="B11" s="8"/>
      <c r="C11" s="8"/>
      <c r="D11" s="8">
        <v>14.3</v>
      </c>
      <c r="E11" s="8">
        <v>65</v>
      </c>
      <c r="F11" s="70">
        <v>60</v>
      </c>
      <c r="G11" s="71">
        <f>ABS(Tableau1[[#This Row],[Valeur Labo]]-Tableau1[[#This Row],[Valeur Cible 
(Méthode)]])</f>
        <v>5</v>
      </c>
      <c r="H11" s="70">
        <v>3.98</v>
      </c>
      <c r="I11" s="72" t="str">
        <f>IF(OR(ISBLANK(E11),(E11="NR")),"NUL",IF(AND(ABS(H11)&lt;1,0&lt;=ABS(H11)),"A",IF(AND(ABS(H11)&lt;2,ABS(H11)&gt;=1),"B",IF(AND(2&lt;=ABS(H11),ABS(H11)&lt;3),"C","D"))))</f>
        <v>D</v>
      </c>
      <c r="J11" s="70">
        <v>14.09</v>
      </c>
      <c r="K11" s="72" t="str">
        <f t="shared" si="1"/>
        <v>OK</v>
      </c>
    </row>
    <row r="14" spans="1:12" x14ac:dyDescent="0.25">
      <c r="F14" t="s">
        <v>29</v>
      </c>
      <c r="G14">
        <f>AVERAGE(Tableau1[Écart])</f>
        <v>4.1428571428571432</v>
      </c>
    </row>
    <row r="16" spans="1:12" x14ac:dyDescent="0.25">
      <c r="F16" t="s">
        <v>30</v>
      </c>
      <c r="G16">
        <f>STDEV(Tableau1[Écart])</f>
        <v>5.1130086194780802</v>
      </c>
    </row>
    <row r="27" spans="4:5" x14ac:dyDescent="0.25">
      <c r="D27" s="73"/>
      <c r="E27" s="73"/>
    </row>
  </sheetData>
  <conditionalFormatting sqref="I5:I11">
    <cfRule type="cellIs" dxfId="19" priority="5" operator="equal">
      <formula>"D"</formula>
    </cfRule>
    <cfRule type="cellIs" dxfId="18" priority="7" operator="equal">
      <formula>"C"</formula>
    </cfRule>
    <cfRule type="cellIs" dxfId="17" priority="8" operator="between">
      <formula>"A"</formula>
      <formula>"B"</formula>
    </cfRule>
  </conditionalFormatting>
  <conditionalFormatting sqref="K5:K11">
    <cfRule type="cellIs" dxfId="16" priority="3" operator="equal">
      <formula>"KO"</formula>
    </cfRule>
    <cfRule type="cellIs" dxfId="15" priority="4" operator="equal">
      <formula>"OK"</formula>
    </cfRule>
  </conditionalFormatting>
  <conditionalFormatting sqref="H5:H11">
    <cfRule type="cellIs" dxfId="14" priority="2" operator="greaterThan">
      <formula>3</formula>
    </cfRule>
  </conditionalFormatting>
  <conditionalFormatting sqref="J5:J11">
    <cfRule type="cellIs" dxfId="13" priority="1" operator="greaterThan">
      <formula>$D$5</formula>
    </cfRule>
  </conditionalFormatting>
  <pageMargins left="0.7" right="0.7" top="0.75" bottom="0.75" header="0.3" footer="0.3"/>
  <pageSetup paperSize="9" scale="82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</sheetPr>
  <dimension ref="A1:N36"/>
  <sheetViews>
    <sheetView tabSelected="1" workbookViewId="0">
      <selection activeCell="G10" sqref="G10"/>
    </sheetView>
  </sheetViews>
  <sheetFormatPr defaultColWidth="11.42578125" defaultRowHeight="15" x14ac:dyDescent="0.25"/>
  <cols>
    <col min="1" max="1" width="25" customWidth="1"/>
    <col min="2" max="2" width="26.42578125" customWidth="1"/>
    <col min="4" max="4" width="22.140625" customWidth="1"/>
  </cols>
  <sheetData>
    <row r="1" spans="1:14" ht="18.600000000000001" customHeight="1" x14ac:dyDescent="0.25">
      <c r="A1" s="18"/>
      <c r="B1" s="18"/>
      <c r="C1" s="68"/>
      <c r="D1" s="20"/>
      <c r="E1" s="20"/>
      <c r="F1" s="19"/>
      <c r="G1" s="21"/>
      <c r="H1" s="21"/>
      <c r="I1" s="20"/>
      <c r="J1" s="13"/>
      <c r="K1" s="13"/>
      <c r="L1" s="20"/>
      <c r="M1" s="13"/>
      <c r="N1" s="18"/>
    </row>
    <row r="2" spans="1:14" x14ac:dyDescent="0.25">
      <c r="A2" s="84" t="s">
        <v>23</v>
      </c>
      <c r="B2" s="84"/>
      <c r="C2" s="84"/>
      <c r="D2" s="34"/>
      <c r="E2" s="27"/>
      <c r="F2" s="27"/>
      <c r="G2" s="27"/>
      <c r="H2" s="27"/>
      <c r="I2" s="67"/>
      <c r="J2" s="13"/>
      <c r="K2" s="13"/>
      <c r="L2" s="13"/>
      <c r="M2" s="13"/>
      <c r="N2" s="13"/>
    </row>
    <row r="3" spans="1:14" x14ac:dyDescent="0.25">
      <c r="A3" s="34"/>
      <c r="B3" s="35"/>
      <c r="C3" s="33"/>
      <c r="D3" s="27"/>
      <c r="E3" s="27"/>
      <c r="F3" s="27"/>
      <c r="G3" s="27"/>
      <c r="H3" s="27"/>
      <c r="I3" s="27"/>
    </row>
    <row r="4" spans="1:14" x14ac:dyDescent="0.25">
      <c r="A4" s="34" t="s">
        <v>3</v>
      </c>
      <c r="B4" s="69" t="s">
        <v>22</v>
      </c>
      <c r="C4" s="37"/>
      <c r="D4" s="27"/>
      <c r="E4" s="27"/>
      <c r="F4" s="27"/>
      <c r="G4" s="27"/>
      <c r="H4" s="27"/>
      <c r="I4" s="27"/>
    </row>
    <row r="5" spans="1:14" x14ac:dyDescent="0.25">
      <c r="A5" s="34" t="s">
        <v>4</v>
      </c>
      <c r="B5" s="36" t="str">
        <f xml:space="preserve"> ISP_Lipase!E2</f>
        <v>ROCHE</v>
      </c>
      <c r="C5" s="37"/>
      <c r="D5" s="27"/>
      <c r="E5" s="27"/>
      <c r="F5" s="27"/>
      <c r="G5" s="27"/>
      <c r="H5" s="27"/>
      <c r="I5" s="27"/>
    </row>
    <row r="6" spans="1:14" x14ac:dyDescent="0.25">
      <c r="A6" s="38" t="s">
        <v>57</v>
      </c>
      <c r="B6" s="39" t="str">
        <f xml:space="preserve"> ISP_Lipase!H2</f>
        <v>COBAS C701/C702</v>
      </c>
      <c r="C6" s="37"/>
      <c r="D6" s="6" t="s">
        <v>24</v>
      </c>
      <c r="E6" s="28">
        <v>42736</v>
      </c>
      <c r="F6" s="29" t="s">
        <v>25</v>
      </c>
      <c r="G6" s="28">
        <v>43100</v>
      </c>
      <c r="H6" s="27"/>
      <c r="I6" s="27"/>
    </row>
    <row r="7" spans="1:14" x14ac:dyDescent="0.25">
      <c r="A7" s="40"/>
      <c r="B7" s="41"/>
      <c r="C7" s="42"/>
      <c r="D7" s="82" t="s">
        <v>26</v>
      </c>
      <c r="E7" s="83"/>
      <c r="F7" s="9" t="s">
        <v>27</v>
      </c>
    </row>
    <row r="8" spans="1:14" x14ac:dyDescent="0.25">
      <c r="A8" s="46" t="s">
        <v>28</v>
      </c>
      <c r="B8" s="43"/>
      <c r="C8" s="44"/>
      <c r="D8" s="82" t="s">
        <v>29</v>
      </c>
      <c r="E8" s="83"/>
      <c r="F8" s="30">
        <v>35.090000000000003</v>
      </c>
    </row>
    <row r="9" spans="1:14" x14ac:dyDescent="0.25">
      <c r="A9" s="46" t="s">
        <v>5</v>
      </c>
      <c r="B9" s="65" t="s">
        <v>16</v>
      </c>
      <c r="C9" s="45"/>
      <c r="D9" s="82" t="s">
        <v>30</v>
      </c>
      <c r="E9" s="83"/>
      <c r="F9" s="30">
        <v>3.07</v>
      </c>
      <c r="G9">
        <f>STDEV(selrange(Tableau1[Écart],Tableau1[Date],"&gt;="&amp;E6,Tableau1[Date],"&lt;="&amp;G6))</f>
        <v>5.1130086194780802</v>
      </c>
    </row>
    <row r="10" spans="1:14" x14ac:dyDescent="0.25">
      <c r="A10" s="46" t="s">
        <v>31</v>
      </c>
      <c r="B10" s="76">
        <f>F11</f>
        <v>787</v>
      </c>
      <c r="C10" s="45"/>
      <c r="D10" s="82" t="s">
        <v>32</v>
      </c>
      <c r="E10" s="83"/>
      <c r="F10" s="78">
        <f>F9/F8</f>
        <v>8.7489313194642329E-2</v>
      </c>
    </row>
    <row r="11" spans="1:14" x14ac:dyDescent="0.25">
      <c r="A11" s="46" t="s">
        <v>33</v>
      </c>
      <c r="B11" s="77" t="e">
        <f>TEXT(E6,"jj/mm/aaaa")&amp;" - "&amp;TEXT(G6,"jj/mm/aaaa")</f>
        <v>#VALUE!</v>
      </c>
      <c r="C11" s="45"/>
      <c r="D11" s="82" t="s">
        <v>34</v>
      </c>
      <c r="E11" s="83"/>
      <c r="F11" s="30">
        <v>787</v>
      </c>
    </row>
    <row r="12" spans="1:14" x14ac:dyDescent="0.25">
      <c r="A12" s="46" t="s">
        <v>35</v>
      </c>
      <c r="B12" s="76">
        <f>F8</f>
        <v>35.090000000000003</v>
      </c>
      <c r="C12" s="44"/>
      <c r="D12" s="45"/>
      <c r="E12" s="27"/>
      <c r="F12" s="27"/>
      <c r="G12" s="27"/>
      <c r="H12" s="27"/>
      <c r="I12" s="27"/>
    </row>
    <row r="13" spans="1:14" x14ac:dyDescent="0.25">
      <c r="A13" s="46" t="s">
        <v>36</v>
      </c>
      <c r="B13" s="76">
        <f>F9</f>
        <v>3.07</v>
      </c>
      <c r="C13" s="44"/>
      <c r="D13" s="45"/>
      <c r="E13" s="27"/>
      <c r="F13" s="27"/>
      <c r="G13" s="27"/>
      <c r="H13" s="31"/>
      <c r="I13" s="27"/>
    </row>
    <row r="14" spans="1:14" x14ac:dyDescent="0.25">
      <c r="A14" s="46" t="s">
        <v>32</v>
      </c>
      <c r="B14" s="47">
        <f>B13/B12</f>
        <v>8.7489313194642329E-2</v>
      </c>
      <c r="C14" s="45" t="s">
        <v>37</v>
      </c>
      <c r="D14" s="45"/>
      <c r="E14" s="27"/>
      <c r="F14" s="27"/>
      <c r="G14" s="27"/>
      <c r="H14" s="27"/>
      <c r="I14" s="27"/>
    </row>
    <row r="15" spans="1:14" x14ac:dyDescent="0.25">
      <c r="A15" s="45"/>
      <c r="B15" s="48"/>
      <c r="C15" s="45"/>
      <c r="D15" s="45"/>
      <c r="E15" s="32"/>
      <c r="F15" s="31"/>
      <c r="G15" s="27"/>
      <c r="H15" s="27"/>
      <c r="I15" s="27"/>
    </row>
    <row r="16" spans="1:14" x14ac:dyDescent="0.25">
      <c r="A16" s="66" t="s">
        <v>63</v>
      </c>
      <c r="B16" s="79">
        <f>AVERAGEIFS(Tableau1[Écart],Tableau1[Date],"&gt;="&amp;B27,Tableau1[Date],"&lt;="&amp;B28)</f>
        <v>4.1428571428571432</v>
      </c>
      <c r="C16" s="45" t="s">
        <v>38</v>
      </c>
      <c r="D16" s="45"/>
      <c r="E16" s="32"/>
      <c r="F16" s="27"/>
      <c r="G16" s="27"/>
      <c r="H16" s="27"/>
      <c r="I16" s="27"/>
    </row>
    <row r="17" spans="1:9" x14ac:dyDescent="0.25">
      <c r="A17" s="66" t="s">
        <v>39</v>
      </c>
      <c r="B17" s="80">
        <f>STDEV(Tableau1[Écart])</f>
        <v>5.1130086194780802</v>
      </c>
      <c r="C17" s="45"/>
      <c r="D17" s="81" t="s">
        <v>65</v>
      </c>
      <c r="E17" s="32"/>
      <c r="F17" s="27"/>
      <c r="G17" s="27"/>
      <c r="H17" s="27"/>
      <c r="I17" s="27"/>
    </row>
    <row r="18" spans="1:9" x14ac:dyDescent="0.25">
      <c r="A18" s="49" t="s">
        <v>40</v>
      </c>
      <c r="B18" s="50">
        <f>B13</f>
        <v>3.07</v>
      </c>
      <c r="C18" s="42"/>
      <c r="D18" s="42"/>
      <c r="E18" s="27"/>
      <c r="F18" s="27"/>
      <c r="G18" s="27"/>
      <c r="H18" s="27"/>
      <c r="I18" s="27"/>
    </row>
    <row r="19" spans="1:9" x14ac:dyDescent="0.25">
      <c r="A19" s="49" t="s">
        <v>41</v>
      </c>
      <c r="B19" s="50">
        <f>SQRT(POWER((B16/1.732),2)+POWER(B17,2))</f>
        <v>5.6448455457267714</v>
      </c>
      <c r="C19" s="42" t="s">
        <v>42</v>
      </c>
      <c r="D19" s="42"/>
      <c r="E19" s="27"/>
      <c r="F19" s="27"/>
      <c r="G19" s="27"/>
      <c r="H19" s="27"/>
      <c r="I19" s="27"/>
    </row>
    <row r="20" spans="1:9" x14ac:dyDescent="0.25">
      <c r="A20" s="49" t="s">
        <v>43</v>
      </c>
      <c r="B20" s="50">
        <f>SQRT(POWER(B18,2)+(POWER(B19,2)))</f>
        <v>6.425665820373121</v>
      </c>
      <c r="C20" s="42" t="s">
        <v>44</v>
      </c>
      <c r="D20" s="42"/>
      <c r="E20" s="27"/>
      <c r="F20" s="27"/>
      <c r="G20" s="27"/>
      <c r="H20" s="27"/>
      <c r="I20" s="27"/>
    </row>
    <row r="21" spans="1:9" x14ac:dyDescent="0.25">
      <c r="A21" s="49" t="s">
        <v>45</v>
      </c>
      <c r="B21" s="50">
        <f>2*B20</f>
        <v>12.851331640746242</v>
      </c>
      <c r="C21" s="42" t="s">
        <v>64</v>
      </c>
      <c r="D21" s="42"/>
      <c r="E21" s="27"/>
      <c r="F21" s="27"/>
      <c r="G21" s="27"/>
      <c r="H21" s="27"/>
      <c r="I21" s="27"/>
    </row>
    <row r="22" spans="1:9" x14ac:dyDescent="0.25">
      <c r="A22" s="42"/>
      <c r="B22" s="51"/>
      <c r="C22" s="42"/>
      <c r="D22" s="27"/>
      <c r="E22" s="27"/>
      <c r="F22" s="27"/>
      <c r="G22" s="27"/>
      <c r="H22" s="27"/>
      <c r="I22" s="27"/>
    </row>
    <row r="23" spans="1:9" x14ac:dyDescent="0.25">
      <c r="A23" s="52" t="s">
        <v>46</v>
      </c>
      <c r="B23" s="53"/>
      <c r="C23" s="54"/>
      <c r="D23" s="27"/>
      <c r="E23" s="27"/>
      <c r="F23" s="27"/>
      <c r="G23" s="27"/>
      <c r="H23" s="27"/>
      <c r="I23" s="27"/>
    </row>
    <row r="24" spans="1:9" x14ac:dyDescent="0.25">
      <c r="A24" s="55" t="s">
        <v>47</v>
      </c>
      <c r="B24" s="56"/>
      <c r="C24" s="54"/>
      <c r="D24" s="27"/>
      <c r="E24" s="27"/>
      <c r="F24" s="27"/>
      <c r="G24" s="27"/>
      <c r="H24" s="27"/>
      <c r="I24" s="27"/>
    </row>
    <row r="25" spans="1:9" x14ac:dyDescent="0.25">
      <c r="A25" s="42"/>
      <c r="B25" s="42"/>
      <c r="C25" s="42"/>
      <c r="D25" s="27"/>
      <c r="E25" s="27"/>
      <c r="F25" s="27"/>
      <c r="G25" s="27"/>
      <c r="H25" s="27"/>
      <c r="I25" s="27"/>
    </row>
    <row r="26" spans="1:9" x14ac:dyDescent="0.25">
      <c r="A26" s="57" t="s">
        <v>48</v>
      </c>
      <c r="B26" s="61"/>
      <c r="C26" s="42"/>
      <c r="D26" s="27"/>
      <c r="E26" s="27"/>
      <c r="F26" s="27"/>
      <c r="G26" s="27"/>
      <c r="H26" s="27"/>
      <c r="I26" s="27"/>
    </row>
    <row r="27" spans="1:9" x14ac:dyDescent="0.25">
      <c r="A27" s="58" t="s">
        <v>49</v>
      </c>
      <c r="B27" s="62">
        <v>42736</v>
      </c>
      <c r="C27" s="27"/>
      <c r="D27" s="27"/>
      <c r="E27" s="27"/>
      <c r="F27" s="27"/>
      <c r="G27" s="27"/>
      <c r="H27" s="27"/>
      <c r="I27" s="27"/>
    </row>
    <row r="28" spans="1:9" x14ac:dyDescent="0.25">
      <c r="A28" s="58" t="s">
        <v>50</v>
      </c>
      <c r="B28" s="62">
        <v>43100</v>
      </c>
      <c r="C28" s="27"/>
      <c r="D28" s="27"/>
      <c r="E28" s="27"/>
      <c r="F28" s="27"/>
      <c r="G28" s="27"/>
      <c r="H28" s="27"/>
      <c r="I28" s="27"/>
    </row>
    <row r="29" spans="1:9" x14ac:dyDescent="0.25">
      <c r="A29" s="59" t="s">
        <v>51</v>
      </c>
      <c r="B29" s="63"/>
      <c r="C29" s="27"/>
      <c r="D29" s="27"/>
      <c r="E29" s="27"/>
      <c r="F29" s="27"/>
      <c r="G29" s="27"/>
      <c r="H29" s="27"/>
      <c r="I29" s="27"/>
    </row>
    <row r="30" spans="1:9" x14ac:dyDescent="0.25">
      <c r="A30" s="60" t="s">
        <v>52</v>
      </c>
      <c r="B30" s="63">
        <f>COUNTIFS(ISP_Lipase!$A:$A,"&gt;="&amp;B27,ISP_Lipase!$A:$A,"&lt;="&amp;B28)</f>
        <v>7</v>
      </c>
      <c r="C30" s="27"/>
      <c r="D30" s="27"/>
      <c r="E30" s="27"/>
      <c r="F30" s="27"/>
      <c r="G30" s="27"/>
      <c r="H30" s="27"/>
      <c r="I30" s="27"/>
    </row>
    <row r="31" spans="1:9" x14ac:dyDescent="0.25">
      <c r="A31" s="60" t="s">
        <v>53</v>
      </c>
      <c r="B31" s="63">
        <f>COUNTIFS(ISP_Lipase!$A:$A,"&gt;="&amp;B27,ISP_Lipase!$A:$A,"&lt;="&amp;B28,ISP_Lipase!$I:$I,"&lt;&gt;")</f>
        <v>7</v>
      </c>
      <c r="C31" s="27"/>
      <c r="D31" s="27"/>
      <c r="E31" s="27"/>
      <c r="F31" s="27"/>
      <c r="G31" s="27"/>
      <c r="H31" s="27"/>
      <c r="I31" s="27"/>
    </row>
    <row r="32" spans="1:9" x14ac:dyDescent="0.25">
      <c r="A32" s="60" t="s">
        <v>54</v>
      </c>
      <c r="B32" s="64">
        <f>(COUNTIFS(ISP_Lipase!$A:$A,"&gt;="&amp;B27,ISP_Lipase!$A:$A,"&lt;="&amp;B28,ISP_Lipase!$I:$I,"A")+COUNTIFS(ISP_Lipase!$A:$A,"&gt;="&amp;B27,ISP_Lipase!$A:$A,"&lt;="&amp;B28,ISP_Lipase!$I:$I,"B"))/B31</f>
        <v>0.5714285714285714</v>
      </c>
      <c r="C32" s="27"/>
      <c r="D32" s="27"/>
      <c r="E32" s="27"/>
      <c r="F32" s="27"/>
      <c r="G32" s="27"/>
      <c r="H32" s="27"/>
      <c r="I32" s="27"/>
    </row>
    <row r="33" spans="1:9" x14ac:dyDescent="0.25">
      <c r="A33" s="60" t="s">
        <v>55</v>
      </c>
      <c r="B33" s="64">
        <f>COUNTIFS(ISP_Lipase!$A:$A,"&gt;="&amp;B27,ISP_Lipase!$A:$A,"&lt;="&amp;B28,ISP_Lipase!$I:$I,"C")/B31</f>
        <v>0.14285714285714285</v>
      </c>
      <c r="C33" s="27"/>
      <c r="D33" s="27"/>
      <c r="E33" s="27"/>
      <c r="F33" s="27"/>
      <c r="G33" s="27"/>
      <c r="H33" s="27"/>
      <c r="I33" s="27"/>
    </row>
    <row r="34" spans="1:9" x14ac:dyDescent="0.25">
      <c r="A34" s="60" t="s">
        <v>56</v>
      </c>
      <c r="B34" s="64">
        <f>COUNTIFS(ISP_Lipase!$A:$A,"&gt;="&amp;B27,ISP_Lipase!$A:$A,"&lt;="&amp;B28,ISP_Lipase!$I:$I,"D")/B31</f>
        <v>0.2857142857142857</v>
      </c>
      <c r="C34" s="27"/>
      <c r="D34" s="27"/>
      <c r="E34" s="27"/>
      <c r="F34" s="27"/>
      <c r="G34" s="27"/>
      <c r="H34" s="27"/>
      <c r="I34" s="27"/>
    </row>
    <row r="35" spans="1:9" ht="18" x14ac:dyDescent="0.35">
      <c r="A35" s="60" t="s">
        <v>60</v>
      </c>
      <c r="B35" s="64">
        <f>(4*COUNTIFS(ISP_Lipase!$A:$A,"&gt;="&amp;B27,ISP_Lipase!$A:$A,"&lt;="&amp;B28,ISP_Lipase!$I:$I,"A")+3*COUNTIFS(ISP_Lipase!$A:$A,"&gt;="&amp;B27,ISP_Lipase!$A:$A,"&lt;="&amp;B28,ISP_Lipase!$I:$I,"B")+B30*B33)/(4*(COUNTIFS(ISP_Lipase!$A:$A,"&gt;="&amp;B27,ISP_Lipase!$A:$A,"&lt;="&amp;B28,ISP_Lipase!$I:$I,"A")+COUNTIFS(ISP_Lipase!$A:$A,"&gt;="&amp;B27,ISP_Lipase!$A:$A,"&lt;="&amp;B28,ISP_Lipase!$I:$I,"A")+B30*(B33+B34)))</f>
        <v>0.5357142857142857</v>
      </c>
      <c r="C35" s="27"/>
      <c r="D35" s="27"/>
      <c r="E35" s="27"/>
      <c r="F35" s="27"/>
      <c r="G35" s="27"/>
      <c r="H35" s="27"/>
      <c r="I35" s="27"/>
    </row>
    <row r="36" spans="1:9" ht="18" x14ac:dyDescent="0.35">
      <c r="A36" s="60" t="s">
        <v>61</v>
      </c>
      <c r="B36" s="64">
        <f>(4*COUNTIFS(ISP_Lipase!$A:$A,"&gt;="&amp;B27,ISP_Lipase!$A:$A,"&lt;="&amp;B28,ISP_Lipase!$I:$I,"A")+4*COUNTIFS(ISP_Lipase!$A:$A,"&gt;="&amp;B27,ISP_Lipase!$A:$A,"&lt;="&amp;B28,ISP_Lipase!$I:$I,"B")+B30*B33)/(4*(COUNTIFS(ISP_Lipase!$A:$A,"&gt;="&amp;B27,ISP_Lipase!$A:$A,"&lt;="&amp;B28,ISP_Lipase!$I:$I,"A")+COUNTIFS(ISP_Lipase!$A:$A,"&gt;="&amp;B27,ISP_Lipase!$A:$A,"&lt;="&amp;B28,ISP_Lipase!$I:$I,"A")+B30*(B33+B34)))</f>
        <v>0.6071428571428571</v>
      </c>
      <c r="C36" s="27"/>
      <c r="D36" s="27"/>
      <c r="E36" s="27"/>
      <c r="F36" s="27"/>
      <c r="G36" s="27"/>
      <c r="H36" s="27"/>
      <c r="I36" s="27"/>
    </row>
  </sheetData>
  <mergeCells count="6">
    <mergeCell ref="D11:E11"/>
    <mergeCell ref="A2:C2"/>
    <mergeCell ref="D7:E7"/>
    <mergeCell ref="D8:E8"/>
    <mergeCell ref="D9:E9"/>
    <mergeCell ref="D10:E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ISP_Lipase</vt:lpstr>
      <vt:lpstr>IM_Lipase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Devivier</dc:creator>
  <cp:lastModifiedBy>h2so4</cp:lastModifiedBy>
  <cp:lastPrinted>2018-11-22T15:21:15Z</cp:lastPrinted>
  <dcterms:created xsi:type="dcterms:W3CDTF">2018-10-25T10:15:19Z</dcterms:created>
  <dcterms:modified xsi:type="dcterms:W3CDTF">2018-12-11T10:33:22Z</dcterms:modified>
</cp:coreProperties>
</file>