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1056" windowWidth="8940" windowHeight="6396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iche suivi client" sheetId="5" r:id="rId5"/>
    <sheet name="Feuil2" sheetId="7" r:id="rId6"/>
  </sheets>
  <functionGroups builtInGroupCount="17"/>
  <definedNames>
    <definedName name="_xlnm._FilterDatabase" localSheetId="0" hidden="1">'FICHIER DE BASE'!$A$1:$DN$37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REVENDEUR'!$A$2:$A$190</definedName>
    <definedName name="revendeurs">'CODE REVENDEUR'!$A$2:$B$190</definedName>
  </definedNames>
  <calcPr calcId="145621"/>
</workbook>
</file>

<file path=xl/calcChain.xml><?xml version="1.0" encoding="utf-8"?>
<calcChain xmlns="http://schemas.openxmlformats.org/spreadsheetml/2006/main">
  <c r="CC8" i="1" l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DN4" i="1" l="1"/>
  <c r="X8" i="1"/>
  <c r="CP8" i="1"/>
  <c r="CQ8" i="1" s="1"/>
  <c r="DF8" i="1"/>
  <c r="X9" i="1"/>
  <c r="CP9" i="1"/>
  <c r="CQ9" i="1" s="1"/>
  <c r="X10" i="1"/>
  <c r="CP10" i="1"/>
  <c r="CQ10" i="1" s="1"/>
  <c r="DF10" i="1"/>
  <c r="X11" i="1"/>
  <c r="CP11" i="1"/>
  <c r="CQ11" i="1" s="1"/>
  <c r="DF11" i="1"/>
  <c r="X12" i="1"/>
  <c r="CP12" i="1"/>
  <c r="CQ12" i="1" s="1"/>
  <c r="DF12" i="1"/>
  <c r="X13" i="1"/>
  <c r="CP13" i="1"/>
  <c r="CQ13" i="1" s="1"/>
  <c r="DF13" i="1"/>
  <c r="X14" i="1"/>
  <c r="CP14" i="1"/>
  <c r="CQ14" i="1" s="1"/>
  <c r="DF14" i="1"/>
  <c r="X15" i="1"/>
  <c r="CP15" i="1"/>
  <c r="CQ15" i="1" s="1"/>
  <c r="DF15" i="1"/>
  <c r="X16" i="1"/>
  <c r="CP16" i="1"/>
  <c r="CQ16" i="1" s="1"/>
  <c r="DF16" i="1"/>
  <c r="X17" i="1"/>
  <c r="CP17" i="1"/>
  <c r="CQ17" i="1" s="1"/>
  <c r="DF17" i="1"/>
  <c r="X18" i="1"/>
  <c r="CP18" i="1"/>
  <c r="CQ18" i="1" s="1"/>
  <c r="DF18" i="1"/>
  <c r="X19" i="1"/>
  <c r="CP19" i="1"/>
  <c r="CQ19" i="1" s="1"/>
  <c r="DF19" i="1"/>
  <c r="X20" i="1"/>
  <c r="CP20" i="1"/>
  <c r="CQ20" i="1" s="1"/>
  <c r="DF20" i="1"/>
  <c r="X21" i="1"/>
  <c r="CP21" i="1"/>
  <c r="CQ21" i="1" s="1"/>
  <c r="DF21" i="1"/>
  <c r="X22" i="1"/>
  <c r="CP22" i="1"/>
  <c r="CQ22" i="1" s="1"/>
  <c r="DF22" i="1"/>
  <c r="X23" i="1"/>
  <c r="CP23" i="1"/>
  <c r="CQ23" i="1" s="1"/>
  <c r="DF23" i="1"/>
  <c r="X24" i="1"/>
  <c r="CP24" i="1"/>
  <c r="CQ24" i="1" s="1"/>
  <c r="X25" i="1"/>
  <c r="CP25" i="1"/>
  <c r="CQ25" i="1" s="1"/>
  <c r="DF25" i="1"/>
  <c r="X26" i="1"/>
  <c r="CP26" i="1"/>
  <c r="CQ26" i="1" s="1"/>
  <c r="DF26" i="1"/>
  <c r="X27" i="1"/>
  <c r="CP27" i="1"/>
  <c r="CQ27" i="1" s="1"/>
  <c r="DF27" i="1"/>
  <c r="X28" i="1"/>
  <c r="CP28" i="1"/>
  <c r="CQ28" i="1" s="1"/>
  <c r="DF28" i="1"/>
  <c r="X29" i="1"/>
  <c r="CP29" i="1"/>
  <c r="CQ29" i="1" s="1"/>
  <c r="DF29" i="1"/>
  <c r="X30" i="1"/>
  <c r="CP30" i="1"/>
  <c r="CQ30" i="1" s="1"/>
  <c r="DF30" i="1"/>
  <c r="X31" i="1"/>
  <c r="CP31" i="1"/>
  <c r="CQ31" i="1" s="1"/>
  <c r="DF31" i="1"/>
  <c r="X32" i="1"/>
  <c r="CP32" i="1"/>
  <c r="CQ32" i="1" s="1"/>
  <c r="DF32" i="1"/>
  <c r="X33" i="1"/>
  <c r="CP33" i="1"/>
  <c r="CQ33" i="1" s="1"/>
  <c r="DF33" i="1"/>
  <c r="X34" i="1"/>
  <c r="CP34" i="1"/>
  <c r="CQ34" i="1" s="1"/>
  <c r="DF34" i="1"/>
  <c r="X35" i="1"/>
  <c r="CP35" i="1"/>
  <c r="CQ35" i="1" s="1"/>
  <c r="DF35" i="1"/>
  <c r="X36" i="1"/>
  <c r="CP36" i="1"/>
  <c r="CQ36" i="1" s="1"/>
  <c r="DF36" i="1"/>
  <c r="CR30" i="1" l="1"/>
  <c r="CR20" i="1"/>
  <c r="CR11" i="1"/>
  <c r="CR35" i="1"/>
  <c r="CR17" i="1"/>
  <c r="CR26" i="1"/>
  <c r="CR32" i="1"/>
  <c r="CR27" i="1"/>
  <c r="CR23" i="1"/>
  <c r="CR19" i="1"/>
  <c r="CR15" i="1"/>
  <c r="CR8" i="1"/>
  <c r="CR13" i="1"/>
  <c r="CR33" i="1"/>
  <c r="CR28" i="1"/>
  <c r="CR21" i="1"/>
  <c r="CR16" i="1"/>
  <c r="CR12" i="1"/>
  <c r="CR34" i="1"/>
  <c r="CR31" i="1"/>
  <c r="CR29" i="1"/>
  <c r="CR25" i="1"/>
  <c r="CR24" i="1"/>
  <c r="CR22" i="1"/>
  <c r="CR18" i="1"/>
  <c r="CR14" i="1"/>
  <c r="CR10" i="1"/>
  <c r="CR9" i="1"/>
  <c r="CR36" i="1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B20" i="5"/>
  <c r="K19" i="5"/>
  <c r="B19" i="5"/>
  <c r="K18" i="5"/>
  <c r="B18" i="5"/>
  <c r="K17" i="5"/>
  <c r="K16" i="5"/>
  <c r="B16" i="5"/>
  <c r="K15" i="5"/>
  <c r="K14" i="5"/>
  <c r="C14" i="5"/>
  <c r="B14" i="5"/>
  <c r="K13" i="5"/>
  <c r="K12" i="5"/>
  <c r="K11" i="5"/>
  <c r="K10" i="5"/>
  <c r="G10" i="5"/>
  <c r="B10" i="5"/>
  <c r="K9" i="5"/>
  <c r="K8" i="5"/>
  <c r="G8" i="5"/>
  <c r="C8" i="5"/>
  <c r="K7" i="5"/>
  <c r="B7" i="5"/>
  <c r="K6" i="5"/>
  <c r="G6" i="5"/>
  <c r="B6" i="5"/>
  <c r="K5" i="5"/>
  <c r="K4" i="5"/>
  <c r="K3" i="5"/>
  <c r="K2" i="5"/>
  <c r="H2" i="5"/>
  <c r="G2" i="5"/>
  <c r="B8" i="5"/>
  <c r="N36" i="5" l="1"/>
  <c r="J52" i="5" s="1"/>
  <c r="N35" i="5"/>
  <c r="J51" i="5" s="1"/>
  <c r="N34" i="5"/>
  <c r="J50" i="5" s="1"/>
  <c r="N33" i="5"/>
  <c r="J49" i="5" s="1"/>
  <c r="N32" i="5"/>
  <c r="J48" i="5" s="1"/>
  <c r="N31" i="5"/>
  <c r="J47" i="5" s="1"/>
  <c r="N30" i="5"/>
  <c r="J46" i="5" s="1"/>
  <c r="N29" i="5"/>
  <c r="J45" i="5" s="1"/>
  <c r="N28" i="5"/>
  <c r="J44" i="5" s="1"/>
  <c r="N27" i="5"/>
  <c r="J43" i="5" s="1"/>
  <c r="N26" i="5"/>
  <c r="J42" i="5" s="1"/>
  <c r="N25" i="5"/>
  <c r="N24" i="5"/>
  <c r="N23" i="5"/>
  <c r="N22" i="5"/>
  <c r="N20" i="5"/>
  <c r="N18" i="5"/>
  <c r="N16" i="5"/>
  <c r="N14" i="5"/>
  <c r="N12" i="5"/>
  <c r="N10" i="5"/>
  <c r="N8" i="5"/>
  <c r="N6" i="5"/>
  <c r="N4" i="5"/>
  <c r="N2" i="5"/>
  <c r="P5" i="5"/>
  <c r="Q1" i="5"/>
  <c r="N37" i="5" l="1"/>
  <c r="G12" i="5" s="1"/>
  <c r="K1" i="5"/>
  <c r="G16" i="5" s="1"/>
  <c r="N1" i="5"/>
  <c r="G18" i="5" s="1"/>
  <c r="J41" i="5"/>
  <c r="G14" i="5" s="1"/>
</calcChain>
</file>

<file path=xl/sharedStrings.xml><?xml version="1.0" encoding="utf-8"?>
<sst xmlns="http://schemas.openxmlformats.org/spreadsheetml/2006/main" count="1169" uniqueCount="677">
  <si>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</si>
  <si>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</si>
  <si>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</si>
  <si>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</si>
  <si>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</si>
  <si>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</si>
  <si>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</si>
  <si>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</si>
  <si>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</si>
  <si>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</si>
  <si>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</si>
  <si>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</si>
  <si>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</si>
  <si>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</si>
  <si>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</si>
  <si>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</si>
  <si>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</si>
  <si>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</si>
  <si>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</si>
  <si>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</si>
  <si>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</si>
  <si>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</si>
  <si>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</si>
  <si>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</si>
  <si>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</si>
  <si>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</si>
  <si>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</si>
  <si>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</si>
  <si>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</si>
  <si>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</si>
  <si>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</si>
  <si>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</si>
  <si>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</si>
  <si>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</si>
  <si>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</si>
  <si>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</si>
  <si>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</si>
  <si>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</si>
  <si>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</si>
  <si>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</si>
  <si>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</si>
  <si>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</si>
  <si>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</si>
  <si>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</si>
  <si>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</si>
  <si>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</si>
  <si>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</si>
  <si>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</si>
  <si>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</si>
  <si>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</si>
  <si>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</si>
  <si>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</si>
  <si>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</si>
  <si>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</si>
  <si>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</si>
  <si>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</si>
  <si>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</si>
  <si>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</si>
  <si>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</si>
  <si>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</si>
  <si>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</si>
  <si>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</si>
  <si>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</si>
  <si>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</si>
  <si>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CHARTRES</t>
  </si>
  <si>
    <t>FONTAINE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</si>
  <si>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</si>
  <si>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</si>
  <si>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</si>
  <si>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</si>
  <si>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</si>
  <si>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</si>
  <si>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</si>
  <si>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</si>
  <si>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</si>
  <si>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Direction</t>
  </si>
  <si>
    <t>13</t>
  </si>
  <si>
    <t>rue de sours</t>
  </si>
  <si>
    <t>chartres</t>
  </si>
  <si>
    <t>Charlemagne</t>
  </si>
  <si>
    <t>RESTAUVAL RdS 010</t>
  </si>
  <si>
    <t>1</t>
  </si>
  <si>
    <t>AVENUE GUSTAVE EIFFEL</t>
  </si>
  <si>
    <t>MENART</t>
  </si>
  <si>
    <t>FC</t>
  </si>
  <si>
    <t>FOYER ANAIS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</si>
  <si>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</si>
  <si>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</si>
  <si>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</si>
  <si>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</si>
  <si>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</si>
  <si>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</si>
  <si>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</si>
  <si>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</si>
  <si>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</si>
  <si>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</si>
  <si>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</si>
  <si>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</si>
  <si>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</si>
  <si>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</si>
  <si>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</si>
  <si>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</si>
  <si>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</si>
  <si>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</si>
  <si>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</si>
  <si>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</si>
  <si>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</si>
  <si>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</si>
  <si>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</si>
  <si>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</si>
  <si>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</si>
  <si>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</si>
  <si>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</si>
  <si>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</si>
  <si>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</si>
  <si>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</si>
  <si>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</si>
  <si>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</si>
  <si>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</si>
  <si>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</si>
  <si>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</si>
  <si>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</si>
  <si>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</si>
  <si>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</si>
  <si>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</si>
  <si>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</si>
  <si>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</si>
  <si>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</si>
  <si>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</si>
  <si>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</si>
  <si>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</si>
  <si>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</si>
  <si>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</si>
  <si>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</si>
  <si>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</si>
  <si>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</si>
  <si>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</si>
  <si>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</si>
  <si>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</si>
  <si>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</si>
  <si>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</si>
  <si>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</si>
  <si>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</si>
  <si>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</si>
  <si>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</si>
  <si>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</si>
  <si>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</si>
  <si>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</si>
  <si>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</si>
  <si>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</si>
  <si>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</si>
  <si>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</si>
  <si>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</si>
  <si>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</si>
  <si>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</si>
  <si>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</si>
  <si>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</si>
  <si>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</si>
  <si>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</si>
  <si>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</si>
  <si>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</si>
  <si>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</si>
  <si>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</si>
  <si>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</si>
  <si>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</si>
  <si>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</si>
  <si>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</si>
  <si>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</si>
  <si>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</si>
  <si>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</si>
  <si>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</si>
  <si>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</si>
  <si>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</si>
  <si>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</si>
  <si>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</si>
  <si>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</si>
  <si>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</si>
  <si>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</si>
  <si>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</si>
  <si>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</si>
  <si>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</si>
  <si>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</si>
  <si>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</si>
  <si>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</si>
  <si>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</si>
  <si>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</si>
  <si>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</si>
  <si>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</si>
  <si>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</si>
  <si>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</si>
  <si>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</si>
  <si>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</si>
  <si>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</si>
  <si>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</si>
  <si>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</si>
  <si>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</si>
  <si>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</si>
  <si>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</si>
  <si>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</si>
  <si>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</si>
  <si>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</si>
  <si>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</si>
  <si>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</si>
  <si>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</si>
  <si>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</si>
  <si>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</si>
  <si>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</si>
  <si>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</si>
  <si>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</si>
  <si>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</si>
  <si>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</si>
  <si>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</si>
  <si>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</si>
  <si>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</si>
  <si>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</si>
  <si>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</si>
  <si>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</si>
  <si>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</si>
  <si>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</si>
  <si>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</si>
  <si>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</si>
  <si>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</si>
  <si>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</si>
  <si>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</si>
  <si>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</si>
  <si>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</si>
  <si>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</si>
  <si>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</si>
  <si>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</si>
  <si>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</si>
  <si>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</si>
  <si>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</si>
  <si>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</si>
  <si>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</si>
  <si>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</si>
  <si>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</si>
  <si>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</si>
  <si>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</si>
  <si>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</si>
  <si>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</si>
  <si>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</si>
  <si>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</si>
  <si>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</si>
  <si>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</si>
  <si>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</si>
  <si>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</si>
  <si>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</si>
  <si>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</si>
  <si>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</si>
  <si>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</si>
  <si>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</si>
  <si>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</si>
  <si>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</si>
  <si>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</si>
  <si>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</si>
  <si>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</si>
  <si>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</si>
  <si>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</si>
  <si>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</si>
  <si>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</si>
  <si>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</si>
  <si>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</si>
  <si>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</si>
  <si>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</si>
  <si>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</si>
  <si>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</si>
  <si>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</si>
  <si>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</si>
  <si>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</si>
  <si>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</si>
  <si>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</si>
  <si>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</si>
  <si>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</si>
  <si>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</si>
  <si>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</si>
  <si>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</si>
  <si>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</si>
  <si>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</si>
  <si>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</si>
  <si>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</si>
  <si>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</si>
  <si>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</si>
  <si>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</si>
  <si>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</si>
  <si>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</si>
  <si>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</si>
  <si>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</si>
  <si>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</si>
  <si>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</si>
  <si>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</si>
  <si>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</si>
  <si>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</si>
  <si>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</si>
  <si>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</si>
  <si>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</si>
  <si>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</si>
  <si>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</si>
  <si>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</si>
  <si>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</si>
  <si>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</si>
  <si>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</si>
  <si>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</si>
  <si>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</si>
  <si>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</si>
  <si>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</si>
  <si>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</si>
  <si>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</si>
  <si>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</si>
  <si>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</si>
  <si>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</si>
  <si>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</si>
  <si>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</si>
  <si>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</si>
  <si>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</si>
  <si>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</si>
  <si>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</si>
  <si>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</si>
  <si>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</si>
  <si>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</si>
  <si>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</si>
  <si>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</si>
  <si>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</si>
  <si>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</si>
  <si>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</si>
  <si>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</si>
  <si>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</si>
  <si>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</si>
  <si>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</si>
  <si>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</si>
  <si>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</si>
  <si>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</si>
  <si>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</si>
  <si>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</si>
  <si>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</si>
  <si>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</si>
  <si>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</si>
  <si>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</si>
  <si>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</si>
  <si>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</si>
  <si>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</si>
  <si>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</si>
  <si>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</si>
  <si>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</si>
  <si>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PRO A PRO  NORD CHALETTE SUR LOING</t>
  </si>
  <si>
    <t>46665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</si>
  <si>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</si>
  <si>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</si>
  <si>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</si>
  <si>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</si>
  <si>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</si>
  <si>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</si>
  <si>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</si>
  <si>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</si>
  <si>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</si>
  <si>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</si>
  <si>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</si>
  <si>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</si>
  <si>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</si>
  <si>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</si>
  <si>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</si>
  <si>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</si>
  <si>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</si>
  <si>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</si>
  <si>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</si>
  <si>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</si>
  <si>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</si>
  <si>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</si>
  <si>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</si>
  <si>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</si>
  <si>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</si>
  <si>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</si>
  <si>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</si>
  <si>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</si>
  <si>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</si>
  <si>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</si>
  <si>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</si>
  <si>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</si>
  <si>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</si>
  <si>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</si>
  <si>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</si>
  <si>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</si>
  <si>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</si>
  <si>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</si>
  <si>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</si>
  <si>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</si>
  <si>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</si>
  <si>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</si>
  <si>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</si>
  <si>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</si>
  <si>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</si>
  <si>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</si>
  <si>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</si>
  <si>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</si>
  <si>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</si>
  <si>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</si>
  <si>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</si>
  <si>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</si>
  <si>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</si>
  <si>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</si>
  <si>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</si>
  <si>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</si>
  <si>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</si>
  <si>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</si>
  <si>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</si>
  <si>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</si>
  <si>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</si>
  <si>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</si>
  <si>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</si>
  <si>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</si>
  <si>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</si>
  <si>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</si>
  <si>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</si>
  <si>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</si>
  <si>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</si>
  <si>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</si>
  <si>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</si>
  <si>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</si>
  <si>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</si>
  <si>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</si>
  <si>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</si>
  <si>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</si>
  <si>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</si>
  <si>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</si>
  <si>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</si>
  <si>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</si>
  <si>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</si>
  <si>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</si>
  <si>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</si>
  <si>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</si>
  <si>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</si>
  <si>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</si>
  <si>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</si>
  <si>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</si>
  <si>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</si>
  <si>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</si>
  <si>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</si>
  <si>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</si>
  <si>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</si>
  <si>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</si>
  <si>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</si>
  <si>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</si>
  <si>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</si>
  <si>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</si>
  <si>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</si>
  <si>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</si>
  <si>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</si>
  <si>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</si>
  <si>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</si>
  <si>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</si>
  <si>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</si>
  <si>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</si>
  <si>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</si>
  <si>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</si>
  <si>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</si>
  <si>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</si>
  <si>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</si>
  <si>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</si>
  <si>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</si>
  <si>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</si>
  <si>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</si>
  <si>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</si>
  <si>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</si>
  <si>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</si>
  <si>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</si>
  <si>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</si>
  <si>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</si>
  <si>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</si>
  <si>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</si>
  <si>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</si>
  <si>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</si>
  <si>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</si>
  <si>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</si>
  <si>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</si>
  <si>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</si>
  <si>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</si>
  <si>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</si>
  <si>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</si>
  <si>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</si>
  <si>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</si>
  <si>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</si>
  <si>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</si>
  <si>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</si>
  <si>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</si>
  <si>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</si>
  <si>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</si>
  <si>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</si>
  <si>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</si>
  <si>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</si>
  <si>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</si>
  <si>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</si>
  <si>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</si>
  <si>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</si>
  <si>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</si>
  <si>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</si>
  <si>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</si>
  <si>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</si>
  <si>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</si>
  <si>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</si>
  <si>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</si>
  <si>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</si>
  <si>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</si>
  <si>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</si>
  <si>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</si>
  <si>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</si>
  <si>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</si>
  <si>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</si>
  <si>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</si>
  <si>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</si>
  <si>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</si>
  <si>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</si>
  <si>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</si>
  <si>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</si>
  <si>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</si>
  <si>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</si>
  <si>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</si>
  <si>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</si>
  <si>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</si>
  <si>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</si>
  <si>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</si>
  <si>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NC</t>
  </si>
  <si>
    <t>02 37 30 28 78</t>
  </si>
  <si>
    <t>67178</t>
  </si>
  <si>
    <t>Rue de Chanzy de moote</t>
  </si>
  <si>
    <t>STE LORILLARD,</t>
  </si>
  <si>
    <t>code SAP</t>
  </si>
  <si>
    <t>Titres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</si>
  <si>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</si>
  <si>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 xml:space="preserve">      FICHE SUIVI CLIENT                               </t>
  </si>
  <si>
    <t xml:space="preserve">Code Postal:  </t>
  </si>
  <si>
    <t>THERMOS BTS 64</t>
  </si>
  <si>
    <t>THERMOS BTS 74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</si>
  <si>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</si>
  <si>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</si>
  <si>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t>THERMOS BTS 84</t>
  </si>
  <si>
    <t xml:space="preserve">                 </t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</si>
  <si>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</si>
  <si>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</si>
  <si>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</si>
  <si>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</si>
  <si>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</si>
  <si>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t>THERMOS AMBASSASOR</t>
  </si>
  <si>
    <t xml:space="preserve">Contact sur site: </t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</si>
  <si>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</si>
  <si>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t>PICHET GRADUE</t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</si>
  <si>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</si>
  <si>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</si>
  <si>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</si>
  <si>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 xml:space="preserve">Combi 2*5L      / </t>
    </r>
    <r>
      <rPr>
        <sz val="9"/>
        <color rgb="FFFF0000"/>
        <rFont val="Arial"/>
        <family val="2"/>
      </rPr>
      <t>B5</t>
    </r>
  </si>
  <si>
    <t>Centrale/SDR</t>
  </si>
  <si>
    <r>
      <t>Nbre Accessoires</t>
    </r>
    <r>
      <rPr>
        <i/>
        <sz val="11"/>
        <rFont val="Arial"/>
        <family val="2"/>
      </rPr>
      <t xml:space="preserve">:  </t>
    </r>
  </si>
  <si>
    <t>CARAFE PLE0I</t>
  </si>
  <si>
    <t>Code SDR</t>
  </si>
  <si>
    <r>
      <t>Chef Secteur</t>
    </r>
    <r>
      <rPr>
        <i/>
        <sz val="11"/>
        <rFont val="Arial"/>
        <family val="2"/>
      </rPr>
      <t>:</t>
    </r>
  </si>
  <si>
    <t>POT INO0</t>
  </si>
  <si>
    <r>
      <t>Coordonnées</t>
    </r>
    <r>
      <rPr>
        <i/>
        <sz val="11"/>
        <rFont val="Arial"/>
        <family val="2"/>
      </rPr>
      <t xml:space="preserve">: </t>
    </r>
  </si>
  <si>
    <t>Date S.A.V</t>
  </si>
  <si>
    <t>Observations</t>
  </si>
  <si>
    <t>Suite à donner</t>
  </si>
  <si>
    <t>Signature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</si>
  <si>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</si>
  <si>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</si>
  <si>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</si>
  <si>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FD DECA</t>
  </si>
  <si>
    <t>Perco   5</t>
  </si>
  <si>
    <t>FD    Puro</t>
  </si>
  <si>
    <t>TOTAL CAFE</t>
  </si>
  <si>
    <t>3090</t>
  </si>
  <si>
    <t>02 37 50 03 47</t>
  </si>
  <si>
    <t>18/01/2013</t>
  </si>
  <si>
    <t>1,5</t>
  </si>
  <si>
    <t>01/10/2014</t>
  </si>
  <si>
    <t>02 37 21 90 71</t>
  </si>
  <si>
    <t>0</t>
  </si>
  <si>
    <t>3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</si>
  <si>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</si>
  <si>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</si>
  <si>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</si>
  <si>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</si>
  <si>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</si>
  <si>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</si>
  <si>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</si>
  <si>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</si>
  <si>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</si>
  <si>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</si>
  <si>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</si>
  <si>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</si>
  <si>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</si>
  <si>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</si>
  <si>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</si>
  <si>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</si>
  <si>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</si>
  <si>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</si>
  <si>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</si>
  <si>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</si>
  <si>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</si>
  <si>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</si>
  <si>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</si>
  <si>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</si>
  <si>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</si>
  <si>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</si>
  <si>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</si>
  <si>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</si>
  <si>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</si>
  <si>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</si>
  <si>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</si>
  <si>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</si>
  <si>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</si>
  <si>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</si>
  <si>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</si>
  <si>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</si>
  <si>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</si>
  <si>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</si>
  <si>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</si>
  <si>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</si>
  <si>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</si>
  <si>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</si>
  <si>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</si>
  <si>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</si>
  <si>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</si>
  <si>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</si>
  <si>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</si>
  <si>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</si>
  <si>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</si>
  <si>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</si>
  <si>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</si>
  <si>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</si>
  <si>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</si>
  <si>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</si>
  <si>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</si>
  <si>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</si>
  <si>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</si>
  <si>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</si>
  <si>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</si>
  <si>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</si>
  <si>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</si>
  <si>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</si>
  <si>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</si>
  <si>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</si>
  <si>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</si>
  <si>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</si>
  <si>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</si>
  <si>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</si>
  <si>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</si>
  <si>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</si>
  <si>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</si>
  <si>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</si>
  <si>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</si>
  <si>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paris</t>
  </si>
  <si>
    <t>1.5</t>
  </si>
  <si>
    <t>MGA</t>
  </si>
  <si>
    <t>Numéro de la colonne à filtrer</t>
  </si>
  <si>
    <t>LE VILLAGEOIS...</t>
  </si>
  <si>
    <t>56859</t>
  </si>
  <si>
    <t>JARDIN D ETS bis</t>
  </si>
  <si>
    <t>Rue de la maladrerie des petits</t>
  </si>
  <si>
    <t>99</t>
  </si>
  <si>
    <t>samy</t>
  </si>
  <si>
    <t>mettidji</t>
  </si>
  <si>
    <t>46681</t>
  </si>
  <si>
    <t>passage trubert</t>
  </si>
  <si>
    <t>0628584093</t>
  </si>
  <si>
    <t>46633</t>
  </si>
  <si>
    <t>fabert</t>
  </si>
  <si>
    <t>SM</t>
  </si>
  <si>
    <t>LES STAGES DE PILOTAGES des</t>
  </si>
  <si>
    <t>amsion</t>
  </si>
  <si>
    <t>direction resto collective du reste</t>
  </si>
  <si>
    <t>04/01/00</t>
  </si>
  <si>
    <t>91</t>
  </si>
  <si>
    <t>Garel prat</t>
  </si>
  <si>
    <t>CUISINE CENTRALES dd</t>
  </si>
  <si>
    <t>Modif.X</t>
  </si>
  <si>
    <t>CAT du CLOS france ilot du petit df</t>
  </si>
  <si>
    <t>RESTAURANT L'ECUME DEL  POTO,,</t>
  </si>
  <si>
    <t>4112</t>
  </si>
  <si>
    <t>DROLE</t>
  </si>
  <si>
    <t>test bisC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</si>
</sst>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[$-40C]mmm\-yy;@"/>
    <numFmt numFmtId="170" formatCode="_-* #,##0\ _F_-;\-* #,##0\ _F_-;_-* &quot;- &quot;_F_-;_-@_-"/>
    <numFmt numFmtId="171" formatCode="&quot;catégorie client   &quot;@"/>
  </numFmts>
  <fonts count="3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0"/>
      <name val="Comic Sans MS"/>
      <family val="4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b/>
      <i/>
      <sz val="12"/>
      <name val="Comic Sans MS"/>
      <family val="4"/>
    </font>
    <font>
      <b/>
      <sz val="12"/>
      <name val="Comic Sans MS"/>
      <family val="4"/>
    </font>
    <font>
      <i/>
      <sz val="12"/>
      <name val="Arial"/>
      <family val="2"/>
    </font>
    <font>
      <i/>
      <sz val="12"/>
      <name val="Comic Sans MS"/>
      <family val="4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i/>
      <sz val="11"/>
      <name val="Arial"/>
      <family val="2"/>
    </font>
    <font>
      <i/>
      <sz val="11"/>
      <name val="Century Gothic"/>
      <family val="2"/>
    </font>
    <font>
      <b/>
      <i/>
      <sz val="11"/>
      <name val="Arial"/>
      <family val="2"/>
    </font>
    <font>
      <i/>
      <sz val="10"/>
      <name val="Century Gothic"/>
      <family val="2"/>
    </font>
    <font>
      <sz val="9"/>
      <color rgb="FFFF0000"/>
      <name val="Arial"/>
      <family val="2"/>
    </font>
    <font>
      <sz val="12"/>
      <name val="Arial"/>
      <family val="2"/>
    </font>
    <font>
      <i/>
      <sz val="11"/>
      <name val="Comic Sans MS"/>
      <family val="4"/>
    </font>
    <font>
      <b/>
      <sz val="7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7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8" xfId="0" applyNumberFormat="1" applyFill="1" applyBorder="1" applyAlignment="1" applyProtection="1">
      <alignment horizontal="left" vertical="top"/>
      <protection locked="0"/>
    </xf>
    <xf numFmtId="169" fontId="1" fillId="0" borderId="0" xfId="0" applyNumberFormat="1" applyFont="1" applyFill="1" applyAlignment="1" applyProtection="1">
      <alignment horizontal="center"/>
      <protection locked="0"/>
    </xf>
    <xf numFmtId="170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9" xfId="0" applyFill="1" applyBorder="1" applyAlignment="1">
      <alignment horizontal="center"/>
    </xf>
    <xf numFmtId="164" fontId="0" fillId="0" borderId="9" xfId="0" applyNumberFormat="1" applyFill="1" applyBorder="1" applyAlignment="1" applyProtection="1">
      <alignment horizontal="center"/>
      <protection locked="0"/>
    </xf>
    <xf numFmtId="41" fontId="0" fillId="0" borderId="9" xfId="0" applyNumberFormat="1" applyFill="1" applyBorder="1" applyAlignment="1" applyProtection="1">
      <alignment horizontal="center" vertical="center"/>
      <protection locked="0"/>
    </xf>
    <xf numFmtId="41" fontId="0" fillId="0" borderId="9" xfId="0" applyNumberFormat="1" applyFill="1" applyBorder="1" applyAlignment="1" applyProtection="1">
      <alignment horizontal="center"/>
      <protection locked="0"/>
    </xf>
    <xf numFmtId="169" fontId="0" fillId="0" borderId="0" xfId="0" applyNumberFormat="1" applyFill="1" applyAlignment="1" applyProtection="1">
      <alignment horizontal="center"/>
      <protection locked="0"/>
    </xf>
    <xf numFmtId="14" fontId="1" fillId="0" borderId="8" xfId="0" applyNumberFormat="1" applyFont="1" applyFill="1" applyBorder="1" applyAlignment="1" applyProtection="1">
      <alignment horizontal="left" vertical="top"/>
      <protection locked="0"/>
    </xf>
    <xf numFmtId="14" fontId="0" fillId="0" borderId="8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69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1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9" xfId="0" applyNumberFormat="1" applyFill="1" applyBorder="1" applyProtection="1">
      <protection locked="0"/>
    </xf>
    <xf numFmtId="41" fontId="1" fillId="0" borderId="9" xfId="0" applyNumberFormat="1" applyFont="1" applyFill="1" applyBorder="1" applyProtection="1"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2" xfId="0" applyNumberFormat="1" applyFill="1" applyBorder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2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5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5" fillId="0" borderId="0" xfId="0" applyFont="1"/>
    <xf numFmtId="0" fontId="0" fillId="0" borderId="9" xfId="0" applyNumberFormat="1" applyFill="1" applyBorder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0" fontId="1" fillId="0" borderId="9" xfId="0" applyNumberFormat="1" applyFont="1" applyFill="1" applyBorder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NumberFormat="1" applyFill="1" applyBorder="1" applyAlignment="1">
      <alignment horizontal="center"/>
    </xf>
    <xf numFmtId="0" fontId="0" fillId="0" borderId="9" xfId="0" applyFill="1" applyBorder="1" applyAlignment="1" applyProtection="1">
      <alignment horizontal="center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8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69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3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6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3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4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 applyProtection="1">
      <alignment horizontal="center"/>
      <protection locked="0"/>
    </xf>
    <xf numFmtId="49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2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0" fontId="1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1" fontId="18" fillId="0" borderId="0" xfId="0" applyNumberFormat="1" applyFont="1" applyAlignment="1">
      <alignment horizontal="center" vertical="center"/>
    </xf>
    <xf numFmtId="0" fontId="1" fillId="0" borderId="0" xfId="0" applyNumberFormat="1" applyFont="1" applyAlignment="1" applyProtection="1">
      <alignment vertical="center"/>
      <protection locked="0"/>
    </xf>
    <xf numFmtId="0" fontId="8" fillId="7" borderId="0" xfId="0" applyNumberFormat="1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165" fontId="21" fillId="0" borderId="16" xfId="0" applyNumberFormat="1" applyFont="1" applyBorder="1" applyAlignment="1">
      <alignment horizontal="center" vertical="center"/>
    </xf>
    <xf numFmtId="171" fontId="21" fillId="0" borderId="7" xfId="0" applyNumberFormat="1" applyFont="1" applyBorder="1" applyAlignment="1">
      <alignment horizontal="center" vertical="center"/>
    </xf>
    <xf numFmtId="171" fontId="21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NumberFormat="1" applyFont="1" applyAlignment="1" applyProtection="1">
      <alignment vertical="center"/>
      <protection locked="0"/>
    </xf>
    <xf numFmtId="0" fontId="18" fillId="0" borderId="0" xfId="0" applyFont="1" applyBorder="1" applyAlignment="1">
      <alignment vertical="center"/>
    </xf>
    <xf numFmtId="14" fontId="18" fillId="0" borderId="0" xfId="0" applyNumberFormat="1" applyFont="1" applyAlignment="1">
      <alignment vertical="center"/>
    </xf>
    <xf numFmtId="164" fontId="23" fillId="0" borderId="17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3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164" fontId="23" fillId="0" borderId="18" xfId="0" applyNumberFormat="1" applyFont="1" applyBorder="1" applyAlignment="1">
      <alignment horizontal="left" vertical="center"/>
    </xf>
    <xf numFmtId="164" fontId="24" fillId="0" borderId="0" xfId="0" applyNumberFormat="1" applyFont="1" applyBorder="1" applyAlignment="1">
      <alignment horizontal="left" vertical="center"/>
    </xf>
    <xf numFmtId="0" fontId="1" fillId="0" borderId="0" xfId="0" applyNumberFormat="1" applyFont="1" applyProtection="1">
      <protection locked="0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64" fontId="23" fillId="0" borderId="17" xfId="0" applyNumberFormat="1" applyFont="1" applyBorder="1" applyAlignment="1">
      <alignment horizontal="right" vertical="center"/>
    </xf>
    <xf numFmtId="164" fontId="25" fillId="16" borderId="0" xfId="0" applyNumberFormat="1" applyFont="1" applyFill="1" applyBorder="1" applyAlignment="1" applyProtection="1">
      <alignment vertical="center"/>
      <protection locked="0"/>
    </xf>
    <xf numFmtId="164" fontId="23" fillId="0" borderId="19" xfId="0" applyNumberFormat="1" applyFont="1" applyBorder="1" applyAlignment="1">
      <alignment horizontal="left" vertical="center"/>
    </xf>
    <xf numFmtId="0" fontId="1" fillId="17" borderId="20" xfId="0" applyNumberFormat="1" applyFont="1" applyFill="1" applyBorder="1" applyProtection="1">
      <protection locked="0"/>
    </xf>
    <xf numFmtId="164" fontId="15" fillId="0" borderId="17" xfId="0" applyNumberFormat="1" applyFont="1" applyBorder="1" applyAlignment="1">
      <alignment horizontal="right" vertical="center"/>
    </xf>
    <xf numFmtId="164" fontId="15" fillId="0" borderId="0" xfId="0" applyNumberFormat="1" applyFont="1" applyBorder="1" applyAlignment="1">
      <alignment vertical="center"/>
    </xf>
    <xf numFmtId="164" fontId="23" fillId="0" borderId="0" xfId="0" applyNumberFormat="1" applyFont="1" applyBorder="1" applyAlignment="1">
      <alignment vertical="center"/>
    </xf>
    <xf numFmtId="164" fontId="26" fillId="0" borderId="0" xfId="0" applyNumberFormat="1" applyFont="1" applyBorder="1" applyAlignment="1">
      <alignment vertical="center"/>
    </xf>
    <xf numFmtId="164" fontId="27" fillId="0" borderId="19" xfId="0" applyNumberFormat="1" applyFont="1" applyBorder="1" applyAlignment="1">
      <alignment horizontal="left" vertical="center"/>
    </xf>
    <xf numFmtId="164" fontId="28" fillId="0" borderId="0" xfId="0" applyNumberFormat="1" applyFont="1" applyBorder="1" applyAlignment="1">
      <alignment horizontal="left" vertical="center"/>
    </xf>
    <xf numFmtId="0" fontId="0" fillId="18" borderId="0" xfId="0" applyNumberFormat="1" applyFont="1" applyFill="1" applyAlignment="1" applyProtection="1">
      <alignment horizontal="center" vertical="center"/>
      <protection locked="0"/>
    </xf>
    <xf numFmtId="0" fontId="1" fillId="17" borderId="21" xfId="0" applyNumberFormat="1" applyFont="1" applyFill="1" applyBorder="1" applyAlignment="1">
      <alignment horizontal="center"/>
    </xf>
    <xf numFmtId="164" fontId="29" fillId="0" borderId="17" xfId="0" applyNumberFormat="1" applyFont="1" applyBorder="1" applyAlignment="1">
      <alignment horizontal="right" vertical="center"/>
    </xf>
    <xf numFmtId="164" fontId="29" fillId="0" borderId="0" xfId="0" applyNumberFormat="1" applyFont="1" applyBorder="1" applyAlignment="1">
      <alignment horizontal="right" vertical="center"/>
    </xf>
    <xf numFmtId="164" fontId="28" fillId="0" borderId="12" xfId="0" applyNumberFormat="1" applyFont="1" applyBorder="1" applyAlignment="1">
      <alignment vertical="center"/>
    </xf>
    <xf numFmtId="164" fontId="27" fillId="0" borderId="17" xfId="0" applyNumberFormat="1" applyFont="1" applyBorder="1" applyAlignment="1">
      <alignment horizontal="right" vertical="center"/>
    </xf>
    <xf numFmtId="164" fontId="27" fillId="0" borderId="0" xfId="0" applyNumberFormat="1" applyFont="1" applyBorder="1" applyAlignment="1">
      <alignment vertical="center"/>
    </xf>
    <xf numFmtId="164" fontId="15" fillId="0" borderId="19" xfId="0" applyNumberFormat="1" applyFont="1" applyBorder="1" applyAlignment="1">
      <alignment vertical="center"/>
    </xf>
    <xf numFmtId="164" fontId="30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164" fontId="27" fillId="0" borderId="0" xfId="0" applyNumberFormat="1" applyFont="1" applyBorder="1" applyAlignment="1">
      <alignment horizontal="center" vertical="center"/>
    </xf>
    <xf numFmtId="164" fontId="27" fillId="0" borderId="19" xfId="0" applyNumberFormat="1" applyFont="1" applyBorder="1" applyAlignment="1">
      <alignment vertical="center"/>
    </xf>
    <xf numFmtId="164" fontId="28" fillId="0" borderId="0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1" fontId="27" fillId="0" borderId="0" xfId="0" applyNumberFormat="1" applyFont="1" applyBorder="1" applyAlignment="1">
      <alignment vertical="center"/>
    </xf>
    <xf numFmtId="164" fontId="29" fillId="0" borderId="22" xfId="0" applyNumberFormat="1" applyFont="1" applyBorder="1" applyAlignment="1">
      <alignment horizontal="right" vertical="center"/>
    </xf>
    <xf numFmtId="164" fontId="27" fillId="0" borderId="23" xfId="0" applyNumberFormat="1" applyFont="1" applyBorder="1" applyAlignment="1">
      <alignment vertical="center"/>
    </xf>
    <xf numFmtId="164" fontId="1" fillId="0" borderId="23" xfId="0" applyNumberFormat="1" applyFont="1" applyBorder="1" applyAlignment="1">
      <alignment vertical="center"/>
    </xf>
    <xf numFmtId="164" fontId="17" fillId="0" borderId="23" xfId="0" applyNumberFormat="1" applyFont="1" applyBorder="1" applyAlignment="1">
      <alignment vertical="center"/>
    </xf>
    <xf numFmtId="164" fontId="23" fillId="0" borderId="24" xfId="0" applyNumberFormat="1" applyFont="1" applyBorder="1" applyAlignment="1">
      <alignment horizontal="center" vertical="center"/>
    </xf>
    <xf numFmtId="164" fontId="24" fillId="0" borderId="0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vertical="center"/>
    </xf>
    <xf numFmtId="0" fontId="23" fillId="0" borderId="26" xfId="0" applyFont="1" applyBorder="1" applyAlignment="1">
      <alignment horizontal="left" vertical="center"/>
    </xf>
    <xf numFmtId="0" fontId="32" fillId="0" borderId="16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8" fillId="0" borderId="0" xfId="0" applyNumberFormat="1" applyFont="1" applyBorder="1" applyAlignment="1">
      <alignment vertical="center"/>
    </xf>
    <xf numFmtId="14" fontId="33" fillId="0" borderId="29" xfId="0" applyNumberFormat="1" applyFont="1" applyBorder="1" applyAlignment="1" applyProtection="1">
      <alignment horizontal="center" vertical="center"/>
      <protection locked="0"/>
    </xf>
    <xf numFmtId="0" fontId="24" fillId="0" borderId="30" xfId="0" applyFont="1" applyBorder="1" applyAlignment="1" applyProtection="1">
      <alignment vertical="center"/>
      <protection locked="0"/>
    </xf>
    <xf numFmtId="0" fontId="1" fillId="0" borderId="31" xfId="0" applyFont="1" applyBorder="1" applyAlignment="1" applyProtection="1">
      <alignment vertical="center"/>
      <protection locked="0"/>
    </xf>
    <xf numFmtId="0" fontId="1" fillId="0" borderId="32" xfId="0" applyFont="1" applyBorder="1" applyAlignment="1" applyProtection="1">
      <alignment vertical="center"/>
      <protection locked="0"/>
    </xf>
    <xf numFmtId="0" fontId="24" fillId="0" borderId="33" xfId="0" applyFont="1" applyBorder="1" applyAlignment="1" applyProtection="1">
      <alignment vertical="center"/>
      <protection locked="0"/>
    </xf>
    <xf numFmtId="0" fontId="24" fillId="0" borderId="8" xfId="0" applyFont="1" applyBorder="1" applyAlignment="1">
      <alignment vertical="center"/>
    </xf>
    <xf numFmtId="0" fontId="24" fillId="0" borderId="34" xfId="0" applyFont="1" applyBorder="1" applyAlignment="1" applyProtection="1">
      <alignment vertical="center"/>
      <protection locked="0"/>
    </xf>
    <xf numFmtId="0" fontId="24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24" fillId="0" borderId="38" xfId="0" applyFont="1" applyBorder="1" applyAlignment="1" applyProtection="1">
      <alignment vertical="center"/>
      <protection locked="0"/>
    </xf>
    <xf numFmtId="0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39" xfId="0" applyFont="1" applyBorder="1" applyAlignment="1" applyProtection="1">
      <alignment vertical="center"/>
      <protection locked="0"/>
    </xf>
    <xf numFmtId="0" fontId="24" fillId="0" borderId="40" xfId="0" applyFont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1" fillId="0" borderId="42" xfId="0" applyFont="1" applyBorder="1" applyAlignment="1" applyProtection="1">
      <alignment vertical="center"/>
      <protection locked="0"/>
    </xf>
    <xf numFmtId="0" fontId="24" fillId="0" borderId="43" xfId="0" applyFont="1" applyBorder="1" applyAlignment="1" applyProtection="1">
      <alignment vertical="center"/>
      <protection locked="0"/>
    </xf>
    <xf numFmtId="0" fontId="24" fillId="0" borderId="44" xfId="0" applyFont="1" applyBorder="1" applyAlignment="1" applyProtection="1">
      <alignment vertical="center"/>
      <protection locked="0"/>
    </xf>
    <xf numFmtId="0" fontId="24" fillId="0" borderId="3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24" fillId="0" borderId="46" xfId="0" applyFont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47" xfId="0" applyFont="1" applyBorder="1" applyAlignment="1" applyProtection="1">
      <alignment vertical="center"/>
      <protection locked="0"/>
    </xf>
    <xf numFmtId="0" fontId="24" fillId="0" borderId="48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50" xfId="0" applyFont="1" applyBorder="1" applyAlignment="1" applyProtection="1">
      <alignment vertical="center"/>
      <protection locked="0"/>
    </xf>
    <xf numFmtId="0" fontId="24" fillId="0" borderId="51" xfId="0" applyFont="1" applyBorder="1" applyAlignment="1" applyProtection="1">
      <alignment vertical="center"/>
      <protection locked="0"/>
    </xf>
    <xf numFmtId="41" fontId="1" fillId="0" borderId="0" xfId="0" applyNumberFormat="1" applyFont="1" applyAlignment="1">
      <alignment horizontal="center" vertical="center"/>
    </xf>
    <xf numFmtId="0" fontId="19" fillId="1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" fillId="17" borderId="21" xfId="0" applyNumberFormat="1" applyFont="1" applyFill="1" applyBorder="1" applyAlignment="1">
      <alignment horizontal="center" vertical="center"/>
    </xf>
    <xf numFmtId="0" fontId="1" fillId="17" borderId="21" xfId="0" applyFont="1" applyFill="1" applyBorder="1" applyAlignment="1">
      <alignment horizontal="center"/>
    </xf>
    <xf numFmtId="0" fontId="1" fillId="17" borderId="21" xfId="0" applyFont="1" applyFill="1" applyBorder="1"/>
    <xf numFmtId="0" fontId="1" fillId="17" borderId="21" xfId="0" applyNumberFormat="1" applyFont="1" applyFill="1" applyBorder="1" applyProtection="1">
      <protection locked="0"/>
    </xf>
    <xf numFmtId="0" fontId="1" fillId="17" borderId="52" xfId="0" applyNumberFormat="1" applyFont="1" applyFill="1" applyBorder="1" applyProtection="1">
      <protection locked="0"/>
    </xf>
    <xf numFmtId="164" fontId="29" fillId="0" borderId="0" xfId="0" applyNumberFormat="1" applyFont="1" applyBorder="1" applyAlignment="1">
      <alignment horizontal="left" vertical="center"/>
    </xf>
    <xf numFmtId="167" fontId="0" fillId="0" borderId="0" xfId="0" applyNumberFormat="1" applyFill="1" applyAlignment="1" applyProtection="1">
      <alignment horizontal="center" vertical="center"/>
      <protection locked="0"/>
    </xf>
    <xf numFmtId="41" fontId="1" fillId="0" borderId="0" xfId="0" applyNumberFormat="1" applyFon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center" vertical="center"/>
      <protection locked="0"/>
    </xf>
    <xf numFmtId="167" fontId="0" fillId="0" borderId="0" xfId="0" applyNumberFormat="1" applyProtection="1">
      <protection locked="0"/>
    </xf>
    <xf numFmtId="41" fontId="0" fillId="5" borderId="53" xfId="0" applyNumberFormat="1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 applyProtection="1">
      <alignment horizontal="center"/>
      <protection locked="0"/>
    </xf>
    <xf numFmtId="41" fontId="0" fillId="0" borderId="0" xfId="0" applyNumberFormat="1" applyFill="1" applyBorder="1" applyAlignment="1" applyProtection="1">
      <alignment horizontal="center"/>
      <protection locked="0"/>
    </xf>
    <xf numFmtId="41" fontId="0" fillId="0" borderId="0" xfId="0" applyNumberFormat="1" applyBorder="1" applyAlignment="1" applyProtection="1">
      <alignment horizontal="center"/>
      <protection locked="0"/>
    </xf>
    <xf numFmtId="0" fontId="1" fillId="17" borderId="0" xfId="0" applyFont="1" applyFill="1"/>
    <xf numFmtId="0" fontId="0" fillId="17" borderId="0" xfId="0" applyFill="1"/>
    <xf numFmtId="0" fontId="1" fillId="0" borderId="9" xfId="0" applyFont="1" applyFill="1" applyBorder="1" applyAlignment="1">
      <alignment horizontal="center"/>
    </xf>
    <xf numFmtId="3" fontId="0" fillId="0" borderId="0" xfId="0" applyNumberFormat="1" applyFill="1" applyAlignment="1" applyProtection="1">
      <alignment horizontal="center"/>
      <protection locked="0"/>
    </xf>
    <xf numFmtId="164" fontId="27" fillId="0" borderId="0" xfId="0" applyNumberFormat="1" applyFont="1" applyBorder="1" applyAlignment="1">
      <alignment horizontal="left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8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19" xfId="0" applyFont="1" applyFill="1" applyBorder="1" applyAlignment="1">
      <alignment horizontal="left" vertical="center" wrapText="1"/>
    </xf>
    <xf numFmtId="166" fontId="27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27" fillId="0" borderId="0" xfId="0" applyNumberFormat="1" applyFont="1" applyBorder="1" applyAlignment="1">
      <alignment horizontal="right" vertical="center"/>
    </xf>
    <xf numFmtId="164" fontId="27" fillId="0" borderId="19" xfId="0" applyNumberFormat="1" applyFont="1" applyBorder="1" applyAlignment="1">
      <alignment horizontal="right" vertical="center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7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0</xdr:rowOff>
        </xdr:from>
        <xdr:to>
          <xdr:col>0</xdr:col>
          <xdr:colOff>1051560</xdr:colOff>
          <xdr:row>0</xdr:row>
          <xdr:rowOff>533400</xdr:rowOff>
        </xdr:to>
        <xdr:sp macro="" textlink="">
          <xdr:nvSpPr>
            <xdr:cNvPr id="1031" name="Formulair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2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3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5" name="Connecteur droit avec flèche 4"/>
        <xdr:cNvCxnSpPr/>
      </xdr:nvCxnSpPr>
      <xdr:spPr>
        <a:xfrm>
          <a:off x="1505194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6" name="Connecteur droit avec flèche 5"/>
        <xdr:cNvCxnSpPr/>
      </xdr:nvCxnSpPr>
      <xdr:spPr>
        <a:xfrm>
          <a:off x="1632204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7" name="Connecteur droit avec flèche 6"/>
        <xdr:cNvCxnSpPr/>
      </xdr:nvCxnSpPr>
      <xdr:spPr>
        <a:xfrm flipH="1">
          <a:off x="1540256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60960</xdr:colOff>
          <xdr:row>0</xdr:row>
          <xdr:rowOff>502920</xdr:rowOff>
        </xdr:from>
        <xdr:to>
          <xdr:col>21</xdr:col>
          <xdr:colOff>480060</xdr:colOff>
          <xdr:row>1</xdr:row>
          <xdr:rowOff>350520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1</xdr:col>
          <xdr:colOff>22860</xdr:colOff>
          <xdr:row>0</xdr:row>
          <xdr:rowOff>739140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37"/>
  <sheetViews>
    <sheetView tabSelected="1" zoomScale="80" zoomScaleNormal="80" workbookViewId="0">
      <pane xSplit="1" ySplit="1" topLeftCell="B3" activePane="bottomRight" state="frozen"/>
      <selection activeCell="C9" sqref="C9"/>
      <selection pane="topRight" activeCell="C9" sqref="C9"/>
      <selection pane="bottomLeft" activeCell="C9" sqref="C9"/>
      <selection pane="bottomRight" activeCell="D15" sqref="D15"/>
    </sheetView>
  </sheetViews>
  <sheetFormatPr baseColWidth="10" defaultColWidth="11.44140625" defaultRowHeight="13.2" x14ac:dyDescent="0.25"/>
  <cols>
    <col min="1" max="1" width="15.44140625" style="3" customWidth="1"/>
    <col min="2" max="2" width="11.77734375" style="40" customWidth="1"/>
    <col min="3" max="3" width="6.21875" style="15" customWidth="1"/>
    <col min="4" max="4" width="35.44140625" style="129" bestFit="1" customWidth="1"/>
    <col min="5" max="5" width="30.44140625" style="2" bestFit="1" customWidth="1"/>
    <col min="6" max="7" width="11.109375" style="4" customWidth="1"/>
    <col min="8" max="8" width="10.33203125" style="4" customWidth="1"/>
    <col min="9" max="9" width="28.33203125" style="2" bestFit="1" customWidth="1"/>
    <col min="10" max="10" width="20" style="133" bestFit="1" customWidth="1"/>
    <col min="11" max="11" width="11.44140625" style="21"/>
    <col min="12" max="12" width="27" style="34" customWidth="1"/>
    <col min="13" max="13" width="18.5546875" style="34" bestFit="1" customWidth="1"/>
    <col min="14" max="14" width="13.6640625" style="131" bestFit="1" customWidth="1"/>
    <col min="15" max="15" width="11.44140625" style="34"/>
    <col min="16" max="16" width="15" style="34" bestFit="1" customWidth="1"/>
    <col min="17" max="17" width="11.44140625" style="11"/>
    <col min="18" max="18" width="43.6640625" style="32" bestFit="1" customWidth="1"/>
    <col min="19" max="19" width="11.44140625" style="21"/>
    <col min="20" max="20" width="19.109375" style="36" bestFit="1" customWidth="1"/>
    <col min="21" max="21" width="16.109375" style="6" customWidth="1"/>
    <col min="22" max="22" width="11.44140625" style="6"/>
    <col min="23" max="23" width="31.6640625" style="6" bestFit="1" customWidth="1"/>
    <col min="24" max="24" width="11.44140625" style="11"/>
    <col min="25" max="25" width="11.44140625" style="12"/>
    <col min="26" max="55" width="11.44140625" style="139"/>
    <col min="56" max="56" width="11.44140625" style="263"/>
    <col min="57" max="57" width="11.44140625" style="78"/>
    <col min="58" max="73" width="11.44140625" style="6"/>
    <col min="74" max="74" width="11.44140625" style="259"/>
    <col min="75" max="79" width="11.44140625" style="6"/>
    <col min="80" max="80" width="20.6640625" style="6" bestFit="1" customWidth="1"/>
    <col min="81" max="81" width="43.6640625" style="6" bestFit="1" customWidth="1"/>
    <col min="82" max="16384" width="11.44140625" style="6"/>
  </cols>
  <sheetData>
    <row r="1" spans="1:118" s="77" customFormat="1" ht="57.6" customHeight="1" thickBot="1" x14ac:dyDescent="0.3">
      <c r="A1" s="79" t="s">
        <v>28</v>
      </c>
      <c r="B1" s="142" t="s">
        <v>29</v>
      </c>
      <c r="C1" s="141" t="s">
        <v>671</v>
      </c>
      <c r="D1" s="96" t="s">
        <v>30</v>
      </c>
      <c r="E1" s="96" t="s">
        <v>31</v>
      </c>
      <c r="F1" s="97" t="s">
        <v>32</v>
      </c>
      <c r="G1" s="98" t="s">
        <v>33</v>
      </c>
      <c r="H1" s="99" t="s">
        <v>34</v>
      </c>
      <c r="I1" s="96" t="s">
        <v>35</v>
      </c>
      <c r="J1" s="96" t="s">
        <v>12</v>
      </c>
      <c r="K1" s="100" t="s">
        <v>4</v>
      </c>
      <c r="L1" s="100" t="s">
        <v>36</v>
      </c>
      <c r="M1" s="100" t="s">
        <v>37</v>
      </c>
      <c r="N1" s="101" t="s">
        <v>2</v>
      </c>
      <c r="O1" s="96" t="s">
        <v>3</v>
      </c>
      <c r="P1" s="96" t="s">
        <v>17</v>
      </c>
      <c r="Q1" s="140" t="s">
        <v>18</v>
      </c>
      <c r="R1" s="96" t="s">
        <v>19</v>
      </c>
      <c r="S1" s="96" t="s">
        <v>20</v>
      </c>
      <c r="T1" s="136" t="s">
        <v>21</v>
      </c>
      <c r="U1" s="102" t="s">
        <v>38</v>
      </c>
      <c r="V1" s="103" t="s">
        <v>39</v>
      </c>
      <c r="W1" s="103" t="s">
        <v>40</v>
      </c>
      <c r="X1" s="104" t="s">
        <v>41</v>
      </c>
      <c r="Y1" s="104" t="s">
        <v>22</v>
      </c>
      <c r="Z1" s="104" t="s">
        <v>23</v>
      </c>
      <c r="AA1" s="104" t="s">
        <v>24</v>
      </c>
      <c r="AB1" s="104" t="s">
        <v>25</v>
      </c>
      <c r="AC1" s="104" t="s">
        <v>26</v>
      </c>
      <c r="AD1" s="104" t="s">
        <v>27</v>
      </c>
      <c r="AE1" s="104" t="s">
        <v>42</v>
      </c>
      <c r="AF1" s="105" t="s">
        <v>43</v>
      </c>
      <c r="AG1" s="104" t="s">
        <v>44</v>
      </c>
      <c r="AH1" s="105" t="s">
        <v>45</v>
      </c>
      <c r="AI1" s="104" t="s">
        <v>46</v>
      </c>
      <c r="AJ1" s="104" t="s">
        <v>47</v>
      </c>
      <c r="AK1" s="104" t="s">
        <v>48</v>
      </c>
      <c r="AL1" s="104" t="s">
        <v>49</v>
      </c>
      <c r="AM1" s="104" t="s">
        <v>50</v>
      </c>
      <c r="AN1" s="104" t="s">
        <v>51</v>
      </c>
      <c r="AO1" s="106" t="s">
        <v>52</v>
      </c>
      <c r="AP1" s="104" t="s">
        <v>53</v>
      </c>
      <c r="AQ1" s="106" t="s">
        <v>54</v>
      </c>
      <c r="AR1" s="104" t="s">
        <v>55</v>
      </c>
      <c r="AS1" s="104" t="s">
        <v>56</v>
      </c>
      <c r="AT1" s="104" t="s">
        <v>57</v>
      </c>
      <c r="AU1" s="104" t="s">
        <v>58</v>
      </c>
      <c r="AV1" s="104" t="s">
        <v>59</v>
      </c>
      <c r="AW1" s="104" t="s">
        <v>60</v>
      </c>
      <c r="AX1" s="104" t="s">
        <v>61</v>
      </c>
      <c r="AY1" s="104" t="s">
        <v>62</v>
      </c>
      <c r="AZ1" s="104" t="s">
        <v>63</v>
      </c>
      <c r="BA1" s="138" t="s">
        <v>204</v>
      </c>
      <c r="BB1" s="138" t="s">
        <v>205</v>
      </c>
      <c r="BC1" s="138" t="s">
        <v>206</v>
      </c>
      <c r="BD1" s="260" t="s">
        <v>207</v>
      </c>
      <c r="BE1" s="107" t="s">
        <v>208</v>
      </c>
      <c r="BF1" s="108" t="s">
        <v>209</v>
      </c>
      <c r="BG1" s="109" t="s">
        <v>210</v>
      </c>
      <c r="BH1" s="109" t="s">
        <v>211</v>
      </c>
      <c r="BI1" s="94" t="s">
        <v>212</v>
      </c>
      <c r="BJ1" s="94" t="s">
        <v>213</v>
      </c>
      <c r="BK1" s="94" t="s">
        <v>214</v>
      </c>
      <c r="BL1" s="95" t="s">
        <v>215</v>
      </c>
      <c r="BM1" s="94" t="s">
        <v>216</v>
      </c>
      <c r="BN1" s="94" t="s">
        <v>217</v>
      </c>
      <c r="BO1" s="94" t="s">
        <v>218</v>
      </c>
      <c r="BP1" s="94" t="s">
        <v>219</v>
      </c>
      <c r="BQ1" s="94" t="s">
        <v>220</v>
      </c>
      <c r="BR1" s="94" t="s">
        <v>221</v>
      </c>
      <c r="BS1" s="94" t="s">
        <v>222</v>
      </c>
      <c r="BT1" s="94" t="s">
        <v>223</v>
      </c>
      <c r="BU1" s="110" t="s">
        <v>224</v>
      </c>
      <c r="BV1" s="111" t="s">
        <v>225</v>
      </c>
      <c r="BW1" s="112" t="s">
        <v>226</v>
      </c>
      <c r="BX1" s="108" t="s">
        <v>227</v>
      </c>
      <c r="BY1" s="108" t="s">
        <v>228</v>
      </c>
      <c r="BZ1" s="113" t="s">
        <v>229</v>
      </c>
      <c r="CA1" s="114" t="s">
        <v>230</v>
      </c>
      <c r="CB1" s="125" t="s">
        <v>231</v>
      </c>
      <c r="CC1" s="115" t="s">
        <v>232</v>
      </c>
      <c r="CD1" s="115" t="s">
        <v>233</v>
      </c>
      <c r="CE1" s="115" t="s">
        <v>234</v>
      </c>
      <c r="CF1" s="115" t="s">
        <v>235</v>
      </c>
      <c r="CG1" s="115" t="s">
        <v>236</v>
      </c>
      <c r="CH1" s="115" t="s">
        <v>237</v>
      </c>
      <c r="CI1" s="115" t="s">
        <v>238</v>
      </c>
      <c r="CJ1" s="115" t="s">
        <v>239</v>
      </c>
      <c r="CK1" s="116" t="s">
        <v>240</v>
      </c>
      <c r="CL1" s="116" t="s">
        <v>241</v>
      </c>
      <c r="CM1" s="117" t="s">
        <v>242</v>
      </c>
      <c r="CN1" s="118" t="s">
        <v>243</v>
      </c>
      <c r="CO1" s="124" t="s">
        <v>244</v>
      </c>
      <c r="CP1" s="119" t="s">
        <v>4</v>
      </c>
      <c r="CQ1" s="120" t="s">
        <v>245</v>
      </c>
      <c r="CR1" s="120" t="s">
        <v>246</v>
      </c>
      <c r="CS1" s="121" t="s">
        <v>247</v>
      </c>
      <c r="CT1" s="122" t="s">
        <v>248</v>
      </c>
      <c r="CU1" s="122" t="s">
        <v>249</v>
      </c>
      <c r="CV1" s="122" t="s">
        <v>250</v>
      </c>
      <c r="CW1" s="122" t="s">
        <v>251</v>
      </c>
      <c r="CX1" s="122" t="s">
        <v>252</v>
      </c>
      <c r="CY1" s="122" t="s">
        <v>253</v>
      </c>
      <c r="CZ1" s="122" t="s">
        <v>254</v>
      </c>
      <c r="DA1" s="122" t="s">
        <v>255</v>
      </c>
      <c r="DB1" s="122" t="s">
        <v>256</v>
      </c>
      <c r="DC1" s="122" t="s">
        <v>257</v>
      </c>
      <c r="DD1" s="122" t="s">
        <v>258</v>
      </c>
      <c r="DE1" s="122" t="s">
        <v>259</v>
      </c>
      <c r="DF1" s="123" t="s">
        <v>260</v>
      </c>
    </row>
    <row r="2" spans="1:118" s="5" customFormat="1" hidden="1" x14ac:dyDescent="0.25">
      <c r="A2" s="66" t="s">
        <v>81</v>
      </c>
      <c r="B2" s="14" t="s">
        <v>342</v>
      </c>
      <c r="C2" s="66"/>
      <c r="D2" s="2" t="s">
        <v>674</v>
      </c>
      <c r="E2" s="66" t="s">
        <v>667</v>
      </c>
      <c r="F2" s="66" t="s">
        <v>574</v>
      </c>
      <c r="G2" s="66" t="s">
        <v>575</v>
      </c>
      <c r="H2" s="15" t="s">
        <v>576</v>
      </c>
      <c r="I2" s="66" t="s">
        <v>668</v>
      </c>
      <c r="J2" s="66" t="s">
        <v>95</v>
      </c>
      <c r="K2" s="66" t="s">
        <v>577</v>
      </c>
      <c r="L2" s="66" t="s">
        <v>578</v>
      </c>
      <c r="M2" s="66" t="s">
        <v>76</v>
      </c>
      <c r="N2" s="66" t="s">
        <v>579</v>
      </c>
      <c r="O2" s="66" t="s">
        <v>281</v>
      </c>
      <c r="P2" s="66" t="s">
        <v>581</v>
      </c>
      <c r="Q2" s="66" t="s">
        <v>582</v>
      </c>
      <c r="R2" s="66" t="s">
        <v>161</v>
      </c>
      <c r="S2" s="66" t="s">
        <v>583</v>
      </c>
      <c r="T2" s="66" t="s">
        <v>584</v>
      </c>
      <c r="U2" s="66" t="s">
        <v>585</v>
      </c>
      <c r="V2" s="66" t="s">
        <v>586</v>
      </c>
      <c r="W2" s="66" t="s">
        <v>587</v>
      </c>
      <c r="X2" s="30" t="s">
        <v>588</v>
      </c>
      <c r="Y2" s="30" t="s">
        <v>589</v>
      </c>
      <c r="Z2" s="30" t="s">
        <v>590</v>
      </c>
      <c r="AA2" s="30" t="s">
        <v>591</v>
      </c>
      <c r="AB2" s="30" t="s">
        <v>66</v>
      </c>
      <c r="AC2" s="30" t="s">
        <v>173</v>
      </c>
      <c r="AD2" s="30" t="s">
        <v>592</v>
      </c>
      <c r="AE2" s="30" t="s">
        <v>593</v>
      </c>
      <c r="AF2" s="30" t="s">
        <v>594</v>
      </c>
      <c r="AG2" s="30" t="s">
        <v>595</v>
      </c>
      <c r="AH2" s="30" t="s">
        <v>596</v>
      </c>
      <c r="AI2" s="30" t="s">
        <v>597</v>
      </c>
      <c r="AJ2" s="30" t="s">
        <v>598</v>
      </c>
      <c r="AK2" s="30" t="s">
        <v>599</v>
      </c>
      <c r="AL2" s="30" t="s">
        <v>600</v>
      </c>
      <c r="AM2" s="30" t="s">
        <v>601</v>
      </c>
      <c r="AN2" s="30" t="s">
        <v>602</v>
      </c>
      <c r="AO2" s="30" t="s">
        <v>603</v>
      </c>
      <c r="AP2" s="30" t="s">
        <v>604</v>
      </c>
      <c r="AQ2" s="30" t="s">
        <v>605</v>
      </c>
      <c r="AR2" s="30" t="s">
        <v>606</v>
      </c>
      <c r="AS2" s="30" t="s">
        <v>607</v>
      </c>
      <c r="AT2" s="30" t="s">
        <v>608</v>
      </c>
      <c r="AU2" s="30" t="s">
        <v>609</v>
      </c>
      <c r="AV2" s="30" t="s">
        <v>610</v>
      </c>
      <c r="AW2" s="30" t="s">
        <v>611</v>
      </c>
      <c r="AX2" s="30" t="s">
        <v>612</v>
      </c>
      <c r="AY2" s="30" t="s">
        <v>613</v>
      </c>
      <c r="AZ2" s="30" t="s">
        <v>614</v>
      </c>
      <c r="BA2" s="30" t="s">
        <v>615</v>
      </c>
      <c r="BB2" s="30" t="s">
        <v>616</v>
      </c>
      <c r="BC2" s="30" t="s">
        <v>617</v>
      </c>
      <c r="BD2" s="261" t="s">
        <v>618</v>
      </c>
      <c r="BE2" s="66" t="s">
        <v>619</v>
      </c>
      <c r="BF2" s="66" t="s">
        <v>620</v>
      </c>
      <c r="BG2" s="66" t="s">
        <v>621</v>
      </c>
      <c r="BH2" s="66" t="s">
        <v>622</v>
      </c>
      <c r="BI2" s="66" t="s">
        <v>623</v>
      </c>
      <c r="BJ2" s="66" t="s">
        <v>624</v>
      </c>
      <c r="BK2" s="66" t="s">
        <v>625</v>
      </c>
      <c r="BL2" s="66" t="s">
        <v>626</v>
      </c>
      <c r="BM2" s="66" t="s">
        <v>627</v>
      </c>
      <c r="BN2" s="66" t="s">
        <v>628</v>
      </c>
      <c r="BO2" s="66" t="s">
        <v>629</v>
      </c>
      <c r="BP2" s="66" t="s">
        <v>630</v>
      </c>
      <c r="BQ2" s="66" t="s">
        <v>631</v>
      </c>
      <c r="BR2" s="66" t="s">
        <v>632</v>
      </c>
      <c r="BS2" s="66" t="s">
        <v>633</v>
      </c>
      <c r="BT2" s="66" t="s">
        <v>634</v>
      </c>
      <c r="BU2" s="66" t="s">
        <v>635</v>
      </c>
      <c r="BV2" s="66" t="s">
        <v>636</v>
      </c>
      <c r="BW2" s="66" t="s">
        <v>637</v>
      </c>
      <c r="BX2" s="66" t="s">
        <v>638</v>
      </c>
      <c r="BY2" s="66" t="s">
        <v>639</v>
      </c>
      <c r="BZ2" s="66" t="s">
        <v>640</v>
      </c>
      <c r="CA2" s="66" t="s">
        <v>641</v>
      </c>
      <c r="CB2" s="66" t="s">
        <v>642</v>
      </c>
      <c r="CC2" s="66" t="s">
        <v>643</v>
      </c>
      <c r="CD2" s="66" t="s">
        <v>644</v>
      </c>
      <c r="CE2" s="66" t="s">
        <v>645</v>
      </c>
      <c r="CF2" s="66" t="s">
        <v>646</v>
      </c>
      <c r="CG2" s="45"/>
      <c r="CH2" s="16"/>
      <c r="CI2" s="16"/>
      <c r="CJ2" s="24"/>
      <c r="CK2" s="45"/>
      <c r="CL2" s="45"/>
      <c r="CM2" s="45"/>
      <c r="CN2" s="45"/>
      <c r="CO2" s="24"/>
      <c r="CP2" s="46"/>
      <c r="CQ2" s="46"/>
      <c r="CR2" s="127"/>
      <c r="CS2" s="70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9"/>
    </row>
    <row r="3" spans="1:118" s="5" customFormat="1" x14ac:dyDescent="0.25">
      <c r="A3" s="22">
        <v>47194</v>
      </c>
      <c r="B3" s="14">
        <v>45467</v>
      </c>
      <c r="C3" s="135"/>
      <c r="D3" s="7" t="s">
        <v>672</v>
      </c>
      <c r="E3" s="57" t="s">
        <v>676</v>
      </c>
      <c r="F3" s="11">
        <v>0</v>
      </c>
      <c r="G3" s="256">
        <v>41640</v>
      </c>
      <c r="H3" s="15" t="s">
        <v>95</v>
      </c>
      <c r="I3" s="2" t="s">
        <v>522</v>
      </c>
      <c r="J3" s="2" t="s">
        <v>64</v>
      </c>
      <c r="K3" s="267">
        <v>28000</v>
      </c>
      <c r="L3" s="18">
        <v>0</v>
      </c>
      <c r="M3" s="130"/>
      <c r="N3" s="131">
        <v>237908714</v>
      </c>
      <c r="O3" s="17" t="s">
        <v>0</v>
      </c>
      <c r="P3" s="25" t="s">
        <v>65</v>
      </c>
      <c r="Q3" s="19">
        <v>46634</v>
      </c>
      <c r="R3" s="128" t="s">
        <v>346</v>
      </c>
      <c r="S3" s="11" t="s">
        <v>177</v>
      </c>
      <c r="T3" s="137" t="s">
        <v>306</v>
      </c>
      <c r="U3" s="20"/>
      <c r="V3" s="3"/>
      <c r="W3" s="21" t="s">
        <v>199</v>
      </c>
      <c r="X3" s="126" t="s">
        <v>81</v>
      </c>
      <c r="Y3" s="126" t="s">
        <v>81</v>
      </c>
      <c r="Z3" s="11">
        <v>1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11">
        <v>0</v>
      </c>
      <c r="AH3" s="11">
        <v>0</v>
      </c>
      <c r="AI3" s="11">
        <v>0</v>
      </c>
      <c r="AJ3" s="11">
        <v>0</v>
      </c>
      <c r="AK3" s="11">
        <v>0</v>
      </c>
      <c r="AL3" s="11">
        <v>0</v>
      </c>
      <c r="AM3" s="11">
        <v>0</v>
      </c>
      <c r="AN3" s="11">
        <v>0</v>
      </c>
      <c r="AO3" s="11">
        <v>0</v>
      </c>
      <c r="AP3" s="11">
        <v>0</v>
      </c>
      <c r="AQ3" s="11">
        <v>0</v>
      </c>
      <c r="AR3" s="11">
        <v>0</v>
      </c>
      <c r="AS3" s="11">
        <v>0</v>
      </c>
      <c r="AT3" s="11">
        <v>0</v>
      </c>
      <c r="AU3" s="11">
        <v>0</v>
      </c>
      <c r="AV3" s="11">
        <v>0</v>
      </c>
      <c r="AW3" s="11">
        <v>0</v>
      </c>
      <c r="AX3" s="11">
        <v>0</v>
      </c>
      <c r="AY3" s="11">
        <v>0</v>
      </c>
      <c r="AZ3" s="11">
        <v>0</v>
      </c>
      <c r="BA3" s="11">
        <v>0</v>
      </c>
      <c r="BB3" s="11">
        <v>0</v>
      </c>
      <c r="BC3" s="11">
        <v>0</v>
      </c>
      <c r="BD3" s="262">
        <v>0</v>
      </c>
      <c r="BE3" s="40">
        <v>43739</v>
      </c>
      <c r="BF3" s="40">
        <v>43740</v>
      </c>
      <c r="BG3" s="41" t="s">
        <v>330</v>
      </c>
      <c r="BH3" s="42" t="s">
        <v>213</v>
      </c>
      <c r="BI3" s="87" t="s">
        <v>330</v>
      </c>
      <c r="BJ3" s="88" t="s">
        <v>330</v>
      </c>
      <c r="BK3" s="88" t="s">
        <v>330</v>
      </c>
      <c r="BL3" s="88" t="s">
        <v>330</v>
      </c>
      <c r="BM3" s="88" t="s">
        <v>330</v>
      </c>
      <c r="BN3" s="87" t="s">
        <v>330</v>
      </c>
      <c r="BO3" s="88" t="s">
        <v>330</v>
      </c>
      <c r="BP3" s="88" t="s">
        <v>330</v>
      </c>
      <c r="BQ3" s="88" t="s">
        <v>330</v>
      </c>
      <c r="BR3" s="88" t="s">
        <v>330</v>
      </c>
      <c r="BS3" s="87" t="s">
        <v>81</v>
      </c>
      <c r="BT3" s="88" t="s">
        <v>330</v>
      </c>
      <c r="BU3" s="15" t="s">
        <v>81</v>
      </c>
      <c r="BV3" s="40">
        <v>41235</v>
      </c>
      <c r="BW3" s="40">
        <v>41669</v>
      </c>
      <c r="BX3" s="40">
        <v>41814</v>
      </c>
      <c r="BY3" s="40">
        <v>40289</v>
      </c>
      <c r="BZ3" s="15" t="s">
        <v>342</v>
      </c>
      <c r="CA3" s="40">
        <v>42005</v>
      </c>
      <c r="CB3" s="25" t="s">
        <v>262</v>
      </c>
      <c r="CC3" s="44" t="s">
        <v>335</v>
      </c>
      <c r="CD3" s="24" t="s">
        <v>330</v>
      </c>
      <c r="CE3" s="24" t="s">
        <v>330</v>
      </c>
      <c r="CF3" s="24" t="s">
        <v>330</v>
      </c>
      <c r="CG3" s="45" t="s">
        <v>263</v>
      </c>
      <c r="CH3" s="24" t="s">
        <v>330</v>
      </c>
      <c r="CI3" s="16" t="s">
        <v>330</v>
      </c>
      <c r="CJ3" s="31" t="s">
        <v>261</v>
      </c>
      <c r="CK3" s="45" t="s">
        <v>330</v>
      </c>
      <c r="CL3" s="45" t="s">
        <v>330</v>
      </c>
      <c r="CM3" s="45" t="s">
        <v>330</v>
      </c>
      <c r="CN3" s="45" t="s">
        <v>330</v>
      </c>
      <c r="CO3" s="40">
        <v>41929</v>
      </c>
      <c r="CP3" s="46" t="s">
        <v>66</v>
      </c>
      <c r="CQ3" s="46" t="s">
        <v>261</v>
      </c>
      <c r="CR3" s="127" t="s">
        <v>261</v>
      </c>
      <c r="CS3" s="69">
        <v>0</v>
      </c>
      <c r="CT3" s="47">
        <v>0</v>
      </c>
      <c r="CU3" s="47">
        <v>0</v>
      </c>
      <c r="CV3" s="47">
        <v>0</v>
      </c>
      <c r="CW3" s="47">
        <v>0</v>
      </c>
      <c r="CX3" s="47">
        <v>0</v>
      </c>
      <c r="CY3" s="47">
        <v>0</v>
      </c>
      <c r="CZ3" s="47">
        <v>2</v>
      </c>
      <c r="DA3" s="47">
        <v>0</v>
      </c>
      <c r="DB3" s="48">
        <v>0</v>
      </c>
      <c r="DC3" s="48">
        <v>0</v>
      </c>
      <c r="DD3" s="48">
        <v>0</v>
      </c>
      <c r="DE3" s="48">
        <v>0</v>
      </c>
      <c r="DF3" s="49">
        <v>2</v>
      </c>
    </row>
    <row r="4" spans="1:118" s="5" customFormat="1" x14ac:dyDescent="0.25">
      <c r="A4" s="22">
        <v>49653</v>
      </c>
      <c r="B4" s="14">
        <v>41359</v>
      </c>
      <c r="C4" s="10"/>
      <c r="D4" s="7" t="s">
        <v>673</v>
      </c>
      <c r="E4" s="9" t="s">
        <v>675</v>
      </c>
      <c r="F4" s="11"/>
      <c r="G4" s="256"/>
      <c r="H4" s="15">
        <v>123</v>
      </c>
      <c r="I4" s="2" t="s">
        <v>67</v>
      </c>
      <c r="J4" s="2" t="s">
        <v>64</v>
      </c>
      <c r="K4" s="267">
        <v>28100</v>
      </c>
      <c r="L4" s="18"/>
      <c r="M4" s="130"/>
      <c r="N4" s="131" t="s">
        <v>571</v>
      </c>
      <c r="O4" s="17" t="s">
        <v>0</v>
      </c>
      <c r="P4" s="18" t="s">
        <v>68</v>
      </c>
      <c r="Q4" s="19" t="s">
        <v>521</v>
      </c>
      <c r="R4" s="128"/>
      <c r="S4" s="11" t="s">
        <v>5</v>
      </c>
      <c r="T4" s="137" t="s">
        <v>315</v>
      </c>
      <c r="U4" s="20"/>
      <c r="V4" s="3"/>
      <c r="W4" s="21" t="s">
        <v>199</v>
      </c>
      <c r="X4" s="126" t="s">
        <v>81</v>
      </c>
      <c r="Y4" s="126" t="s">
        <v>330</v>
      </c>
      <c r="Z4" s="11">
        <v>2</v>
      </c>
      <c r="AA4" s="11">
        <v>22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1">
        <v>0</v>
      </c>
      <c r="AL4" s="11">
        <v>0</v>
      </c>
      <c r="AM4" s="11">
        <v>0</v>
      </c>
      <c r="AN4" s="11">
        <v>0</v>
      </c>
      <c r="AO4" s="11">
        <v>0</v>
      </c>
      <c r="AP4" s="11">
        <v>0</v>
      </c>
      <c r="AQ4" s="11">
        <v>0</v>
      </c>
      <c r="AR4" s="11">
        <v>0</v>
      </c>
      <c r="AS4" s="11">
        <v>0</v>
      </c>
      <c r="AT4" s="11">
        <v>0</v>
      </c>
      <c r="AU4" s="11">
        <v>0</v>
      </c>
      <c r="AV4" s="11">
        <v>0</v>
      </c>
      <c r="AW4" s="11">
        <v>0</v>
      </c>
      <c r="AX4" s="11">
        <v>0</v>
      </c>
      <c r="AY4" s="11">
        <v>5</v>
      </c>
      <c r="AZ4" s="11">
        <v>0</v>
      </c>
      <c r="BA4" s="11">
        <v>0</v>
      </c>
      <c r="BB4" s="11">
        <v>0</v>
      </c>
      <c r="BC4" s="11">
        <v>0</v>
      </c>
      <c r="BD4" s="262">
        <v>0</v>
      </c>
      <c r="BE4" s="40">
        <v>38313</v>
      </c>
      <c r="BF4" s="40" t="s">
        <v>330</v>
      </c>
      <c r="BG4" s="41" t="s">
        <v>330</v>
      </c>
      <c r="BH4" s="51" t="s">
        <v>264</v>
      </c>
      <c r="BI4" s="89" t="s">
        <v>148</v>
      </c>
      <c r="BJ4" s="90" t="s">
        <v>330</v>
      </c>
      <c r="BK4" s="89" t="s">
        <v>81</v>
      </c>
      <c r="BL4" s="90" t="s">
        <v>330</v>
      </c>
      <c r="BM4" s="90" t="s">
        <v>330</v>
      </c>
      <c r="BN4" s="89" t="s">
        <v>330</v>
      </c>
      <c r="BO4" s="90" t="s">
        <v>330</v>
      </c>
      <c r="BP4" s="90" t="s">
        <v>330</v>
      </c>
      <c r="BQ4" s="90" t="s">
        <v>330</v>
      </c>
      <c r="BR4" s="90" t="s">
        <v>330</v>
      </c>
      <c r="BS4" s="89" t="s">
        <v>330</v>
      </c>
      <c r="BT4" s="90" t="s">
        <v>330</v>
      </c>
      <c r="BU4" s="15" t="s">
        <v>81</v>
      </c>
      <c r="BV4" s="40">
        <v>41617</v>
      </c>
      <c r="BW4" s="14">
        <v>41724</v>
      </c>
      <c r="BX4" s="40">
        <v>41697</v>
      </c>
      <c r="BY4" s="40">
        <v>40598</v>
      </c>
      <c r="BZ4" s="15" t="s">
        <v>342</v>
      </c>
      <c r="CA4" s="40">
        <v>41944</v>
      </c>
      <c r="CB4" s="25" t="s">
        <v>330</v>
      </c>
      <c r="CC4" s="44" t="s">
        <v>572</v>
      </c>
      <c r="CD4" s="24" t="s">
        <v>330</v>
      </c>
      <c r="CE4" s="24" t="s">
        <v>330</v>
      </c>
      <c r="CF4" s="24" t="s">
        <v>330</v>
      </c>
      <c r="CG4" s="45" t="s">
        <v>330</v>
      </c>
      <c r="CH4" s="24" t="s">
        <v>330</v>
      </c>
      <c r="CI4" s="16" t="s">
        <v>330</v>
      </c>
      <c r="CJ4" s="31" t="s">
        <v>261</v>
      </c>
      <c r="CK4" s="45" t="s">
        <v>330</v>
      </c>
      <c r="CL4" s="45" t="s">
        <v>330</v>
      </c>
      <c r="CM4" s="45" t="s">
        <v>330</v>
      </c>
      <c r="CN4" s="45" t="s">
        <v>330</v>
      </c>
      <c r="CO4" s="24" t="s">
        <v>330</v>
      </c>
      <c r="CP4" s="46" t="s">
        <v>66</v>
      </c>
      <c r="CQ4" s="46" t="s">
        <v>261</v>
      </c>
      <c r="CR4" s="127" t="s">
        <v>261</v>
      </c>
      <c r="CS4" s="69">
        <v>0</v>
      </c>
      <c r="CT4" s="47">
        <v>0</v>
      </c>
      <c r="CU4" s="47">
        <v>0</v>
      </c>
      <c r="CV4" s="47">
        <v>0</v>
      </c>
      <c r="CW4" s="47">
        <v>0</v>
      </c>
      <c r="CX4" s="47">
        <v>0</v>
      </c>
      <c r="CY4" s="47">
        <v>0</v>
      </c>
      <c r="CZ4" s="47">
        <v>4</v>
      </c>
      <c r="DA4" s="47">
        <v>0</v>
      </c>
      <c r="DB4" s="48">
        <v>0</v>
      </c>
      <c r="DC4" s="48">
        <v>0</v>
      </c>
      <c r="DD4" s="48">
        <v>0</v>
      </c>
      <c r="DE4" s="48">
        <v>0</v>
      </c>
      <c r="DF4" s="49">
        <v>4</v>
      </c>
      <c r="DN4" s="5">
        <f>88-22</f>
        <v>66</v>
      </c>
    </row>
    <row r="5" spans="1:118" s="5" customFormat="1" x14ac:dyDescent="0.25">
      <c r="A5" s="22">
        <v>49941</v>
      </c>
      <c r="B5" s="14">
        <v>41526</v>
      </c>
      <c r="C5" s="135"/>
      <c r="D5" s="2" t="s">
        <v>69</v>
      </c>
      <c r="E5" s="9" t="s">
        <v>665</v>
      </c>
      <c r="F5" s="11"/>
      <c r="G5" s="256"/>
      <c r="H5" s="15" t="s">
        <v>578</v>
      </c>
      <c r="I5" s="2" t="s">
        <v>70</v>
      </c>
      <c r="J5" s="2" t="s">
        <v>64</v>
      </c>
      <c r="K5" s="267">
        <v>28000</v>
      </c>
      <c r="L5" s="18"/>
      <c r="M5" s="130"/>
      <c r="N5" s="131">
        <v>688389469</v>
      </c>
      <c r="O5" s="17" t="s">
        <v>16</v>
      </c>
      <c r="P5" s="18" t="s">
        <v>71</v>
      </c>
      <c r="Q5" s="19">
        <v>46627</v>
      </c>
      <c r="R5" s="128" t="s">
        <v>333</v>
      </c>
      <c r="S5" s="11" t="s">
        <v>72</v>
      </c>
      <c r="T5" s="137" t="s">
        <v>329</v>
      </c>
      <c r="U5" s="20"/>
      <c r="V5" s="3"/>
      <c r="W5" s="21" t="s">
        <v>199</v>
      </c>
      <c r="X5" s="126" t="s">
        <v>81</v>
      </c>
      <c r="Y5" s="126" t="s">
        <v>342</v>
      </c>
      <c r="Z5" s="11">
        <v>1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1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262">
        <v>0</v>
      </c>
      <c r="BE5" s="40">
        <v>38575</v>
      </c>
      <c r="BF5" s="40">
        <v>41192</v>
      </c>
      <c r="BG5" s="41" t="s">
        <v>330</v>
      </c>
      <c r="BH5" s="51" t="s">
        <v>264</v>
      </c>
      <c r="BI5" s="89" t="s">
        <v>148</v>
      </c>
      <c r="BJ5" s="90" t="s">
        <v>330</v>
      </c>
      <c r="BK5" s="89" t="s">
        <v>81</v>
      </c>
      <c r="BL5" s="90" t="s">
        <v>330</v>
      </c>
      <c r="BM5" s="90" t="s">
        <v>330</v>
      </c>
      <c r="BN5" s="89" t="s">
        <v>330</v>
      </c>
      <c r="BO5" s="90" t="s">
        <v>330</v>
      </c>
      <c r="BP5" s="90" t="s">
        <v>330</v>
      </c>
      <c r="BQ5" s="90" t="s">
        <v>330</v>
      </c>
      <c r="BR5" s="90" t="s">
        <v>330</v>
      </c>
      <c r="BS5" s="89" t="s">
        <v>330</v>
      </c>
      <c r="BT5" s="90" t="s">
        <v>330</v>
      </c>
      <c r="BU5" s="15" t="s">
        <v>81</v>
      </c>
      <c r="BV5" s="40">
        <v>41170</v>
      </c>
      <c r="BW5" s="40">
        <v>41627</v>
      </c>
      <c r="BX5" s="40">
        <v>40911</v>
      </c>
      <c r="BY5" s="40">
        <v>40598</v>
      </c>
      <c r="BZ5" s="15" t="s">
        <v>342</v>
      </c>
      <c r="CA5" s="40">
        <v>41760</v>
      </c>
      <c r="CB5" s="25" t="s">
        <v>265</v>
      </c>
      <c r="CC5" s="44" t="s">
        <v>333</v>
      </c>
      <c r="CD5" s="24" t="s">
        <v>330</v>
      </c>
      <c r="CE5" s="24" t="s">
        <v>330</v>
      </c>
      <c r="CF5" s="24" t="s">
        <v>330</v>
      </c>
      <c r="CG5" s="45" t="s">
        <v>330</v>
      </c>
      <c r="CH5" s="24" t="s">
        <v>330</v>
      </c>
      <c r="CI5" s="16" t="s">
        <v>330</v>
      </c>
      <c r="CJ5" s="31" t="s">
        <v>261</v>
      </c>
      <c r="CK5" s="45" t="s">
        <v>330</v>
      </c>
      <c r="CL5" s="45" t="s">
        <v>330</v>
      </c>
      <c r="CM5" s="45" t="s">
        <v>330</v>
      </c>
      <c r="CN5" s="45" t="s">
        <v>330</v>
      </c>
      <c r="CO5" s="24" t="s">
        <v>330</v>
      </c>
      <c r="CP5" s="46" t="s">
        <v>66</v>
      </c>
      <c r="CQ5" s="46" t="s">
        <v>261</v>
      </c>
      <c r="CR5" s="127" t="s">
        <v>261</v>
      </c>
      <c r="CS5" s="69">
        <v>0</v>
      </c>
      <c r="CT5" s="47">
        <v>0</v>
      </c>
      <c r="CU5" s="47">
        <v>0</v>
      </c>
      <c r="CV5" s="47">
        <v>0</v>
      </c>
      <c r="CW5" s="47">
        <v>0</v>
      </c>
      <c r="CX5" s="47">
        <v>0</v>
      </c>
      <c r="CY5" s="47">
        <v>0</v>
      </c>
      <c r="CZ5" s="47">
        <v>0</v>
      </c>
      <c r="DA5" s="47">
        <v>0</v>
      </c>
      <c r="DB5" s="48">
        <v>0</v>
      </c>
      <c r="DC5" s="48">
        <v>0</v>
      </c>
      <c r="DD5" s="48">
        <v>0</v>
      </c>
      <c r="DE5" s="48">
        <v>0</v>
      </c>
      <c r="DF5" s="49">
        <v>0</v>
      </c>
    </row>
    <row r="6" spans="1:118" s="5" customFormat="1" x14ac:dyDescent="0.25">
      <c r="A6" s="22">
        <v>50448</v>
      </c>
      <c r="B6" s="14"/>
      <c r="C6" s="135"/>
      <c r="D6" s="2" t="s">
        <v>73</v>
      </c>
      <c r="E6" s="9"/>
      <c r="F6" s="11"/>
      <c r="G6" s="256"/>
      <c r="H6" s="15" t="s">
        <v>578</v>
      </c>
      <c r="I6" s="2" t="s">
        <v>74</v>
      </c>
      <c r="J6" s="2" t="s">
        <v>64</v>
      </c>
      <c r="K6" s="267">
        <v>28000</v>
      </c>
      <c r="L6" s="18"/>
      <c r="M6" s="130"/>
      <c r="N6" s="131">
        <v>237884048</v>
      </c>
      <c r="O6" s="17" t="s">
        <v>290</v>
      </c>
      <c r="P6" s="18" t="s">
        <v>669</v>
      </c>
      <c r="Q6" s="19">
        <v>67178</v>
      </c>
      <c r="R6" s="128" t="s">
        <v>516</v>
      </c>
      <c r="S6" s="11" t="s">
        <v>11</v>
      </c>
      <c r="T6" s="137" t="s">
        <v>323</v>
      </c>
      <c r="U6" s="20"/>
      <c r="V6" s="3"/>
      <c r="W6" s="21" t="s">
        <v>201</v>
      </c>
      <c r="X6" s="126" t="s">
        <v>81</v>
      </c>
      <c r="Y6" s="126" t="s">
        <v>573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3</v>
      </c>
      <c r="AF6" s="11">
        <v>0</v>
      </c>
      <c r="AG6" s="11">
        <v>0</v>
      </c>
      <c r="AH6" s="11">
        <v>0</v>
      </c>
      <c r="AI6" s="11">
        <v>0</v>
      </c>
      <c r="AJ6" s="11">
        <v>0</v>
      </c>
      <c r="AK6" s="11">
        <v>0</v>
      </c>
      <c r="AL6" s="11">
        <v>0</v>
      </c>
      <c r="AM6" s="11">
        <v>0</v>
      </c>
      <c r="AN6" s="11">
        <v>0</v>
      </c>
      <c r="AO6" s="11">
        <v>0</v>
      </c>
      <c r="AP6" s="11">
        <v>0</v>
      </c>
      <c r="AQ6" s="11">
        <v>0</v>
      </c>
      <c r="AR6" s="11">
        <v>0</v>
      </c>
      <c r="AS6" s="11">
        <v>0</v>
      </c>
      <c r="AT6" s="11">
        <v>0</v>
      </c>
      <c r="AU6" s="11">
        <v>0</v>
      </c>
      <c r="AV6" s="11">
        <v>0</v>
      </c>
      <c r="AW6" s="11">
        <v>0</v>
      </c>
      <c r="AX6" s="11">
        <v>0</v>
      </c>
      <c r="AY6" s="11">
        <v>0</v>
      </c>
      <c r="AZ6" s="11">
        <v>0</v>
      </c>
      <c r="BA6" s="11">
        <v>0</v>
      </c>
      <c r="BB6" s="11">
        <v>0</v>
      </c>
      <c r="BC6" s="11">
        <v>0</v>
      </c>
      <c r="BD6" s="262">
        <v>0</v>
      </c>
      <c r="BE6" s="40">
        <v>38986</v>
      </c>
      <c r="BF6" s="40"/>
      <c r="BG6" s="41" t="s">
        <v>330</v>
      </c>
      <c r="BH6" s="52" t="s">
        <v>330</v>
      </c>
      <c r="BI6" s="87" t="s">
        <v>330</v>
      </c>
      <c r="BJ6" s="88" t="s">
        <v>330</v>
      </c>
      <c r="BK6" s="88" t="s">
        <v>330</v>
      </c>
      <c r="BL6" s="88" t="s">
        <v>330</v>
      </c>
      <c r="BM6" s="88" t="s">
        <v>648</v>
      </c>
      <c r="BN6" s="87" t="s">
        <v>330</v>
      </c>
      <c r="BO6" s="88" t="s">
        <v>330</v>
      </c>
      <c r="BP6" s="88" t="s">
        <v>330</v>
      </c>
      <c r="BQ6" s="88" t="s">
        <v>330</v>
      </c>
      <c r="BR6" s="88" t="s">
        <v>330</v>
      </c>
      <c r="BS6" s="87" t="s">
        <v>330</v>
      </c>
      <c r="BT6" s="88" t="s">
        <v>330</v>
      </c>
      <c r="BU6" s="15" t="s">
        <v>330</v>
      </c>
      <c r="BV6" s="40"/>
      <c r="BW6" s="40"/>
      <c r="BX6" s="40"/>
      <c r="BY6" s="40"/>
      <c r="BZ6" s="15" t="s">
        <v>330</v>
      </c>
      <c r="CA6" s="50"/>
      <c r="CB6" s="25" t="s">
        <v>330</v>
      </c>
      <c r="CC6" s="44" t="s">
        <v>516</v>
      </c>
      <c r="CD6" s="24" t="s">
        <v>330</v>
      </c>
      <c r="CE6" s="24" t="s">
        <v>330</v>
      </c>
      <c r="CF6" s="24" t="s">
        <v>330</v>
      </c>
      <c r="CG6" s="45" t="s">
        <v>330</v>
      </c>
      <c r="CH6" s="24" t="s">
        <v>330</v>
      </c>
      <c r="CI6" s="16" t="s">
        <v>330</v>
      </c>
      <c r="CJ6" s="31" t="s">
        <v>261</v>
      </c>
      <c r="CK6" s="45" t="s">
        <v>330</v>
      </c>
      <c r="CL6" s="45" t="s">
        <v>330</v>
      </c>
      <c r="CM6" s="45" t="s">
        <v>330</v>
      </c>
      <c r="CN6" s="45" t="s">
        <v>338</v>
      </c>
      <c r="CO6" s="24"/>
      <c r="CP6" s="46" t="s">
        <v>66</v>
      </c>
      <c r="CQ6" s="46" t="s">
        <v>261</v>
      </c>
      <c r="CR6" s="127" t="s">
        <v>261</v>
      </c>
      <c r="CS6" s="69">
        <v>0</v>
      </c>
      <c r="CT6" s="47">
        <v>0</v>
      </c>
      <c r="CU6" s="47">
        <v>0</v>
      </c>
      <c r="CV6" s="47">
        <v>0</v>
      </c>
      <c r="CW6" s="47">
        <v>0</v>
      </c>
      <c r="CX6" s="47">
        <v>0</v>
      </c>
      <c r="CY6" s="47">
        <v>0</v>
      </c>
      <c r="CZ6" s="47">
        <v>0</v>
      </c>
      <c r="DA6" s="47">
        <v>0</v>
      </c>
      <c r="DB6" s="48">
        <v>0</v>
      </c>
      <c r="DC6" s="48">
        <v>0</v>
      </c>
      <c r="DD6" s="48">
        <v>0</v>
      </c>
      <c r="DE6" s="48">
        <v>10</v>
      </c>
      <c r="DF6" s="49">
        <v>10</v>
      </c>
    </row>
    <row r="7" spans="1:118" s="5" customFormat="1" x14ac:dyDescent="0.25">
      <c r="A7" s="26">
        <v>83768</v>
      </c>
      <c r="B7" s="14">
        <v>41661</v>
      </c>
      <c r="C7" s="135"/>
      <c r="D7" s="1" t="s">
        <v>666</v>
      </c>
      <c r="E7" s="9" t="s">
        <v>75</v>
      </c>
      <c r="F7" s="19">
        <v>46665</v>
      </c>
      <c r="G7" s="256">
        <v>41292</v>
      </c>
      <c r="H7" s="27" t="s">
        <v>76</v>
      </c>
      <c r="I7" s="1" t="s">
        <v>77</v>
      </c>
      <c r="J7" s="1" t="s">
        <v>78</v>
      </c>
      <c r="K7" s="267">
        <v>28000</v>
      </c>
      <c r="L7" s="132"/>
      <c r="M7" s="130">
        <v>20002633400108</v>
      </c>
      <c r="N7" s="131">
        <v>237884480</v>
      </c>
      <c r="O7" s="17" t="s">
        <v>16</v>
      </c>
      <c r="P7" s="28" t="s">
        <v>79</v>
      </c>
      <c r="Q7" s="19" t="s">
        <v>344</v>
      </c>
      <c r="R7" s="128" t="s">
        <v>343</v>
      </c>
      <c r="S7" s="29" t="s">
        <v>320</v>
      </c>
      <c r="T7" s="137" t="s">
        <v>321</v>
      </c>
      <c r="U7" s="29"/>
      <c r="V7" s="8"/>
      <c r="W7" s="21" t="s">
        <v>199</v>
      </c>
      <c r="X7" s="126" t="s">
        <v>81</v>
      </c>
      <c r="Y7" s="126">
        <v>1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1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  <c r="AY7" s="11">
        <v>0</v>
      </c>
      <c r="AZ7" s="11">
        <v>0</v>
      </c>
      <c r="BA7" s="11">
        <v>0</v>
      </c>
      <c r="BB7" s="11">
        <v>0</v>
      </c>
      <c r="BC7" s="11">
        <v>0</v>
      </c>
      <c r="BD7" s="262">
        <v>0</v>
      </c>
      <c r="BE7" s="53" t="s">
        <v>568</v>
      </c>
      <c r="BF7" s="54" t="s">
        <v>330</v>
      </c>
      <c r="BG7" s="38" t="s">
        <v>330</v>
      </c>
      <c r="BH7" s="51" t="s">
        <v>264</v>
      </c>
      <c r="BI7" s="91" t="s">
        <v>330</v>
      </c>
      <c r="BJ7" s="46" t="s">
        <v>330</v>
      </c>
      <c r="BK7" s="91" t="s">
        <v>569</v>
      </c>
      <c r="BL7" s="46" t="s">
        <v>330</v>
      </c>
      <c r="BM7" s="46" t="s">
        <v>330</v>
      </c>
      <c r="BN7" s="91" t="s">
        <v>330</v>
      </c>
      <c r="BO7" s="46" t="s">
        <v>330</v>
      </c>
      <c r="BP7" s="46" t="s">
        <v>330</v>
      </c>
      <c r="BQ7" s="46" t="s">
        <v>330</v>
      </c>
      <c r="BR7" s="46" t="s">
        <v>330</v>
      </c>
      <c r="BS7" s="91" t="s">
        <v>330</v>
      </c>
      <c r="BT7" s="46" t="s">
        <v>330</v>
      </c>
      <c r="BU7" s="29" t="s">
        <v>569</v>
      </c>
      <c r="BV7" s="53">
        <v>41477</v>
      </c>
      <c r="BW7" s="40">
        <v>41661</v>
      </c>
      <c r="BX7" s="55"/>
      <c r="BY7" s="53"/>
      <c r="BZ7" s="29" t="s">
        <v>342</v>
      </c>
      <c r="CA7" s="56" t="s">
        <v>570</v>
      </c>
      <c r="CB7" s="57" t="s">
        <v>266</v>
      </c>
      <c r="CC7" s="44" t="s">
        <v>343</v>
      </c>
      <c r="CD7" s="38" t="s">
        <v>330</v>
      </c>
      <c r="CE7" s="38" t="s">
        <v>330</v>
      </c>
      <c r="CF7" s="38" t="s">
        <v>330</v>
      </c>
      <c r="CG7" s="45" t="s">
        <v>330</v>
      </c>
      <c r="CH7" s="29" t="s">
        <v>330</v>
      </c>
      <c r="CI7" s="29" t="s">
        <v>330</v>
      </c>
      <c r="CJ7" s="31" t="s">
        <v>261</v>
      </c>
      <c r="CK7" s="29" t="s">
        <v>330</v>
      </c>
      <c r="CL7" s="29" t="s">
        <v>330</v>
      </c>
      <c r="CM7" s="29" t="s">
        <v>330</v>
      </c>
      <c r="CN7" s="29" t="s">
        <v>330</v>
      </c>
      <c r="CO7" s="29" t="s">
        <v>330</v>
      </c>
      <c r="CP7" s="46" t="s">
        <v>66</v>
      </c>
      <c r="CQ7" s="46" t="s">
        <v>261</v>
      </c>
      <c r="CR7" s="127" t="s">
        <v>261</v>
      </c>
      <c r="CS7" s="69">
        <v>12</v>
      </c>
      <c r="CT7" s="47">
        <v>0</v>
      </c>
      <c r="CU7" s="47">
        <v>0</v>
      </c>
      <c r="CV7" s="47">
        <v>0</v>
      </c>
      <c r="CW7" s="47">
        <v>0</v>
      </c>
      <c r="CX7" s="47">
        <v>0</v>
      </c>
      <c r="CY7" s="47">
        <v>0</v>
      </c>
      <c r="CZ7" s="47">
        <v>0</v>
      </c>
      <c r="DA7" s="47">
        <v>0</v>
      </c>
      <c r="DB7" s="49">
        <v>0</v>
      </c>
      <c r="DC7" s="49">
        <v>0</v>
      </c>
      <c r="DD7" s="49">
        <v>0</v>
      </c>
      <c r="DE7" s="49">
        <v>0</v>
      </c>
      <c r="DF7" s="49">
        <v>12</v>
      </c>
    </row>
    <row r="8" spans="1:118" s="5" customFormat="1" x14ac:dyDescent="0.25">
      <c r="A8" s="26">
        <v>85292</v>
      </c>
      <c r="B8" s="14">
        <v>41526</v>
      </c>
      <c r="C8" s="135"/>
      <c r="D8" s="9" t="s">
        <v>523</v>
      </c>
      <c r="E8" s="9" t="s">
        <v>80</v>
      </c>
      <c r="F8" s="19"/>
      <c r="G8" s="256"/>
      <c r="H8" s="27" t="s">
        <v>655</v>
      </c>
      <c r="I8" s="2" t="s">
        <v>82</v>
      </c>
      <c r="J8" s="1" t="s">
        <v>64</v>
      </c>
      <c r="K8" s="267">
        <v>28000</v>
      </c>
      <c r="L8" s="132"/>
      <c r="M8" s="130"/>
      <c r="N8" s="131">
        <v>237914798</v>
      </c>
      <c r="O8" s="17" t="s">
        <v>16</v>
      </c>
      <c r="P8" s="28" t="s">
        <v>83</v>
      </c>
      <c r="Q8" s="19">
        <v>46694</v>
      </c>
      <c r="R8" s="128" t="s">
        <v>388</v>
      </c>
      <c r="S8" s="29" t="s">
        <v>84</v>
      </c>
      <c r="T8" s="137" t="s">
        <v>312</v>
      </c>
      <c r="U8" s="29"/>
      <c r="V8" s="8"/>
      <c r="W8" s="21" t="s">
        <v>200</v>
      </c>
      <c r="X8" s="126">
        <f t="shared" ref="X8:X36" si="0">IF(Y8&gt;0,1,"X")</f>
        <v>1</v>
      </c>
      <c r="Y8" s="126">
        <v>1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9">
        <v>1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  <c r="AY8" s="11">
        <v>0</v>
      </c>
      <c r="AZ8" s="11">
        <v>0</v>
      </c>
      <c r="BA8" s="11">
        <v>0</v>
      </c>
      <c r="BB8" s="11">
        <v>0</v>
      </c>
      <c r="BC8" s="11">
        <v>0</v>
      </c>
      <c r="BD8" s="262">
        <v>0</v>
      </c>
      <c r="BE8" s="53">
        <v>41373</v>
      </c>
      <c r="BF8" s="54"/>
      <c r="BG8" s="38"/>
      <c r="BH8" s="51" t="s">
        <v>264</v>
      </c>
      <c r="BI8" s="91"/>
      <c r="BJ8" s="46"/>
      <c r="BK8" s="91">
        <v>0.5</v>
      </c>
      <c r="BL8" s="46"/>
      <c r="BM8" s="46"/>
      <c r="BN8" s="91"/>
      <c r="BO8" s="46"/>
      <c r="BP8" s="46"/>
      <c r="BQ8" s="46"/>
      <c r="BR8" s="46"/>
      <c r="BS8" s="91"/>
      <c r="BT8" s="46"/>
      <c r="BU8" s="29">
        <v>0.5</v>
      </c>
      <c r="BV8" s="53">
        <v>41373</v>
      </c>
      <c r="BW8" s="40">
        <v>41648</v>
      </c>
      <c r="BX8" s="55">
        <v>41484</v>
      </c>
      <c r="BY8" s="53"/>
      <c r="BZ8" s="29">
        <v>1</v>
      </c>
      <c r="CA8" s="56">
        <v>41974</v>
      </c>
      <c r="CB8" s="57" t="s">
        <v>267</v>
      </c>
      <c r="CC8" s="44" t="str">
        <f t="shared" ref="CC8:CC36" si="1">+R8</f>
        <v>POMONA  CENTRE</v>
      </c>
      <c r="CD8" s="38"/>
      <c r="CE8" s="38"/>
      <c r="CF8" s="38"/>
      <c r="CG8" s="45"/>
      <c r="CH8" s="29"/>
      <c r="CI8" s="29"/>
      <c r="CJ8" s="58" t="s">
        <v>261</v>
      </c>
      <c r="CK8" s="29"/>
      <c r="CL8" s="29"/>
      <c r="CM8" s="29"/>
      <c r="CN8" s="29"/>
      <c r="CO8" s="29"/>
      <c r="CP8" s="46" t="str">
        <f t="shared" ref="CP8:CP36" si="2">IF(K8="","",LEFT(TEXT(K8,"00000"),2))</f>
        <v>28</v>
      </c>
      <c r="CQ8" s="46" t="str">
        <f t="shared" ref="CQ8:CQ36" si="3">IF(CP8="","","DT")</f>
        <v>DT</v>
      </c>
      <c r="CR8" s="127" t="str">
        <f t="shared" ref="CR8:CR36" si="4">IF(CP8="","","DT")</f>
        <v>DT</v>
      </c>
      <c r="CS8" s="69">
        <v>0</v>
      </c>
      <c r="CT8" s="47">
        <v>0</v>
      </c>
      <c r="CU8" s="47">
        <v>0</v>
      </c>
      <c r="CV8" s="47">
        <v>0</v>
      </c>
      <c r="CW8" s="47">
        <v>0</v>
      </c>
      <c r="CX8" s="47">
        <v>0</v>
      </c>
      <c r="CY8" s="47">
        <v>0</v>
      </c>
      <c r="CZ8" s="47">
        <v>0</v>
      </c>
      <c r="DA8" s="47">
        <v>0</v>
      </c>
      <c r="DB8" s="47">
        <v>0</v>
      </c>
      <c r="DC8" s="47">
        <v>0</v>
      </c>
      <c r="DD8" s="47">
        <v>0</v>
      </c>
      <c r="DE8" s="47">
        <v>0</v>
      </c>
      <c r="DF8" s="47">
        <f t="shared" ref="DF8" si="5">SUM(CS8:DE8)</f>
        <v>0</v>
      </c>
    </row>
    <row r="9" spans="1:118" s="5" customFormat="1" x14ac:dyDescent="0.25">
      <c r="A9" s="22">
        <v>90446</v>
      </c>
      <c r="B9" s="14">
        <v>41746</v>
      </c>
      <c r="C9" s="135"/>
      <c r="D9" s="7" t="s">
        <v>85</v>
      </c>
      <c r="E9" s="9" t="s">
        <v>653</v>
      </c>
      <c r="F9" s="30"/>
      <c r="G9" s="30"/>
      <c r="H9" s="15"/>
      <c r="I9" s="7" t="s">
        <v>86</v>
      </c>
      <c r="J9" s="7" t="s">
        <v>64</v>
      </c>
      <c r="K9" s="267">
        <v>28000</v>
      </c>
      <c r="L9" s="18"/>
      <c r="M9" s="130">
        <v>77562927200920</v>
      </c>
      <c r="N9" s="131">
        <v>237333080</v>
      </c>
      <c r="O9" s="17" t="s">
        <v>0</v>
      </c>
      <c r="P9" s="7" t="s">
        <v>87</v>
      </c>
      <c r="Q9" s="19">
        <v>67178</v>
      </c>
      <c r="R9" s="128" t="s">
        <v>516</v>
      </c>
      <c r="S9" s="30" t="s">
        <v>72</v>
      </c>
      <c r="T9" s="137" t="s">
        <v>329</v>
      </c>
      <c r="U9" s="31"/>
      <c r="V9" s="3"/>
      <c r="W9" s="3" t="s">
        <v>88</v>
      </c>
      <c r="X9" s="126">
        <f t="shared" si="0"/>
        <v>1</v>
      </c>
      <c r="Y9" s="126">
        <v>2</v>
      </c>
      <c r="Z9" s="11">
        <v>0</v>
      </c>
      <c r="AA9" s="11">
        <v>0</v>
      </c>
      <c r="AB9" s="11">
        <v>0</v>
      </c>
      <c r="AC9" s="11">
        <v>0</v>
      </c>
      <c r="AD9" s="11">
        <v>2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0</v>
      </c>
      <c r="BC9" s="11">
        <v>0</v>
      </c>
      <c r="BD9" s="262">
        <v>0</v>
      </c>
      <c r="BE9" s="40">
        <v>41746</v>
      </c>
      <c r="BF9" s="14"/>
      <c r="BG9" s="41"/>
      <c r="BH9" s="51" t="s">
        <v>217</v>
      </c>
      <c r="BI9" s="87"/>
      <c r="BJ9" s="88"/>
      <c r="BK9" s="88"/>
      <c r="BL9" s="88"/>
      <c r="BM9" s="88"/>
      <c r="BN9" s="87">
        <v>4</v>
      </c>
      <c r="BO9" s="88"/>
      <c r="BP9" s="88"/>
      <c r="BQ9" s="88"/>
      <c r="BR9" s="88"/>
      <c r="BS9" s="87"/>
      <c r="BT9" s="88"/>
      <c r="BU9" s="15">
        <v>4</v>
      </c>
      <c r="BV9" s="40"/>
      <c r="BW9" s="14">
        <v>41746</v>
      </c>
      <c r="BX9" s="40"/>
      <c r="BY9" s="40"/>
      <c r="BZ9" s="15">
        <v>4</v>
      </c>
      <c r="CA9" s="43">
        <v>41883</v>
      </c>
      <c r="CB9" s="25" t="s">
        <v>266</v>
      </c>
      <c r="CC9" s="44" t="str">
        <f t="shared" si="1"/>
        <v>MIKO CAFE SERVICE</v>
      </c>
      <c r="CD9" s="24"/>
      <c r="CE9" s="24"/>
      <c r="CF9" s="24"/>
      <c r="CG9" s="45"/>
      <c r="CH9" s="16"/>
      <c r="CI9" s="16"/>
      <c r="CJ9" s="24"/>
      <c r="CK9" s="45"/>
      <c r="CL9" s="45"/>
      <c r="CM9" s="45"/>
      <c r="CN9" s="45"/>
      <c r="CO9" s="24"/>
      <c r="CP9" s="46" t="str">
        <f t="shared" si="2"/>
        <v>28</v>
      </c>
      <c r="CQ9" s="46" t="str">
        <f t="shared" si="3"/>
        <v>DT</v>
      </c>
      <c r="CR9" s="127" t="str">
        <f t="shared" si="4"/>
        <v>DT</v>
      </c>
      <c r="CS9" s="70"/>
      <c r="CT9" s="48"/>
      <c r="CU9" s="48">
        <v>6</v>
      </c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9"/>
    </row>
    <row r="10" spans="1:118" s="5" customFormat="1" x14ac:dyDescent="0.25">
      <c r="A10" s="22">
        <v>50079</v>
      </c>
      <c r="B10" s="14">
        <v>41697</v>
      </c>
      <c r="C10" s="135"/>
      <c r="D10" s="2" t="s">
        <v>89</v>
      </c>
      <c r="E10" s="57" t="s">
        <v>90</v>
      </c>
      <c r="F10" s="11"/>
      <c r="G10" s="256"/>
      <c r="H10" s="15">
        <v>45</v>
      </c>
      <c r="I10" s="2" t="s">
        <v>91</v>
      </c>
      <c r="J10" s="2" t="s">
        <v>64</v>
      </c>
      <c r="K10" s="267">
        <v>28002</v>
      </c>
      <c r="L10" s="18"/>
      <c r="M10" s="130"/>
      <c r="N10" s="131">
        <v>237914100</v>
      </c>
      <c r="O10" s="17" t="s">
        <v>16</v>
      </c>
      <c r="P10" s="18" t="s">
        <v>92</v>
      </c>
      <c r="Q10" s="19">
        <v>46665</v>
      </c>
      <c r="R10" s="128" t="s">
        <v>343</v>
      </c>
      <c r="S10" s="11" t="s">
        <v>84</v>
      </c>
      <c r="T10" s="137" t="s">
        <v>312</v>
      </c>
      <c r="U10" s="20"/>
      <c r="V10" s="3"/>
      <c r="W10" s="21"/>
      <c r="X10" s="126">
        <f t="shared" si="0"/>
        <v>1</v>
      </c>
      <c r="Y10" s="126">
        <v>12</v>
      </c>
      <c r="Z10" s="11">
        <v>0</v>
      </c>
      <c r="AA10" s="11">
        <v>0</v>
      </c>
      <c r="AB10" s="11">
        <v>0</v>
      </c>
      <c r="AC10" s="11">
        <v>0</v>
      </c>
      <c r="AD10" s="11">
        <v>3</v>
      </c>
      <c r="AE10" s="11">
        <v>0</v>
      </c>
      <c r="AF10" s="11">
        <v>0</v>
      </c>
      <c r="AG10" s="11">
        <v>9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0</v>
      </c>
      <c r="BB10" s="11">
        <v>0</v>
      </c>
      <c r="BC10" s="11">
        <v>0</v>
      </c>
      <c r="BD10" s="262">
        <v>0</v>
      </c>
      <c r="BE10" s="40">
        <v>38702</v>
      </c>
      <c r="BF10" s="40"/>
      <c r="BG10" s="41"/>
      <c r="BH10" s="51" t="s">
        <v>264</v>
      </c>
      <c r="BI10" s="89" t="s">
        <v>148</v>
      </c>
      <c r="BJ10" s="90"/>
      <c r="BK10" s="89">
        <v>25</v>
      </c>
      <c r="BL10" s="90"/>
      <c r="BM10" s="90"/>
      <c r="BN10" s="89"/>
      <c r="BO10" s="90"/>
      <c r="BP10" s="90"/>
      <c r="BQ10" s="90"/>
      <c r="BR10" s="90"/>
      <c r="BS10" s="89"/>
      <c r="BT10" s="90"/>
      <c r="BU10" s="15">
        <v>25</v>
      </c>
      <c r="BV10" s="40">
        <v>41529</v>
      </c>
      <c r="BW10" s="40">
        <v>41697</v>
      </c>
      <c r="BX10" s="40">
        <v>41627</v>
      </c>
      <c r="BY10" s="40">
        <v>41529</v>
      </c>
      <c r="BZ10" s="15">
        <v>4</v>
      </c>
      <c r="CA10" s="50">
        <v>41760</v>
      </c>
      <c r="CB10" s="25"/>
      <c r="CC10" s="44" t="str">
        <f t="shared" si="1"/>
        <v>PRO A PRO  NORD CHALETTE SUR LOING</v>
      </c>
      <c r="CD10" s="24"/>
      <c r="CE10" s="24"/>
      <c r="CF10" s="24"/>
      <c r="CG10" s="45" t="s">
        <v>90</v>
      </c>
      <c r="CH10" s="24"/>
      <c r="CI10" s="16"/>
      <c r="CJ10" s="31" t="s">
        <v>261</v>
      </c>
      <c r="CK10" s="45"/>
      <c r="CL10" s="45"/>
      <c r="CM10" s="45"/>
      <c r="CN10" s="45"/>
      <c r="CO10" s="24"/>
      <c r="CP10" s="46" t="str">
        <f t="shared" si="2"/>
        <v>28</v>
      </c>
      <c r="CQ10" s="46" t="str">
        <f t="shared" si="3"/>
        <v>DT</v>
      </c>
      <c r="CR10" s="127" t="str">
        <f t="shared" si="4"/>
        <v>DT</v>
      </c>
      <c r="CS10" s="69">
        <v>0</v>
      </c>
      <c r="CT10" s="47">
        <v>0</v>
      </c>
      <c r="CU10" s="47">
        <v>22</v>
      </c>
      <c r="CV10" s="47">
        <v>0</v>
      </c>
      <c r="CW10" s="47">
        <v>4</v>
      </c>
      <c r="CX10" s="47">
        <v>0</v>
      </c>
      <c r="CY10" s="47">
        <v>11</v>
      </c>
      <c r="CZ10" s="47">
        <v>0</v>
      </c>
      <c r="DA10" s="47">
        <v>0</v>
      </c>
      <c r="DB10" s="48">
        <v>0</v>
      </c>
      <c r="DC10" s="48">
        <v>0</v>
      </c>
      <c r="DD10" s="48">
        <v>0</v>
      </c>
      <c r="DE10" s="48">
        <v>0</v>
      </c>
      <c r="DF10" s="49">
        <f t="shared" ref="DF10:DF23" si="6">SUM(CS10:DE10)</f>
        <v>37</v>
      </c>
    </row>
    <row r="11" spans="1:118" s="5" customFormat="1" x14ac:dyDescent="0.25">
      <c r="A11" s="22">
        <v>72691</v>
      </c>
      <c r="B11" s="14">
        <v>41652</v>
      </c>
      <c r="C11" s="135"/>
      <c r="D11" s="2" t="s">
        <v>93</v>
      </c>
      <c r="E11" s="9" t="s">
        <v>94</v>
      </c>
      <c r="F11" s="19">
        <v>46665</v>
      </c>
      <c r="G11" s="256">
        <v>40620</v>
      </c>
      <c r="H11" s="10" t="s">
        <v>95</v>
      </c>
      <c r="I11" s="2" t="s">
        <v>654</v>
      </c>
      <c r="J11" s="2" t="s">
        <v>64</v>
      </c>
      <c r="K11" s="267">
        <v>28007</v>
      </c>
      <c r="L11" s="132"/>
      <c r="M11" s="130"/>
      <c r="N11" s="131">
        <v>237300410</v>
      </c>
      <c r="O11" s="17" t="s">
        <v>16</v>
      </c>
      <c r="P11" s="18" t="s">
        <v>96</v>
      </c>
      <c r="Q11" s="19">
        <v>46665</v>
      </c>
      <c r="R11" s="128" t="s">
        <v>343</v>
      </c>
      <c r="S11" s="30" t="s">
        <v>9</v>
      </c>
      <c r="T11" s="137" t="s">
        <v>322</v>
      </c>
      <c r="U11" s="20"/>
      <c r="V11" s="3"/>
      <c r="W11" s="21"/>
      <c r="X11" s="126">
        <f t="shared" si="0"/>
        <v>1</v>
      </c>
      <c r="Y11" s="126">
        <v>1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1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262">
        <v>0</v>
      </c>
      <c r="BE11" s="40">
        <v>40133</v>
      </c>
      <c r="BF11" s="40"/>
      <c r="BG11" s="59"/>
      <c r="BH11" s="51" t="s">
        <v>264</v>
      </c>
      <c r="BI11" s="89"/>
      <c r="BJ11" s="90"/>
      <c r="BK11" s="89">
        <v>1</v>
      </c>
      <c r="BL11" s="90"/>
      <c r="BM11" s="90"/>
      <c r="BN11" s="89"/>
      <c r="BO11" s="90"/>
      <c r="BP11" s="90"/>
      <c r="BQ11" s="90"/>
      <c r="BR11" s="90"/>
      <c r="BS11" s="89"/>
      <c r="BT11" s="90"/>
      <c r="BU11" s="60">
        <v>1</v>
      </c>
      <c r="BV11" s="40">
        <v>41387</v>
      </c>
      <c r="BW11" s="40">
        <v>41652</v>
      </c>
      <c r="BX11" s="40">
        <v>41017</v>
      </c>
      <c r="BY11" s="40">
        <v>40133</v>
      </c>
      <c r="BZ11" s="15">
        <v>2</v>
      </c>
      <c r="CA11" s="50">
        <v>41944</v>
      </c>
      <c r="CB11" s="25" t="s">
        <v>268</v>
      </c>
      <c r="CC11" s="44" t="str">
        <f t="shared" si="1"/>
        <v>PRO A PRO  NORD CHALETTE SUR LOING</v>
      </c>
      <c r="CD11" s="24"/>
      <c r="CE11" s="24"/>
      <c r="CF11" s="24"/>
      <c r="CG11" s="45"/>
      <c r="CH11" s="24"/>
      <c r="CI11" s="16"/>
      <c r="CJ11" s="31" t="s">
        <v>261</v>
      </c>
      <c r="CK11" s="45"/>
      <c r="CL11" s="45"/>
      <c r="CM11" s="45"/>
      <c r="CN11" s="45"/>
      <c r="CO11" s="24"/>
      <c r="CP11" s="46" t="str">
        <f t="shared" si="2"/>
        <v>28</v>
      </c>
      <c r="CQ11" s="46" t="str">
        <f t="shared" si="3"/>
        <v>DT</v>
      </c>
      <c r="CR11" s="127" t="str">
        <f t="shared" si="4"/>
        <v>DT</v>
      </c>
      <c r="CS11" s="71">
        <v>0</v>
      </c>
      <c r="CT11" s="61">
        <v>0</v>
      </c>
      <c r="CU11" s="61">
        <v>0</v>
      </c>
      <c r="CV11" s="61">
        <v>0</v>
      </c>
      <c r="CW11" s="61">
        <v>2</v>
      </c>
      <c r="CX11" s="61">
        <v>0</v>
      </c>
      <c r="CY11" s="61">
        <v>0</v>
      </c>
      <c r="CZ11" s="61">
        <v>0</v>
      </c>
      <c r="DA11" s="61">
        <v>0</v>
      </c>
      <c r="DB11" s="62">
        <v>0</v>
      </c>
      <c r="DC11" s="62">
        <v>0</v>
      </c>
      <c r="DD11" s="62">
        <v>0</v>
      </c>
      <c r="DE11" s="62">
        <v>0</v>
      </c>
      <c r="DF11" s="63">
        <f t="shared" si="6"/>
        <v>2</v>
      </c>
    </row>
    <row r="12" spans="1:118" s="5" customFormat="1" x14ac:dyDescent="0.25">
      <c r="A12" s="22">
        <v>49838</v>
      </c>
      <c r="B12" s="14"/>
      <c r="C12" s="135"/>
      <c r="D12" s="2" t="s">
        <v>98</v>
      </c>
      <c r="E12" s="57" t="s">
        <v>99</v>
      </c>
      <c r="F12" s="11"/>
      <c r="G12" s="256"/>
      <c r="H12" s="15" t="s">
        <v>578</v>
      </c>
      <c r="I12" s="2" t="s">
        <v>100</v>
      </c>
      <c r="J12" s="2" t="s">
        <v>101</v>
      </c>
      <c r="K12" s="267">
        <v>28100</v>
      </c>
      <c r="L12" s="18"/>
      <c r="M12" s="130"/>
      <c r="N12" s="131">
        <v>237461664</v>
      </c>
      <c r="O12" s="17" t="s">
        <v>16</v>
      </c>
      <c r="P12" s="18" t="s">
        <v>102</v>
      </c>
      <c r="Q12" s="19">
        <v>67178</v>
      </c>
      <c r="R12" s="128" t="s">
        <v>516</v>
      </c>
      <c r="S12" s="11" t="s">
        <v>15</v>
      </c>
      <c r="T12" s="137" t="s">
        <v>313</v>
      </c>
      <c r="U12" s="20"/>
      <c r="V12" s="3"/>
      <c r="W12" s="21"/>
      <c r="X12" s="126" t="str">
        <f t="shared" si="0"/>
        <v>X</v>
      </c>
      <c r="Y12" s="126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262">
        <v>0</v>
      </c>
      <c r="BE12" s="40">
        <v>38497</v>
      </c>
      <c r="BF12" s="40"/>
      <c r="BG12" s="41"/>
      <c r="BH12" s="52"/>
      <c r="BI12" s="87"/>
      <c r="BJ12" s="88"/>
      <c r="BK12" s="88"/>
      <c r="BL12" s="88"/>
      <c r="BM12" s="88"/>
      <c r="BN12" s="87"/>
      <c r="BO12" s="88"/>
      <c r="BP12" s="88"/>
      <c r="BQ12" s="88"/>
      <c r="BR12" s="88"/>
      <c r="BS12" s="87"/>
      <c r="BT12" s="88"/>
      <c r="BU12" s="15"/>
      <c r="BV12" s="40"/>
      <c r="BW12" s="40"/>
      <c r="BX12" s="40"/>
      <c r="BY12" s="40"/>
      <c r="BZ12" s="15"/>
      <c r="CA12" s="50"/>
      <c r="CB12" s="25"/>
      <c r="CC12" s="44" t="str">
        <f t="shared" si="1"/>
        <v>MIKO CAFE SERVICE</v>
      </c>
      <c r="CD12" s="24"/>
      <c r="CE12" s="24"/>
      <c r="CF12" s="24"/>
      <c r="CG12" s="45" t="s">
        <v>99</v>
      </c>
      <c r="CH12" s="24"/>
      <c r="CI12" s="16"/>
      <c r="CJ12" s="31" t="s">
        <v>261</v>
      </c>
      <c r="CK12" s="45"/>
      <c r="CL12" s="45"/>
      <c r="CM12" s="45"/>
      <c r="CN12" s="45"/>
      <c r="CO12" s="24"/>
      <c r="CP12" s="46" t="str">
        <f t="shared" si="2"/>
        <v>28</v>
      </c>
      <c r="CQ12" s="46" t="str">
        <f t="shared" si="3"/>
        <v>DT</v>
      </c>
      <c r="CR12" s="127" t="str">
        <f t="shared" si="4"/>
        <v>DT</v>
      </c>
      <c r="CS12" s="71">
        <v>0</v>
      </c>
      <c r="CT12" s="61">
        <v>0</v>
      </c>
      <c r="CU12" s="61">
        <v>0</v>
      </c>
      <c r="CV12" s="61">
        <v>0</v>
      </c>
      <c r="CW12" s="61">
        <v>0</v>
      </c>
      <c r="CX12" s="61">
        <v>0</v>
      </c>
      <c r="CY12" s="61">
        <v>0</v>
      </c>
      <c r="CZ12" s="61">
        <v>0</v>
      </c>
      <c r="DA12" s="61">
        <v>0</v>
      </c>
      <c r="DB12" s="62">
        <v>0</v>
      </c>
      <c r="DC12" s="62">
        <v>0</v>
      </c>
      <c r="DD12" s="62">
        <v>0</v>
      </c>
      <c r="DE12" s="62">
        <v>0</v>
      </c>
      <c r="DF12" s="63">
        <f t="shared" si="6"/>
        <v>0</v>
      </c>
    </row>
    <row r="13" spans="1:118" s="5" customFormat="1" x14ac:dyDescent="0.25">
      <c r="A13" s="22">
        <v>51355</v>
      </c>
      <c r="B13" s="14"/>
      <c r="C13" s="135"/>
      <c r="D13" s="2" t="s">
        <v>103</v>
      </c>
      <c r="E13" s="57" t="s">
        <v>99</v>
      </c>
      <c r="F13" s="11"/>
      <c r="G13" s="256"/>
      <c r="H13" s="15" t="s">
        <v>589</v>
      </c>
      <c r="I13" s="2" t="s">
        <v>100</v>
      </c>
      <c r="J13" s="2" t="s">
        <v>101</v>
      </c>
      <c r="K13" s="267">
        <v>28100</v>
      </c>
      <c r="L13" s="132"/>
      <c r="M13" s="130"/>
      <c r="N13" s="131">
        <v>237500335</v>
      </c>
      <c r="O13" s="17" t="s">
        <v>292</v>
      </c>
      <c r="P13" s="18" t="s">
        <v>104</v>
      </c>
      <c r="Q13" s="19">
        <v>67178</v>
      </c>
      <c r="R13" s="128" t="s">
        <v>516</v>
      </c>
      <c r="S13" s="11" t="s">
        <v>13</v>
      </c>
      <c r="T13" s="137" t="s">
        <v>314</v>
      </c>
      <c r="U13" s="20"/>
      <c r="V13" s="3"/>
      <c r="W13" s="21"/>
      <c r="X13" s="126" t="str">
        <f t="shared" si="0"/>
        <v>X</v>
      </c>
      <c r="Y13" s="126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262">
        <v>0</v>
      </c>
      <c r="BE13" s="40">
        <v>38383</v>
      </c>
      <c r="BF13" s="40"/>
      <c r="BG13" s="41"/>
      <c r="BH13" s="52"/>
      <c r="BI13" s="87"/>
      <c r="BJ13" s="88"/>
      <c r="BK13" s="88"/>
      <c r="BL13" s="88"/>
      <c r="BM13" s="88"/>
      <c r="BN13" s="87"/>
      <c r="BO13" s="88"/>
      <c r="BP13" s="88"/>
      <c r="BQ13" s="88"/>
      <c r="BR13" s="88"/>
      <c r="BS13" s="87"/>
      <c r="BT13" s="88"/>
      <c r="BU13" s="15"/>
      <c r="BV13" s="40"/>
      <c r="BW13" s="40"/>
      <c r="BX13" s="40"/>
      <c r="BY13" s="40"/>
      <c r="BZ13" s="15"/>
      <c r="CA13" s="50"/>
      <c r="CB13" s="25"/>
      <c r="CC13" s="44" t="str">
        <f t="shared" si="1"/>
        <v>MIKO CAFE SERVICE</v>
      </c>
      <c r="CD13" s="24"/>
      <c r="CE13" s="24"/>
      <c r="CF13" s="24"/>
      <c r="CG13" s="45" t="s">
        <v>99</v>
      </c>
      <c r="CH13" s="24"/>
      <c r="CI13" s="16"/>
      <c r="CJ13" s="31" t="s">
        <v>261</v>
      </c>
      <c r="CK13" s="45"/>
      <c r="CL13" s="45"/>
      <c r="CM13" s="45"/>
      <c r="CN13" s="45"/>
      <c r="CO13" s="24"/>
      <c r="CP13" s="46" t="str">
        <f t="shared" si="2"/>
        <v>28</v>
      </c>
      <c r="CQ13" s="46" t="str">
        <f t="shared" si="3"/>
        <v>DT</v>
      </c>
      <c r="CR13" s="127" t="str">
        <f t="shared" si="4"/>
        <v>DT</v>
      </c>
      <c r="CS13" s="71">
        <v>0</v>
      </c>
      <c r="CT13" s="61">
        <v>0</v>
      </c>
      <c r="CU13" s="61">
        <v>0</v>
      </c>
      <c r="CV13" s="61">
        <v>0</v>
      </c>
      <c r="CW13" s="61">
        <v>0</v>
      </c>
      <c r="CX13" s="61">
        <v>0</v>
      </c>
      <c r="CY13" s="61">
        <v>0</v>
      </c>
      <c r="CZ13" s="61">
        <v>0</v>
      </c>
      <c r="DA13" s="61">
        <v>0</v>
      </c>
      <c r="DB13" s="62">
        <v>0</v>
      </c>
      <c r="DC13" s="62">
        <v>0</v>
      </c>
      <c r="DD13" s="62">
        <v>0</v>
      </c>
      <c r="DE13" s="62">
        <v>0</v>
      </c>
      <c r="DF13" s="63">
        <f t="shared" si="6"/>
        <v>0</v>
      </c>
    </row>
    <row r="14" spans="1:118" s="5" customFormat="1" x14ac:dyDescent="0.25">
      <c r="A14" s="22">
        <v>62967</v>
      </c>
      <c r="B14" s="14">
        <v>41640</v>
      </c>
      <c r="C14" s="135"/>
      <c r="D14" s="7" t="s">
        <v>670</v>
      </c>
      <c r="E14" s="7" t="s">
        <v>105</v>
      </c>
      <c r="F14" s="11"/>
      <c r="G14" s="256"/>
      <c r="H14" s="15"/>
      <c r="I14" s="2" t="s">
        <v>106</v>
      </c>
      <c r="J14" s="2" t="s">
        <v>101</v>
      </c>
      <c r="K14" s="267">
        <v>28100</v>
      </c>
      <c r="L14" s="132" t="s">
        <v>566</v>
      </c>
      <c r="M14" s="130"/>
      <c r="N14" s="131" t="s">
        <v>567</v>
      </c>
      <c r="O14" s="17" t="s">
        <v>289</v>
      </c>
      <c r="P14" s="18" t="s">
        <v>107</v>
      </c>
      <c r="Q14" s="19" t="s">
        <v>344</v>
      </c>
      <c r="R14" s="128"/>
      <c r="S14" s="11" t="s">
        <v>108</v>
      </c>
      <c r="T14" s="137" t="s">
        <v>311</v>
      </c>
      <c r="U14" s="20"/>
      <c r="V14" s="3"/>
      <c r="W14" s="21"/>
      <c r="X14" s="126">
        <f t="shared" si="0"/>
        <v>1</v>
      </c>
      <c r="Y14" s="126">
        <v>1</v>
      </c>
      <c r="Z14" s="11">
        <v>0</v>
      </c>
      <c r="AA14" s="11">
        <v>0</v>
      </c>
      <c r="AB14" s="11">
        <v>0</v>
      </c>
      <c r="AC14" s="11">
        <v>0</v>
      </c>
      <c r="AD14" s="11">
        <v>1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9">
        <v>0</v>
      </c>
      <c r="BB14" s="19">
        <v>0</v>
      </c>
      <c r="BC14" s="19">
        <v>0</v>
      </c>
      <c r="BD14" s="13">
        <v>0</v>
      </c>
      <c r="BE14" s="40">
        <v>40148</v>
      </c>
      <c r="BF14" s="40"/>
      <c r="BG14" s="59"/>
      <c r="BH14" s="51" t="s">
        <v>264</v>
      </c>
      <c r="BI14" s="89"/>
      <c r="BJ14" s="90"/>
      <c r="BK14" s="89">
        <v>1</v>
      </c>
      <c r="BL14" s="90"/>
      <c r="BM14" s="90"/>
      <c r="BN14" s="89"/>
      <c r="BO14" s="90"/>
      <c r="BP14" s="90"/>
      <c r="BQ14" s="90"/>
      <c r="BR14" s="90"/>
      <c r="BS14" s="89"/>
      <c r="BT14" s="90"/>
      <c r="BU14" s="10">
        <v>1</v>
      </c>
      <c r="BV14" s="40">
        <v>41337</v>
      </c>
      <c r="BW14" s="40">
        <v>41648</v>
      </c>
      <c r="BX14" s="40">
        <v>41337</v>
      </c>
      <c r="BY14" s="40">
        <v>40673</v>
      </c>
      <c r="BZ14" s="15">
        <v>2</v>
      </c>
      <c r="CA14" s="50">
        <v>41913</v>
      </c>
      <c r="CB14" s="25" t="s">
        <v>269</v>
      </c>
      <c r="CC14" s="44">
        <f t="shared" si="1"/>
        <v>0</v>
      </c>
      <c r="CD14" s="24"/>
      <c r="CE14" s="24"/>
      <c r="CF14" s="24"/>
      <c r="CG14" s="45" t="s">
        <v>105</v>
      </c>
      <c r="CH14" s="24"/>
      <c r="CI14" s="16"/>
      <c r="CJ14" s="31" t="s">
        <v>261</v>
      </c>
      <c r="CK14" s="45"/>
      <c r="CL14" s="45"/>
      <c r="CM14" s="45"/>
      <c r="CN14" s="45"/>
      <c r="CO14" s="24"/>
      <c r="CP14" s="46" t="str">
        <f t="shared" si="2"/>
        <v>28</v>
      </c>
      <c r="CQ14" s="46" t="str">
        <f t="shared" si="3"/>
        <v>DT</v>
      </c>
      <c r="CR14" s="127" t="str">
        <f t="shared" si="4"/>
        <v>DT</v>
      </c>
      <c r="CS14" s="69">
        <v>0</v>
      </c>
      <c r="CT14" s="47">
        <v>0</v>
      </c>
      <c r="CU14" s="47">
        <v>0</v>
      </c>
      <c r="CV14" s="47">
        <v>0</v>
      </c>
      <c r="CW14" s="47">
        <v>0</v>
      </c>
      <c r="CX14" s="47">
        <v>0</v>
      </c>
      <c r="CY14" s="47">
        <v>0</v>
      </c>
      <c r="CZ14" s="47">
        <v>0</v>
      </c>
      <c r="DA14" s="47">
        <v>2</v>
      </c>
      <c r="DB14" s="48">
        <v>0</v>
      </c>
      <c r="DC14" s="48">
        <v>0</v>
      </c>
      <c r="DD14" s="48">
        <v>0</v>
      </c>
      <c r="DE14" s="48">
        <v>0</v>
      </c>
      <c r="DF14" s="49">
        <f t="shared" si="6"/>
        <v>2</v>
      </c>
    </row>
    <row r="15" spans="1:118" s="5" customFormat="1" x14ac:dyDescent="0.25">
      <c r="A15" s="22">
        <v>49256</v>
      </c>
      <c r="B15" s="14">
        <v>41526</v>
      </c>
      <c r="C15" s="135"/>
      <c r="D15" s="2" t="s">
        <v>109</v>
      </c>
      <c r="E15" s="9"/>
      <c r="F15" s="11"/>
      <c r="G15" s="256"/>
      <c r="H15" s="15"/>
      <c r="I15" s="2" t="s">
        <v>110</v>
      </c>
      <c r="J15" s="2" t="s">
        <v>111</v>
      </c>
      <c r="K15" s="267">
        <v>28101</v>
      </c>
      <c r="L15" s="18"/>
      <c r="M15" s="130"/>
      <c r="N15" s="131">
        <v>237628860</v>
      </c>
      <c r="O15" s="17" t="s">
        <v>16</v>
      </c>
      <c r="P15" s="18" t="s">
        <v>112</v>
      </c>
      <c r="Q15" s="19">
        <v>67178</v>
      </c>
      <c r="R15" s="128" t="s">
        <v>516</v>
      </c>
      <c r="S15" s="11" t="s">
        <v>6</v>
      </c>
      <c r="T15" s="137" t="s">
        <v>308</v>
      </c>
      <c r="U15" s="20"/>
      <c r="V15" s="3"/>
      <c r="W15" s="21"/>
      <c r="X15" s="126">
        <f t="shared" si="0"/>
        <v>1</v>
      </c>
      <c r="Y15" s="126">
        <v>1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1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262">
        <v>0</v>
      </c>
      <c r="BE15" s="40">
        <v>37889</v>
      </c>
      <c r="BF15" s="40"/>
      <c r="BG15" s="41"/>
      <c r="BH15" s="51" t="s">
        <v>264</v>
      </c>
      <c r="BI15" s="89" t="s">
        <v>148</v>
      </c>
      <c r="BJ15" s="90"/>
      <c r="BK15" s="89">
        <v>1</v>
      </c>
      <c r="BL15" s="90"/>
      <c r="BM15" s="90"/>
      <c r="BN15" s="89"/>
      <c r="BO15" s="90"/>
      <c r="BP15" s="90"/>
      <c r="BQ15" s="90"/>
      <c r="BR15" s="90"/>
      <c r="BS15" s="89"/>
      <c r="BT15" s="90"/>
      <c r="BU15" s="10">
        <v>1</v>
      </c>
      <c r="BV15" s="40">
        <v>41445</v>
      </c>
      <c r="BW15" s="40">
        <v>41648</v>
      </c>
      <c r="BX15" s="40">
        <v>40983</v>
      </c>
      <c r="BY15" s="40">
        <v>40505</v>
      </c>
      <c r="BZ15" s="15">
        <v>2</v>
      </c>
      <c r="CA15" s="50">
        <v>41974</v>
      </c>
      <c r="CB15" s="25" t="s">
        <v>270</v>
      </c>
      <c r="CC15" s="44" t="str">
        <f t="shared" si="1"/>
        <v>MIKO CAFE SERVICE</v>
      </c>
      <c r="CD15" s="24"/>
      <c r="CE15" s="24"/>
      <c r="CF15" s="24"/>
      <c r="CG15" s="45"/>
      <c r="CH15" s="24"/>
      <c r="CI15" s="16"/>
      <c r="CJ15" s="31" t="s">
        <v>261</v>
      </c>
      <c r="CK15" s="45"/>
      <c r="CL15" s="45"/>
      <c r="CM15" s="45"/>
      <c r="CN15" s="45"/>
      <c r="CO15" s="24"/>
      <c r="CP15" s="46" t="str">
        <f t="shared" si="2"/>
        <v>28</v>
      </c>
      <c r="CQ15" s="46" t="str">
        <f t="shared" si="3"/>
        <v>DT</v>
      </c>
      <c r="CR15" s="127" t="str">
        <f t="shared" si="4"/>
        <v>DT</v>
      </c>
      <c r="CS15" s="69">
        <v>0</v>
      </c>
      <c r="CT15" s="47">
        <v>0</v>
      </c>
      <c r="CU15" s="47">
        <v>2</v>
      </c>
      <c r="CV15" s="47">
        <v>0</v>
      </c>
      <c r="CW15" s="47">
        <v>0</v>
      </c>
      <c r="CX15" s="47">
        <v>0</v>
      </c>
      <c r="CY15" s="47">
        <v>0</v>
      </c>
      <c r="CZ15" s="47">
        <v>0</v>
      </c>
      <c r="DA15" s="47">
        <v>0</v>
      </c>
      <c r="DB15" s="48">
        <v>0</v>
      </c>
      <c r="DC15" s="48">
        <v>0</v>
      </c>
      <c r="DD15" s="48">
        <v>0</v>
      </c>
      <c r="DE15" s="48">
        <v>0</v>
      </c>
      <c r="DF15" s="49">
        <f t="shared" si="6"/>
        <v>2</v>
      </c>
    </row>
    <row r="16" spans="1:118" s="5" customFormat="1" x14ac:dyDescent="0.25">
      <c r="A16" s="22">
        <v>80036</v>
      </c>
      <c r="B16" s="14">
        <v>41787</v>
      </c>
      <c r="C16" s="135"/>
      <c r="D16" s="2" t="s">
        <v>664</v>
      </c>
      <c r="E16" s="9" t="s">
        <v>113</v>
      </c>
      <c r="F16" s="19"/>
      <c r="G16" s="256"/>
      <c r="H16" s="15"/>
      <c r="I16" s="2" t="s">
        <v>114</v>
      </c>
      <c r="J16" s="2" t="s">
        <v>111</v>
      </c>
      <c r="K16" s="267">
        <v>28103</v>
      </c>
      <c r="L16" s="132"/>
      <c r="M16" s="130"/>
      <c r="N16" s="131">
        <v>662661860</v>
      </c>
      <c r="O16" s="17" t="s">
        <v>16</v>
      </c>
      <c r="P16" s="32" t="s">
        <v>115</v>
      </c>
      <c r="Q16" s="19">
        <v>67178</v>
      </c>
      <c r="R16" s="128" t="s">
        <v>516</v>
      </c>
      <c r="S16" s="31" t="s">
        <v>9</v>
      </c>
      <c r="T16" s="137" t="s">
        <v>322</v>
      </c>
      <c r="V16" s="33"/>
      <c r="X16" s="126">
        <f t="shared" si="0"/>
        <v>1</v>
      </c>
      <c r="Y16" s="126">
        <v>2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2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262">
        <v>0</v>
      </c>
      <c r="BE16" s="40">
        <v>41100</v>
      </c>
      <c r="BF16" s="40"/>
      <c r="BH16" s="51" t="s">
        <v>271</v>
      </c>
      <c r="BI16" s="89"/>
      <c r="BJ16" s="90"/>
      <c r="BK16" s="90"/>
      <c r="BL16" s="89">
        <v>1.5</v>
      </c>
      <c r="BM16" s="90"/>
      <c r="BN16" s="89"/>
      <c r="BO16" s="90"/>
      <c r="BP16" s="90"/>
      <c r="BQ16" s="90"/>
      <c r="BR16" s="90"/>
      <c r="BS16" s="89"/>
      <c r="BT16" s="90"/>
      <c r="BU16" s="15">
        <v>1.5</v>
      </c>
      <c r="BV16" s="40">
        <v>41571</v>
      </c>
      <c r="BW16" s="40">
        <v>41787</v>
      </c>
      <c r="BX16" s="40">
        <v>41571</v>
      </c>
      <c r="BY16" s="40"/>
      <c r="BZ16" s="21">
        <v>2</v>
      </c>
      <c r="CA16" s="43">
        <v>42005</v>
      </c>
      <c r="CB16" s="25"/>
      <c r="CC16" s="44" t="str">
        <f t="shared" si="1"/>
        <v>MIKO CAFE SERVICE</v>
      </c>
      <c r="CG16" s="45"/>
      <c r="CH16" s="21"/>
      <c r="CJ16" s="31" t="s">
        <v>261</v>
      </c>
      <c r="CK16" s="21"/>
      <c r="CL16" s="21"/>
      <c r="CM16" s="21"/>
      <c r="CN16" s="21"/>
      <c r="CO16" s="21"/>
      <c r="CP16" s="46" t="str">
        <f t="shared" si="2"/>
        <v>28</v>
      </c>
      <c r="CQ16" s="46" t="str">
        <f t="shared" si="3"/>
        <v>DT</v>
      </c>
      <c r="CR16" s="127" t="str">
        <f t="shared" si="4"/>
        <v>DT</v>
      </c>
      <c r="CS16" s="69">
        <v>0</v>
      </c>
      <c r="CT16" s="47">
        <v>0</v>
      </c>
      <c r="CU16" s="47">
        <v>0</v>
      </c>
      <c r="CV16" s="47">
        <v>0</v>
      </c>
      <c r="CW16" s="47">
        <v>4</v>
      </c>
      <c r="CX16" s="47">
        <v>0</v>
      </c>
      <c r="CY16" s="47">
        <v>0</v>
      </c>
      <c r="CZ16" s="47">
        <v>0</v>
      </c>
      <c r="DA16" s="47">
        <v>0</v>
      </c>
      <c r="DB16" s="49">
        <v>0</v>
      </c>
      <c r="DC16" s="49">
        <v>0</v>
      </c>
      <c r="DD16" s="49">
        <v>0</v>
      </c>
      <c r="DE16" s="49">
        <v>0</v>
      </c>
      <c r="DF16" s="49">
        <f t="shared" si="6"/>
        <v>4</v>
      </c>
    </row>
    <row r="17" spans="1:110" s="5" customFormat="1" x14ac:dyDescent="0.25">
      <c r="A17" s="22">
        <v>49232</v>
      </c>
      <c r="B17" s="14">
        <v>41565</v>
      </c>
      <c r="C17" s="135"/>
      <c r="D17" s="2" t="s">
        <v>116</v>
      </c>
      <c r="E17" s="9"/>
      <c r="F17" s="11"/>
      <c r="G17" s="256"/>
      <c r="H17" s="15"/>
      <c r="I17" s="2" t="s">
        <v>117</v>
      </c>
      <c r="J17" s="2" t="s">
        <v>111</v>
      </c>
      <c r="K17" s="267">
        <v>28104</v>
      </c>
      <c r="L17" s="18"/>
      <c r="M17" s="130"/>
      <c r="N17" s="131">
        <v>237389000</v>
      </c>
      <c r="O17" s="17" t="s">
        <v>16</v>
      </c>
      <c r="P17" s="18" t="s">
        <v>118</v>
      </c>
      <c r="Q17" s="19">
        <v>46633</v>
      </c>
      <c r="R17" s="128" t="s">
        <v>345</v>
      </c>
      <c r="S17" s="11" t="s">
        <v>6</v>
      </c>
      <c r="T17" s="137" t="s">
        <v>308</v>
      </c>
      <c r="U17" s="20"/>
      <c r="V17" s="3"/>
      <c r="W17" s="21"/>
      <c r="X17" s="126">
        <f t="shared" si="0"/>
        <v>1</v>
      </c>
      <c r="Y17" s="126">
        <v>2</v>
      </c>
      <c r="Z17" s="11">
        <v>0</v>
      </c>
      <c r="AA17" s="11">
        <v>0</v>
      </c>
      <c r="AB17" s="11">
        <v>0</v>
      </c>
      <c r="AC17" s="11">
        <v>0</v>
      </c>
      <c r="AD17" s="11">
        <v>2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262">
        <v>0</v>
      </c>
      <c r="BE17" s="40">
        <v>37880</v>
      </c>
      <c r="BF17" s="40"/>
      <c r="BG17" s="41"/>
      <c r="BH17" s="42" t="s">
        <v>212</v>
      </c>
      <c r="BI17" s="87">
        <v>1.5</v>
      </c>
      <c r="BJ17" s="88"/>
      <c r="BK17" s="88"/>
      <c r="BL17" s="88"/>
      <c r="BM17" s="88"/>
      <c r="BN17" s="87"/>
      <c r="BO17" s="88"/>
      <c r="BP17" s="88"/>
      <c r="BQ17" s="88"/>
      <c r="BR17" s="88"/>
      <c r="BS17" s="87"/>
      <c r="BT17" s="88"/>
      <c r="BU17" s="15">
        <v>1.5</v>
      </c>
      <c r="BV17" s="40">
        <v>41233</v>
      </c>
      <c r="BW17" s="40">
        <v>41550</v>
      </c>
      <c r="BX17" s="40">
        <v>40870</v>
      </c>
      <c r="BY17" s="40">
        <v>40505</v>
      </c>
      <c r="BZ17" s="15">
        <v>2</v>
      </c>
      <c r="CA17" s="50">
        <v>41883</v>
      </c>
      <c r="CB17" s="25" t="s">
        <v>272</v>
      </c>
      <c r="CC17" s="44" t="str">
        <f t="shared" si="1"/>
        <v>CAPAL</v>
      </c>
      <c r="CD17" s="24"/>
      <c r="CE17" s="24"/>
      <c r="CF17" s="24"/>
      <c r="CG17" s="45"/>
      <c r="CH17" s="24"/>
      <c r="CI17" s="16"/>
      <c r="CJ17" s="31" t="s">
        <v>261</v>
      </c>
      <c r="CK17" s="45"/>
      <c r="CL17" s="45"/>
      <c r="CM17" s="45"/>
      <c r="CN17" s="45"/>
      <c r="CO17" s="24"/>
      <c r="CP17" s="46" t="str">
        <f t="shared" si="2"/>
        <v>28</v>
      </c>
      <c r="CQ17" s="46" t="str">
        <f t="shared" si="3"/>
        <v>DT</v>
      </c>
      <c r="CR17" s="127" t="str">
        <f t="shared" si="4"/>
        <v>DT</v>
      </c>
      <c r="CS17" s="69">
        <v>0</v>
      </c>
      <c r="CT17" s="47">
        <v>0</v>
      </c>
      <c r="CU17" s="47">
        <v>4</v>
      </c>
      <c r="CV17" s="47">
        <v>0</v>
      </c>
      <c r="CW17" s="47">
        <v>0</v>
      </c>
      <c r="CX17" s="47">
        <v>0</v>
      </c>
      <c r="CY17" s="47">
        <v>0</v>
      </c>
      <c r="CZ17" s="47">
        <v>0</v>
      </c>
      <c r="DA17" s="47">
        <v>0</v>
      </c>
      <c r="DB17" s="48">
        <v>0</v>
      </c>
      <c r="DC17" s="48">
        <v>0</v>
      </c>
      <c r="DD17" s="48">
        <v>0</v>
      </c>
      <c r="DE17" s="48">
        <v>0</v>
      </c>
      <c r="DF17" s="49">
        <f t="shared" si="6"/>
        <v>4</v>
      </c>
    </row>
    <row r="18" spans="1:110" s="5" customFormat="1" x14ac:dyDescent="0.25">
      <c r="A18" s="22">
        <v>73444</v>
      </c>
      <c r="B18" s="14">
        <v>41550</v>
      </c>
      <c r="C18" s="135"/>
      <c r="D18" s="2" t="s">
        <v>119</v>
      </c>
      <c r="E18" s="9"/>
      <c r="F18" s="19">
        <v>46663</v>
      </c>
      <c r="G18" s="256">
        <v>40631</v>
      </c>
      <c r="H18" s="15">
        <v>7</v>
      </c>
      <c r="I18" s="2" t="s">
        <v>120</v>
      </c>
      <c r="J18" s="2" t="s">
        <v>101</v>
      </c>
      <c r="K18" s="267">
        <v>28105</v>
      </c>
      <c r="L18" s="132"/>
      <c r="M18" s="130">
        <v>19280658600017</v>
      </c>
      <c r="N18" s="131">
        <v>237461740</v>
      </c>
      <c r="O18" s="17" t="s">
        <v>16</v>
      </c>
      <c r="P18" s="34" t="s">
        <v>121</v>
      </c>
      <c r="Q18" s="19">
        <v>46633</v>
      </c>
      <c r="R18" s="128" t="s">
        <v>345</v>
      </c>
      <c r="S18" s="30" t="s">
        <v>6</v>
      </c>
      <c r="T18" s="137" t="s">
        <v>308</v>
      </c>
      <c r="U18" s="20"/>
      <c r="V18" s="3"/>
      <c r="W18" s="21"/>
      <c r="X18" s="126">
        <f t="shared" si="0"/>
        <v>1</v>
      </c>
      <c r="Y18" s="126">
        <v>1</v>
      </c>
      <c r="Z18" s="11">
        <v>0</v>
      </c>
      <c r="AA18" s="11">
        <v>0</v>
      </c>
      <c r="AB18" s="11">
        <v>0</v>
      </c>
      <c r="AC18" s="11">
        <v>0</v>
      </c>
      <c r="AD18" s="11">
        <v>1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262">
        <v>0</v>
      </c>
      <c r="BE18" s="40">
        <v>40631</v>
      </c>
      <c r="BF18" s="40"/>
      <c r="BG18" s="59"/>
      <c r="BH18" s="42" t="s">
        <v>212</v>
      </c>
      <c r="BI18" s="87">
        <v>1.5</v>
      </c>
      <c r="BJ18" s="88"/>
      <c r="BK18" s="88"/>
      <c r="BL18" s="88"/>
      <c r="BM18" s="88"/>
      <c r="BN18" s="87"/>
      <c r="BO18" s="88"/>
      <c r="BP18" s="88"/>
      <c r="BQ18" s="88"/>
      <c r="BR18" s="88"/>
      <c r="BS18" s="87"/>
      <c r="BT18" s="88"/>
      <c r="BU18" s="64">
        <v>1.5</v>
      </c>
      <c r="BV18" s="40">
        <v>41317</v>
      </c>
      <c r="BW18" s="40">
        <v>41550</v>
      </c>
      <c r="BX18" s="40">
        <v>40983</v>
      </c>
      <c r="BY18" s="40">
        <v>40479</v>
      </c>
      <c r="BZ18" s="15">
        <v>2</v>
      </c>
      <c r="CA18" s="50">
        <v>41883</v>
      </c>
      <c r="CB18" s="25" t="s">
        <v>273</v>
      </c>
      <c r="CC18" s="44" t="str">
        <f t="shared" si="1"/>
        <v>CAPAL</v>
      </c>
      <c r="CD18" s="24"/>
      <c r="CE18" s="24"/>
      <c r="CF18" s="24"/>
      <c r="CG18" s="45"/>
      <c r="CH18" s="24"/>
      <c r="CI18" s="16"/>
      <c r="CJ18" s="31" t="s">
        <v>261</v>
      </c>
      <c r="CK18" s="45"/>
      <c r="CL18" s="45"/>
      <c r="CM18" s="45"/>
      <c r="CN18" s="45"/>
      <c r="CO18" s="24"/>
      <c r="CP18" s="46" t="str">
        <f t="shared" si="2"/>
        <v>28</v>
      </c>
      <c r="CQ18" s="46" t="str">
        <f t="shared" si="3"/>
        <v>DT</v>
      </c>
      <c r="CR18" s="127" t="str">
        <f t="shared" si="4"/>
        <v>DT</v>
      </c>
      <c r="CS18" s="69">
        <v>0</v>
      </c>
      <c r="CT18" s="47">
        <v>0</v>
      </c>
      <c r="CU18" s="47">
        <v>2</v>
      </c>
      <c r="CV18" s="47">
        <v>0</v>
      </c>
      <c r="CW18" s="47">
        <v>0</v>
      </c>
      <c r="CX18" s="47">
        <v>0</v>
      </c>
      <c r="CY18" s="47">
        <v>0</v>
      </c>
      <c r="CZ18" s="47">
        <v>0</v>
      </c>
      <c r="DA18" s="47">
        <v>0</v>
      </c>
      <c r="DB18" s="48">
        <v>0</v>
      </c>
      <c r="DC18" s="48">
        <v>0</v>
      </c>
      <c r="DD18" s="48">
        <v>0</v>
      </c>
      <c r="DE18" s="48">
        <v>0</v>
      </c>
      <c r="DF18" s="49">
        <f t="shared" si="6"/>
        <v>2</v>
      </c>
    </row>
    <row r="19" spans="1:110" s="5" customFormat="1" x14ac:dyDescent="0.25">
      <c r="A19" s="22">
        <v>45721</v>
      </c>
      <c r="B19" s="14"/>
      <c r="C19" s="135"/>
      <c r="D19" s="2" t="s">
        <v>122</v>
      </c>
      <c r="E19" s="9" t="s">
        <v>123</v>
      </c>
      <c r="F19" s="11"/>
      <c r="G19" s="256"/>
      <c r="H19" s="15" t="s">
        <v>124</v>
      </c>
      <c r="I19" s="2" t="s">
        <v>125</v>
      </c>
      <c r="J19" s="2" t="s">
        <v>126</v>
      </c>
      <c r="K19" s="267">
        <v>28110</v>
      </c>
      <c r="L19" s="18"/>
      <c r="M19" s="130"/>
      <c r="N19" s="131" t="s">
        <v>520</v>
      </c>
      <c r="O19" s="17" t="s">
        <v>0</v>
      </c>
      <c r="P19" s="18" t="s">
        <v>127</v>
      </c>
      <c r="Q19" s="19" t="s">
        <v>521</v>
      </c>
      <c r="R19" s="128"/>
      <c r="S19" s="11" t="s">
        <v>128</v>
      </c>
      <c r="T19" s="137" t="s">
        <v>305</v>
      </c>
      <c r="U19" s="20"/>
      <c r="V19" s="3"/>
      <c r="W19" s="21"/>
      <c r="X19" s="126" t="str">
        <f t="shared" si="0"/>
        <v>X</v>
      </c>
      <c r="Y19" s="126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262">
        <v>0</v>
      </c>
      <c r="BE19" s="40">
        <v>33305</v>
      </c>
      <c r="BF19" s="40"/>
      <c r="BG19" s="41"/>
      <c r="BH19" s="52"/>
      <c r="BI19" s="87"/>
      <c r="BJ19" s="88"/>
      <c r="BK19" s="88"/>
      <c r="BL19" s="88"/>
      <c r="BM19" s="88"/>
      <c r="BN19" s="87"/>
      <c r="BO19" s="88"/>
      <c r="BP19" s="88"/>
      <c r="BQ19" s="88"/>
      <c r="BR19" s="88"/>
      <c r="BS19" s="87">
        <v>2</v>
      </c>
      <c r="BT19" s="88"/>
      <c r="BU19" s="15"/>
      <c r="BV19" s="40"/>
      <c r="BW19" s="40"/>
      <c r="BX19" s="40"/>
      <c r="BY19" s="40"/>
      <c r="BZ19" s="15"/>
      <c r="CA19" s="50"/>
      <c r="CB19" s="25"/>
      <c r="CC19" s="44">
        <f t="shared" si="1"/>
        <v>0</v>
      </c>
      <c r="CD19" s="24"/>
      <c r="CE19" s="24"/>
      <c r="CF19" s="24"/>
      <c r="CG19" s="45"/>
      <c r="CH19" s="24"/>
      <c r="CI19" s="16"/>
      <c r="CJ19" s="31" t="s">
        <v>261</v>
      </c>
      <c r="CK19" s="45"/>
      <c r="CL19" s="45"/>
      <c r="CM19" s="45"/>
      <c r="CN19" s="45"/>
      <c r="CO19" s="24"/>
      <c r="CP19" s="46" t="str">
        <f t="shared" si="2"/>
        <v>28</v>
      </c>
      <c r="CQ19" s="46" t="str">
        <f t="shared" si="3"/>
        <v>DT</v>
      </c>
      <c r="CR19" s="127" t="str">
        <f t="shared" si="4"/>
        <v>DT</v>
      </c>
      <c r="CS19" s="69">
        <v>0</v>
      </c>
      <c r="CT19" s="47">
        <v>0</v>
      </c>
      <c r="CU19" s="47">
        <v>0</v>
      </c>
      <c r="CV19" s="47">
        <v>0</v>
      </c>
      <c r="CW19" s="47">
        <v>0</v>
      </c>
      <c r="CX19" s="47">
        <v>0</v>
      </c>
      <c r="CY19" s="47">
        <v>0</v>
      </c>
      <c r="CZ19" s="47">
        <v>0</v>
      </c>
      <c r="DA19" s="47">
        <v>0</v>
      </c>
      <c r="DB19" s="48">
        <v>0</v>
      </c>
      <c r="DC19" s="48">
        <v>0</v>
      </c>
      <c r="DD19" s="48">
        <v>0</v>
      </c>
      <c r="DE19" s="48">
        <v>0</v>
      </c>
      <c r="DF19" s="49">
        <f t="shared" si="6"/>
        <v>0</v>
      </c>
    </row>
    <row r="20" spans="1:110" s="5" customFormat="1" x14ac:dyDescent="0.25">
      <c r="A20" s="22">
        <v>45889</v>
      </c>
      <c r="B20" s="14">
        <v>41651</v>
      </c>
      <c r="C20" s="135"/>
      <c r="D20" s="2" t="s">
        <v>129</v>
      </c>
      <c r="E20" s="9"/>
      <c r="F20" s="11"/>
      <c r="G20" s="256"/>
      <c r="H20" s="15">
        <v>30</v>
      </c>
      <c r="I20" s="2" t="s">
        <v>130</v>
      </c>
      <c r="J20" s="2" t="s">
        <v>126</v>
      </c>
      <c r="K20" s="267">
        <v>28110</v>
      </c>
      <c r="L20" s="18"/>
      <c r="M20" s="130"/>
      <c r="N20" s="131">
        <v>237357843</v>
      </c>
      <c r="O20" s="17" t="s">
        <v>0</v>
      </c>
      <c r="P20" s="18" t="s">
        <v>131</v>
      </c>
      <c r="Q20" s="19">
        <v>46694</v>
      </c>
      <c r="R20" s="128" t="s">
        <v>388</v>
      </c>
      <c r="S20" s="11" t="s">
        <v>132</v>
      </c>
      <c r="T20" s="137" t="s">
        <v>317</v>
      </c>
      <c r="U20" s="20"/>
      <c r="V20" s="3"/>
      <c r="W20" s="21"/>
      <c r="X20" s="126">
        <f t="shared" si="0"/>
        <v>1</v>
      </c>
      <c r="Y20" s="126">
        <v>1</v>
      </c>
      <c r="Z20" s="11">
        <v>0</v>
      </c>
      <c r="AA20" s="11">
        <v>0</v>
      </c>
      <c r="AB20" s="11">
        <v>0</v>
      </c>
      <c r="AC20" s="11">
        <v>0</v>
      </c>
      <c r="AD20" s="11">
        <v>1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262">
        <v>0</v>
      </c>
      <c r="BE20" s="40">
        <v>32926</v>
      </c>
      <c r="BF20" s="40"/>
      <c r="BG20" s="41"/>
      <c r="BH20" s="51" t="s">
        <v>264</v>
      </c>
      <c r="BI20" s="89" t="s">
        <v>148</v>
      </c>
      <c r="BJ20" s="90"/>
      <c r="BK20" s="89">
        <v>2</v>
      </c>
      <c r="BL20" s="90"/>
      <c r="BM20" s="90"/>
      <c r="BN20" s="89"/>
      <c r="BO20" s="90"/>
      <c r="BP20" s="90"/>
      <c r="BQ20" s="90"/>
      <c r="BR20" s="90"/>
      <c r="BS20" s="87">
        <v>1</v>
      </c>
      <c r="BT20" s="90"/>
      <c r="BU20" s="15">
        <v>2</v>
      </c>
      <c r="BV20" s="40">
        <v>41445</v>
      </c>
      <c r="BW20" s="40">
        <v>41651</v>
      </c>
      <c r="BX20" s="40">
        <v>40870</v>
      </c>
      <c r="BY20" s="40">
        <v>40598</v>
      </c>
      <c r="BZ20" s="15">
        <v>2</v>
      </c>
      <c r="CA20" s="50">
        <v>41944</v>
      </c>
      <c r="CB20" s="25" t="s">
        <v>270</v>
      </c>
      <c r="CC20" s="44" t="str">
        <f t="shared" si="1"/>
        <v>POMONA  CENTRE</v>
      </c>
      <c r="CD20" s="24"/>
      <c r="CE20" s="24"/>
      <c r="CF20" s="24"/>
      <c r="CG20" s="45"/>
      <c r="CH20" s="24"/>
      <c r="CI20" s="16"/>
      <c r="CJ20" s="31" t="s">
        <v>261</v>
      </c>
      <c r="CK20" s="45"/>
      <c r="CL20" s="45"/>
      <c r="CM20" s="45"/>
      <c r="CN20" s="45"/>
      <c r="CO20" s="24"/>
      <c r="CP20" s="46" t="str">
        <f t="shared" si="2"/>
        <v>28</v>
      </c>
      <c r="CQ20" s="46" t="str">
        <f t="shared" si="3"/>
        <v>DT</v>
      </c>
      <c r="CR20" s="127" t="str">
        <f t="shared" si="4"/>
        <v>DT</v>
      </c>
      <c r="CS20" s="69">
        <v>0</v>
      </c>
      <c r="CT20" s="47">
        <v>0</v>
      </c>
      <c r="CU20" s="47">
        <v>0</v>
      </c>
      <c r="CV20" s="47">
        <v>0</v>
      </c>
      <c r="CW20" s="47">
        <v>0</v>
      </c>
      <c r="CX20" s="47">
        <v>2</v>
      </c>
      <c r="CY20" s="47">
        <v>0</v>
      </c>
      <c r="CZ20" s="47">
        <v>0</v>
      </c>
      <c r="DA20" s="47">
        <v>0</v>
      </c>
      <c r="DB20" s="48">
        <v>0</v>
      </c>
      <c r="DC20" s="48">
        <v>0</v>
      </c>
      <c r="DD20" s="48">
        <v>0</v>
      </c>
      <c r="DE20" s="48">
        <v>0</v>
      </c>
      <c r="DF20" s="49">
        <f t="shared" si="6"/>
        <v>2</v>
      </c>
    </row>
    <row r="21" spans="1:110" s="5" customFormat="1" x14ac:dyDescent="0.25">
      <c r="A21" s="22">
        <v>56652</v>
      </c>
      <c r="B21" s="14"/>
      <c r="C21" s="135"/>
      <c r="D21" s="2" t="s">
        <v>122</v>
      </c>
      <c r="E21" s="9" t="s">
        <v>133</v>
      </c>
      <c r="F21" s="11"/>
      <c r="G21" s="256"/>
      <c r="H21" s="15" t="s">
        <v>124</v>
      </c>
      <c r="I21" s="2" t="s">
        <v>134</v>
      </c>
      <c r="J21" s="2" t="s">
        <v>126</v>
      </c>
      <c r="K21" s="267">
        <v>28110</v>
      </c>
      <c r="L21" s="132"/>
      <c r="M21" s="130"/>
      <c r="N21" s="131">
        <v>237302878</v>
      </c>
      <c r="O21" s="35"/>
      <c r="P21" s="18"/>
      <c r="Q21" s="19">
        <v>67178</v>
      </c>
      <c r="R21" s="128" t="s">
        <v>516</v>
      </c>
      <c r="S21" s="11" t="s">
        <v>128</v>
      </c>
      <c r="T21" s="137" t="s">
        <v>305</v>
      </c>
      <c r="U21" s="20"/>
      <c r="V21" s="3"/>
      <c r="W21" s="21"/>
      <c r="X21" s="126" t="str">
        <f t="shared" si="0"/>
        <v>X</v>
      </c>
      <c r="Y21" s="126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9">
        <v>0</v>
      </c>
      <c r="BB21" s="19">
        <v>0</v>
      </c>
      <c r="BC21" s="19">
        <v>0</v>
      </c>
      <c r="BD21" s="13">
        <v>0</v>
      </c>
      <c r="BE21" s="40">
        <v>39619</v>
      </c>
      <c r="BF21" s="40"/>
      <c r="BG21" s="59"/>
      <c r="BH21" s="52"/>
      <c r="BI21" s="87"/>
      <c r="BJ21" s="88"/>
      <c r="BK21" s="88"/>
      <c r="BL21" s="88"/>
      <c r="BM21" s="88"/>
      <c r="BN21" s="87"/>
      <c r="BO21" s="88"/>
      <c r="BP21" s="88"/>
      <c r="BQ21" s="88"/>
      <c r="BR21" s="88"/>
      <c r="BS21" s="87"/>
      <c r="BT21" s="88"/>
      <c r="BU21" s="15"/>
      <c r="BV21" s="40"/>
      <c r="BW21" s="40"/>
      <c r="BX21" s="40"/>
      <c r="BY21" s="40"/>
      <c r="BZ21" s="15"/>
      <c r="CA21" s="50"/>
      <c r="CB21" s="25"/>
      <c r="CC21" s="44" t="str">
        <f t="shared" si="1"/>
        <v>MIKO CAFE SERVICE</v>
      </c>
      <c r="CD21" s="24"/>
      <c r="CE21" s="24"/>
      <c r="CF21" s="24"/>
      <c r="CG21" s="45"/>
      <c r="CH21" s="24"/>
      <c r="CI21" s="16"/>
      <c r="CJ21" s="31" t="s">
        <v>261</v>
      </c>
      <c r="CK21" s="45"/>
      <c r="CL21" s="45"/>
      <c r="CM21" s="45"/>
      <c r="CN21" s="45"/>
      <c r="CO21" s="24"/>
      <c r="CP21" s="46" t="str">
        <f t="shared" si="2"/>
        <v>28</v>
      </c>
      <c r="CQ21" s="46" t="str">
        <f t="shared" si="3"/>
        <v>DT</v>
      </c>
      <c r="CR21" s="127" t="str">
        <f t="shared" si="4"/>
        <v>DT</v>
      </c>
      <c r="CS21" s="69">
        <v>0</v>
      </c>
      <c r="CT21" s="47">
        <v>0</v>
      </c>
      <c r="CU21" s="47">
        <v>0</v>
      </c>
      <c r="CV21" s="47">
        <v>0</v>
      </c>
      <c r="CW21" s="47">
        <v>0</v>
      </c>
      <c r="CX21" s="47">
        <v>0</v>
      </c>
      <c r="CY21" s="47">
        <v>0</v>
      </c>
      <c r="CZ21" s="47">
        <v>0</v>
      </c>
      <c r="DA21" s="47">
        <v>0</v>
      </c>
      <c r="DB21" s="48">
        <v>0</v>
      </c>
      <c r="DC21" s="48">
        <v>0</v>
      </c>
      <c r="DD21" s="48">
        <v>0</v>
      </c>
      <c r="DE21" s="48">
        <v>0</v>
      </c>
      <c r="DF21" s="49">
        <f t="shared" si="6"/>
        <v>0</v>
      </c>
    </row>
    <row r="22" spans="1:110" s="5" customFormat="1" x14ac:dyDescent="0.25">
      <c r="A22" s="22">
        <v>72673</v>
      </c>
      <c r="B22" s="14">
        <v>41651</v>
      </c>
      <c r="C22" s="135"/>
      <c r="D22" s="2" t="s">
        <v>135</v>
      </c>
      <c r="E22" s="9"/>
      <c r="F22" s="19"/>
      <c r="G22" s="256"/>
      <c r="H22" s="15"/>
      <c r="I22" s="2" t="s">
        <v>136</v>
      </c>
      <c r="J22" s="2" t="s">
        <v>126</v>
      </c>
      <c r="K22" s="267">
        <v>28110</v>
      </c>
      <c r="L22" s="132"/>
      <c r="M22" s="130">
        <v>41204885200013</v>
      </c>
      <c r="N22" s="131">
        <v>237340967</v>
      </c>
      <c r="O22" s="17" t="s">
        <v>288</v>
      </c>
      <c r="P22" s="36" t="s">
        <v>137</v>
      </c>
      <c r="Q22" s="19">
        <v>46631</v>
      </c>
      <c r="R22" s="128" t="s">
        <v>335</v>
      </c>
      <c r="S22" s="11" t="s">
        <v>1</v>
      </c>
      <c r="T22" s="137" t="s">
        <v>307</v>
      </c>
      <c r="U22" s="20"/>
      <c r="V22" s="3"/>
      <c r="W22" s="21"/>
      <c r="X22" s="126">
        <f t="shared" si="0"/>
        <v>1</v>
      </c>
      <c r="Y22" s="126">
        <v>1</v>
      </c>
      <c r="Z22" s="11">
        <v>0</v>
      </c>
      <c r="AA22" s="11">
        <v>0</v>
      </c>
      <c r="AB22" s="11">
        <v>0</v>
      </c>
      <c r="AC22" s="11">
        <v>0</v>
      </c>
      <c r="AD22" s="11">
        <v>1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262">
        <v>0</v>
      </c>
      <c r="BE22" s="40">
        <v>40600</v>
      </c>
      <c r="BF22" s="40"/>
      <c r="BG22" s="59"/>
      <c r="BH22" s="51" t="s">
        <v>264</v>
      </c>
      <c r="BI22" s="89"/>
      <c r="BJ22" s="90"/>
      <c r="BK22" s="89">
        <v>1</v>
      </c>
      <c r="BL22" s="90"/>
      <c r="BM22" s="90"/>
      <c r="BN22" s="89"/>
      <c r="BO22" s="90"/>
      <c r="BP22" s="90"/>
      <c r="BQ22" s="90"/>
      <c r="BR22" s="90"/>
      <c r="BS22" s="89"/>
      <c r="BT22" s="90"/>
      <c r="BU22" s="60">
        <v>1</v>
      </c>
      <c r="BV22" s="40">
        <v>41445</v>
      </c>
      <c r="BW22" s="40">
        <v>41651</v>
      </c>
      <c r="BX22" s="40">
        <v>41302</v>
      </c>
      <c r="BY22" s="40">
        <v>40600</v>
      </c>
      <c r="BZ22" s="15">
        <v>2</v>
      </c>
      <c r="CA22" s="50">
        <v>41944</v>
      </c>
      <c r="CB22" s="25" t="s">
        <v>274</v>
      </c>
      <c r="CC22" s="44" t="str">
        <f t="shared" si="1"/>
        <v>CERCLE VERT</v>
      </c>
      <c r="CD22" s="24"/>
      <c r="CE22" s="24"/>
      <c r="CF22" s="24"/>
      <c r="CG22" s="45"/>
      <c r="CH22" s="24"/>
      <c r="CI22" s="16"/>
      <c r="CJ22" s="31" t="s">
        <v>261</v>
      </c>
      <c r="CK22" s="45"/>
      <c r="CL22" s="45"/>
      <c r="CM22" s="45"/>
      <c r="CN22" s="45"/>
      <c r="CO22" s="24"/>
      <c r="CP22" s="46" t="str">
        <f t="shared" si="2"/>
        <v>28</v>
      </c>
      <c r="CQ22" s="46" t="str">
        <f t="shared" si="3"/>
        <v>DT</v>
      </c>
      <c r="CR22" s="127" t="str">
        <f t="shared" si="4"/>
        <v>DT</v>
      </c>
      <c r="CS22" s="69">
        <v>1</v>
      </c>
      <c r="CT22" s="47">
        <v>0</v>
      </c>
      <c r="CU22" s="47">
        <v>2</v>
      </c>
      <c r="CV22" s="47">
        <v>0</v>
      </c>
      <c r="CW22" s="47">
        <v>0</v>
      </c>
      <c r="CX22" s="47">
        <v>0</v>
      </c>
      <c r="CY22" s="47">
        <v>0</v>
      </c>
      <c r="CZ22" s="47">
        <v>0</v>
      </c>
      <c r="DA22" s="47">
        <v>0</v>
      </c>
      <c r="DB22" s="48">
        <v>0</v>
      </c>
      <c r="DC22" s="48">
        <v>0</v>
      </c>
      <c r="DD22" s="48">
        <v>0</v>
      </c>
      <c r="DE22" s="48">
        <v>0</v>
      </c>
      <c r="DF22" s="49">
        <f t="shared" si="6"/>
        <v>3</v>
      </c>
    </row>
    <row r="23" spans="1:110" s="5" customFormat="1" x14ac:dyDescent="0.25">
      <c r="A23" s="22">
        <v>79427</v>
      </c>
      <c r="B23" s="14">
        <v>41651</v>
      </c>
      <c r="C23" s="135"/>
      <c r="D23" s="2" t="s">
        <v>138</v>
      </c>
      <c r="E23" s="9" t="s">
        <v>139</v>
      </c>
      <c r="F23" s="19"/>
      <c r="G23" s="256"/>
      <c r="H23" s="15" t="s">
        <v>95</v>
      </c>
      <c r="I23" s="2" t="s">
        <v>140</v>
      </c>
      <c r="J23" s="2" t="s">
        <v>141</v>
      </c>
      <c r="K23" s="267">
        <v>28110</v>
      </c>
      <c r="L23" s="132"/>
      <c r="M23" s="130"/>
      <c r="N23" s="131">
        <v>627615302</v>
      </c>
      <c r="O23" s="17" t="s">
        <v>0</v>
      </c>
      <c r="P23" s="34" t="s">
        <v>142</v>
      </c>
      <c r="Q23" s="19">
        <v>46631</v>
      </c>
      <c r="R23" s="128" t="s">
        <v>335</v>
      </c>
      <c r="S23" s="21" t="s">
        <v>143</v>
      </c>
      <c r="T23" s="137" t="s">
        <v>309</v>
      </c>
      <c r="U23" s="20"/>
      <c r="V23" s="3"/>
      <c r="W23" s="21"/>
      <c r="X23" s="126">
        <f t="shared" si="0"/>
        <v>1</v>
      </c>
      <c r="Y23" s="126">
        <v>2</v>
      </c>
      <c r="Z23" s="11">
        <v>0</v>
      </c>
      <c r="AA23" s="11">
        <v>0</v>
      </c>
      <c r="AB23" s="11">
        <v>0</v>
      </c>
      <c r="AC23" s="11">
        <v>0</v>
      </c>
      <c r="AD23" s="11">
        <v>2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262">
        <v>0</v>
      </c>
      <c r="BE23" s="40">
        <v>41045</v>
      </c>
      <c r="BF23" s="40"/>
      <c r="BH23" s="65" t="s">
        <v>275</v>
      </c>
      <c r="BI23" s="87"/>
      <c r="BJ23" s="92"/>
      <c r="BK23" s="92"/>
      <c r="BL23" s="92"/>
      <c r="BM23" s="92"/>
      <c r="BN23" s="87"/>
      <c r="BO23" s="92"/>
      <c r="BP23" s="92"/>
      <c r="BQ23" s="92"/>
      <c r="BR23" s="92"/>
      <c r="BS23" s="87">
        <v>0.5</v>
      </c>
      <c r="BT23" s="93" t="s">
        <v>276</v>
      </c>
      <c r="BU23" s="15">
        <v>0.8</v>
      </c>
      <c r="BV23" s="40">
        <v>41548</v>
      </c>
      <c r="BW23" s="40">
        <v>41651</v>
      </c>
      <c r="BX23" s="40">
        <v>41410</v>
      </c>
      <c r="BY23" s="40"/>
      <c r="BZ23" s="21">
        <v>2</v>
      </c>
      <c r="CA23" s="50">
        <v>41944</v>
      </c>
      <c r="CB23" s="25" t="s">
        <v>262</v>
      </c>
      <c r="CC23" s="44" t="str">
        <f t="shared" si="1"/>
        <v>CERCLE VERT</v>
      </c>
      <c r="CG23" s="45"/>
      <c r="CH23" s="21"/>
      <c r="CJ23" s="31" t="s">
        <v>261</v>
      </c>
      <c r="CK23" s="21"/>
      <c r="CL23" s="21"/>
      <c r="CM23" s="21"/>
      <c r="CN23" s="21"/>
      <c r="CO23" s="21"/>
      <c r="CP23" s="46" t="str">
        <f t="shared" si="2"/>
        <v>28</v>
      </c>
      <c r="CQ23" s="46" t="str">
        <f t="shared" si="3"/>
        <v>DT</v>
      </c>
      <c r="CR23" s="127" t="str">
        <f t="shared" si="4"/>
        <v>DT</v>
      </c>
      <c r="CS23" s="69">
        <v>0</v>
      </c>
      <c r="CT23" s="47">
        <v>0</v>
      </c>
      <c r="CU23" s="47">
        <v>4</v>
      </c>
      <c r="CV23" s="47">
        <v>0</v>
      </c>
      <c r="CW23" s="47">
        <v>0</v>
      </c>
      <c r="CX23" s="47">
        <v>0</v>
      </c>
      <c r="CY23" s="47">
        <v>0</v>
      </c>
      <c r="CZ23" s="47">
        <v>0</v>
      </c>
      <c r="DA23" s="47">
        <v>0</v>
      </c>
      <c r="DB23" s="49">
        <v>0</v>
      </c>
      <c r="DC23" s="49">
        <v>0</v>
      </c>
      <c r="DD23" s="49">
        <v>0</v>
      </c>
      <c r="DE23" s="49">
        <v>0</v>
      </c>
      <c r="DF23" s="49">
        <f t="shared" si="6"/>
        <v>4</v>
      </c>
    </row>
    <row r="24" spans="1:110" s="5" customFormat="1" x14ac:dyDescent="0.25">
      <c r="A24" s="22">
        <v>90450</v>
      </c>
      <c r="B24" s="14">
        <v>41771</v>
      </c>
      <c r="C24" s="135"/>
      <c r="D24" s="7" t="s">
        <v>144</v>
      </c>
      <c r="E24" s="9" t="s">
        <v>145</v>
      </c>
      <c r="F24" s="30"/>
      <c r="G24" s="30"/>
      <c r="H24" s="15">
        <v>51</v>
      </c>
      <c r="I24" s="7" t="s">
        <v>146</v>
      </c>
      <c r="J24" s="7" t="s">
        <v>126</v>
      </c>
      <c r="K24" s="267">
        <v>28110</v>
      </c>
      <c r="L24" s="134"/>
      <c r="M24" s="130"/>
      <c r="N24" s="131">
        <v>237244262</v>
      </c>
      <c r="O24" s="17" t="s">
        <v>16</v>
      </c>
      <c r="P24" s="7" t="s">
        <v>147</v>
      </c>
      <c r="Q24" s="19">
        <v>46631</v>
      </c>
      <c r="R24" s="128" t="s">
        <v>335</v>
      </c>
      <c r="S24" s="29" t="s">
        <v>84</v>
      </c>
      <c r="T24" s="137" t="s">
        <v>312</v>
      </c>
      <c r="U24" s="21"/>
      <c r="V24" s="3"/>
      <c r="W24" s="3"/>
      <c r="X24" s="126">
        <f t="shared" si="0"/>
        <v>1</v>
      </c>
      <c r="Y24" s="126">
        <v>1</v>
      </c>
      <c r="Z24" s="11">
        <v>0</v>
      </c>
      <c r="AA24" s="11">
        <v>0</v>
      </c>
      <c r="AB24" s="13">
        <v>0</v>
      </c>
      <c r="AC24" s="11">
        <v>0</v>
      </c>
      <c r="AD24" s="11">
        <v>1</v>
      </c>
      <c r="AE24" s="11">
        <v>0</v>
      </c>
      <c r="AF24" s="11">
        <v>0</v>
      </c>
      <c r="AG24" s="11">
        <v>0</v>
      </c>
      <c r="AH24" s="30" t="s">
        <v>148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262">
        <v>0</v>
      </c>
      <c r="BE24" s="40">
        <v>41757</v>
      </c>
      <c r="BF24" s="40"/>
      <c r="BG24" s="59"/>
      <c r="BH24" s="51" t="s">
        <v>212</v>
      </c>
      <c r="BI24" s="87">
        <v>1</v>
      </c>
      <c r="BJ24" s="88"/>
      <c r="BK24" s="88"/>
      <c r="BL24" s="88"/>
      <c r="BM24" s="88"/>
      <c r="BN24" s="87"/>
      <c r="BO24" s="88"/>
      <c r="BP24" s="88"/>
      <c r="BQ24" s="88"/>
      <c r="BR24" s="88"/>
      <c r="BS24" s="87"/>
      <c r="BT24" s="88"/>
      <c r="BU24" s="64">
        <v>1</v>
      </c>
      <c r="BV24" s="40"/>
      <c r="BW24" s="14">
        <v>41757</v>
      </c>
      <c r="BX24" s="40"/>
      <c r="BY24" s="40"/>
      <c r="BZ24" s="15">
        <v>2</v>
      </c>
      <c r="CA24" s="50">
        <v>41821</v>
      </c>
      <c r="CB24" s="25" t="s">
        <v>267</v>
      </c>
      <c r="CC24" s="44" t="str">
        <f t="shared" si="1"/>
        <v>CERCLE VERT</v>
      </c>
      <c r="CD24" s="24"/>
      <c r="CE24" s="24"/>
      <c r="CF24" s="24"/>
      <c r="CG24" s="45"/>
      <c r="CH24" s="16"/>
      <c r="CI24" s="16"/>
      <c r="CJ24" s="45" t="s">
        <v>261</v>
      </c>
      <c r="CK24" s="45"/>
      <c r="CL24" s="45"/>
      <c r="CM24" s="66"/>
      <c r="CN24" s="45"/>
      <c r="CO24" s="24"/>
      <c r="CP24" s="46" t="str">
        <f t="shared" si="2"/>
        <v>28</v>
      </c>
      <c r="CQ24" s="46" t="str">
        <f t="shared" si="3"/>
        <v>DT</v>
      </c>
      <c r="CR24" s="127" t="str">
        <f t="shared" si="4"/>
        <v>DT</v>
      </c>
      <c r="CS24" s="72">
        <v>0</v>
      </c>
      <c r="CT24" s="67">
        <v>0</v>
      </c>
      <c r="CU24" s="67">
        <v>2</v>
      </c>
      <c r="CV24" s="67">
        <v>0</v>
      </c>
      <c r="CW24" s="68" t="s">
        <v>148</v>
      </c>
      <c r="CX24" s="67">
        <v>0</v>
      </c>
      <c r="CY24" s="67">
        <v>0</v>
      </c>
      <c r="CZ24" s="67">
        <v>0</v>
      </c>
      <c r="DA24" s="67">
        <v>0</v>
      </c>
      <c r="DB24" s="67">
        <v>0</v>
      </c>
      <c r="DC24" s="67">
        <v>0</v>
      </c>
      <c r="DD24" s="67">
        <v>0</v>
      </c>
      <c r="DE24" s="67">
        <v>0</v>
      </c>
      <c r="DF24" s="49">
        <v>2</v>
      </c>
    </row>
    <row r="25" spans="1:110" s="5" customFormat="1" x14ac:dyDescent="0.25">
      <c r="A25" s="22">
        <v>46799</v>
      </c>
      <c r="B25" s="14">
        <v>41669</v>
      </c>
      <c r="C25" s="135"/>
      <c r="D25" s="2" t="s">
        <v>149</v>
      </c>
      <c r="E25" s="9"/>
      <c r="F25" s="11"/>
      <c r="G25" s="256"/>
      <c r="H25" s="15">
        <v>4</v>
      </c>
      <c r="I25" s="2" t="s">
        <v>150</v>
      </c>
      <c r="J25" s="2" t="s">
        <v>151</v>
      </c>
      <c r="K25" s="267">
        <v>28120</v>
      </c>
      <c r="L25" s="18"/>
      <c r="M25" s="130"/>
      <c r="N25" s="131">
        <v>237240013</v>
      </c>
      <c r="O25" s="17" t="s">
        <v>16</v>
      </c>
      <c r="P25" s="18" t="s">
        <v>152</v>
      </c>
      <c r="Q25" s="19">
        <v>46665</v>
      </c>
      <c r="R25" s="128" t="s">
        <v>343</v>
      </c>
      <c r="S25" s="11" t="s">
        <v>6</v>
      </c>
      <c r="T25" s="137" t="s">
        <v>308</v>
      </c>
      <c r="U25" s="20"/>
      <c r="V25" s="3"/>
      <c r="W25" s="21"/>
      <c r="X25" s="126">
        <f t="shared" si="0"/>
        <v>1</v>
      </c>
      <c r="Y25" s="126">
        <v>1</v>
      </c>
      <c r="Z25" s="11">
        <v>1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262">
        <v>0</v>
      </c>
      <c r="BE25" s="40">
        <v>34746</v>
      </c>
      <c r="BF25" s="40"/>
      <c r="BG25" s="41"/>
      <c r="BH25" s="42" t="s">
        <v>212</v>
      </c>
      <c r="BI25" s="87">
        <v>1</v>
      </c>
      <c r="BJ25" s="88"/>
      <c r="BK25" s="88"/>
      <c r="BL25" s="88"/>
      <c r="BM25" s="88"/>
      <c r="BN25" s="87"/>
      <c r="BO25" s="88"/>
      <c r="BP25" s="88"/>
      <c r="BQ25" s="88"/>
      <c r="BR25" s="88"/>
      <c r="BS25" s="89">
        <v>2</v>
      </c>
      <c r="BT25" s="88"/>
      <c r="BU25" s="15">
        <v>1</v>
      </c>
      <c r="BV25" s="40">
        <v>41586</v>
      </c>
      <c r="BW25" s="40">
        <v>41669</v>
      </c>
      <c r="BX25" s="40">
        <v>41669</v>
      </c>
      <c r="BY25" s="40"/>
      <c r="BZ25" s="15">
        <v>2</v>
      </c>
      <c r="CA25" s="50">
        <v>42005</v>
      </c>
      <c r="CB25" s="25" t="s">
        <v>272</v>
      </c>
      <c r="CC25" s="44" t="str">
        <f t="shared" si="1"/>
        <v>PRO A PRO  NORD CHALETTE SUR LOING</v>
      </c>
      <c r="CD25" s="24"/>
      <c r="CE25" s="24"/>
      <c r="CF25" s="24"/>
      <c r="CG25" s="45"/>
      <c r="CH25" s="24"/>
      <c r="CI25" s="16"/>
      <c r="CJ25" s="31" t="s">
        <v>261</v>
      </c>
      <c r="CK25" s="45"/>
      <c r="CL25" s="45"/>
      <c r="CM25" s="45"/>
      <c r="CN25" s="45"/>
      <c r="CO25" s="24"/>
      <c r="CP25" s="46" t="str">
        <f t="shared" si="2"/>
        <v>28</v>
      </c>
      <c r="CQ25" s="46" t="str">
        <f t="shared" si="3"/>
        <v>DT</v>
      </c>
      <c r="CR25" s="127" t="str">
        <f t="shared" si="4"/>
        <v>DT</v>
      </c>
      <c r="CS25" s="69">
        <v>0</v>
      </c>
      <c r="CT25" s="47">
        <v>0</v>
      </c>
      <c r="CU25" s="47">
        <v>0</v>
      </c>
      <c r="CV25" s="47">
        <v>0</v>
      </c>
      <c r="CW25" s="47">
        <v>0</v>
      </c>
      <c r="CX25" s="47">
        <v>0</v>
      </c>
      <c r="CY25" s="47">
        <v>0</v>
      </c>
      <c r="CZ25" s="47">
        <v>0</v>
      </c>
      <c r="DA25" s="47">
        <v>0</v>
      </c>
      <c r="DB25" s="48">
        <v>0</v>
      </c>
      <c r="DC25" s="48">
        <v>0</v>
      </c>
      <c r="DD25" s="48">
        <v>0</v>
      </c>
      <c r="DE25" s="48">
        <v>0</v>
      </c>
      <c r="DF25" s="49">
        <f t="shared" ref="DF25:DF36" si="7">SUM(CS25:DE25)</f>
        <v>0</v>
      </c>
    </row>
    <row r="26" spans="1:110" s="5" customFormat="1" x14ac:dyDescent="0.25">
      <c r="A26" s="22">
        <v>48706</v>
      </c>
      <c r="B26" s="14">
        <v>41809</v>
      </c>
      <c r="C26" s="135"/>
      <c r="D26" s="2" t="s">
        <v>153</v>
      </c>
      <c r="E26" s="9"/>
      <c r="F26" s="11"/>
      <c r="G26" s="256"/>
      <c r="H26" s="15">
        <v>6</v>
      </c>
      <c r="I26" s="2" t="s">
        <v>150</v>
      </c>
      <c r="J26" s="2" t="s">
        <v>151</v>
      </c>
      <c r="K26" s="267">
        <v>28120</v>
      </c>
      <c r="L26" s="18"/>
      <c r="M26" s="130"/>
      <c r="N26" s="131" t="s">
        <v>154</v>
      </c>
      <c r="O26" s="17" t="s">
        <v>16</v>
      </c>
      <c r="P26" s="18" t="s">
        <v>155</v>
      </c>
      <c r="Q26" s="19">
        <v>46633</v>
      </c>
      <c r="R26" s="128" t="s">
        <v>345</v>
      </c>
      <c r="S26" s="11" t="s">
        <v>7</v>
      </c>
      <c r="T26" s="137" t="s">
        <v>310</v>
      </c>
      <c r="U26" s="21"/>
      <c r="V26" s="3"/>
      <c r="W26" s="21"/>
      <c r="X26" s="126">
        <f t="shared" si="0"/>
        <v>1</v>
      </c>
      <c r="Y26" s="126">
        <v>8</v>
      </c>
      <c r="Z26" s="11">
        <v>0</v>
      </c>
      <c r="AA26" s="11">
        <v>0</v>
      </c>
      <c r="AB26" s="11">
        <v>0</v>
      </c>
      <c r="AC26" s="11">
        <v>0</v>
      </c>
      <c r="AD26" s="11">
        <v>1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7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262">
        <v>0</v>
      </c>
      <c r="BE26" s="40">
        <v>37327</v>
      </c>
      <c r="BF26" s="40"/>
      <c r="BG26" s="41"/>
      <c r="BH26" s="42" t="s">
        <v>212</v>
      </c>
      <c r="BI26" s="87">
        <v>10</v>
      </c>
      <c r="BJ26" s="88"/>
      <c r="BK26" s="88"/>
      <c r="BL26" s="88"/>
      <c r="BM26" s="88"/>
      <c r="BN26" s="87"/>
      <c r="BO26" s="88"/>
      <c r="BP26" s="88"/>
      <c r="BQ26" s="88"/>
      <c r="BR26" s="88"/>
      <c r="BS26" s="87"/>
      <c r="BT26" s="88"/>
      <c r="BU26" s="15">
        <v>10</v>
      </c>
      <c r="BV26" s="40">
        <v>41586</v>
      </c>
      <c r="BW26" s="14">
        <v>41809</v>
      </c>
      <c r="BX26" s="40">
        <v>41659</v>
      </c>
      <c r="BY26" s="40">
        <v>41466</v>
      </c>
      <c r="BZ26" s="15">
        <v>4</v>
      </c>
      <c r="CA26" s="50">
        <v>42005</v>
      </c>
      <c r="CB26" s="25" t="s">
        <v>273</v>
      </c>
      <c r="CC26" s="44" t="str">
        <f t="shared" si="1"/>
        <v>CAPAL</v>
      </c>
      <c r="CD26" s="24"/>
      <c r="CE26" s="24"/>
      <c r="CF26" s="24"/>
      <c r="CG26" s="45"/>
      <c r="CH26" s="24"/>
      <c r="CI26" s="16"/>
      <c r="CJ26" s="31" t="s">
        <v>261</v>
      </c>
      <c r="CK26" s="45"/>
      <c r="CL26" s="45"/>
      <c r="CM26" s="45"/>
      <c r="CN26" s="45"/>
      <c r="CO26" s="24"/>
      <c r="CP26" s="46" t="str">
        <f t="shared" si="2"/>
        <v>28</v>
      </c>
      <c r="CQ26" s="46" t="str">
        <f t="shared" si="3"/>
        <v>DT</v>
      </c>
      <c r="CR26" s="127" t="str">
        <f t="shared" si="4"/>
        <v>DT</v>
      </c>
      <c r="CS26" s="69">
        <v>0</v>
      </c>
      <c r="CT26" s="47">
        <v>0</v>
      </c>
      <c r="CU26" s="47">
        <v>16</v>
      </c>
      <c r="CV26" s="47">
        <v>0</v>
      </c>
      <c r="CW26" s="47">
        <v>0</v>
      </c>
      <c r="CX26" s="47">
        <v>0</v>
      </c>
      <c r="CY26" s="47">
        <v>0</v>
      </c>
      <c r="CZ26" s="47">
        <v>0</v>
      </c>
      <c r="DA26" s="47">
        <v>0</v>
      </c>
      <c r="DB26" s="48">
        <v>0</v>
      </c>
      <c r="DC26" s="48">
        <v>0</v>
      </c>
      <c r="DD26" s="48">
        <v>0</v>
      </c>
      <c r="DE26" s="48">
        <v>0</v>
      </c>
      <c r="DF26" s="49">
        <f t="shared" si="7"/>
        <v>16</v>
      </c>
    </row>
    <row r="27" spans="1:110" s="5" customFormat="1" x14ac:dyDescent="0.25">
      <c r="A27" s="22">
        <v>52302</v>
      </c>
      <c r="B27" s="14"/>
      <c r="C27" s="135"/>
      <c r="D27" s="2" t="s">
        <v>156</v>
      </c>
      <c r="E27" s="9" t="s">
        <v>157</v>
      </c>
      <c r="F27" s="11"/>
      <c r="G27" s="256"/>
      <c r="H27" s="15"/>
      <c r="I27" s="2"/>
      <c r="J27" s="2" t="s">
        <v>158</v>
      </c>
      <c r="K27" s="267">
        <v>28120</v>
      </c>
      <c r="L27" s="132"/>
      <c r="M27" s="130"/>
      <c r="N27" s="131">
        <v>237332500</v>
      </c>
      <c r="O27" s="17" t="s">
        <v>16</v>
      </c>
      <c r="P27" s="18" t="s">
        <v>159</v>
      </c>
      <c r="Q27" s="19">
        <v>67178</v>
      </c>
      <c r="R27" s="128" t="s">
        <v>516</v>
      </c>
      <c r="S27" s="11" t="s">
        <v>72</v>
      </c>
      <c r="T27" s="137" t="s">
        <v>329</v>
      </c>
      <c r="U27" s="20"/>
      <c r="V27" s="3"/>
      <c r="W27" s="21"/>
      <c r="X27" s="126" t="str">
        <f t="shared" si="0"/>
        <v>X</v>
      </c>
      <c r="Y27" s="126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262">
        <v>0</v>
      </c>
      <c r="BE27" s="40">
        <v>39552</v>
      </c>
      <c r="BF27" s="40"/>
      <c r="BG27" s="41"/>
      <c r="BH27" s="52"/>
      <c r="BI27" s="87"/>
      <c r="BJ27" s="88"/>
      <c r="BK27" s="88"/>
      <c r="BL27" s="88"/>
      <c r="BM27" s="88"/>
      <c r="BN27" s="87"/>
      <c r="BO27" s="88"/>
      <c r="BP27" s="88"/>
      <c r="BQ27" s="88"/>
      <c r="BR27" s="88"/>
      <c r="BS27" s="87"/>
      <c r="BT27" s="88"/>
      <c r="BU27" s="15"/>
      <c r="BV27" s="40"/>
      <c r="BW27" s="40"/>
      <c r="BX27" s="40"/>
      <c r="BY27" s="40"/>
      <c r="BZ27" s="15"/>
      <c r="CA27" s="50"/>
      <c r="CB27" s="25"/>
      <c r="CC27" s="44" t="str">
        <f t="shared" si="1"/>
        <v>MIKO CAFE SERVICE</v>
      </c>
      <c r="CD27" s="24"/>
      <c r="CE27" s="24"/>
      <c r="CF27" s="24"/>
      <c r="CG27" s="45" t="s">
        <v>277</v>
      </c>
      <c r="CH27" s="24"/>
      <c r="CI27" s="16"/>
      <c r="CJ27" s="31" t="s">
        <v>261</v>
      </c>
      <c r="CK27" s="45"/>
      <c r="CL27" s="45"/>
      <c r="CM27" s="45"/>
      <c r="CN27" s="45"/>
      <c r="CO27" s="24"/>
      <c r="CP27" s="46" t="str">
        <f t="shared" si="2"/>
        <v>28</v>
      </c>
      <c r="CQ27" s="46" t="str">
        <f t="shared" si="3"/>
        <v>DT</v>
      </c>
      <c r="CR27" s="127" t="str">
        <f t="shared" si="4"/>
        <v>DT</v>
      </c>
      <c r="CS27" s="69">
        <v>0</v>
      </c>
      <c r="CT27" s="47">
        <v>0</v>
      </c>
      <c r="CU27" s="47">
        <v>0</v>
      </c>
      <c r="CV27" s="47">
        <v>0</v>
      </c>
      <c r="CW27" s="47">
        <v>0</v>
      </c>
      <c r="CX27" s="47">
        <v>0</v>
      </c>
      <c r="CY27" s="47">
        <v>0</v>
      </c>
      <c r="CZ27" s="47">
        <v>0</v>
      </c>
      <c r="DA27" s="47">
        <v>0</v>
      </c>
      <c r="DB27" s="48">
        <v>0</v>
      </c>
      <c r="DC27" s="48">
        <v>0</v>
      </c>
      <c r="DD27" s="48">
        <v>0</v>
      </c>
      <c r="DE27" s="48">
        <v>0</v>
      </c>
      <c r="DF27" s="49">
        <f t="shared" si="7"/>
        <v>0</v>
      </c>
    </row>
    <row r="28" spans="1:110" s="5" customFormat="1" x14ac:dyDescent="0.25">
      <c r="A28" s="26">
        <v>85578</v>
      </c>
      <c r="B28" s="14">
        <v>41659</v>
      </c>
      <c r="C28" s="135"/>
      <c r="D28" s="1" t="s">
        <v>160</v>
      </c>
      <c r="E28" s="9"/>
      <c r="F28" s="19">
        <v>46665</v>
      </c>
      <c r="G28" s="256">
        <v>41387</v>
      </c>
      <c r="H28" s="27" t="s">
        <v>161</v>
      </c>
      <c r="I28" s="2" t="s">
        <v>162</v>
      </c>
      <c r="J28" s="1" t="s">
        <v>151</v>
      </c>
      <c r="K28" s="267">
        <v>28120</v>
      </c>
      <c r="L28" s="132"/>
      <c r="M28" s="130">
        <v>79002670200023</v>
      </c>
      <c r="N28" s="131">
        <v>237240283</v>
      </c>
      <c r="O28" s="17" t="s">
        <v>16</v>
      </c>
      <c r="P28" s="28" t="s">
        <v>163</v>
      </c>
      <c r="Q28" s="19">
        <v>46665</v>
      </c>
      <c r="R28" s="128" t="s">
        <v>343</v>
      </c>
      <c r="S28" s="29" t="s">
        <v>5</v>
      </c>
      <c r="T28" s="137" t="s">
        <v>315</v>
      </c>
      <c r="U28" s="29"/>
      <c r="V28" s="8"/>
      <c r="W28" s="21"/>
      <c r="X28" s="126">
        <f t="shared" si="0"/>
        <v>1</v>
      </c>
      <c r="Y28" s="126">
        <v>2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2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262">
        <v>0</v>
      </c>
      <c r="BE28" s="53">
        <v>41387</v>
      </c>
      <c r="BF28" s="54"/>
      <c r="BG28" s="38"/>
      <c r="BH28" s="51" t="s">
        <v>264</v>
      </c>
      <c r="BI28" s="91"/>
      <c r="BJ28" s="46"/>
      <c r="BK28" s="91">
        <v>2</v>
      </c>
      <c r="BL28" s="46"/>
      <c r="BM28" s="46"/>
      <c r="BN28" s="91"/>
      <c r="BO28" s="46"/>
      <c r="BP28" s="46"/>
      <c r="BQ28" s="46"/>
      <c r="BR28" s="46"/>
      <c r="BS28" s="91"/>
      <c r="BT28" s="46"/>
      <c r="BU28" s="29">
        <v>2</v>
      </c>
      <c r="BV28" s="53">
        <v>41387</v>
      </c>
      <c r="BW28" s="40">
        <v>41659</v>
      </c>
      <c r="BX28" s="55"/>
      <c r="BY28" s="53"/>
      <c r="BZ28" s="29">
        <v>2</v>
      </c>
      <c r="CA28" s="50">
        <v>41913</v>
      </c>
      <c r="CB28" s="28" t="s">
        <v>266</v>
      </c>
      <c r="CC28" s="44" t="str">
        <f t="shared" si="1"/>
        <v>PRO A PRO  NORD CHALETTE SUR LOING</v>
      </c>
      <c r="CD28" s="38"/>
      <c r="CE28" s="38"/>
      <c r="CF28" s="38"/>
      <c r="CG28" s="45"/>
      <c r="CH28" s="29"/>
      <c r="CI28" s="29"/>
      <c r="CJ28" s="29"/>
      <c r="CK28" s="29"/>
      <c r="CL28" s="29"/>
      <c r="CM28" s="29"/>
      <c r="CN28" s="29"/>
      <c r="CO28" s="29"/>
      <c r="CP28" s="46" t="str">
        <f t="shared" si="2"/>
        <v>28</v>
      </c>
      <c r="CQ28" s="46" t="str">
        <f t="shared" si="3"/>
        <v>DT</v>
      </c>
      <c r="CR28" s="127" t="str">
        <f t="shared" si="4"/>
        <v>DT</v>
      </c>
      <c r="CS28" s="69">
        <v>0</v>
      </c>
      <c r="CT28" s="47">
        <v>0</v>
      </c>
      <c r="CU28" s="47">
        <v>0</v>
      </c>
      <c r="CV28" s="47">
        <v>0</v>
      </c>
      <c r="CW28" s="47">
        <v>0</v>
      </c>
      <c r="CX28" s="47">
        <v>0</v>
      </c>
      <c r="CY28" s="47">
        <v>0</v>
      </c>
      <c r="CZ28" s="47">
        <v>0</v>
      </c>
      <c r="DA28" s="47">
        <v>0</v>
      </c>
      <c r="DB28" s="47">
        <v>0</v>
      </c>
      <c r="DC28" s="47">
        <v>0</v>
      </c>
      <c r="DD28" s="47">
        <v>0</v>
      </c>
      <c r="DE28" s="47">
        <v>0</v>
      </c>
      <c r="DF28" s="47">
        <f t="shared" si="7"/>
        <v>0</v>
      </c>
    </row>
    <row r="29" spans="1:110" s="5" customFormat="1" x14ac:dyDescent="0.25">
      <c r="A29" s="22">
        <v>56859</v>
      </c>
      <c r="B29" s="14"/>
      <c r="C29" s="135"/>
      <c r="D29" s="2" t="s">
        <v>164</v>
      </c>
      <c r="E29" s="9"/>
      <c r="F29" s="11"/>
      <c r="G29" s="256"/>
      <c r="H29" s="15">
        <v>27</v>
      </c>
      <c r="I29" s="2" t="s">
        <v>165</v>
      </c>
      <c r="J29" s="2" t="s">
        <v>166</v>
      </c>
      <c r="K29" s="267">
        <v>28130</v>
      </c>
      <c r="L29" s="132"/>
      <c r="M29" s="130"/>
      <c r="N29" s="131">
        <v>237323448</v>
      </c>
      <c r="O29" s="17" t="s">
        <v>16</v>
      </c>
      <c r="P29" s="18" t="s">
        <v>167</v>
      </c>
      <c r="Q29" s="19">
        <v>67178</v>
      </c>
      <c r="R29" s="128" t="s">
        <v>516</v>
      </c>
      <c r="S29" s="11" t="s">
        <v>10</v>
      </c>
      <c r="T29" s="137" t="s">
        <v>304</v>
      </c>
      <c r="U29" s="20"/>
      <c r="V29" s="3"/>
      <c r="W29" s="21"/>
      <c r="X29" s="126" t="str">
        <f t="shared" si="0"/>
        <v>X</v>
      </c>
      <c r="Y29" s="126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9">
        <v>0</v>
      </c>
      <c r="BB29" s="19">
        <v>0</v>
      </c>
      <c r="BC29" s="19">
        <v>0</v>
      </c>
      <c r="BD29" s="13">
        <v>0</v>
      </c>
      <c r="BE29" s="40">
        <v>37778</v>
      </c>
      <c r="BF29" s="40"/>
      <c r="BG29" s="59"/>
      <c r="BH29" s="52"/>
      <c r="BI29" s="87"/>
      <c r="BJ29" s="88"/>
      <c r="BK29" s="88"/>
      <c r="BL29" s="88"/>
      <c r="BM29" s="88"/>
      <c r="BN29" s="87"/>
      <c r="BO29" s="88"/>
      <c r="BP29" s="88"/>
      <c r="BQ29" s="88"/>
      <c r="BR29" s="88"/>
      <c r="BS29" s="87"/>
      <c r="BT29" s="88"/>
      <c r="BU29" s="15"/>
      <c r="BV29" s="40"/>
      <c r="BW29" s="40"/>
      <c r="BX29" s="40"/>
      <c r="BY29" s="40"/>
      <c r="BZ29" s="15"/>
      <c r="CA29" s="50"/>
      <c r="CB29" s="25"/>
      <c r="CC29" s="44" t="str">
        <f t="shared" si="1"/>
        <v>MIKO CAFE SERVICE</v>
      </c>
      <c r="CD29" s="24"/>
      <c r="CE29" s="24"/>
      <c r="CF29" s="24"/>
      <c r="CG29" s="45"/>
      <c r="CH29" s="24"/>
      <c r="CI29" s="16"/>
      <c r="CJ29" s="31" t="s">
        <v>261</v>
      </c>
      <c r="CK29" s="45"/>
      <c r="CL29" s="45"/>
      <c r="CM29" s="45"/>
      <c r="CN29" s="45"/>
      <c r="CO29" s="24"/>
      <c r="CP29" s="46" t="str">
        <f t="shared" si="2"/>
        <v>28</v>
      </c>
      <c r="CQ29" s="46" t="str">
        <f t="shared" si="3"/>
        <v>DT</v>
      </c>
      <c r="CR29" s="127" t="str">
        <f t="shared" si="4"/>
        <v>DT</v>
      </c>
      <c r="CS29" s="69">
        <v>0</v>
      </c>
      <c r="CT29" s="47">
        <v>0</v>
      </c>
      <c r="CU29" s="47">
        <v>0</v>
      </c>
      <c r="CV29" s="47">
        <v>0</v>
      </c>
      <c r="CW29" s="47">
        <v>0</v>
      </c>
      <c r="CX29" s="47">
        <v>0</v>
      </c>
      <c r="CY29" s="47">
        <v>0</v>
      </c>
      <c r="CZ29" s="47">
        <v>0</v>
      </c>
      <c r="DA29" s="47">
        <v>0</v>
      </c>
      <c r="DB29" s="48">
        <v>0</v>
      </c>
      <c r="DC29" s="48">
        <v>0</v>
      </c>
      <c r="DD29" s="48">
        <v>0</v>
      </c>
      <c r="DE29" s="48">
        <v>0</v>
      </c>
      <c r="DF29" s="49">
        <f t="shared" si="7"/>
        <v>0</v>
      </c>
    </row>
    <row r="30" spans="1:110" s="5" customFormat="1" x14ac:dyDescent="0.25">
      <c r="A30" s="22">
        <v>73808</v>
      </c>
      <c r="B30" s="14">
        <v>41724</v>
      </c>
      <c r="C30" s="135"/>
      <c r="D30" s="2" t="s">
        <v>168</v>
      </c>
      <c r="E30" s="9"/>
      <c r="F30" s="19">
        <v>46633</v>
      </c>
      <c r="G30" s="256">
        <v>40686</v>
      </c>
      <c r="H30" s="15"/>
      <c r="I30" s="2" t="s">
        <v>169</v>
      </c>
      <c r="J30" s="2" t="s">
        <v>170</v>
      </c>
      <c r="K30" s="267">
        <v>28130</v>
      </c>
      <c r="L30" s="132"/>
      <c r="M30" s="130"/>
      <c r="N30" s="131">
        <v>237276105</v>
      </c>
      <c r="O30" s="17" t="s">
        <v>16</v>
      </c>
      <c r="P30" s="18" t="s">
        <v>171</v>
      </c>
      <c r="Q30" s="19">
        <v>46633</v>
      </c>
      <c r="R30" s="128" t="s">
        <v>345</v>
      </c>
      <c r="S30" s="11" t="s">
        <v>6</v>
      </c>
      <c r="T30" s="137" t="s">
        <v>308</v>
      </c>
      <c r="U30" s="20"/>
      <c r="V30" s="3"/>
      <c r="W30" s="21"/>
      <c r="X30" s="126">
        <f t="shared" si="0"/>
        <v>1</v>
      </c>
      <c r="Y30" s="126">
        <v>1</v>
      </c>
      <c r="Z30" s="11">
        <v>0</v>
      </c>
      <c r="AA30" s="11">
        <v>0</v>
      </c>
      <c r="AB30" s="11">
        <v>0</v>
      </c>
      <c r="AC30" s="11">
        <v>0</v>
      </c>
      <c r="AD30" s="11">
        <v>1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262">
        <v>0</v>
      </c>
      <c r="BE30" s="40">
        <v>40686</v>
      </c>
      <c r="BF30" s="40"/>
      <c r="BG30" s="59"/>
      <c r="BH30" s="51" t="s">
        <v>264</v>
      </c>
      <c r="BI30" s="89"/>
      <c r="BJ30" s="90"/>
      <c r="BK30" s="89">
        <v>1</v>
      </c>
      <c r="BL30" s="90"/>
      <c r="BM30" s="90"/>
      <c r="BN30" s="89"/>
      <c r="BO30" s="90"/>
      <c r="BP30" s="90"/>
      <c r="BQ30" s="90"/>
      <c r="BR30" s="90"/>
      <c r="BS30" s="89"/>
      <c r="BT30" s="90"/>
      <c r="BU30" s="64">
        <v>1</v>
      </c>
      <c r="BV30" s="40">
        <v>41541</v>
      </c>
      <c r="BW30" s="40">
        <v>41724</v>
      </c>
      <c r="BX30" s="40">
        <v>40877</v>
      </c>
      <c r="BY30" s="40">
        <v>41724</v>
      </c>
      <c r="BZ30" s="15">
        <v>2</v>
      </c>
      <c r="CA30" s="50">
        <v>41913</v>
      </c>
      <c r="CB30" s="25" t="s">
        <v>273</v>
      </c>
      <c r="CC30" s="44" t="str">
        <f t="shared" si="1"/>
        <v>CAPAL</v>
      </c>
      <c r="CD30" s="24"/>
      <c r="CE30" s="24"/>
      <c r="CF30" s="24"/>
      <c r="CG30" s="45"/>
      <c r="CH30" s="24"/>
      <c r="CI30" s="16"/>
      <c r="CJ30" s="31" t="s">
        <v>261</v>
      </c>
      <c r="CK30" s="45"/>
      <c r="CL30" s="45"/>
      <c r="CM30" s="45"/>
      <c r="CN30" s="45"/>
      <c r="CO30" s="24"/>
      <c r="CP30" s="46" t="str">
        <f t="shared" si="2"/>
        <v>28</v>
      </c>
      <c r="CQ30" s="46" t="str">
        <f t="shared" si="3"/>
        <v>DT</v>
      </c>
      <c r="CR30" s="127" t="str">
        <f t="shared" si="4"/>
        <v>DT</v>
      </c>
      <c r="CS30" s="69">
        <v>0</v>
      </c>
      <c r="CT30" s="47">
        <v>0</v>
      </c>
      <c r="CU30" s="47">
        <v>2</v>
      </c>
      <c r="CV30" s="47">
        <v>0</v>
      </c>
      <c r="CW30" s="47">
        <v>0</v>
      </c>
      <c r="CX30" s="47">
        <v>0</v>
      </c>
      <c r="CY30" s="47">
        <v>0</v>
      </c>
      <c r="CZ30" s="47">
        <v>0</v>
      </c>
      <c r="DA30" s="47">
        <v>0</v>
      </c>
      <c r="DB30" s="48">
        <v>0</v>
      </c>
      <c r="DC30" s="48">
        <v>0</v>
      </c>
      <c r="DD30" s="48">
        <v>0</v>
      </c>
      <c r="DE30" s="48">
        <v>0</v>
      </c>
      <c r="DF30" s="49">
        <f t="shared" si="7"/>
        <v>2</v>
      </c>
    </row>
    <row r="31" spans="1:110" s="5" customFormat="1" x14ac:dyDescent="0.25">
      <c r="A31" s="26">
        <v>84473</v>
      </c>
      <c r="B31" s="14">
        <v>41814</v>
      </c>
      <c r="C31" s="135"/>
      <c r="D31" s="1" t="s">
        <v>172</v>
      </c>
      <c r="E31" s="9"/>
      <c r="F31" s="19"/>
      <c r="G31" s="256"/>
      <c r="H31" s="27" t="s">
        <v>173</v>
      </c>
      <c r="I31" s="1" t="s">
        <v>174</v>
      </c>
      <c r="J31" s="1" t="s">
        <v>175</v>
      </c>
      <c r="K31" s="267">
        <v>28130</v>
      </c>
      <c r="L31" s="132"/>
      <c r="M31" s="130">
        <v>751888975</v>
      </c>
      <c r="N31" s="131">
        <v>684567171</v>
      </c>
      <c r="O31" s="17" t="s">
        <v>16</v>
      </c>
      <c r="P31" s="28" t="s">
        <v>176</v>
      </c>
      <c r="Q31" s="19">
        <v>56859</v>
      </c>
      <c r="R31" s="128" t="s">
        <v>164</v>
      </c>
      <c r="S31" s="29" t="s">
        <v>177</v>
      </c>
      <c r="T31" s="137" t="s">
        <v>306</v>
      </c>
      <c r="U31" s="29"/>
      <c r="V31" s="8"/>
      <c r="W31" s="21"/>
      <c r="X31" s="126">
        <f t="shared" si="0"/>
        <v>1</v>
      </c>
      <c r="Y31" s="126">
        <v>1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9">
        <v>1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262">
        <v>0</v>
      </c>
      <c r="BE31" s="53">
        <v>41330</v>
      </c>
      <c r="BF31" s="54"/>
      <c r="BG31" s="38"/>
      <c r="BH31" s="51" t="s">
        <v>264</v>
      </c>
      <c r="BI31" s="91"/>
      <c r="BJ31" s="46"/>
      <c r="BK31" s="91">
        <v>1</v>
      </c>
      <c r="BL31" s="46"/>
      <c r="BM31" s="46"/>
      <c r="BN31" s="91"/>
      <c r="BO31" s="46"/>
      <c r="BP31" s="46"/>
      <c r="BQ31" s="46"/>
      <c r="BR31" s="46"/>
      <c r="BS31" s="91"/>
      <c r="BT31" s="46"/>
      <c r="BU31" s="29">
        <v>1</v>
      </c>
      <c r="BV31" s="53">
        <v>41330</v>
      </c>
      <c r="BW31" s="14">
        <v>41814</v>
      </c>
      <c r="BX31" s="55">
        <v>41463</v>
      </c>
      <c r="BY31" s="53"/>
      <c r="BZ31" s="29">
        <v>2</v>
      </c>
      <c r="CA31" s="43">
        <v>42125</v>
      </c>
      <c r="CB31" s="28" t="s">
        <v>278</v>
      </c>
      <c r="CC31" s="44" t="str">
        <f t="shared" si="1"/>
        <v>SMD</v>
      </c>
      <c r="CD31" s="38"/>
      <c r="CE31" s="38"/>
      <c r="CF31" s="38"/>
      <c r="CG31" s="45"/>
      <c r="CH31" s="29"/>
      <c r="CI31" s="29"/>
      <c r="CJ31" s="31" t="s">
        <v>261</v>
      </c>
      <c r="CK31" s="29"/>
      <c r="CL31" s="29"/>
      <c r="CM31" s="29"/>
      <c r="CN31" s="29"/>
      <c r="CO31" s="29"/>
      <c r="CP31" s="46" t="str">
        <f t="shared" si="2"/>
        <v>28</v>
      </c>
      <c r="CQ31" s="46" t="str">
        <f t="shared" si="3"/>
        <v>DT</v>
      </c>
      <c r="CR31" s="127" t="str">
        <f t="shared" si="4"/>
        <v>DT</v>
      </c>
      <c r="CS31" s="69">
        <v>0</v>
      </c>
      <c r="CT31" s="47">
        <v>0</v>
      </c>
      <c r="CU31" s="47">
        <v>0</v>
      </c>
      <c r="CV31" s="47">
        <v>0</v>
      </c>
      <c r="CW31" s="47">
        <v>2</v>
      </c>
      <c r="CX31" s="47">
        <v>0</v>
      </c>
      <c r="CY31" s="47">
        <v>1</v>
      </c>
      <c r="CZ31" s="47">
        <v>0</v>
      </c>
      <c r="DA31" s="47">
        <v>0</v>
      </c>
      <c r="DB31" s="47">
        <v>0</v>
      </c>
      <c r="DC31" s="47">
        <v>0</v>
      </c>
      <c r="DD31" s="47">
        <v>0</v>
      </c>
      <c r="DE31" s="47">
        <v>0</v>
      </c>
      <c r="DF31" s="47">
        <f t="shared" si="7"/>
        <v>3</v>
      </c>
    </row>
    <row r="32" spans="1:110" s="5" customFormat="1" x14ac:dyDescent="0.25">
      <c r="A32" s="37">
        <v>82509</v>
      </c>
      <c r="B32" s="53"/>
      <c r="C32" s="135"/>
      <c r="D32" s="2" t="s">
        <v>178</v>
      </c>
      <c r="E32" s="9"/>
      <c r="F32" s="257"/>
      <c r="G32" s="258"/>
      <c r="H32" s="15">
        <v>13</v>
      </c>
      <c r="I32" s="2" t="s">
        <v>179</v>
      </c>
      <c r="J32" s="2" t="s">
        <v>180</v>
      </c>
      <c r="K32" s="267">
        <v>28130</v>
      </c>
      <c r="L32" s="134"/>
      <c r="M32" s="130"/>
      <c r="N32" s="131">
        <v>237283871</v>
      </c>
      <c r="O32" s="17" t="s">
        <v>16</v>
      </c>
      <c r="P32" s="2" t="s">
        <v>181</v>
      </c>
      <c r="Q32" s="19">
        <v>67178</v>
      </c>
      <c r="R32" s="128" t="s">
        <v>516</v>
      </c>
      <c r="S32" s="11" t="s">
        <v>177</v>
      </c>
      <c r="T32" s="137" t="s">
        <v>306</v>
      </c>
      <c r="U32" s="21"/>
      <c r="V32" s="3"/>
      <c r="W32" s="3"/>
      <c r="X32" s="126">
        <f t="shared" si="0"/>
        <v>1</v>
      </c>
      <c r="Y32" s="126">
        <v>2</v>
      </c>
      <c r="Z32" s="11">
        <v>0</v>
      </c>
      <c r="AA32" s="11">
        <v>0</v>
      </c>
      <c r="AB32" s="13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2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262">
        <v>0</v>
      </c>
      <c r="BE32" s="40">
        <v>41199</v>
      </c>
      <c r="BF32" s="40"/>
      <c r="BG32" s="59"/>
      <c r="BH32" s="51" t="s">
        <v>271</v>
      </c>
      <c r="BI32" s="87"/>
      <c r="BJ32" s="88"/>
      <c r="BK32" s="88"/>
      <c r="BL32" s="87">
        <v>1</v>
      </c>
      <c r="BM32" s="88"/>
      <c r="BN32" s="87"/>
      <c r="BO32" s="88"/>
      <c r="BP32" s="88"/>
      <c r="BQ32" s="88"/>
      <c r="BR32" s="88"/>
      <c r="BS32" s="87"/>
      <c r="BT32" s="88"/>
      <c r="BU32" s="64">
        <v>1</v>
      </c>
      <c r="BV32" s="40"/>
      <c r="BW32" s="14">
        <v>41597</v>
      </c>
      <c r="BX32" s="40"/>
      <c r="BY32" s="40"/>
      <c r="BZ32" s="15"/>
      <c r="CA32" s="50">
        <v>41913</v>
      </c>
      <c r="CB32" s="25"/>
      <c r="CC32" s="44" t="str">
        <f t="shared" si="1"/>
        <v>MIKO CAFE SERVICE</v>
      </c>
      <c r="CD32" s="24"/>
      <c r="CE32" s="24"/>
      <c r="CF32" s="24"/>
      <c r="CG32" s="45"/>
      <c r="CH32" s="16"/>
      <c r="CI32" s="16"/>
      <c r="CJ32" s="24"/>
      <c r="CK32" s="45"/>
      <c r="CL32" s="45"/>
      <c r="CM32" s="66"/>
      <c r="CN32" s="45"/>
      <c r="CO32" s="24"/>
      <c r="CP32" s="46" t="str">
        <f t="shared" si="2"/>
        <v>28</v>
      </c>
      <c r="CQ32" s="46" t="str">
        <f t="shared" si="3"/>
        <v>DT</v>
      </c>
      <c r="CR32" s="127" t="str">
        <f t="shared" si="4"/>
        <v>DT</v>
      </c>
      <c r="CS32" s="72">
        <v>0</v>
      </c>
      <c r="CT32" s="67">
        <v>0</v>
      </c>
      <c r="CU32" s="67">
        <v>0</v>
      </c>
      <c r="CV32" s="67">
        <v>0</v>
      </c>
      <c r="CW32" s="67">
        <v>6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7">
        <v>0</v>
      </c>
      <c r="DE32" s="67">
        <v>0</v>
      </c>
      <c r="DF32" s="49">
        <f t="shared" si="7"/>
        <v>6</v>
      </c>
    </row>
    <row r="33" spans="1:110" s="5" customFormat="1" x14ac:dyDescent="0.25">
      <c r="A33" s="22">
        <v>46603</v>
      </c>
      <c r="B33" s="14">
        <v>41662</v>
      </c>
      <c r="C33" s="135"/>
      <c r="D33" s="2" t="s">
        <v>182</v>
      </c>
      <c r="E33" s="9" t="s">
        <v>183</v>
      </c>
      <c r="F33" s="11"/>
      <c r="G33" s="256"/>
      <c r="H33" s="15"/>
      <c r="I33" s="2" t="s">
        <v>184</v>
      </c>
      <c r="J33" s="2" t="s">
        <v>185</v>
      </c>
      <c r="K33" s="267">
        <v>28140</v>
      </c>
      <c r="L33" s="18"/>
      <c r="M33" s="130"/>
      <c r="N33" s="131">
        <v>237997664</v>
      </c>
      <c r="O33" s="17" t="s">
        <v>0</v>
      </c>
      <c r="P33" s="18" t="s">
        <v>186</v>
      </c>
      <c r="Q33" s="19">
        <v>52754</v>
      </c>
      <c r="R33" s="128" t="s">
        <v>441</v>
      </c>
      <c r="S33" s="11" t="s">
        <v>8</v>
      </c>
      <c r="T33" s="137" t="s">
        <v>309</v>
      </c>
      <c r="U33" s="20"/>
      <c r="V33" s="3"/>
      <c r="W33" s="21"/>
      <c r="X33" s="126">
        <f t="shared" si="0"/>
        <v>1</v>
      </c>
      <c r="Y33" s="126">
        <v>2</v>
      </c>
      <c r="Z33" s="11">
        <v>2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262">
        <v>0</v>
      </c>
      <c r="BE33" s="40">
        <v>34647</v>
      </c>
      <c r="BF33" s="40"/>
      <c r="BG33" s="41"/>
      <c r="BH33" s="42" t="s">
        <v>212</v>
      </c>
      <c r="BI33" s="87">
        <v>4</v>
      </c>
      <c r="BJ33" s="88"/>
      <c r="BK33" s="88"/>
      <c r="BL33" s="88"/>
      <c r="BM33" s="88"/>
      <c r="BN33" s="87"/>
      <c r="BO33" s="88"/>
      <c r="BP33" s="88"/>
      <c r="BQ33" s="88"/>
      <c r="BR33" s="88"/>
      <c r="BS33" s="87">
        <v>1</v>
      </c>
      <c r="BT33" s="88"/>
      <c r="BU33" s="15">
        <v>4</v>
      </c>
      <c r="BV33" s="40">
        <v>41508</v>
      </c>
      <c r="BW33" s="40">
        <v>41662</v>
      </c>
      <c r="BX33" s="40">
        <v>41285</v>
      </c>
      <c r="BY33" s="40">
        <v>41096</v>
      </c>
      <c r="BZ33" s="15">
        <v>2</v>
      </c>
      <c r="CA33" s="50">
        <v>41791</v>
      </c>
      <c r="CB33" s="25" t="s">
        <v>267</v>
      </c>
      <c r="CC33" s="44" t="str">
        <f t="shared" si="1"/>
        <v>TRANSGOURMET  VELLES (CENTRE OUEST)</v>
      </c>
      <c r="CD33" s="24"/>
      <c r="CE33" s="24"/>
      <c r="CF33" s="24"/>
      <c r="CG33" s="45"/>
      <c r="CH33" s="24"/>
      <c r="CI33" s="16"/>
      <c r="CJ33" s="31" t="s">
        <v>261</v>
      </c>
      <c r="CK33" s="45"/>
      <c r="CL33" s="45"/>
      <c r="CM33" s="45"/>
      <c r="CN33" s="45"/>
      <c r="CO33" s="24"/>
      <c r="CP33" s="46" t="str">
        <f t="shared" si="2"/>
        <v>28</v>
      </c>
      <c r="CQ33" s="46" t="str">
        <f t="shared" si="3"/>
        <v>DT</v>
      </c>
      <c r="CR33" s="127" t="str">
        <f t="shared" si="4"/>
        <v>DT</v>
      </c>
      <c r="CS33" s="69">
        <v>0</v>
      </c>
      <c r="CT33" s="47">
        <v>0</v>
      </c>
      <c r="CU33" s="47">
        <v>0</v>
      </c>
      <c r="CV33" s="47">
        <v>0</v>
      </c>
      <c r="CW33" s="47">
        <v>0</v>
      </c>
      <c r="CX33" s="47">
        <v>0</v>
      </c>
      <c r="CY33" s="47">
        <v>0</v>
      </c>
      <c r="CZ33" s="47">
        <v>0</v>
      </c>
      <c r="DA33" s="47">
        <v>0</v>
      </c>
      <c r="DB33" s="48">
        <v>4</v>
      </c>
      <c r="DC33" s="48">
        <v>0</v>
      </c>
      <c r="DD33" s="48">
        <v>0</v>
      </c>
      <c r="DE33" s="48">
        <v>0</v>
      </c>
      <c r="DF33" s="49">
        <f t="shared" si="7"/>
        <v>4</v>
      </c>
    </row>
    <row r="34" spans="1:110" s="5" customFormat="1" x14ac:dyDescent="0.25">
      <c r="A34" s="22">
        <v>48155</v>
      </c>
      <c r="B34" s="14">
        <v>41526</v>
      </c>
      <c r="C34" s="135"/>
      <c r="D34" s="2" t="s">
        <v>182</v>
      </c>
      <c r="E34" s="9" t="s">
        <v>187</v>
      </c>
      <c r="F34" s="11"/>
      <c r="G34" s="256"/>
      <c r="H34" s="15">
        <v>25</v>
      </c>
      <c r="I34" s="2" t="s">
        <v>188</v>
      </c>
      <c r="J34" s="2" t="s">
        <v>189</v>
      </c>
      <c r="K34" s="267">
        <v>28150</v>
      </c>
      <c r="L34" s="18"/>
      <c r="M34" s="130"/>
      <c r="N34" s="131">
        <v>237990098</v>
      </c>
      <c r="O34" s="17" t="s">
        <v>0</v>
      </c>
      <c r="P34" s="18" t="s">
        <v>190</v>
      </c>
      <c r="Q34" s="19">
        <v>46665</v>
      </c>
      <c r="R34" s="128" t="s">
        <v>343</v>
      </c>
      <c r="S34" s="11" t="s">
        <v>8</v>
      </c>
      <c r="T34" s="137" t="s">
        <v>309</v>
      </c>
      <c r="U34" s="20"/>
      <c r="V34" s="3"/>
      <c r="W34" s="21"/>
      <c r="X34" s="126">
        <f t="shared" si="0"/>
        <v>1</v>
      </c>
      <c r="Y34" s="126">
        <v>11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8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1">
        <v>0</v>
      </c>
      <c r="AT34" s="11">
        <v>0</v>
      </c>
      <c r="AU34" s="11">
        <v>0</v>
      </c>
      <c r="AV34" s="11">
        <v>0</v>
      </c>
      <c r="AW34" s="11">
        <v>3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262">
        <v>0</v>
      </c>
      <c r="BE34" s="40">
        <v>36613</v>
      </c>
      <c r="BF34" s="40"/>
      <c r="BG34" s="41"/>
      <c r="BH34" s="42" t="s">
        <v>212</v>
      </c>
      <c r="BI34" s="87">
        <v>5</v>
      </c>
      <c r="BJ34" s="88"/>
      <c r="BK34" s="88"/>
      <c r="BL34" s="88"/>
      <c r="BM34" s="88"/>
      <c r="BN34" s="87"/>
      <c r="BO34" s="88"/>
      <c r="BP34" s="88"/>
      <c r="BQ34" s="88"/>
      <c r="BR34" s="88"/>
      <c r="BS34" s="87"/>
      <c r="BT34" s="88"/>
      <c r="BU34" s="15">
        <v>5</v>
      </c>
      <c r="BV34" s="40">
        <v>41285</v>
      </c>
      <c r="BW34" s="40">
        <v>41484</v>
      </c>
      <c r="BX34" s="40">
        <v>41059</v>
      </c>
      <c r="BY34" s="40">
        <v>41606</v>
      </c>
      <c r="BZ34" s="15">
        <v>3</v>
      </c>
      <c r="CA34" s="43">
        <v>41760</v>
      </c>
      <c r="CB34" s="25" t="s">
        <v>267</v>
      </c>
      <c r="CC34" s="44" t="str">
        <f t="shared" si="1"/>
        <v>PRO A PRO  NORD CHALETTE SUR LOING</v>
      </c>
      <c r="CD34" s="24"/>
      <c r="CE34" s="24"/>
      <c r="CF34" s="24"/>
      <c r="CG34" s="45"/>
      <c r="CH34" s="24"/>
      <c r="CI34" s="16"/>
      <c r="CJ34" s="31" t="s">
        <v>261</v>
      </c>
      <c r="CK34" s="45"/>
      <c r="CL34" s="45"/>
      <c r="CM34" s="45"/>
      <c r="CN34" s="45"/>
      <c r="CO34" s="24"/>
      <c r="CP34" s="46" t="str">
        <f t="shared" si="2"/>
        <v>28</v>
      </c>
      <c r="CQ34" s="46" t="str">
        <f t="shared" si="3"/>
        <v>DT</v>
      </c>
      <c r="CR34" s="127" t="str">
        <f t="shared" si="4"/>
        <v>DT</v>
      </c>
      <c r="CS34" s="69">
        <v>0</v>
      </c>
      <c r="CT34" s="47">
        <v>0</v>
      </c>
      <c r="CU34" s="47">
        <v>8</v>
      </c>
      <c r="CV34" s="47">
        <v>8</v>
      </c>
      <c r="CW34" s="47">
        <v>0</v>
      </c>
      <c r="CX34" s="47">
        <v>0</v>
      </c>
      <c r="CY34" s="47">
        <v>0</v>
      </c>
      <c r="CZ34" s="47">
        <v>0</v>
      </c>
      <c r="DA34" s="47">
        <v>0</v>
      </c>
      <c r="DB34" s="48">
        <v>0</v>
      </c>
      <c r="DC34" s="48">
        <v>0</v>
      </c>
      <c r="DD34" s="48">
        <v>0</v>
      </c>
      <c r="DE34" s="48">
        <v>0</v>
      </c>
      <c r="DF34" s="49">
        <f t="shared" si="7"/>
        <v>16</v>
      </c>
    </row>
    <row r="35" spans="1:110" s="5" customFormat="1" x14ac:dyDescent="0.25">
      <c r="A35" s="22">
        <v>47286</v>
      </c>
      <c r="B35" s="14">
        <v>41792</v>
      </c>
      <c r="C35" s="135"/>
      <c r="D35" s="2" t="s">
        <v>191</v>
      </c>
      <c r="E35" s="9" t="s">
        <v>192</v>
      </c>
      <c r="F35" s="11"/>
      <c r="G35" s="256"/>
      <c r="H35" s="15">
        <v>1</v>
      </c>
      <c r="I35" s="2" t="s">
        <v>193</v>
      </c>
      <c r="J35" s="2" t="s">
        <v>194</v>
      </c>
      <c r="K35" s="267">
        <v>28160</v>
      </c>
      <c r="L35" s="18"/>
      <c r="M35" s="130"/>
      <c r="N35" s="131">
        <v>237470339</v>
      </c>
      <c r="O35" s="17" t="s">
        <v>0</v>
      </c>
      <c r="P35" s="18" t="s">
        <v>195</v>
      </c>
      <c r="Q35" s="19">
        <v>46665</v>
      </c>
      <c r="R35" s="128" t="s">
        <v>343</v>
      </c>
      <c r="S35" s="11" t="s">
        <v>8</v>
      </c>
      <c r="T35" s="137" t="s">
        <v>309</v>
      </c>
      <c r="U35" s="31"/>
      <c r="V35" s="3"/>
      <c r="W35" s="21"/>
      <c r="X35" s="126">
        <f t="shared" si="0"/>
        <v>1</v>
      </c>
      <c r="Y35" s="126">
        <v>8</v>
      </c>
      <c r="Z35" s="11">
        <v>0</v>
      </c>
      <c r="AA35" s="11">
        <v>0</v>
      </c>
      <c r="AB35" s="11">
        <v>0</v>
      </c>
      <c r="AC35" s="11">
        <v>0</v>
      </c>
      <c r="AD35" s="11">
        <v>2</v>
      </c>
      <c r="AE35" s="11">
        <v>0</v>
      </c>
      <c r="AF35" s="11">
        <v>0</v>
      </c>
      <c r="AG35" s="11">
        <v>6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262">
        <v>0</v>
      </c>
      <c r="BE35" s="40">
        <v>35487</v>
      </c>
      <c r="BF35" s="40"/>
      <c r="BG35" s="41"/>
      <c r="BH35" s="42" t="s">
        <v>212</v>
      </c>
      <c r="BI35" s="87">
        <v>10</v>
      </c>
      <c r="BJ35" s="88"/>
      <c r="BK35" s="88"/>
      <c r="BL35" s="88"/>
      <c r="BM35" s="88"/>
      <c r="BN35" s="87"/>
      <c r="BO35" s="88"/>
      <c r="BP35" s="88"/>
      <c r="BQ35" s="88"/>
      <c r="BR35" s="88"/>
      <c r="BS35" s="87"/>
      <c r="BT35" s="88"/>
      <c r="BU35" s="10">
        <v>10</v>
      </c>
      <c r="BV35" s="40">
        <v>41590</v>
      </c>
      <c r="BW35" s="14">
        <v>41792</v>
      </c>
      <c r="BX35" s="40">
        <v>41347</v>
      </c>
      <c r="BY35" s="40">
        <v>41617</v>
      </c>
      <c r="BZ35" s="15">
        <v>4</v>
      </c>
      <c r="CA35" s="50">
        <v>41944</v>
      </c>
      <c r="CB35" s="25" t="s">
        <v>270</v>
      </c>
      <c r="CC35" s="44" t="str">
        <f t="shared" si="1"/>
        <v>PRO A PRO  NORD CHALETTE SUR LOING</v>
      </c>
      <c r="CD35" s="45"/>
      <c r="CE35" s="24"/>
      <c r="CF35" s="24"/>
      <c r="CG35" s="45"/>
      <c r="CH35" s="24"/>
      <c r="CI35" s="16"/>
      <c r="CJ35" s="31" t="s">
        <v>261</v>
      </c>
      <c r="CK35" s="45"/>
      <c r="CL35" s="45"/>
      <c r="CM35" s="45"/>
      <c r="CN35" s="45"/>
      <c r="CO35" s="45"/>
      <c r="CP35" s="46" t="str">
        <f t="shared" si="2"/>
        <v>28</v>
      </c>
      <c r="CQ35" s="46" t="str">
        <f t="shared" si="3"/>
        <v>DT</v>
      </c>
      <c r="CR35" s="127" t="str">
        <f t="shared" si="4"/>
        <v>DT</v>
      </c>
      <c r="CS35" s="69">
        <v>0</v>
      </c>
      <c r="CT35" s="47">
        <v>0</v>
      </c>
      <c r="CU35" s="47">
        <v>14</v>
      </c>
      <c r="CV35" s="47">
        <v>0</v>
      </c>
      <c r="CW35" s="47">
        <v>0</v>
      </c>
      <c r="CX35" s="47">
        <v>0</v>
      </c>
      <c r="CY35" s="47">
        <v>0</v>
      </c>
      <c r="CZ35" s="47">
        <v>0</v>
      </c>
      <c r="DA35" s="47">
        <v>0</v>
      </c>
      <c r="DB35" s="48">
        <v>0</v>
      </c>
      <c r="DC35" s="48">
        <v>0</v>
      </c>
      <c r="DD35" s="48">
        <v>0</v>
      </c>
      <c r="DE35" s="48">
        <v>0</v>
      </c>
      <c r="DF35" s="49">
        <f t="shared" si="7"/>
        <v>14</v>
      </c>
    </row>
    <row r="36" spans="1:110" s="5" customFormat="1" x14ac:dyDescent="0.25">
      <c r="A36" s="22">
        <v>49177</v>
      </c>
      <c r="B36" s="14">
        <v>41526</v>
      </c>
      <c r="C36" s="135"/>
      <c r="D36" s="2" t="s">
        <v>651</v>
      </c>
      <c r="E36" s="9" t="s">
        <v>196</v>
      </c>
      <c r="F36" s="11"/>
      <c r="G36" s="256"/>
      <c r="H36" s="15"/>
      <c r="I36" s="2"/>
      <c r="J36" s="2" t="s">
        <v>197</v>
      </c>
      <c r="K36" s="267">
        <v>28200</v>
      </c>
      <c r="L36" s="18"/>
      <c r="M36" s="130">
        <v>50773596700014</v>
      </c>
      <c r="N36" s="131">
        <v>237510541</v>
      </c>
      <c r="O36" s="17" t="s">
        <v>293</v>
      </c>
      <c r="P36" s="18" t="s">
        <v>198</v>
      </c>
      <c r="Q36" s="19" t="s">
        <v>652</v>
      </c>
      <c r="R36" s="128" t="s">
        <v>164</v>
      </c>
      <c r="S36" s="11" t="s">
        <v>320</v>
      </c>
      <c r="T36" s="137" t="s">
        <v>321</v>
      </c>
      <c r="U36" s="20"/>
      <c r="V36" s="3"/>
      <c r="W36" s="21"/>
      <c r="X36" s="126">
        <f t="shared" si="0"/>
        <v>1</v>
      </c>
      <c r="Y36" s="126">
        <v>2</v>
      </c>
      <c r="Z36" s="11">
        <v>2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262">
        <v>0</v>
      </c>
      <c r="BE36" s="40">
        <v>37785</v>
      </c>
      <c r="BF36" s="40"/>
      <c r="BG36" s="41"/>
      <c r="BH36" s="42" t="s">
        <v>213</v>
      </c>
      <c r="BI36" s="87"/>
      <c r="BJ36" s="88"/>
      <c r="BK36" s="88"/>
      <c r="BL36" s="88"/>
      <c r="BM36" s="88"/>
      <c r="BN36" s="87"/>
      <c r="BO36" s="88"/>
      <c r="BP36" s="88"/>
      <c r="BQ36" s="88"/>
      <c r="BR36" s="88"/>
      <c r="BS36" s="87">
        <v>2</v>
      </c>
      <c r="BT36" s="88"/>
      <c r="BU36" s="10">
        <v>2</v>
      </c>
      <c r="BV36" s="40">
        <v>41380</v>
      </c>
      <c r="BW36" s="40">
        <v>41597</v>
      </c>
      <c r="BX36" s="40">
        <v>41380</v>
      </c>
      <c r="BY36" s="40">
        <v>41045</v>
      </c>
      <c r="BZ36" s="15">
        <v>2</v>
      </c>
      <c r="CA36" s="43">
        <v>41760</v>
      </c>
      <c r="CB36" s="28" t="s">
        <v>278</v>
      </c>
      <c r="CC36" s="44" t="str">
        <f t="shared" si="1"/>
        <v>SMD</v>
      </c>
      <c r="CD36" s="24"/>
      <c r="CE36" s="24"/>
      <c r="CF36" s="24"/>
      <c r="CG36" s="45"/>
      <c r="CH36" s="24"/>
      <c r="CI36" s="16"/>
      <c r="CJ36" s="31" t="s">
        <v>261</v>
      </c>
      <c r="CK36" s="45"/>
      <c r="CL36" s="45"/>
      <c r="CM36" s="45"/>
      <c r="CN36" s="45"/>
      <c r="CO36" s="24"/>
      <c r="CP36" s="46" t="str">
        <f t="shared" si="2"/>
        <v>28</v>
      </c>
      <c r="CQ36" s="46" t="str">
        <f t="shared" si="3"/>
        <v>DT</v>
      </c>
      <c r="CR36" s="127" t="str">
        <f t="shared" si="4"/>
        <v>DT</v>
      </c>
      <c r="CS36" s="69">
        <v>0</v>
      </c>
      <c r="CT36" s="47">
        <v>0</v>
      </c>
      <c r="CU36" s="47">
        <v>0</v>
      </c>
      <c r="CV36" s="47">
        <v>0</v>
      </c>
      <c r="CW36" s="47">
        <v>0</v>
      </c>
      <c r="CX36" s="47">
        <v>0</v>
      </c>
      <c r="CY36" s="47">
        <v>0</v>
      </c>
      <c r="CZ36" s="47">
        <v>0</v>
      </c>
      <c r="DA36" s="47">
        <v>4</v>
      </c>
      <c r="DB36" s="48">
        <v>0</v>
      </c>
      <c r="DC36" s="48">
        <v>0</v>
      </c>
      <c r="DD36" s="48">
        <v>0</v>
      </c>
      <c r="DE36" s="48">
        <v>0</v>
      </c>
      <c r="DF36" s="49">
        <f t="shared" si="7"/>
        <v>4</v>
      </c>
    </row>
    <row r="37" spans="1:110" s="5" customFormat="1" x14ac:dyDescent="0.25">
      <c r="A37" s="3" t="s">
        <v>519</v>
      </c>
      <c r="B37" s="40">
        <v>41941</v>
      </c>
      <c r="C37" s="135"/>
      <c r="D37" s="129" t="s">
        <v>656</v>
      </c>
      <c r="E37" s="2" t="s">
        <v>657</v>
      </c>
      <c r="F37" s="4" t="s">
        <v>658</v>
      </c>
      <c r="G37" s="14">
        <v>41936</v>
      </c>
      <c r="H37" s="4" t="s">
        <v>580</v>
      </c>
      <c r="I37" s="2" t="s">
        <v>659</v>
      </c>
      <c r="J37" s="133" t="s">
        <v>647</v>
      </c>
      <c r="K37" s="267">
        <v>75013</v>
      </c>
      <c r="L37" s="34" t="s">
        <v>330</v>
      </c>
      <c r="M37" s="34" t="s">
        <v>330</v>
      </c>
      <c r="N37" s="131" t="s">
        <v>660</v>
      </c>
      <c r="O37" s="34" t="s">
        <v>16</v>
      </c>
      <c r="P37" s="34" t="s">
        <v>656</v>
      </c>
      <c r="Q37" s="19" t="s">
        <v>661</v>
      </c>
      <c r="R37" s="32" t="s">
        <v>345</v>
      </c>
      <c r="S37" s="21" t="s">
        <v>1</v>
      </c>
      <c r="T37" s="36" t="s">
        <v>307</v>
      </c>
      <c r="X37" s="11" t="s">
        <v>81</v>
      </c>
      <c r="Y37" s="12">
        <v>2</v>
      </c>
      <c r="Z37" s="11">
        <v>1</v>
      </c>
      <c r="AA37" s="11">
        <v>0</v>
      </c>
      <c r="AB37" s="11">
        <v>0</v>
      </c>
      <c r="AC37" s="11">
        <v>1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262">
        <v>0</v>
      </c>
      <c r="BE37" s="40">
        <v>41937</v>
      </c>
      <c r="BF37" s="14"/>
      <c r="BG37" s="59" t="s">
        <v>330</v>
      </c>
      <c r="BH37" s="51"/>
      <c r="BI37" s="87" t="s">
        <v>81</v>
      </c>
      <c r="BJ37" s="88" t="s">
        <v>330</v>
      </c>
      <c r="BK37" s="88" t="s">
        <v>330</v>
      </c>
      <c r="BL37" s="88" t="s">
        <v>330</v>
      </c>
      <c r="BM37" s="88" t="s">
        <v>330</v>
      </c>
      <c r="BN37" s="87" t="s">
        <v>330</v>
      </c>
      <c r="BO37" s="88" t="s">
        <v>330</v>
      </c>
      <c r="BP37" s="88" t="s">
        <v>330</v>
      </c>
      <c r="BQ37" s="88" t="s">
        <v>330</v>
      </c>
      <c r="BR37" s="88" t="s">
        <v>330</v>
      </c>
      <c r="BS37" s="87" t="s">
        <v>330</v>
      </c>
      <c r="BT37" s="90" t="s">
        <v>81</v>
      </c>
      <c r="BU37" s="64"/>
      <c r="BV37" s="40"/>
      <c r="BW37" s="14"/>
      <c r="BX37" s="40"/>
      <c r="BY37" s="40"/>
      <c r="BZ37" s="15" t="s">
        <v>342</v>
      </c>
      <c r="CA37" s="14">
        <v>42353</v>
      </c>
      <c r="CB37" s="25" t="s">
        <v>662</v>
      </c>
      <c r="CC37" s="44" t="s">
        <v>345</v>
      </c>
      <c r="CD37" s="24" t="s">
        <v>330</v>
      </c>
      <c r="CE37" s="24" t="s">
        <v>330</v>
      </c>
      <c r="CF37" s="24" t="s">
        <v>330</v>
      </c>
      <c r="CG37" s="45" t="s">
        <v>330</v>
      </c>
      <c r="CH37" s="16" t="s">
        <v>330</v>
      </c>
      <c r="CI37" s="16" t="s">
        <v>330</v>
      </c>
      <c r="CJ37" s="24" t="s">
        <v>330</v>
      </c>
      <c r="CK37" s="45" t="s">
        <v>330</v>
      </c>
      <c r="CL37" s="45" t="s">
        <v>330</v>
      </c>
      <c r="CM37" s="66" t="s">
        <v>330</v>
      </c>
      <c r="CN37" s="45" t="s">
        <v>338</v>
      </c>
      <c r="CO37" s="40">
        <v>42350</v>
      </c>
      <c r="CP37" s="46" t="s">
        <v>637</v>
      </c>
      <c r="CQ37" s="266" t="s">
        <v>663</v>
      </c>
      <c r="CR37" s="127" t="s">
        <v>649</v>
      </c>
      <c r="CS37" s="70">
        <v>1</v>
      </c>
      <c r="CT37" s="48">
        <v>1</v>
      </c>
      <c r="CU37" s="48">
        <v>0</v>
      </c>
      <c r="CV37" s="48">
        <v>0</v>
      </c>
      <c r="CW37" s="48">
        <v>0</v>
      </c>
      <c r="CX37" s="48">
        <v>0</v>
      </c>
      <c r="CY37" s="48">
        <v>0</v>
      </c>
      <c r="CZ37" s="48">
        <v>0</v>
      </c>
      <c r="DA37" s="48">
        <v>0</v>
      </c>
      <c r="DB37" s="48">
        <v>0</v>
      </c>
      <c r="DC37" s="48">
        <v>0</v>
      </c>
      <c r="DD37" s="48">
        <v>0</v>
      </c>
      <c r="DE37" s="48">
        <v>0</v>
      </c>
      <c r="DF37" s="49">
        <v>2</v>
      </c>
    </row>
  </sheetData>
  <protectedRanges>
    <protectedRange password="CF91" sqref="CC1" name="Plage1_1_1_2"/>
    <protectedRange password="CF91" sqref="CC3:CC151" name="Plage1_1_1_1_2"/>
  </protectedRanges>
  <autoFilter ref="A1:DN37"/>
  <phoneticPr fontId="3" type="noConversion"/>
  <conditionalFormatting sqref="A2:C2 E2:G2 I2:CF2">
    <cfRule type="duplicateValues" dxfId="6" priority="2" stopIfTrue="1"/>
  </conditionalFormatting>
  <conditionalFormatting sqref="A1:A1048576">
    <cfRule type="duplicateValues" dxfId="5" priority="1"/>
  </conditionalFormatting>
  <dataValidations disablePrompts="1" xWindow="837" yWindow="538" count="11">
    <dataValidation type="list" allowBlank="1" showInputMessage="1" showErrorMessage="1" error="Choisir la civilité dans la liste déroulante" sqref="O1 O3:O36">
      <formula1>civilité</formula1>
    </dataValidation>
    <dataValidation allowBlank="1" showErrorMessage="1" error="Ne rien écrire sur cette colonne Olivier elle m'est réservée. Merci " sqref="BS6 BU11:BU13 L1 L3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 U3:U36">
      <formula1>motif2</formula1>
    </dataValidation>
    <dataValidation type="list" allowBlank="1" showInputMessage="1" showErrorMessage="1" sqref="W1 W3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list" allowBlank="1" showErrorMessage="1" error="Choisir la désignation client dans la liste déroulante" sqref="S1 S3:S1048576">
      <formula1>categorie</formula1>
    </dataValidation>
    <dataValidation type="list" allowBlank="1" showInputMessage="1" showErrorMessage="1" sqref="CN1:CN37">
      <formula1>BRITA</formula1>
    </dataValidation>
    <dataValidation allowBlank="1" showInputMessage="1" showErrorMessage="1" error="Choisir la civilité dans la liste déroulante" sqref="I37:I1048576"/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Formulaire">
          <controlPr defaultSize="0" autoLine="0" r:id="rId5">
            <anchor moveWithCells="1">
              <from>
                <xdr:col>0</xdr:col>
                <xdr:colOff>7620</xdr:colOff>
                <xdr:row>0</xdr:row>
                <xdr:rowOff>0</xdr:rowOff>
              </from>
              <to>
                <xdr:col>0</xdr:col>
                <xdr:colOff>1051560</xdr:colOff>
                <xdr:row>0</xdr:row>
                <xdr:rowOff>533400</xdr:rowOff>
              </to>
            </anchor>
          </controlPr>
        </control>
      </mc:Choice>
      <mc:Fallback>
        <control shapeId="1031" r:id="rId4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2"/>
  <sheetViews>
    <sheetView workbookViewId="0">
      <selection activeCell="A23" sqref="A23"/>
    </sheetView>
  </sheetViews>
  <sheetFormatPr baseColWidth="10" defaultRowHeight="13.2" x14ac:dyDescent="0.25"/>
  <cols>
    <col min="1" max="1" width="31.6640625" bestFit="1" customWidth="1"/>
    <col min="9" max="9" width="25.44140625" bestFit="1" customWidth="1"/>
  </cols>
  <sheetData>
    <row r="1" spans="1:26" x14ac:dyDescent="0.25">
      <c r="A1" s="143" t="s">
        <v>341</v>
      </c>
      <c r="E1" t="s">
        <v>525</v>
      </c>
      <c r="I1" s="264" t="s">
        <v>650</v>
      </c>
    </row>
    <row r="2" spans="1:26" x14ac:dyDescent="0.25">
      <c r="A2" s="144" t="s">
        <v>88</v>
      </c>
      <c r="E2" s="146" t="s">
        <v>280</v>
      </c>
      <c r="I2" s="265">
        <v>74</v>
      </c>
    </row>
    <row r="3" spans="1:26" x14ac:dyDescent="0.25">
      <c r="A3" s="145" t="s">
        <v>199</v>
      </c>
      <c r="E3" s="147" t="s">
        <v>281</v>
      </c>
    </row>
    <row r="4" spans="1:26" x14ac:dyDescent="0.25">
      <c r="A4" s="145" t="s">
        <v>200</v>
      </c>
      <c r="E4" s="147" t="s">
        <v>282</v>
      </c>
      <c r="Z4">
        <v>25</v>
      </c>
    </row>
    <row r="5" spans="1:26" x14ac:dyDescent="0.25">
      <c r="A5" s="145" t="s">
        <v>201</v>
      </c>
      <c r="E5" s="147" t="s">
        <v>283</v>
      </c>
      <c r="Z5">
        <v>25</v>
      </c>
    </row>
    <row r="6" spans="1:26" x14ac:dyDescent="0.25">
      <c r="A6" s="144" t="s">
        <v>202</v>
      </c>
      <c r="E6" s="147" t="s">
        <v>284</v>
      </c>
      <c r="Z6">
        <v>25</v>
      </c>
    </row>
    <row r="7" spans="1:26" x14ac:dyDescent="0.25">
      <c r="A7" s="144" t="s">
        <v>203</v>
      </c>
      <c r="E7" s="146" t="s">
        <v>0</v>
      </c>
      <c r="Z7">
        <v>25</v>
      </c>
    </row>
    <row r="8" spans="1:26" x14ac:dyDescent="0.25">
      <c r="E8" s="146" t="s">
        <v>285</v>
      </c>
      <c r="Z8">
        <v>25</v>
      </c>
    </row>
    <row r="9" spans="1:26" x14ac:dyDescent="0.25">
      <c r="E9" s="147" t="s">
        <v>286</v>
      </c>
      <c r="Z9">
        <v>25</v>
      </c>
    </row>
    <row r="10" spans="1:26" x14ac:dyDescent="0.25">
      <c r="E10" s="147" t="s">
        <v>287</v>
      </c>
      <c r="Z10">
        <v>25</v>
      </c>
    </row>
    <row r="11" spans="1:26" x14ac:dyDescent="0.25">
      <c r="E11" s="147" t="s">
        <v>288</v>
      </c>
      <c r="Z11">
        <v>25</v>
      </c>
    </row>
    <row r="12" spans="1:26" x14ac:dyDescent="0.25">
      <c r="A12" s="39" t="s">
        <v>337</v>
      </c>
      <c r="E12" s="147" t="s">
        <v>289</v>
      </c>
      <c r="Z12">
        <v>25</v>
      </c>
    </row>
    <row r="13" spans="1:26" x14ac:dyDescent="0.25">
      <c r="A13" s="39" t="s">
        <v>338</v>
      </c>
      <c r="E13" s="146" t="s">
        <v>16</v>
      </c>
      <c r="Z13">
        <v>25</v>
      </c>
    </row>
    <row r="14" spans="1:26" x14ac:dyDescent="0.25">
      <c r="A14" s="39" t="s">
        <v>339</v>
      </c>
      <c r="E14" s="147" t="s">
        <v>290</v>
      </c>
      <c r="Z14">
        <v>25</v>
      </c>
    </row>
    <row r="15" spans="1:26" x14ac:dyDescent="0.25">
      <c r="A15" s="39" t="s">
        <v>279</v>
      </c>
      <c r="E15" s="146" t="s">
        <v>291</v>
      </c>
      <c r="Z15">
        <v>25</v>
      </c>
    </row>
    <row r="16" spans="1:26" x14ac:dyDescent="0.25">
      <c r="A16" s="39" t="s">
        <v>340</v>
      </c>
      <c r="E16" s="147" t="s">
        <v>292</v>
      </c>
      <c r="Z16">
        <v>25</v>
      </c>
    </row>
    <row r="17" spans="5:26" x14ac:dyDescent="0.25">
      <c r="E17" s="147" t="s">
        <v>293</v>
      </c>
      <c r="Z17">
        <v>25</v>
      </c>
    </row>
    <row r="18" spans="5:26" x14ac:dyDescent="0.25">
      <c r="E18" s="147" t="s">
        <v>294</v>
      </c>
      <c r="Z18">
        <v>25</v>
      </c>
    </row>
    <row r="19" spans="5:26" x14ac:dyDescent="0.25">
      <c r="E19" s="148" t="s">
        <v>295</v>
      </c>
      <c r="Z19">
        <v>25</v>
      </c>
    </row>
    <row r="20" spans="5:26" x14ac:dyDescent="0.25">
      <c r="Z20">
        <v>25</v>
      </c>
    </row>
    <row r="21" spans="5:26" x14ac:dyDescent="0.25">
      <c r="Z21">
        <v>25</v>
      </c>
    </row>
    <row r="22" spans="5:26" x14ac:dyDescent="0.25">
      <c r="Z22">
        <v>25</v>
      </c>
    </row>
  </sheetData>
  <conditionalFormatting sqref="E2:E19">
    <cfRule type="duplicateValues" dxfId="4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0"/>
  <sheetViews>
    <sheetView topLeftCell="A27" workbookViewId="0">
      <selection activeCell="A40" sqref="A40"/>
    </sheetView>
  </sheetViews>
  <sheetFormatPr baseColWidth="10" defaultRowHeight="13.2" x14ac:dyDescent="0.25"/>
  <cols>
    <col min="1" max="1" width="9.33203125" style="80" customWidth="1"/>
    <col min="2" max="2" width="43" style="23" customWidth="1"/>
    <col min="3" max="3" width="10.5546875" style="81" customWidth="1"/>
    <col min="4" max="4" width="35.5546875" style="82" bestFit="1" customWidth="1"/>
  </cols>
  <sheetData>
    <row r="1" spans="1:4" x14ac:dyDescent="0.25">
      <c r="A1" s="80" t="s">
        <v>524</v>
      </c>
      <c r="B1" s="23" t="s">
        <v>331</v>
      </c>
    </row>
    <row r="2" spans="1:4" x14ac:dyDescent="0.25">
      <c r="A2" s="80">
        <v>45374</v>
      </c>
      <c r="B2" s="83" t="s">
        <v>332</v>
      </c>
    </row>
    <row r="3" spans="1:4" x14ac:dyDescent="0.25">
      <c r="A3" s="80">
        <v>46627</v>
      </c>
      <c r="B3" s="83" t="s">
        <v>333</v>
      </c>
    </row>
    <row r="4" spans="1:4" x14ac:dyDescent="0.25">
      <c r="A4" s="80">
        <v>46629</v>
      </c>
      <c r="B4" s="83" t="s">
        <v>334</v>
      </c>
    </row>
    <row r="5" spans="1:4" x14ac:dyDescent="0.25">
      <c r="A5" s="80">
        <v>46631</v>
      </c>
      <c r="B5" s="83" t="s">
        <v>335</v>
      </c>
    </row>
    <row r="6" spans="1:4" x14ac:dyDescent="0.25">
      <c r="A6" s="80">
        <v>46632</v>
      </c>
      <c r="B6" s="83" t="s">
        <v>336</v>
      </c>
    </row>
    <row r="7" spans="1:4" x14ac:dyDescent="0.25">
      <c r="A7" s="80">
        <v>46633</v>
      </c>
      <c r="B7" s="83" t="s">
        <v>345</v>
      </c>
      <c r="C7" s="84"/>
      <c r="D7" s="85"/>
    </row>
    <row r="8" spans="1:4" x14ac:dyDescent="0.25">
      <c r="A8" s="80">
        <v>46634</v>
      </c>
      <c r="B8" s="83" t="s">
        <v>346</v>
      </c>
      <c r="C8" s="84"/>
      <c r="D8" s="85"/>
    </row>
    <row r="9" spans="1:4" x14ac:dyDescent="0.25">
      <c r="A9" s="80">
        <v>46635</v>
      </c>
      <c r="B9" s="83" t="s">
        <v>347</v>
      </c>
      <c r="C9" s="84"/>
      <c r="D9" s="85"/>
    </row>
    <row r="10" spans="1:4" x14ac:dyDescent="0.25">
      <c r="A10" s="80">
        <v>46636</v>
      </c>
      <c r="B10" s="83" t="s">
        <v>348</v>
      </c>
      <c r="C10" s="84"/>
      <c r="D10" s="85"/>
    </row>
    <row r="11" spans="1:4" x14ac:dyDescent="0.25">
      <c r="A11" s="80">
        <v>46637</v>
      </c>
      <c r="B11" s="83" t="s">
        <v>349</v>
      </c>
      <c r="C11" s="84"/>
      <c r="D11" s="85"/>
    </row>
    <row r="12" spans="1:4" x14ac:dyDescent="0.25">
      <c r="A12" s="80">
        <v>46638</v>
      </c>
      <c r="B12" s="83" t="s">
        <v>350</v>
      </c>
      <c r="C12" s="84"/>
      <c r="D12" s="85"/>
    </row>
    <row r="13" spans="1:4" x14ac:dyDescent="0.25">
      <c r="A13" s="80">
        <v>46640</v>
      </c>
      <c r="B13" s="83" t="s">
        <v>351</v>
      </c>
      <c r="C13" s="84"/>
      <c r="D13" s="85"/>
    </row>
    <row r="14" spans="1:4" x14ac:dyDescent="0.25">
      <c r="A14" s="80">
        <v>46642</v>
      </c>
      <c r="B14" s="83" t="s">
        <v>352</v>
      </c>
      <c r="C14" s="84"/>
      <c r="D14" s="85"/>
    </row>
    <row r="15" spans="1:4" x14ac:dyDescent="0.25">
      <c r="A15" s="80">
        <v>46643</v>
      </c>
      <c r="B15" s="83" t="s">
        <v>353</v>
      </c>
      <c r="C15" s="84"/>
      <c r="D15" s="85"/>
    </row>
    <row r="16" spans="1:4" x14ac:dyDescent="0.25">
      <c r="A16" s="80">
        <v>46645</v>
      </c>
      <c r="B16" s="83" t="s">
        <v>354</v>
      </c>
      <c r="C16" s="84"/>
      <c r="D16" s="85"/>
    </row>
    <row r="17" spans="1:4" x14ac:dyDescent="0.25">
      <c r="A17" s="80">
        <v>46646</v>
      </c>
      <c r="B17" s="83" t="s">
        <v>355</v>
      </c>
      <c r="C17" s="84"/>
      <c r="D17" s="85"/>
    </row>
    <row r="18" spans="1:4" x14ac:dyDescent="0.25">
      <c r="A18" s="80">
        <v>46647</v>
      </c>
      <c r="B18" s="83" t="s">
        <v>356</v>
      </c>
      <c r="C18" s="84"/>
      <c r="D18" s="85"/>
    </row>
    <row r="19" spans="1:4" x14ac:dyDescent="0.25">
      <c r="A19" s="80">
        <v>46648</v>
      </c>
      <c r="B19" s="83" t="s">
        <v>357</v>
      </c>
      <c r="C19" s="84"/>
      <c r="D19" s="85"/>
    </row>
    <row r="20" spans="1:4" x14ac:dyDescent="0.25">
      <c r="A20" s="80">
        <v>46649</v>
      </c>
      <c r="B20" s="83" t="s">
        <v>358</v>
      </c>
      <c r="C20" s="84"/>
      <c r="D20" s="85"/>
    </row>
    <row r="21" spans="1:4" x14ac:dyDescent="0.25">
      <c r="A21" s="80">
        <v>46653</v>
      </c>
      <c r="B21" s="83" t="s">
        <v>359</v>
      </c>
      <c r="C21" s="84"/>
      <c r="D21" s="85"/>
    </row>
    <row r="22" spans="1:4" x14ac:dyDescent="0.25">
      <c r="A22" s="80">
        <v>46654</v>
      </c>
      <c r="B22" s="83" t="s">
        <v>360</v>
      </c>
      <c r="C22" s="84"/>
      <c r="D22" s="85"/>
    </row>
    <row r="23" spans="1:4" x14ac:dyDescent="0.25">
      <c r="A23" s="80">
        <v>46655</v>
      </c>
      <c r="B23" s="83" t="s">
        <v>361</v>
      </c>
      <c r="C23" s="84"/>
      <c r="D23" s="85"/>
    </row>
    <row r="24" spans="1:4" x14ac:dyDescent="0.25">
      <c r="A24" s="80">
        <v>46656</v>
      </c>
      <c r="B24" s="83" t="s">
        <v>362</v>
      </c>
      <c r="C24" s="84"/>
      <c r="D24" s="85"/>
    </row>
    <row r="25" spans="1:4" x14ac:dyDescent="0.25">
      <c r="A25" s="80">
        <v>46658</v>
      </c>
      <c r="B25" s="83" t="s">
        <v>363</v>
      </c>
      <c r="C25" s="84"/>
      <c r="D25" s="85"/>
    </row>
    <row r="26" spans="1:4" x14ac:dyDescent="0.25">
      <c r="A26" s="80">
        <v>46659</v>
      </c>
      <c r="B26" s="83" t="s">
        <v>364</v>
      </c>
      <c r="C26" s="84"/>
      <c r="D26" s="85"/>
    </row>
    <row r="27" spans="1:4" x14ac:dyDescent="0.25">
      <c r="A27" s="80">
        <v>46660</v>
      </c>
      <c r="B27" s="83" t="s">
        <v>365</v>
      </c>
      <c r="C27" s="84"/>
      <c r="D27" s="85"/>
    </row>
    <row r="28" spans="1:4" x14ac:dyDescent="0.25">
      <c r="A28" s="80">
        <v>46661</v>
      </c>
      <c r="B28" s="83" t="s">
        <v>366</v>
      </c>
      <c r="C28" s="84"/>
      <c r="D28" s="85"/>
    </row>
    <row r="29" spans="1:4" x14ac:dyDescent="0.25">
      <c r="A29" s="80">
        <v>46662</v>
      </c>
      <c r="B29" s="83" t="s">
        <v>367</v>
      </c>
      <c r="C29" s="84"/>
      <c r="D29" s="85"/>
    </row>
    <row r="30" spans="1:4" x14ac:dyDescent="0.25">
      <c r="A30" s="80">
        <v>46663</v>
      </c>
      <c r="B30" s="83" t="s">
        <v>368</v>
      </c>
      <c r="C30" s="84"/>
      <c r="D30" s="85"/>
    </row>
    <row r="31" spans="1:4" x14ac:dyDescent="0.25">
      <c r="A31" s="80">
        <v>46664</v>
      </c>
      <c r="B31" s="83" t="s">
        <v>369</v>
      </c>
      <c r="C31" s="84"/>
      <c r="D31" s="85"/>
    </row>
    <row r="32" spans="1:4" x14ac:dyDescent="0.25">
      <c r="A32" s="80">
        <v>46665</v>
      </c>
      <c r="B32" s="83" t="s">
        <v>343</v>
      </c>
      <c r="C32" s="84"/>
      <c r="D32" s="85"/>
    </row>
    <row r="33" spans="1:4" x14ac:dyDescent="0.25">
      <c r="A33" s="80">
        <v>46666</v>
      </c>
      <c r="B33" s="83" t="s">
        <v>370</v>
      </c>
      <c r="C33" s="84"/>
      <c r="D33" s="85"/>
    </row>
    <row r="34" spans="1:4" x14ac:dyDescent="0.25">
      <c r="A34" s="80">
        <v>46667</v>
      </c>
      <c r="B34" s="83" t="s">
        <v>371</v>
      </c>
      <c r="C34" s="84"/>
      <c r="D34" s="85"/>
    </row>
    <row r="35" spans="1:4" x14ac:dyDescent="0.25">
      <c r="A35" s="80">
        <v>46668</v>
      </c>
      <c r="B35" s="83" t="s">
        <v>372</v>
      </c>
      <c r="C35" s="84"/>
      <c r="D35" s="85"/>
    </row>
    <row r="36" spans="1:4" x14ac:dyDescent="0.25">
      <c r="A36" s="80">
        <v>46669</v>
      </c>
      <c r="B36" s="83" t="s">
        <v>373</v>
      </c>
      <c r="C36" s="84"/>
      <c r="D36" s="85"/>
    </row>
    <row r="37" spans="1:4" x14ac:dyDescent="0.25">
      <c r="A37" s="80">
        <v>46670</v>
      </c>
      <c r="B37" s="83" t="s">
        <v>374</v>
      </c>
      <c r="C37" s="84"/>
      <c r="D37" s="85"/>
    </row>
    <row r="38" spans="1:4" x14ac:dyDescent="0.25">
      <c r="A38" s="80">
        <v>46671</v>
      </c>
      <c r="B38" s="83" t="s">
        <v>375</v>
      </c>
      <c r="C38" s="84"/>
      <c r="D38" s="85"/>
    </row>
    <row r="39" spans="1:4" x14ac:dyDescent="0.25">
      <c r="A39" s="80">
        <v>46672</v>
      </c>
      <c r="B39" s="83" t="s">
        <v>376</v>
      </c>
      <c r="C39" s="84"/>
      <c r="D39" s="85"/>
    </row>
    <row r="40" spans="1:4" x14ac:dyDescent="0.25">
      <c r="A40" s="80">
        <v>46675</v>
      </c>
      <c r="B40" s="83" t="s">
        <v>377</v>
      </c>
      <c r="C40" s="84"/>
      <c r="D40" s="85"/>
    </row>
    <row r="41" spans="1:4" x14ac:dyDescent="0.25">
      <c r="A41" s="80">
        <v>46677</v>
      </c>
      <c r="B41" s="83" t="s">
        <v>378</v>
      </c>
      <c r="C41" s="84"/>
      <c r="D41" s="85"/>
    </row>
    <row r="42" spans="1:4" x14ac:dyDescent="0.25">
      <c r="A42" s="80">
        <v>46678</v>
      </c>
      <c r="B42" s="86" t="s">
        <v>379</v>
      </c>
      <c r="C42" s="84"/>
      <c r="D42" s="85"/>
    </row>
    <row r="43" spans="1:4" x14ac:dyDescent="0.25">
      <c r="A43" s="80">
        <v>46680</v>
      </c>
      <c r="B43" s="86" t="s">
        <v>380</v>
      </c>
      <c r="C43" s="84"/>
      <c r="D43" s="85"/>
    </row>
    <row r="44" spans="1:4" x14ac:dyDescent="0.25">
      <c r="A44" s="80">
        <v>46681</v>
      </c>
      <c r="B44" s="83" t="s">
        <v>381</v>
      </c>
      <c r="C44" s="84"/>
      <c r="D44" s="85"/>
    </row>
    <row r="45" spans="1:4" x14ac:dyDescent="0.25">
      <c r="A45" s="80">
        <v>46683</v>
      </c>
      <c r="B45" s="83" t="s">
        <v>382</v>
      </c>
      <c r="C45" s="84"/>
      <c r="D45" s="85"/>
    </row>
    <row r="46" spans="1:4" x14ac:dyDescent="0.25">
      <c r="A46" s="80">
        <v>46684</v>
      </c>
      <c r="B46" s="83" t="s">
        <v>383</v>
      </c>
      <c r="C46" s="84"/>
      <c r="D46" s="85"/>
    </row>
    <row r="47" spans="1:4" x14ac:dyDescent="0.25">
      <c r="A47" s="80">
        <v>46685</v>
      </c>
      <c r="B47" s="83" t="s">
        <v>384</v>
      </c>
      <c r="C47" s="84"/>
      <c r="D47" s="85"/>
    </row>
    <row r="48" spans="1:4" x14ac:dyDescent="0.25">
      <c r="A48" s="80">
        <v>46686</v>
      </c>
      <c r="B48" s="83" t="s">
        <v>385</v>
      </c>
      <c r="C48" s="84"/>
      <c r="D48" s="85"/>
    </row>
    <row r="49" spans="1:4" x14ac:dyDescent="0.25">
      <c r="A49" s="80">
        <v>46690</v>
      </c>
      <c r="B49" s="83" t="s">
        <v>386</v>
      </c>
      <c r="C49" s="84"/>
      <c r="D49" s="85"/>
    </row>
    <row r="50" spans="1:4" x14ac:dyDescent="0.25">
      <c r="A50" s="80">
        <v>46692</v>
      </c>
      <c r="B50" s="83" t="s">
        <v>387</v>
      </c>
      <c r="C50" s="84"/>
      <c r="D50" s="85"/>
    </row>
    <row r="51" spans="1:4" x14ac:dyDescent="0.25">
      <c r="A51" s="80">
        <v>46694</v>
      </c>
      <c r="B51" s="83" t="s">
        <v>388</v>
      </c>
      <c r="C51" s="84"/>
      <c r="D51" s="85"/>
    </row>
    <row r="52" spans="1:4" x14ac:dyDescent="0.25">
      <c r="A52" s="80">
        <v>46696</v>
      </c>
      <c r="B52" s="83" t="s">
        <v>389</v>
      </c>
      <c r="C52" s="84"/>
      <c r="D52" s="85"/>
    </row>
    <row r="53" spans="1:4" x14ac:dyDescent="0.25">
      <c r="A53" s="80">
        <v>46697</v>
      </c>
      <c r="B53" s="83" t="s">
        <v>390</v>
      </c>
      <c r="C53" s="84"/>
      <c r="D53" s="85"/>
    </row>
    <row r="54" spans="1:4" x14ac:dyDescent="0.25">
      <c r="A54" s="80">
        <v>46703</v>
      </c>
      <c r="B54" s="83" t="s">
        <v>391</v>
      </c>
      <c r="C54" s="84"/>
      <c r="D54" s="85"/>
    </row>
    <row r="55" spans="1:4" x14ac:dyDescent="0.25">
      <c r="A55" s="80">
        <v>46706</v>
      </c>
      <c r="B55" s="83" t="s">
        <v>392</v>
      </c>
      <c r="C55" s="84"/>
      <c r="D55" s="85"/>
    </row>
    <row r="56" spans="1:4" x14ac:dyDescent="0.25">
      <c r="A56" s="80">
        <v>46707</v>
      </c>
      <c r="B56" s="83" t="s">
        <v>393</v>
      </c>
      <c r="C56" s="84"/>
      <c r="D56" s="85"/>
    </row>
    <row r="57" spans="1:4" x14ac:dyDescent="0.25">
      <c r="A57" s="80">
        <v>46708</v>
      </c>
      <c r="B57" s="83" t="s">
        <v>394</v>
      </c>
      <c r="C57" s="84"/>
      <c r="D57" s="85"/>
    </row>
    <row r="58" spans="1:4" x14ac:dyDescent="0.25">
      <c r="A58" s="80">
        <v>46711</v>
      </c>
      <c r="B58" s="83" t="s">
        <v>395</v>
      </c>
      <c r="C58" s="84"/>
      <c r="D58" s="85"/>
    </row>
    <row r="59" spans="1:4" x14ac:dyDescent="0.25">
      <c r="A59" s="80">
        <v>46723</v>
      </c>
      <c r="B59" s="83" t="s">
        <v>396</v>
      </c>
      <c r="C59" s="84"/>
      <c r="D59" s="85"/>
    </row>
    <row r="60" spans="1:4" x14ac:dyDescent="0.25">
      <c r="A60" s="80">
        <v>46725</v>
      </c>
      <c r="B60" s="83" t="s">
        <v>397</v>
      </c>
      <c r="C60" s="84"/>
      <c r="D60" s="85"/>
    </row>
    <row r="61" spans="1:4" x14ac:dyDescent="0.25">
      <c r="A61" s="80">
        <v>46727</v>
      </c>
      <c r="B61" s="83" t="s">
        <v>398</v>
      </c>
      <c r="C61" s="84"/>
      <c r="D61" s="85"/>
    </row>
    <row r="62" spans="1:4" x14ac:dyDescent="0.25">
      <c r="A62" s="80">
        <v>46729</v>
      </c>
      <c r="B62" s="83" t="s">
        <v>399</v>
      </c>
      <c r="C62" s="84"/>
      <c r="D62" s="85"/>
    </row>
    <row r="63" spans="1:4" x14ac:dyDescent="0.25">
      <c r="A63" s="80">
        <v>46731</v>
      </c>
      <c r="B63" s="83" t="s">
        <v>400</v>
      </c>
      <c r="C63" s="84"/>
      <c r="D63" s="85"/>
    </row>
    <row r="64" spans="1:4" x14ac:dyDescent="0.25">
      <c r="A64" s="80">
        <v>46732</v>
      </c>
      <c r="B64" s="83" t="s">
        <v>401</v>
      </c>
      <c r="C64" s="84"/>
      <c r="D64" s="85"/>
    </row>
    <row r="65" spans="1:4" x14ac:dyDescent="0.25">
      <c r="A65" s="80">
        <v>46734</v>
      </c>
      <c r="B65" s="83" t="s">
        <v>402</v>
      </c>
      <c r="C65" s="84"/>
      <c r="D65" s="85"/>
    </row>
    <row r="66" spans="1:4" x14ac:dyDescent="0.25">
      <c r="A66" s="80">
        <v>46735</v>
      </c>
      <c r="B66" s="83" t="s">
        <v>403</v>
      </c>
      <c r="C66" s="84"/>
      <c r="D66" s="85"/>
    </row>
    <row r="67" spans="1:4" x14ac:dyDescent="0.25">
      <c r="A67" s="80">
        <v>46736</v>
      </c>
      <c r="B67" s="83" t="s">
        <v>404</v>
      </c>
      <c r="C67" s="84"/>
      <c r="D67" s="85"/>
    </row>
    <row r="68" spans="1:4" x14ac:dyDescent="0.25">
      <c r="A68" s="80">
        <v>46738</v>
      </c>
      <c r="B68" s="83" t="s">
        <v>405</v>
      </c>
      <c r="C68" s="84"/>
      <c r="D68" s="85"/>
    </row>
    <row r="69" spans="1:4" x14ac:dyDescent="0.25">
      <c r="A69" s="80">
        <v>46739</v>
      </c>
      <c r="B69" s="83" t="s">
        <v>406</v>
      </c>
      <c r="C69" s="84"/>
      <c r="D69" s="85"/>
    </row>
    <row r="70" spans="1:4" x14ac:dyDescent="0.25">
      <c r="A70" s="80">
        <v>46742</v>
      </c>
      <c r="B70" s="83" t="s">
        <v>407</v>
      </c>
      <c r="C70" s="84"/>
      <c r="D70" s="85"/>
    </row>
    <row r="71" spans="1:4" x14ac:dyDescent="0.25">
      <c r="A71" s="80">
        <v>46746</v>
      </c>
      <c r="B71" s="83" t="s">
        <v>408</v>
      </c>
      <c r="C71" s="84"/>
      <c r="D71" s="85"/>
    </row>
    <row r="72" spans="1:4" x14ac:dyDescent="0.25">
      <c r="A72" s="80">
        <v>46749</v>
      </c>
      <c r="B72" s="83" t="e">
        <v>#N/A</v>
      </c>
      <c r="C72" s="84"/>
      <c r="D72" s="85"/>
    </row>
    <row r="73" spans="1:4" x14ac:dyDescent="0.25">
      <c r="A73" s="80">
        <v>46751</v>
      </c>
      <c r="B73" s="83" t="s">
        <v>409</v>
      </c>
      <c r="C73" s="84"/>
      <c r="D73" s="85"/>
    </row>
    <row r="74" spans="1:4" x14ac:dyDescent="0.25">
      <c r="A74" s="80">
        <v>46752</v>
      </c>
      <c r="B74" s="83" t="s">
        <v>410</v>
      </c>
      <c r="C74" s="84"/>
      <c r="D74" s="85"/>
    </row>
    <row r="75" spans="1:4" x14ac:dyDescent="0.25">
      <c r="A75" s="80">
        <v>46753</v>
      </c>
      <c r="B75" s="83" t="s">
        <v>411</v>
      </c>
      <c r="C75" s="84"/>
      <c r="D75" s="85"/>
    </row>
    <row r="76" spans="1:4" x14ac:dyDescent="0.25">
      <c r="A76" s="80">
        <v>46755</v>
      </c>
      <c r="B76" s="83" t="s">
        <v>412</v>
      </c>
      <c r="C76" s="84"/>
      <c r="D76" s="85"/>
    </row>
    <row r="77" spans="1:4" x14ac:dyDescent="0.25">
      <c r="A77" s="80">
        <v>46758</v>
      </c>
      <c r="B77" s="83" t="s">
        <v>413</v>
      </c>
      <c r="C77" s="84"/>
      <c r="D77" s="85"/>
    </row>
    <row r="78" spans="1:4" x14ac:dyDescent="0.25">
      <c r="A78" s="80">
        <v>46760</v>
      </c>
      <c r="B78" s="83" t="s">
        <v>414</v>
      </c>
      <c r="C78" s="84"/>
      <c r="D78" s="85"/>
    </row>
    <row r="79" spans="1:4" x14ac:dyDescent="0.25">
      <c r="A79" s="80">
        <v>46761</v>
      </c>
      <c r="B79" s="83" t="s">
        <v>415</v>
      </c>
      <c r="C79" s="84"/>
      <c r="D79" s="85"/>
    </row>
    <row r="80" spans="1:4" x14ac:dyDescent="0.25">
      <c r="A80" s="80">
        <v>51281</v>
      </c>
      <c r="B80" s="83" t="s">
        <v>416</v>
      </c>
      <c r="C80" s="84"/>
      <c r="D80" s="85"/>
    </row>
    <row r="81" spans="1:4" x14ac:dyDescent="0.25">
      <c r="A81" s="80">
        <v>51284</v>
      </c>
      <c r="B81" s="83" t="s">
        <v>417</v>
      </c>
      <c r="C81" s="84"/>
      <c r="D81" s="85"/>
    </row>
    <row r="82" spans="1:4" x14ac:dyDescent="0.25">
      <c r="A82" s="80">
        <v>51291</v>
      </c>
      <c r="B82" s="83" t="s">
        <v>418</v>
      </c>
      <c r="C82" s="84"/>
      <c r="D82" s="85"/>
    </row>
    <row r="83" spans="1:4" x14ac:dyDescent="0.25">
      <c r="A83" s="80">
        <v>51294</v>
      </c>
      <c r="B83" s="83" t="s">
        <v>419</v>
      </c>
      <c r="C83" s="84"/>
      <c r="D83" s="85"/>
    </row>
    <row r="84" spans="1:4" x14ac:dyDescent="0.25">
      <c r="A84" s="80">
        <v>51311</v>
      </c>
      <c r="B84" s="83" t="s">
        <v>420</v>
      </c>
      <c r="C84" s="84"/>
      <c r="D84" s="85"/>
    </row>
    <row r="85" spans="1:4" x14ac:dyDescent="0.25">
      <c r="A85" s="80">
        <v>51395</v>
      </c>
      <c r="B85" s="83" t="s">
        <v>421</v>
      </c>
      <c r="C85" s="84"/>
      <c r="D85" s="85"/>
    </row>
    <row r="86" spans="1:4" x14ac:dyDescent="0.25">
      <c r="A86" s="80">
        <v>51407</v>
      </c>
      <c r="B86" s="83" t="s">
        <v>422</v>
      </c>
      <c r="C86" s="84"/>
      <c r="D86" s="85"/>
    </row>
    <row r="87" spans="1:4" x14ac:dyDescent="0.25">
      <c r="A87" s="80">
        <v>51408</v>
      </c>
      <c r="B87" s="83" t="s">
        <v>423</v>
      </c>
      <c r="C87" s="84"/>
      <c r="D87" s="85"/>
    </row>
    <row r="88" spans="1:4" x14ac:dyDescent="0.25">
      <c r="A88" s="80">
        <v>51410</v>
      </c>
      <c r="B88" s="83" t="s">
        <v>424</v>
      </c>
      <c r="C88" s="84"/>
      <c r="D88" s="85"/>
    </row>
    <row r="89" spans="1:4" x14ac:dyDescent="0.25">
      <c r="A89" s="80">
        <v>51412</v>
      </c>
      <c r="B89" s="83" t="s">
        <v>425</v>
      </c>
      <c r="C89" s="84"/>
      <c r="D89" s="85"/>
    </row>
    <row r="90" spans="1:4" x14ac:dyDescent="0.25">
      <c r="A90" s="80">
        <v>51413</v>
      </c>
      <c r="B90" s="83" t="s">
        <v>426</v>
      </c>
      <c r="C90" s="84"/>
      <c r="D90" s="85"/>
    </row>
    <row r="91" spans="1:4" x14ac:dyDescent="0.25">
      <c r="A91" s="80">
        <v>51415</v>
      </c>
      <c r="B91" s="83" t="s">
        <v>427</v>
      </c>
      <c r="C91" s="84"/>
      <c r="D91" s="85"/>
    </row>
    <row r="92" spans="1:4" x14ac:dyDescent="0.25">
      <c r="A92" s="80">
        <v>51416</v>
      </c>
      <c r="B92" s="83" t="s">
        <v>428</v>
      </c>
      <c r="C92" s="84"/>
      <c r="D92" s="85"/>
    </row>
    <row r="93" spans="1:4" x14ac:dyDescent="0.25">
      <c r="A93" s="80">
        <v>51419</v>
      </c>
      <c r="B93" s="83" t="s">
        <v>429</v>
      </c>
      <c r="C93" s="84"/>
      <c r="D93" s="85"/>
    </row>
    <row r="94" spans="1:4" x14ac:dyDescent="0.25">
      <c r="A94" s="80">
        <v>51422</v>
      </c>
      <c r="B94" s="83" t="s">
        <v>430</v>
      </c>
      <c r="C94" s="84"/>
      <c r="D94" s="85"/>
    </row>
    <row r="95" spans="1:4" x14ac:dyDescent="0.25">
      <c r="A95" s="80">
        <v>51423</v>
      </c>
      <c r="B95" s="83" t="s">
        <v>431</v>
      </c>
      <c r="C95" s="84"/>
      <c r="D95" s="85"/>
    </row>
    <row r="96" spans="1:4" x14ac:dyDescent="0.25">
      <c r="A96" s="80">
        <v>51425</v>
      </c>
      <c r="B96" s="83" t="s">
        <v>432</v>
      </c>
      <c r="C96" s="84"/>
      <c r="D96" s="85"/>
    </row>
    <row r="97" spans="1:4" x14ac:dyDescent="0.25">
      <c r="A97" s="80">
        <v>51426</v>
      </c>
      <c r="B97" s="83" t="s">
        <v>433</v>
      </c>
      <c r="C97" s="84"/>
      <c r="D97" s="85"/>
    </row>
    <row r="98" spans="1:4" x14ac:dyDescent="0.25">
      <c r="A98" s="80">
        <v>51427</v>
      </c>
      <c r="B98" s="83" t="s">
        <v>434</v>
      </c>
      <c r="C98" s="84"/>
      <c r="D98" s="85"/>
    </row>
    <row r="99" spans="1:4" x14ac:dyDescent="0.25">
      <c r="A99" s="80">
        <v>52316</v>
      </c>
      <c r="B99" s="83" t="s">
        <v>435</v>
      </c>
      <c r="C99" s="84"/>
      <c r="D99" s="85"/>
    </row>
    <row r="100" spans="1:4" x14ac:dyDescent="0.25">
      <c r="A100" s="80">
        <v>52317</v>
      </c>
      <c r="B100" s="83" t="s">
        <v>436</v>
      </c>
      <c r="C100" s="84"/>
      <c r="D100" s="85"/>
    </row>
    <row r="101" spans="1:4" x14ac:dyDescent="0.25">
      <c r="A101" s="80">
        <v>52318</v>
      </c>
      <c r="B101" s="83" t="s">
        <v>437</v>
      </c>
      <c r="C101" s="84"/>
      <c r="D101" s="85"/>
    </row>
    <row r="102" spans="1:4" x14ac:dyDescent="0.25">
      <c r="A102" s="80">
        <v>52319</v>
      </c>
      <c r="B102" s="83" t="s">
        <v>438</v>
      </c>
      <c r="C102" s="84"/>
      <c r="D102" s="85"/>
    </row>
    <row r="103" spans="1:4" x14ac:dyDescent="0.25">
      <c r="A103" s="80">
        <v>52513</v>
      </c>
      <c r="B103" s="83" t="s">
        <v>439</v>
      </c>
      <c r="C103" s="84"/>
      <c r="D103" s="85"/>
    </row>
    <row r="104" spans="1:4" x14ac:dyDescent="0.25">
      <c r="A104" s="80">
        <v>52545</v>
      </c>
      <c r="B104" s="83" t="s">
        <v>440</v>
      </c>
      <c r="C104" s="84"/>
      <c r="D104" s="85"/>
    </row>
    <row r="105" spans="1:4" x14ac:dyDescent="0.25">
      <c r="A105" s="80">
        <v>52754</v>
      </c>
      <c r="B105" s="83" t="s">
        <v>441</v>
      </c>
      <c r="C105" s="84"/>
      <c r="D105" s="85"/>
    </row>
    <row r="106" spans="1:4" x14ac:dyDescent="0.25">
      <c r="A106" s="80">
        <v>52758</v>
      </c>
      <c r="B106" s="83" t="s">
        <v>442</v>
      </c>
      <c r="C106" s="84"/>
      <c r="D106" s="85"/>
    </row>
    <row r="107" spans="1:4" x14ac:dyDescent="0.25">
      <c r="A107" s="80">
        <v>53402</v>
      </c>
      <c r="B107" s="83" t="s">
        <v>443</v>
      </c>
      <c r="C107" s="84"/>
      <c r="D107" s="85"/>
    </row>
    <row r="108" spans="1:4" x14ac:dyDescent="0.25">
      <c r="A108" s="80">
        <v>53404</v>
      </c>
      <c r="B108" s="83" t="s">
        <v>444</v>
      </c>
      <c r="C108" s="84"/>
      <c r="D108" s="85"/>
    </row>
    <row r="109" spans="1:4" x14ac:dyDescent="0.25">
      <c r="A109" s="80">
        <v>53405</v>
      </c>
      <c r="B109" s="83" t="s">
        <v>445</v>
      </c>
      <c r="C109" s="84"/>
      <c r="D109" s="85"/>
    </row>
    <row r="110" spans="1:4" x14ac:dyDescent="0.25">
      <c r="A110" s="80">
        <v>53406</v>
      </c>
      <c r="B110" s="83" t="s">
        <v>446</v>
      </c>
      <c r="C110" s="84"/>
      <c r="D110" s="85"/>
    </row>
    <row r="111" spans="1:4" x14ac:dyDescent="0.25">
      <c r="A111" s="80">
        <v>55294</v>
      </c>
      <c r="B111" s="83" t="s">
        <v>447</v>
      </c>
      <c r="C111" s="84"/>
      <c r="D111" s="85"/>
    </row>
    <row r="112" spans="1:4" x14ac:dyDescent="0.25">
      <c r="A112" s="80">
        <v>55492</v>
      </c>
      <c r="B112" s="83" t="s">
        <v>448</v>
      </c>
      <c r="C112" s="84"/>
      <c r="D112" s="85"/>
    </row>
    <row r="113" spans="1:4" x14ac:dyDescent="0.25">
      <c r="A113" s="80">
        <v>55903</v>
      </c>
      <c r="B113" s="83" t="s">
        <v>449</v>
      </c>
      <c r="C113" s="84"/>
      <c r="D113" s="85"/>
    </row>
    <row r="114" spans="1:4" x14ac:dyDescent="0.25">
      <c r="A114" s="80">
        <v>56445</v>
      </c>
      <c r="B114" s="83" t="s">
        <v>450</v>
      </c>
      <c r="C114" s="84"/>
      <c r="D114" s="85"/>
    </row>
    <row r="115" spans="1:4" x14ac:dyDescent="0.25">
      <c r="A115" s="80">
        <v>56516</v>
      </c>
      <c r="B115" s="83" t="s">
        <v>451</v>
      </c>
      <c r="C115" s="84"/>
      <c r="D115" s="85"/>
    </row>
    <row r="116" spans="1:4" x14ac:dyDescent="0.25">
      <c r="A116" s="80">
        <v>56859</v>
      </c>
      <c r="B116" s="83" t="s">
        <v>164</v>
      </c>
      <c r="C116" s="84"/>
      <c r="D116" s="85"/>
    </row>
    <row r="117" spans="1:4" x14ac:dyDescent="0.25">
      <c r="A117" s="80">
        <v>56861</v>
      </c>
      <c r="B117" s="83" t="s">
        <v>452</v>
      </c>
      <c r="C117" s="84"/>
      <c r="D117" s="85"/>
    </row>
    <row r="118" spans="1:4" x14ac:dyDescent="0.25">
      <c r="A118" s="80">
        <v>57419</v>
      </c>
      <c r="B118" s="83" t="s">
        <v>453</v>
      </c>
      <c r="C118" s="84"/>
      <c r="D118" s="85"/>
    </row>
    <row r="119" spans="1:4" x14ac:dyDescent="0.25">
      <c r="A119" s="80">
        <v>63420</v>
      </c>
      <c r="B119" s="83" t="s">
        <v>454</v>
      </c>
      <c r="C119" s="84"/>
      <c r="D119" s="85"/>
    </row>
    <row r="120" spans="1:4" x14ac:dyDescent="0.25">
      <c r="A120" s="80">
        <v>65787</v>
      </c>
      <c r="B120" s="83" t="s">
        <v>455</v>
      </c>
      <c r="C120" s="84"/>
      <c r="D120" s="85"/>
    </row>
    <row r="121" spans="1:4" x14ac:dyDescent="0.25">
      <c r="A121" s="80">
        <v>66214</v>
      </c>
      <c r="B121" s="83" t="s">
        <v>456</v>
      </c>
      <c r="C121" s="84"/>
      <c r="D121" s="85"/>
    </row>
    <row r="122" spans="1:4" x14ac:dyDescent="0.25">
      <c r="A122" s="80">
        <v>67036</v>
      </c>
      <c r="B122" s="83" t="s">
        <v>457</v>
      </c>
      <c r="C122" s="84"/>
      <c r="D122" s="85"/>
    </row>
    <row r="123" spans="1:4" x14ac:dyDescent="0.25">
      <c r="A123" s="80">
        <v>70944</v>
      </c>
      <c r="B123" s="83" t="s">
        <v>458</v>
      </c>
      <c r="C123" s="84"/>
      <c r="D123" s="85"/>
    </row>
    <row r="124" spans="1:4" x14ac:dyDescent="0.25">
      <c r="A124" s="80">
        <v>72034</v>
      </c>
      <c r="B124" s="83" t="s">
        <v>459</v>
      </c>
      <c r="C124" s="84"/>
      <c r="D124" s="85"/>
    </row>
    <row r="125" spans="1:4" x14ac:dyDescent="0.25">
      <c r="A125" s="80">
        <v>72722</v>
      </c>
      <c r="B125" s="83" t="s">
        <v>460</v>
      </c>
      <c r="C125" s="84"/>
      <c r="D125" s="85"/>
    </row>
    <row r="126" spans="1:4" x14ac:dyDescent="0.25">
      <c r="A126" s="80">
        <v>72825</v>
      </c>
      <c r="B126" s="83" t="s">
        <v>461</v>
      </c>
      <c r="C126" s="84"/>
      <c r="D126" s="85"/>
    </row>
    <row r="127" spans="1:4" x14ac:dyDescent="0.25">
      <c r="A127" s="80">
        <v>72889</v>
      </c>
      <c r="B127" s="83" t="s">
        <v>462</v>
      </c>
      <c r="C127" s="84"/>
      <c r="D127" s="85"/>
    </row>
    <row r="128" spans="1:4" x14ac:dyDescent="0.25">
      <c r="A128" s="80">
        <v>73063</v>
      </c>
      <c r="B128" s="83" t="s">
        <v>382</v>
      </c>
      <c r="C128" s="84"/>
      <c r="D128" s="85"/>
    </row>
    <row r="129" spans="1:4" x14ac:dyDescent="0.25">
      <c r="A129" s="80">
        <v>73066</v>
      </c>
      <c r="B129" s="83" t="s">
        <v>463</v>
      </c>
      <c r="C129" s="84"/>
      <c r="D129" s="85"/>
    </row>
    <row r="130" spans="1:4" x14ac:dyDescent="0.25">
      <c r="A130" s="80">
        <v>74181</v>
      </c>
      <c r="B130" s="83" t="s">
        <v>464</v>
      </c>
      <c r="C130" s="84"/>
      <c r="D130" s="85"/>
    </row>
    <row r="131" spans="1:4" x14ac:dyDescent="0.25">
      <c r="A131" s="80">
        <v>74258</v>
      </c>
      <c r="B131" s="83" t="s">
        <v>465</v>
      </c>
      <c r="C131" s="84"/>
      <c r="D131" s="85"/>
    </row>
    <row r="132" spans="1:4" x14ac:dyDescent="0.25">
      <c r="A132" s="80">
        <v>74280</v>
      </c>
      <c r="B132" s="83" t="s">
        <v>466</v>
      </c>
      <c r="C132" s="84"/>
      <c r="D132" s="85"/>
    </row>
    <row r="133" spans="1:4" x14ac:dyDescent="0.25">
      <c r="A133" s="80">
        <v>74330</v>
      </c>
      <c r="B133" s="83" t="s">
        <v>467</v>
      </c>
      <c r="C133" s="84"/>
      <c r="D133" s="85"/>
    </row>
    <row r="134" spans="1:4" x14ac:dyDescent="0.25">
      <c r="A134" s="80">
        <v>74668</v>
      </c>
      <c r="B134" s="83" t="s">
        <v>468</v>
      </c>
      <c r="C134" s="84"/>
      <c r="D134" s="85"/>
    </row>
    <row r="135" spans="1:4" x14ac:dyDescent="0.25">
      <c r="A135" s="80">
        <v>76153</v>
      </c>
      <c r="B135" s="83" t="s">
        <v>469</v>
      </c>
      <c r="C135" s="84"/>
      <c r="D135" s="85"/>
    </row>
    <row r="136" spans="1:4" x14ac:dyDescent="0.25">
      <c r="A136" s="80">
        <v>76156</v>
      </c>
      <c r="B136" s="83" t="s">
        <v>470</v>
      </c>
      <c r="C136" s="84"/>
      <c r="D136" s="85"/>
    </row>
    <row r="137" spans="1:4" x14ac:dyDescent="0.25">
      <c r="A137" s="80">
        <v>76158</v>
      </c>
      <c r="B137" s="83" t="s">
        <v>471</v>
      </c>
      <c r="C137" s="84"/>
      <c r="D137" s="85"/>
    </row>
    <row r="138" spans="1:4" x14ac:dyDescent="0.25">
      <c r="A138" s="80">
        <v>76160</v>
      </c>
      <c r="B138" s="83" t="s">
        <v>472</v>
      </c>
      <c r="C138" s="84"/>
      <c r="D138" s="85"/>
    </row>
    <row r="139" spans="1:4" x14ac:dyDescent="0.25">
      <c r="A139" s="80">
        <v>76591</v>
      </c>
      <c r="B139" s="83" t="s">
        <v>473</v>
      </c>
      <c r="C139" s="84"/>
      <c r="D139" s="85"/>
    </row>
    <row r="140" spans="1:4" x14ac:dyDescent="0.25">
      <c r="A140" s="80">
        <v>77054</v>
      </c>
      <c r="B140" s="83" t="s">
        <v>466</v>
      </c>
      <c r="C140" s="84"/>
      <c r="D140" s="85"/>
    </row>
    <row r="141" spans="1:4" x14ac:dyDescent="0.25">
      <c r="A141" s="80">
        <v>77383</v>
      </c>
      <c r="B141" s="83" t="s">
        <v>474</v>
      </c>
      <c r="C141" s="84"/>
      <c r="D141" s="85"/>
    </row>
    <row r="142" spans="1:4" x14ac:dyDescent="0.25">
      <c r="A142" s="80">
        <v>78061</v>
      </c>
      <c r="B142" s="83" t="s">
        <v>475</v>
      </c>
      <c r="C142" s="84"/>
      <c r="D142" s="85"/>
    </row>
    <row r="143" spans="1:4" x14ac:dyDescent="0.25">
      <c r="A143" s="80">
        <v>78286</v>
      </c>
      <c r="B143" s="83" t="s">
        <v>476</v>
      </c>
      <c r="C143" s="84"/>
      <c r="D143" s="85"/>
    </row>
    <row r="144" spans="1:4" x14ac:dyDescent="0.25">
      <c r="A144" s="80">
        <v>78287</v>
      </c>
      <c r="B144" s="83" t="s">
        <v>476</v>
      </c>
      <c r="C144" s="84"/>
      <c r="D144" s="85"/>
    </row>
    <row r="145" spans="1:4" x14ac:dyDescent="0.25">
      <c r="A145" s="80">
        <v>78475</v>
      </c>
      <c r="B145" s="83" t="s">
        <v>477</v>
      </c>
      <c r="C145" s="84"/>
      <c r="D145" s="85"/>
    </row>
    <row r="146" spans="1:4" x14ac:dyDescent="0.25">
      <c r="A146" s="80">
        <v>78629</v>
      </c>
      <c r="B146" s="83" t="s">
        <v>478</v>
      </c>
      <c r="C146" s="84"/>
      <c r="D146" s="85"/>
    </row>
    <row r="147" spans="1:4" x14ac:dyDescent="0.25">
      <c r="A147" s="80">
        <v>78636</v>
      </c>
      <c r="B147" s="83" t="s">
        <v>479</v>
      </c>
      <c r="C147" s="84"/>
      <c r="D147" s="85"/>
    </row>
    <row r="148" spans="1:4" x14ac:dyDescent="0.25">
      <c r="A148" s="80">
        <v>78639</v>
      </c>
      <c r="B148" s="83" t="s">
        <v>480</v>
      </c>
      <c r="C148" s="84"/>
      <c r="D148" s="85"/>
    </row>
    <row r="149" spans="1:4" x14ac:dyDescent="0.25">
      <c r="A149" s="80">
        <v>79002</v>
      </c>
      <c r="B149" s="83" t="s">
        <v>481</v>
      </c>
      <c r="C149" s="84"/>
      <c r="D149" s="85"/>
    </row>
    <row r="150" spans="1:4" x14ac:dyDescent="0.25">
      <c r="A150" s="80">
        <v>79118</v>
      </c>
      <c r="B150" s="83" t="s">
        <v>482</v>
      </c>
      <c r="C150" s="84"/>
      <c r="D150" s="85"/>
    </row>
    <row r="151" spans="1:4" x14ac:dyDescent="0.25">
      <c r="A151" s="80">
        <v>79275</v>
      </c>
      <c r="B151" s="83" t="s">
        <v>483</v>
      </c>
      <c r="C151" s="84"/>
      <c r="D151" s="85"/>
    </row>
    <row r="152" spans="1:4" x14ac:dyDescent="0.25">
      <c r="A152" s="80">
        <v>79451</v>
      </c>
      <c r="B152" s="83" t="s">
        <v>484</v>
      </c>
      <c r="C152" s="84"/>
      <c r="D152" s="85"/>
    </row>
    <row r="153" spans="1:4" x14ac:dyDescent="0.25">
      <c r="A153" s="80">
        <v>79540</v>
      </c>
      <c r="B153" s="83" t="s">
        <v>485</v>
      </c>
      <c r="C153" s="84"/>
      <c r="D153" s="85"/>
    </row>
    <row r="154" spans="1:4" x14ac:dyDescent="0.25">
      <c r="A154" s="80">
        <v>79692</v>
      </c>
      <c r="B154" s="83" t="s">
        <v>486</v>
      </c>
      <c r="C154" s="84"/>
      <c r="D154" s="85"/>
    </row>
    <row r="155" spans="1:4" x14ac:dyDescent="0.25">
      <c r="A155" s="80">
        <v>80475</v>
      </c>
      <c r="B155" s="83" t="s">
        <v>487</v>
      </c>
      <c r="C155" s="84"/>
      <c r="D155" s="85"/>
    </row>
    <row r="156" spans="1:4" x14ac:dyDescent="0.25">
      <c r="A156" s="80">
        <v>82317</v>
      </c>
      <c r="B156" s="83" t="s">
        <v>488</v>
      </c>
      <c r="C156" s="84"/>
      <c r="D156" s="85"/>
    </row>
    <row r="157" spans="1:4" x14ac:dyDescent="0.25">
      <c r="A157" s="80">
        <v>82324</v>
      </c>
      <c r="B157" s="83" t="s">
        <v>489</v>
      </c>
      <c r="C157" s="84"/>
      <c r="D157" s="85"/>
    </row>
    <row r="158" spans="1:4" x14ac:dyDescent="0.25">
      <c r="A158" s="80">
        <v>83282</v>
      </c>
      <c r="B158" s="83" t="s">
        <v>490</v>
      </c>
      <c r="C158" s="84"/>
      <c r="D158" s="85"/>
    </row>
    <row r="159" spans="1:4" x14ac:dyDescent="0.25">
      <c r="A159" s="80">
        <v>83315</v>
      </c>
      <c r="B159" s="83" t="s">
        <v>491</v>
      </c>
      <c r="C159" s="84"/>
      <c r="D159" s="85"/>
    </row>
    <row r="160" spans="1:4" x14ac:dyDescent="0.25">
      <c r="A160" s="80">
        <v>83341</v>
      </c>
      <c r="B160" s="83" t="s">
        <v>492</v>
      </c>
      <c r="C160" s="84"/>
      <c r="D160" s="85"/>
    </row>
    <row r="161" spans="1:4" x14ac:dyDescent="0.25">
      <c r="A161" s="80">
        <v>83433</v>
      </c>
      <c r="B161" s="83" t="s">
        <v>493</v>
      </c>
      <c r="C161" s="84"/>
      <c r="D161" s="85"/>
    </row>
    <row r="162" spans="1:4" x14ac:dyDescent="0.25">
      <c r="A162" s="80">
        <v>83640</v>
      </c>
      <c r="B162" s="83" t="s">
        <v>494</v>
      </c>
      <c r="C162" s="84"/>
      <c r="D162" s="85"/>
    </row>
    <row r="163" spans="1:4" x14ac:dyDescent="0.25">
      <c r="A163" s="80">
        <v>83673</v>
      </c>
      <c r="B163" s="83" t="s">
        <v>495</v>
      </c>
      <c r="C163" s="84"/>
      <c r="D163" s="85"/>
    </row>
    <row r="164" spans="1:4" x14ac:dyDescent="0.25">
      <c r="A164" s="80">
        <v>83708</v>
      </c>
      <c r="B164" s="83" t="s">
        <v>496</v>
      </c>
      <c r="C164" s="84"/>
      <c r="D164" s="85"/>
    </row>
    <row r="165" spans="1:4" x14ac:dyDescent="0.25">
      <c r="A165" s="80">
        <v>84678</v>
      </c>
      <c r="B165" s="83" t="s">
        <v>497</v>
      </c>
      <c r="C165" s="84"/>
      <c r="D165" s="85"/>
    </row>
    <row r="166" spans="1:4" x14ac:dyDescent="0.25">
      <c r="A166" s="80">
        <v>84718</v>
      </c>
      <c r="B166" s="83" t="s">
        <v>498</v>
      </c>
      <c r="C166" s="84"/>
      <c r="D166" s="85"/>
    </row>
    <row r="167" spans="1:4" x14ac:dyDescent="0.25">
      <c r="A167" s="80">
        <v>85084</v>
      </c>
      <c r="B167" s="83" t="s">
        <v>499</v>
      </c>
      <c r="C167" s="84"/>
      <c r="D167" s="85"/>
    </row>
    <row r="168" spans="1:4" x14ac:dyDescent="0.25">
      <c r="A168" s="80">
        <v>85086</v>
      </c>
      <c r="B168" s="83" t="s">
        <v>500</v>
      </c>
      <c r="C168" s="84"/>
      <c r="D168" s="85"/>
    </row>
    <row r="169" spans="1:4" x14ac:dyDescent="0.25">
      <c r="A169" s="80">
        <v>86192</v>
      </c>
      <c r="B169" s="83" t="s">
        <v>501</v>
      </c>
      <c r="C169" s="84"/>
      <c r="D169" s="85"/>
    </row>
    <row r="170" spans="1:4" x14ac:dyDescent="0.25">
      <c r="A170" s="80">
        <v>86206</v>
      </c>
      <c r="B170" s="83" t="s">
        <v>502</v>
      </c>
      <c r="C170" s="84"/>
      <c r="D170" s="85"/>
    </row>
    <row r="171" spans="1:4" x14ac:dyDescent="0.25">
      <c r="A171" s="80">
        <v>86254</v>
      </c>
      <c r="B171" s="83" t="s">
        <v>503</v>
      </c>
      <c r="C171" s="84"/>
      <c r="D171" s="85"/>
    </row>
    <row r="172" spans="1:4" x14ac:dyDescent="0.25">
      <c r="A172" s="80">
        <v>86291</v>
      </c>
      <c r="B172" s="83" t="s">
        <v>504</v>
      </c>
      <c r="C172" s="84"/>
      <c r="D172" s="85"/>
    </row>
    <row r="173" spans="1:4" x14ac:dyDescent="0.25">
      <c r="A173" s="80">
        <v>87053</v>
      </c>
      <c r="B173" s="83" t="s">
        <v>505</v>
      </c>
      <c r="C173" s="84"/>
      <c r="D173" s="85"/>
    </row>
    <row r="174" spans="1:4" x14ac:dyDescent="0.25">
      <c r="A174" s="80">
        <v>87080</v>
      </c>
      <c r="B174" s="83" t="s">
        <v>506</v>
      </c>
      <c r="C174" s="84"/>
      <c r="D174" s="85"/>
    </row>
    <row r="175" spans="1:4" x14ac:dyDescent="0.25">
      <c r="A175" s="80">
        <v>87302</v>
      </c>
      <c r="B175" s="83" t="s">
        <v>507</v>
      </c>
      <c r="C175" s="84"/>
      <c r="D175" s="85"/>
    </row>
    <row r="176" spans="1:4" x14ac:dyDescent="0.25">
      <c r="A176" s="80">
        <v>88062</v>
      </c>
      <c r="B176" s="83" t="s">
        <v>508</v>
      </c>
      <c r="C176" s="84"/>
      <c r="D176" s="85"/>
    </row>
    <row r="177" spans="1:4" x14ac:dyDescent="0.25">
      <c r="A177" s="80">
        <v>88170</v>
      </c>
      <c r="B177" s="83" t="s">
        <v>496</v>
      </c>
      <c r="C177" s="84"/>
      <c r="D177" s="85"/>
    </row>
    <row r="178" spans="1:4" x14ac:dyDescent="0.25">
      <c r="A178" s="80">
        <v>88189</v>
      </c>
      <c r="B178" s="83" t="s">
        <v>509</v>
      </c>
      <c r="C178" s="84"/>
      <c r="D178" s="85"/>
    </row>
    <row r="179" spans="1:4" x14ac:dyDescent="0.25">
      <c r="A179" s="80">
        <v>88743</v>
      </c>
      <c r="B179" s="83" t="s">
        <v>510</v>
      </c>
      <c r="C179" s="84"/>
      <c r="D179" s="85"/>
    </row>
    <row r="180" spans="1:4" x14ac:dyDescent="0.25">
      <c r="A180" s="80">
        <v>89206</v>
      </c>
      <c r="B180" s="83" t="s">
        <v>511</v>
      </c>
      <c r="C180" s="84"/>
      <c r="D180" s="85"/>
    </row>
    <row r="181" spans="1:4" x14ac:dyDescent="0.25">
      <c r="A181" s="80">
        <v>89228</v>
      </c>
      <c r="B181" s="83" t="s">
        <v>512</v>
      </c>
      <c r="C181" s="84"/>
      <c r="D181" s="85"/>
    </row>
    <row r="182" spans="1:4" x14ac:dyDescent="0.25">
      <c r="A182" s="80">
        <v>89588</v>
      </c>
      <c r="B182" s="83" t="s">
        <v>513</v>
      </c>
      <c r="C182" s="84"/>
      <c r="D182" s="85"/>
    </row>
    <row r="183" spans="1:4" x14ac:dyDescent="0.25">
      <c r="A183" s="80">
        <v>89591</v>
      </c>
      <c r="B183" s="83" t="s">
        <v>514</v>
      </c>
      <c r="C183" s="84"/>
      <c r="D183" s="85"/>
    </row>
    <row r="184" spans="1:4" x14ac:dyDescent="0.25">
      <c r="A184" s="80">
        <v>90006</v>
      </c>
      <c r="B184" s="83" t="s">
        <v>515</v>
      </c>
      <c r="C184" s="84"/>
      <c r="D184" s="85"/>
    </row>
    <row r="185" spans="1:4" x14ac:dyDescent="0.25">
      <c r="A185" s="80">
        <v>67178</v>
      </c>
      <c r="B185" s="83" t="s">
        <v>516</v>
      </c>
      <c r="C185" s="84"/>
      <c r="D185" s="85"/>
    </row>
    <row r="186" spans="1:4" x14ac:dyDescent="0.25">
      <c r="A186">
        <v>46749</v>
      </c>
      <c r="B186" s="38" t="s">
        <v>517</v>
      </c>
      <c r="C186" s="84"/>
      <c r="D186" s="85"/>
    </row>
    <row r="187" spans="1:4" x14ac:dyDescent="0.25">
      <c r="A187">
        <v>46684</v>
      </c>
      <c r="B187" s="38" t="s">
        <v>383</v>
      </c>
      <c r="C187" s="84"/>
      <c r="D187" s="85"/>
    </row>
    <row r="188" spans="1:4" x14ac:dyDescent="0.25">
      <c r="A188">
        <v>46727</v>
      </c>
      <c r="B188" s="23" t="s">
        <v>398</v>
      </c>
      <c r="C188" s="84"/>
      <c r="D188" s="85"/>
    </row>
    <row r="189" spans="1:4" x14ac:dyDescent="0.25">
      <c r="A189">
        <v>46749</v>
      </c>
      <c r="B189" s="23" t="s">
        <v>517</v>
      </c>
      <c r="C189" s="84"/>
      <c r="D189" s="85"/>
    </row>
    <row r="190" spans="1:4" x14ac:dyDescent="0.25">
      <c r="A190">
        <v>90023</v>
      </c>
      <c r="B190" s="23" t="s">
        <v>518</v>
      </c>
      <c r="C190" s="84"/>
      <c r="D190" s="8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B2" sqref="B2"/>
    </sheetView>
  </sheetViews>
  <sheetFormatPr baseColWidth="10" defaultRowHeight="13.2" x14ac:dyDescent="0.25"/>
  <cols>
    <col min="2" max="2" width="19.33203125" bestFit="1" customWidth="1"/>
  </cols>
  <sheetData>
    <row r="1" spans="1:2" ht="26.4" x14ac:dyDescent="0.25">
      <c r="A1" s="73" t="s">
        <v>296</v>
      </c>
      <c r="B1" s="73" t="s">
        <v>297</v>
      </c>
    </row>
    <row r="2" spans="1:2" x14ac:dyDescent="0.25">
      <c r="A2" s="74" t="s">
        <v>298</v>
      </c>
      <c r="B2" s="74" t="s">
        <v>299</v>
      </c>
    </row>
    <row r="3" spans="1:2" x14ac:dyDescent="0.25">
      <c r="A3" s="74" t="s">
        <v>300</v>
      </c>
      <c r="B3" s="74" t="s">
        <v>301</v>
      </c>
    </row>
    <row r="4" spans="1:2" x14ac:dyDescent="0.25">
      <c r="A4" s="75" t="s">
        <v>302</v>
      </c>
      <c r="B4" s="75" t="s">
        <v>303</v>
      </c>
    </row>
    <row r="5" spans="1:2" x14ac:dyDescent="0.25">
      <c r="A5" s="74" t="s">
        <v>10</v>
      </c>
      <c r="B5" s="74" t="s">
        <v>304</v>
      </c>
    </row>
    <row r="6" spans="1:2" x14ac:dyDescent="0.25">
      <c r="A6" s="74" t="s">
        <v>128</v>
      </c>
      <c r="B6" s="74" t="s">
        <v>305</v>
      </c>
    </row>
    <row r="7" spans="1:2" x14ac:dyDescent="0.25">
      <c r="A7" s="74" t="s">
        <v>177</v>
      </c>
      <c r="B7" s="74" t="s">
        <v>306</v>
      </c>
    </row>
    <row r="8" spans="1:2" x14ac:dyDescent="0.25">
      <c r="A8" s="74" t="s">
        <v>1</v>
      </c>
      <c r="B8" s="74" t="s">
        <v>307</v>
      </c>
    </row>
    <row r="9" spans="1:2" x14ac:dyDescent="0.25">
      <c r="A9" s="74" t="s">
        <v>6</v>
      </c>
      <c r="B9" s="74" t="s">
        <v>308</v>
      </c>
    </row>
    <row r="10" spans="1:2" x14ac:dyDescent="0.25">
      <c r="A10" s="74" t="s">
        <v>8</v>
      </c>
      <c r="B10" s="74" t="s">
        <v>309</v>
      </c>
    </row>
    <row r="11" spans="1:2" x14ac:dyDescent="0.25">
      <c r="A11" s="74" t="s">
        <v>7</v>
      </c>
      <c r="B11" s="74" t="s">
        <v>310</v>
      </c>
    </row>
    <row r="12" spans="1:2" x14ac:dyDescent="0.25">
      <c r="A12" s="74" t="s">
        <v>108</v>
      </c>
      <c r="B12" s="74" t="s">
        <v>311</v>
      </c>
    </row>
    <row r="13" spans="1:2" x14ac:dyDescent="0.25">
      <c r="A13" s="74" t="s">
        <v>84</v>
      </c>
      <c r="B13" s="74" t="s">
        <v>312</v>
      </c>
    </row>
    <row r="14" spans="1:2" x14ac:dyDescent="0.25">
      <c r="A14" s="74" t="s">
        <v>15</v>
      </c>
      <c r="B14" s="74" t="s">
        <v>313</v>
      </c>
    </row>
    <row r="15" spans="1:2" x14ac:dyDescent="0.25">
      <c r="A15" s="74" t="s">
        <v>13</v>
      </c>
      <c r="B15" s="74" t="s">
        <v>314</v>
      </c>
    </row>
    <row r="16" spans="1:2" x14ac:dyDescent="0.25">
      <c r="A16" s="74" t="s">
        <v>5</v>
      </c>
      <c r="B16" s="74" t="s">
        <v>315</v>
      </c>
    </row>
    <row r="17" spans="1:2" x14ac:dyDescent="0.25">
      <c r="A17" s="74" t="s">
        <v>14</v>
      </c>
      <c r="B17" s="74" t="s">
        <v>316</v>
      </c>
    </row>
    <row r="18" spans="1:2" x14ac:dyDescent="0.25">
      <c r="A18" s="74" t="s">
        <v>132</v>
      </c>
      <c r="B18" s="74" t="s">
        <v>317</v>
      </c>
    </row>
    <row r="19" spans="1:2" x14ac:dyDescent="0.25">
      <c r="A19" s="74" t="s">
        <v>318</v>
      </c>
      <c r="B19" s="74" t="s">
        <v>319</v>
      </c>
    </row>
    <row r="20" spans="1:2" x14ac:dyDescent="0.25">
      <c r="A20" s="74" t="s">
        <v>320</v>
      </c>
      <c r="B20" s="74" t="s">
        <v>321</v>
      </c>
    </row>
    <row r="21" spans="1:2" x14ac:dyDescent="0.25">
      <c r="A21" s="74" t="s">
        <v>9</v>
      </c>
      <c r="B21" s="74" t="s">
        <v>322</v>
      </c>
    </row>
    <row r="22" spans="1:2" x14ac:dyDescent="0.25">
      <c r="A22" s="74" t="s">
        <v>11</v>
      </c>
      <c r="B22" s="74" t="s">
        <v>323</v>
      </c>
    </row>
    <row r="23" spans="1:2" x14ac:dyDescent="0.25">
      <c r="A23" s="74" t="s">
        <v>324</v>
      </c>
      <c r="B23" s="74" t="s">
        <v>325</v>
      </c>
    </row>
    <row r="24" spans="1:2" x14ac:dyDescent="0.25">
      <c r="A24" s="74" t="s">
        <v>97</v>
      </c>
      <c r="B24" s="74" t="s">
        <v>326</v>
      </c>
    </row>
    <row r="25" spans="1:2" x14ac:dyDescent="0.25">
      <c r="A25" s="74" t="s">
        <v>327</v>
      </c>
      <c r="B25" s="74" t="s">
        <v>328</v>
      </c>
    </row>
    <row r="26" spans="1:2" x14ac:dyDescent="0.25">
      <c r="A26" s="74" t="s">
        <v>72</v>
      </c>
      <c r="B26" s="74" t="s">
        <v>329</v>
      </c>
    </row>
    <row r="27" spans="1:2" x14ac:dyDescent="0.25">
      <c r="A27" s="76">
        <v>0</v>
      </c>
      <c r="B27" s="7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W1003"/>
  <sheetViews>
    <sheetView topLeftCell="H1" zoomScale="120" zoomScaleNormal="120" workbookViewId="0">
      <selection activeCell="J1" sqref="J1"/>
    </sheetView>
  </sheetViews>
  <sheetFormatPr baseColWidth="10" defaultColWidth="11.44140625" defaultRowHeight="13.8" x14ac:dyDescent="0.25"/>
  <cols>
    <col min="1" max="1" width="21.109375" style="149" customWidth="1"/>
    <col min="2" max="2" width="23.88671875" style="149" customWidth="1"/>
    <col min="3" max="3" width="6.5546875" style="149" customWidth="1"/>
    <col min="4" max="4" width="17.6640625" style="149" customWidth="1"/>
    <col min="5" max="5" width="10.6640625" style="149" customWidth="1"/>
    <col min="6" max="6" width="18.88671875" style="149" customWidth="1"/>
    <col min="7" max="7" width="16.5546875" style="149" customWidth="1"/>
    <col min="8" max="8" width="34.88671875" style="149" customWidth="1"/>
    <col min="9" max="9" width="1.33203125" style="149" customWidth="1"/>
    <col min="10" max="10" width="10.6640625" style="150" customWidth="1"/>
    <col min="11" max="11" width="7.44140625" style="247" customWidth="1"/>
    <col min="12" max="12" width="2.33203125" style="149" customWidth="1"/>
    <col min="13" max="13" width="16.6640625" style="149" customWidth="1"/>
    <col min="14" max="14" width="6.5546875" style="229" customWidth="1"/>
    <col min="15" max="15" width="5.6640625" style="149" customWidth="1"/>
    <col min="16" max="16" width="12.33203125" style="152" customWidth="1"/>
    <col min="17" max="17" width="11.44140625" style="171"/>
    <col min="18" max="19" width="11.44140625" style="39"/>
    <col min="20" max="48" width="11.44140625" style="149"/>
    <col min="49" max="49" width="11.44140625" style="173"/>
    <col min="50" max="16384" width="11.44140625" style="149"/>
  </cols>
  <sheetData>
    <row r="1" spans="1:49" ht="59.25" customHeight="1" thickBot="1" x14ac:dyDescent="0.3">
      <c r="K1" s="151">
        <f>SUM(K2:K26)</f>
        <v>0</v>
      </c>
      <c r="N1" s="151">
        <f>SUM(N2:N24)</f>
        <v>0</v>
      </c>
      <c r="Q1" s="153">
        <f>SUBTOTAL(3,Q3:Q1004)</f>
        <v>0</v>
      </c>
      <c r="R1" s="274" t="s">
        <v>526</v>
      </c>
      <c r="S1" s="274"/>
      <c r="AW1" s="149"/>
    </row>
    <row r="2" spans="1:49" s="161" customFormat="1" ht="29.25" customHeight="1" thickBot="1" x14ac:dyDescent="0.3">
      <c r="A2" s="154" t="s">
        <v>527</v>
      </c>
      <c r="B2" s="155"/>
      <c r="C2" s="155"/>
      <c r="D2" s="155"/>
      <c r="E2" s="156"/>
      <c r="F2" s="157" t="s">
        <v>528</v>
      </c>
      <c r="G2" s="158">
        <f>IFERROR(VLOOKUP($B$4,'FICHIER DE BASE'!$A$3:$CO$37,11,FALSE),0)</f>
        <v>0</v>
      </c>
      <c r="H2" s="159">
        <f>IF(ISERROR(VLOOKUP($B$4,'FICHIER DE BASE'!$A$3:$CO$37,19,FALSE)),0,(VLOOKUP($B$4,'FICHIER DE BASE'!$A$3:$CO$37,19,FALSE)))</f>
        <v>0</v>
      </c>
      <c r="I2" s="160"/>
      <c r="J2" s="104" t="s">
        <v>23</v>
      </c>
      <c r="K2" s="151">
        <f>IFERROR(VLOOKUP($B$4,'FICHIER DE BASE'!$A$3:$CO$37,26,FALSE),0)</f>
        <v>0</v>
      </c>
      <c r="M2" s="269" t="s">
        <v>529</v>
      </c>
      <c r="N2" s="270">
        <f>IFERROR(VLOOKUP($B$4,'FICHIER DE BASE'!$A:$DE,97,FALSE),0)</f>
        <v>0</v>
      </c>
      <c r="P2" s="162"/>
      <c r="Q2" s="162"/>
      <c r="R2" s="274"/>
      <c r="S2" s="274"/>
      <c r="U2" s="163"/>
      <c r="V2" s="163"/>
      <c r="AW2" s="164"/>
    </row>
    <row r="3" spans="1:49" ht="18" customHeight="1" thickBot="1" x14ac:dyDescent="0.3">
      <c r="A3" s="165"/>
      <c r="B3" s="166"/>
      <c r="C3" s="166"/>
      <c r="D3" s="166"/>
      <c r="E3" s="166"/>
      <c r="F3" s="167"/>
      <c r="G3" s="168"/>
      <c r="H3" s="169"/>
      <c r="I3" s="170"/>
      <c r="J3" s="104" t="s">
        <v>24</v>
      </c>
      <c r="K3" s="151">
        <f>IFERROR(VLOOKUP($B$4,'FICHIER DE BASE'!$A$3:$CO$37,27,FALSE),0)</f>
        <v>0</v>
      </c>
      <c r="M3" s="269"/>
      <c r="N3" s="270"/>
      <c r="U3" s="172"/>
      <c r="V3" s="172"/>
    </row>
    <row r="4" spans="1:49" ht="18" customHeight="1" x14ac:dyDescent="0.25">
      <c r="A4" s="174" t="s">
        <v>28</v>
      </c>
      <c r="B4" s="175">
        <v>45824</v>
      </c>
      <c r="C4" s="166"/>
      <c r="D4" s="166"/>
      <c r="E4" s="166"/>
      <c r="F4" s="167"/>
      <c r="G4" s="168"/>
      <c r="H4" s="176"/>
      <c r="I4" s="170"/>
      <c r="J4" s="104" t="s">
        <v>25</v>
      </c>
      <c r="K4" s="151">
        <f>IFERROR(VLOOKUP($B$4,'FICHIER DE BASE'!$A$3:$CO$37,28,FALSE),0)</f>
        <v>0</v>
      </c>
      <c r="M4" s="269" t="s">
        <v>530</v>
      </c>
      <c r="N4" s="270">
        <f>IFERROR(VLOOKUP($B$4,'FICHIER DE BASE'!$A:$DE,98,FALSE),0)</f>
        <v>0</v>
      </c>
      <c r="Q4" s="177"/>
      <c r="U4" s="172"/>
      <c r="V4" s="172"/>
    </row>
    <row r="5" spans="1:49" ht="16.8" x14ac:dyDescent="0.25">
      <c r="A5" s="178"/>
      <c r="B5" s="179"/>
      <c r="C5" s="180"/>
      <c r="D5" s="180"/>
      <c r="E5" s="180"/>
      <c r="F5" s="179"/>
      <c r="G5" s="181"/>
      <c r="H5" s="182"/>
      <c r="I5" s="183"/>
      <c r="J5" s="104" t="s">
        <v>26</v>
      </c>
      <c r="K5" s="151">
        <f>IFERROR(VLOOKUP($B$4,'FICHIER DE BASE'!$A$3:$CO$37,29,FALSE),0)</f>
        <v>0</v>
      </c>
      <c r="M5" s="269"/>
      <c r="N5" s="270"/>
      <c r="P5" s="184">
        <f>+B4</f>
        <v>45824</v>
      </c>
      <c r="Q5" s="185"/>
    </row>
    <row r="6" spans="1:49" ht="18" customHeight="1" x14ac:dyDescent="0.25">
      <c r="A6" s="186" t="s">
        <v>531</v>
      </c>
      <c r="B6" s="268">
        <f>IFERROR(VLOOKUP($B$4,'FICHIER DE BASE'!$A$3:$CO$37,4,FALSE),0)</f>
        <v>0</v>
      </c>
      <c r="C6" s="268"/>
      <c r="D6" s="268"/>
      <c r="E6" s="268"/>
      <c r="F6" s="187" t="s">
        <v>532</v>
      </c>
      <c r="G6" s="275">
        <f>IFERROR(VLOOKUP($B$4,'FICHIER DE BASE'!$A$3:$CO$37,81,FALSE),0)</f>
        <v>0</v>
      </c>
      <c r="H6" s="276"/>
      <c r="I6" s="188"/>
      <c r="J6" s="104" t="s">
        <v>27</v>
      </c>
      <c r="K6" s="151">
        <f>IFERROR(VLOOKUP($B$4,'FICHIER DE BASE'!$A$3:$CO$37,30,FALSE),0)</f>
        <v>0</v>
      </c>
      <c r="M6" s="269" t="s">
        <v>533</v>
      </c>
      <c r="N6" s="270">
        <f>IFERROR(VLOOKUP($B$4,'FICHIER DE BASE'!$A:$DE,99,FALSE),0)</f>
        <v>0</v>
      </c>
      <c r="Q6" s="185"/>
    </row>
    <row r="7" spans="1:49" ht="16.95" customHeight="1" x14ac:dyDescent="0.25">
      <c r="A7" s="189" t="s">
        <v>534</v>
      </c>
      <c r="B7" s="268">
        <f>IFERROR(VLOOKUP($B$4,'FICHIER DE BASE'!$A$3:$CO$37,5,FALSE),0)</f>
        <v>0</v>
      </c>
      <c r="C7" s="268"/>
      <c r="D7" s="268"/>
      <c r="E7" s="268"/>
      <c r="F7" s="190"/>
      <c r="G7" s="190"/>
      <c r="H7" s="191"/>
      <c r="I7" s="192"/>
      <c r="J7" s="104" t="s">
        <v>42</v>
      </c>
      <c r="K7" s="151">
        <f>IFERROR(VLOOKUP($B$4,'FICHIER DE BASE'!$A$3:$CO$37,31,FALSE),0)</f>
        <v>0</v>
      </c>
      <c r="M7" s="269"/>
      <c r="N7" s="270"/>
      <c r="Q7" s="185"/>
    </row>
    <row r="8" spans="1:49" ht="18" customHeight="1" x14ac:dyDescent="0.25">
      <c r="A8" s="186" t="s">
        <v>535</v>
      </c>
      <c r="B8" s="193">
        <f>IFERROR(VLOOKUP($B$4,'FICHIER DE BASE'!$A$3:$CO$37,8,FALSE),0)</f>
        <v>0</v>
      </c>
      <c r="C8" s="268">
        <f>IFERROR(VLOOKUP($B$4,'FICHIER DE BASE'!$A$3:$CO$37,9,FALSE),0)</f>
        <v>0</v>
      </c>
      <c r="D8" s="268"/>
      <c r="E8" s="268"/>
      <c r="F8" s="187" t="s">
        <v>536</v>
      </c>
      <c r="G8" s="190">
        <f>IFERROR(VLOOKUP($B$4,'FICHIER DE BASE'!$A$3:$CO$37,80,FALSE),0)</f>
        <v>0</v>
      </c>
      <c r="H8" s="194"/>
      <c r="I8" s="172"/>
      <c r="J8" s="105" t="s">
        <v>43</v>
      </c>
      <c r="K8" s="151">
        <f>IFERROR(VLOOKUP($B$4,'FICHIER DE BASE'!$A$3:$CO$37,32,FALSE),0)</f>
        <v>0</v>
      </c>
      <c r="M8" s="269" t="s">
        <v>250</v>
      </c>
      <c r="N8" s="270">
        <f>IFERROR(VLOOKUP($B$4,'FICHIER DE BASE'!$A:$DE,100,FALSE),0)</f>
        <v>0</v>
      </c>
      <c r="Q8" s="185"/>
    </row>
    <row r="9" spans="1:49" ht="18" customHeight="1" x14ac:dyDescent="0.25">
      <c r="A9" s="189"/>
      <c r="B9" s="190"/>
      <c r="C9" s="190"/>
      <c r="D9" s="190"/>
      <c r="E9" s="190"/>
      <c r="F9" s="190"/>
      <c r="G9" s="190"/>
      <c r="H9" s="191"/>
      <c r="I9" s="179"/>
      <c r="J9" s="104" t="s">
        <v>44</v>
      </c>
      <c r="K9" s="151">
        <f>IFERROR(VLOOKUP($B$4,'FICHIER DE BASE'!$A$3:$CO$37,33,FALSE),0)</f>
        <v>0</v>
      </c>
      <c r="M9" s="269"/>
      <c r="N9" s="270"/>
      <c r="Q9" s="185"/>
    </row>
    <row r="10" spans="1:49" ht="24" customHeight="1" x14ac:dyDescent="0.25">
      <c r="A10" s="186" t="s">
        <v>537</v>
      </c>
      <c r="B10" s="195">
        <f>IFERROR(VLOOKUP($B$4,'FICHIER DE BASE'!$A$3:$CO$37,10,FALSE),0)</f>
        <v>0</v>
      </c>
      <c r="C10" s="193"/>
      <c r="D10" s="193"/>
      <c r="E10" s="166"/>
      <c r="F10" s="187" t="s">
        <v>538</v>
      </c>
      <c r="G10" s="190">
        <f>IFERROR(VLOOKUP($B$4,'FICHIER DE BASE'!$A$3:$CO$37,85,FALSE),0)</f>
        <v>0</v>
      </c>
      <c r="H10" s="196"/>
      <c r="I10" s="197"/>
      <c r="J10" s="105" t="s">
        <v>45</v>
      </c>
      <c r="K10" s="151">
        <f>IFERROR(VLOOKUP($B$4,'FICHIER DE BASE'!$A$3:$CO$37,34,FALSE),0)</f>
        <v>0</v>
      </c>
      <c r="M10" s="269" t="s">
        <v>251</v>
      </c>
      <c r="N10" s="270">
        <f>IFERROR(VLOOKUP($B$4,'FICHIER DE BASE'!$A:$DE,101,FALSE),0)</f>
        <v>0</v>
      </c>
      <c r="Q10" s="185"/>
    </row>
    <row r="11" spans="1:49" ht="18" customHeight="1" x14ac:dyDescent="0.25">
      <c r="A11" s="189"/>
      <c r="B11" s="190"/>
      <c r="C11" s="190"/>
      <c r="D11" s="190"/>
      <c r="E11" s="190"/>
      <c r="F11" s="190"/>
      <c r="G11" s="190"/>
      <c r="H11" s="196"/>
      <c r="I11" s="197"/>
      <c r="J11" s="104" t="s">
        <v>46</v>
      </c>
      <c r="K11" s="151">
        <f>IFERROR(VLOOKUP($B$4,'FICHIER DE BASE'!$A$3:$CO$37,35,FALSE),0)</f>
        <v>0</v>
      </c>
      <c r="M11" s="269"/>
      <c r="N11" s="270"/>
      <c r="Q11" s="185"/>
    </row>
    <row r="12" spans="1:49" ht="18" customHeight="1" x14ac:dyDescent="0.25">
      <c r="C12" s="190"/>
      <c r="D12" s="190"/>
      <c r="E12" s="166"/>
      <c r="F12" s="187" t="s">
        <v>539</v>
      </c>
      <c r="G12" s="190">
        <f>+N37</f>
        <v>0</v>
      </c>
      <c r="H12" s="194"/>
      <c r="I12" s="172"/>
      <c r="J12" s="104" t="s">
        <v>47</v>
      </c>
      <c r="K12" s="151">
        <f>IFERROR(VLOOKUP($B$4,'FICHIER DE BASE'!$A$3:$CO$37,36,FALSE),0)</f>
        <v>0</v>
      </c>
      <c r="M12" s="269" t="s">
        <v>540</v>
      </c>
      <c r="N12" s="270">
        <f>IFERROR(VLOOKUP($B$4,'FICHIER DE BASE'!$A:$DE,102,FALSE),0)</f>
        <v>0</v>
      </c>
      <c r="Q12" s="185"/>
    </row>
    <row r="13" spans="1:49" ht="26.25" customHeight="1" x14ac:dyDescent="0.25">
      <c r="A13" s="189"/>
      <c r="B13" s="190"/>
      <c r="C13" s="190"/>
      <c r="D13" s="190"/>
      <c r="E13" s="190"/>
      <c r="F13" s="190"/>
      <c r="G13" s="199"/>
      <c r="H13" s="194"/>
      <c r="I13" s="172"/>
      <c r="J13" s="104" t="s">
        <v>48</v>
      </c>
      <c r="K13" s="151">
        <f>IFERROR(VLOOKUP($B$4,'FICHIER DE BASE'!$A$3:$CO$37,37,FALSE),0)</f>
        <v>0</v>
      </c>
      <c r="M13" s="269"/>
      <c r="N13" s="270"/>
      <c r="Q13" s="185"/>
      <c r="AV13" s="173"/>
      <c r="AW13" s="149"/>
    </row>
    <row r="14" spans="1:49" ht="18" customHeight="1" x14ac:dyDescent="0.25">
      <c r="A14" s="186" t="s">
        <v>541</v>
      </c>
      <c r="B14" s="193">
        <f>IFERROR(VLOOKUP($B$4,'FICHIER DE BASE'!$A$3:$CO$37,15,FALSE),0)</f>
        <v>0</v>
      </c>
      <c r="C14" s="193">
        <f>IFERROR(VLOOKUP($B$4,'FICHIER DE BASE'!$A$3:$CO$37,16,FALSE),0)</f>
        <v>0</v>
      </c>
      <c r="E14" s="166"/>
      <c r="F14" s="187" t="s">
        <v>542</v>
      </c>
      <c r="G14" s="271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272"/>
      <c r="I14" s="172"/>
      <c r="J14" s="104" t="s">
        <v>49</v>
      </c>
      <c r="K14" s="151">
        <f>IFERROR(VLOOKUP($B$4,'FICHIER DE BASE'!$A$3:$CO$37,38,FALSE),0)</f>
        <v>0</v>
      </c>
      <c r="M14" s="269" t="s">
        <v>543</v>
      </c>
      <c r="N14" s="270">
        <f>IFERROR(VLOOKUP($B$4,'FICHIER DE BASE'!$A:$DE,103,FALSE),0)</f>
        <v>0</v>
      </c>
      <c r="Q14" s="185"/>
      <c r="AV14" s="173"/>
      <c r="AW14" s="149"/>
    </row>
    <row r="15" spans="1:49" ht="21" customHeight="1" x14ac:dyDescent="0.25">
      <c r="A15" s="189"/>
      <c r="B15" s="190"/>
      <c r="C15" s="190"/>
      <c r="D15" s="190"/>
      <c r="E15" s="190"/>
      <c r="F15" s="190"/>
      <c r="G15" s="198"/>
      <c r="H15" s="196"/>
      <c r="I15" s="197"/>
      <c r="J15" s="104" t="s">
        <v>50</v>
      </c>
      <c r="K15" s="151">
        <f>IFERROR(VLOOKUP($B$4,'FICHIER DE BASE'!$A$3:$CO$37,39,FALSE),0)</f>
        <v>0</v>
      </c>
      <c r="M15" s="269"/>
      <c r="N15" s="270"/>
      <c r="Q15" s="185"/>
      <c r="AV15" s="173"/>
      <c r="AW15" s="149"/>
    </row>
    <row r="16" spans="1:49" ht="18" customHeight="1" x14ac:dyDescent="0.25">
      <c r="A16" s="186" t="s">
        <v>544</v>
      </c>
      <c r="B16" s="273">
        <f>IFERROR(VLOOKUP($B$4,'FICHIER DE BASE'!$A$3:$CO$37,14,FALSE),0)</f>
        <v>0</v>
      </c>
      <c r="C16" s="273"/>
      <c r="D16" s="200"/>
      <c r="E16" s="200"/>
      <c r="F16" s="187" t="s">
        <v>545</v>
      </c>
      <c r="G16" s="190">
        <f>+K1</f>
        <v>0</v>
      </c>
      <c r="H16" s="194"/>
      <c r="I16" s="172"/>
      <c r="J16" s="104" t="s">
        <v>51</v>
      </c>
      <c r="K16" s="151">
        <f>IFERROR(VLOOKUP($B$4,'FICHIER DE BASE'!$A$3:$CO$37,40,FALSE),0)</f>
        <v>0</v>
      </c>
      <c r="M16" s="269" t="s">
        <v>254</v>
      </c>
      <c r="N16" s="270">
        <f>IFERROR(VLOOKUP($B$4,'FICHIER DE BASE'!$A:$DE,104,FALSE),0)</f>
        <v>0</v>
      </c>
      <c r="Q16" s="185"/>
    </row>
    <row r="17" spans="1:49" ht="32.4" customHeight="1" x14ac:dyDescent="0.25">
      <c r="A17" s="186" t="s">
        <v>546</v>
      </c>
      <c r="B17" s="193"/>
      <c r="C17" s="193"/>
      <c r="D17" s="193"/>
      <c r="E17" s="190"/>
      <c r="F17" s="190"/>
      <c r="G17" s="190"/>
      <c r="H17" s="196"/>
      <c r="I17" s="197"/>
      <c r="J17" s="106" t="s">
        <v>547</v>
      </c>
      <c r="K17" s="151">
        <f>IFERROR(VLOOKUP($B$4,'FICHIER DE BASE'!$A$3:$CO$37,41,FALSE),0)</f>
        <v>0</v>
      </c>
      <c r="M17" s="269"/>
      <c r="N17" s="270"/>
      <c r="Q17" s="185"/>
      <c r="AW17" s="149"/>
    </row>
    <row r="18" spans="1:49" ht="24" customHeight="1" x14ac:dyDescent="0.25">
      <c r="A18" s="186" t="s">
        <v>548</v>
      </c>
      <c r="B18" s="268">
        <f>IFERROR(VLOOKUP($B$4,'FICHIER DE BASE'!$A$3:$CO$37,86,FALSE),0)</f>
        <v>0</v>
      </c>
      <c r="C18" s="268"/>
      <c r="D18" s="268"/>
      <c r="E18" s="268"/>
      <c r="F18" s="255" t="s">
        <v>549</v>
      </c>
      <c r="G18" s="190">
        <f>+N1</f>
        <v>0</v>
      </c>
      <c r="H18" s="196"/>
      <c r="I18" s="197"/>
      <c r="J18" s="104" t="s">
        <v>53</v>
      </c>
      <c r="K18" s="151">
        <f>IFERROR(VLOOKUP($B$4,'FICHIER DE BASE'!$A$3:$CO$37,42,FALSE),0)</f>
        <v>0</v>
      </c>
      <c r="M18" s="269" t="s">
        <v>550</v>
      </c>
      <c r="N18" s="270">
        <f>IFERROR(VLOOKUP($B$4,'FICHIER DE BASE'!$A:$DE,105,FALSE),0)</f>
        <v>0</v>
      </c>
      <c r="Q18" s="185"/>
      <c r="AW18" s="149"/>
    </row>
    <row r="19" spans="1:49" ht="27" customHeight="1" x14ac:dyDescent="0.25">
      <c r="A19" s="186" t="s">
        <v>551</v>
      </c>
      <c r="B19" s="268">
        <f>IFERROR(VLOOKUP($B$4,'FICHIER DE BASE'!$A$3:$CO$37,12,FALSE),0)</f>
        <v>0</v>
      </c>
      <c r="C19" s="268"/>
      <c r="D19" s="190"/>
      <c r="E19" s="190"/>
      <c r="F19" s="190"/>
      <c r="G19" s="195"/>
      <c r="H19" s="191"/>
      <c r="I19" s="179"/>
      <c r="J19" s="106" t="s">
        <v>54</v>
      </c>
      <c r="K19" s="151">
        <f>IFERROR(VLOOKUP($B$4,'FICHIER DE BASE'!$A$3:$CO$37,43,FALSE),0)</f>
        <v>0</v>
      </c>
      <c r="M19" s="269"/>
      <c r="N19" s="270"/>
      <c r="Q19" s="185"/>
      <c r="AW19" s="149"/>
    </row>
    <row r="20" spans="1:49" ht="24" customHeight="1" x14ac:dyDescent="0.25">
      <c r="A20" s="186" t="s">
        <v>552</v>
      </c>
      <c r="B20" s="268">
        <f>IFERROR(VLOOKUP($B$4,'FICHIER DE BASE'!$A$3:$CO$37,84,FALSE),0)</f>
        <v>0</v>
      </c>
      <c r="C20" s="268"/>
      <c r="D20" s="201"/>
      <c r="E20" s="190"/>
      <c r="F20" s="179"/>
      <c r="G20" s="179"/>
      <c r="H20" s="191"/>
      <c r="I20" s="179"/>
      <c r="J20" s="104" t="s">
        <v>55</v>
      </c>
      <c r="K20" s="151">
        <f>IFERROR(VLOOKUP($B$4,'FICHIER DE BASE'!$A$3:$CO$37,44,FALSE),0)</f>
        <v>0</v>
      </c>
      <c r="M20" s="269" t="s">
        <v>553</v>
      </c>
      <c r="N20" s="270">
        <f>IFERROR(VLOOKUP($B$4,'FICHIER DE BASE'!$A:$DE,106,FALSE),0)</f>
        <v>0</v>
      </c>
      <c r="Q20" s="185"/>
      <c r="AW20" s="149"/>
    </row>
    <row r="21" spans="1:49" ht="24" customHeight="1" thickBot="1" x14ac:dyDescent="0.3">
      <c r="A21" s="202" t="s">
        <v>554</v>
      </c>
      <c r="B21" s="203"/>
      <c r="C21" s="203"/>
      <c r="D21" s="204"/>
      <c r="E21" s="205"/>
      <c r="F21" s="204"/>
      <c r="G21" s="204"/>
      <c r="H21" s="206"/>
      <c r="I21" s="207"/>
      <c r="J21" s="104" t="s">
        <v>56</v>
      </c>
      <c r="K21" s="151">
        <f>IFERROR(VLOOKUP($B$4,'FICHIER DE BASE'!$A$3:$CO$37,45,FALSE),0)</f>
        <v>0</v>
      </c>
      <c r="M21" s="269"/>
      <c r="N21" s="270"/>
      <c r="Q21" s="185"/>
      <c r="AW21" s="149"/>
    </row>
    <row r="22" spans="1:49" ht="26.4" customHeight="1" thickBot="1" x14ac:dyDescent="0.3">
      <c r="A22" s="208" t="s">
        <v>555</v>
      </c>
      <c r="B22" s="209" t="s">
        <v>556</v>
      </c>
      <c r="C22" s="210"/>
      <c r="D22" s="211"/>
      <c r="E22" s="212" t="s">
        <v>557</v>
      </c>
      <c r="F22" s="210"/>
      <c r="G22" s="211"/>
      <c r="H22" s="213" t="s">
        <v>558</v>
      </c>
      <c r="I22" s="214"/>
      <c r="J22" s="104" t="s">
        <v>57</v>
      </c>
      <c r="K22" s="151">
        <f>IFERROR(VLOOKUP($B$4,'FICHIER DE BASE'!$A$3:$CO$37,46,FALSE),0)</f>
        <v>0</v>
      </c>
      <c r="M22" s="215" t="s">
        <v>257</v>
      </c>
      <c r="N22" s="216">
        <f>IFERROR(VLOOKUP($B$4,'FICHIER DE BASE'!$A:$DE,107,FALSE),0)</f>
        <v>0</v>
      </c>
      <c r="Q22" s="185"/>
      <c r="AW22" s="149"/>
    </row>
    <row r="23" spans="1:49" ht="109.95" customHeight="1" x14ac:dyDescent="0.25">
      <c r="A23" s="217"/>
      <c r="B23" s="218"/>
      <c r="C23" s="219"/>
      <c r="D23" s="220"/>
      <c r="E23" s="218"/>
      <c r="F23" s="219"/>
      <c r="G23" s="220"/>
      <c r="H23" s="221"/>
      <c r="I23" s="222"/>
      <c r="J23" s="104" t="s">
        <v>58</v>
      </c>
      <c r="K23" s="151">
        <f>IFERROR(VLOOKUP($B$4,'FICHIER DE BASE'!$A$3:$CO$37,47,FALSE),0)</f>
        <v>0</v>
      </c>
      <c r="M23" s="215" t="s">
        <v>258</v>
      </c>
      <c r="N23" s="216">
        <f>IFERROR(VLOOKUP($B$4,'FICHIER DE BASE'!$A:$DE,108,FALSE),0)</f>
        <v>0</v>
      </c>
      <c r="Q23" s="185"/>
      <c r="AW23" s="149"/>
    </row>
    <row r="24" spans="1:49" ht="93.6" customHeight="1" x14ac:dyDescent="0.25">
      <c r="A24" s="223"/>
      <c r="B24" s="224"/>
      <c r="C24" s="225"/>
      <c r="D24" s="226"/>
      <c r="E24" s="224"/>
      <c r="F24" s="225"/>
      <c r="G24" s="226"/>
      <c r="H24" s="227"/>
      <c r="I24" s="222"/>
      <c r="J24" s="104" t="s">
        <v>59</v>
      </c>
      <c r="K24" s="151">
        <f>IFERROR(VLOOKUP($B$4,'FICHIER DE BASE'!$A$3:$CO$37,48,FALSE),0)</f>
        <v>0</v>
      </c>
      <c r="M24" s="215" t="s">
        <v>259</v>
      </c>
      <c r="N24" s="216">
        <f>IFERROR(VLOOKUP($B$4,'FICHIER DE BASE'!$A:$DE,109,FALSE),0)</f>
        <v>0</v>
      </c>
      <c r="Q24" s="185"/>
      <c r="AW24" s="149"/>
    </row>
    <row r="25" spans="1:49" ht="87" customHeight="1" x14ac:dyDescent="0.25">
      <c r="A25" s="223"/>
      <c r="B25" s="224"/>
      <c r="C25" s="225"/>
      <c r="D25" s="226"/>
      <c r="E25" s="224"/>
      <c r="F25" s="225"/>
      <c r="G25" s="226"/>
      <c r="H25" s="227"/>
      <c r="I25" s="222"/>
      <c r="J25" s="104" t="s">
        <v>60</v>
      </c>
      <c r="K25" s="151">
        <f>IFERROR(VLOOKUP($B$4,'FICHIER DE BASE'!$A$3:$CO$37,49,FALSE),0)</f>
        <v>0</v>
      </c>
      <c r="M25" s="228" t="s">
        <v>212</v>
      </c>
      <c r="N25" s="229">
        <f>IFERROR(VLOOKUP($B$4,'FICHIER DE BASE'!$A$4:$DE$37,61,FALSE),0)</f>
        <v>0</v>
      </c>
      <c r="Q25" s="185"/>
      <c r="AW25" s="149"/>
    </row>
    <row r="26" spans="1:49" ht="81.599999999999994" customHeight="1" x14ac:dyDescent="0.25">
      <c r="A26" s="223"/>
      <c r="B26" s="224"/>
      <c r="C26" s="225"/>
      <c r="D26" s="226"/>
      <c r="E26" s="224"/>
      <c r="F26" s="225"/>
      <c r="G26" s="226"/>
      <c r="H26" s="227"/>
      <c r="I26" s="230"/>
      <c r="J26" s="104" t="s">
        <v>61</v>
      </c>
      <c r="K26" s="151">
        <f>IFERROR(VLOOKUP($B$4,'FICHIER DE BASE'!$A$3:$CO$37,50,FALSE),0)</f>
        <v>0</v>
      </c>
      <c r="M26" s="228" t="s">
        <v>213</v>
      </c>
      <c r="N26" s="229">
        <f>IFERROR(VLOOKUP($B$4,'FICHIER DE BASE'!$A$4:$DE$37,62,FALSE),0)</f>
        <v>0</v>
      </c>
      <c r="Q26" s="185"/>
      <c r="AW26" s="149"/>
    </row>
    <row r="27" spans="1:49" ht="85.95" customHeight="1" x14ac:dyDescent="0.25">
      <c r="A27" s="231"/>
      <c r="B27" s="232"/>
      <c r="C27" s="233"/>
      <c r="D27" s="234"/>
      <c r="E27" s="232"/>
      <c r="F27" s="233"/>
      <c r="G27" s="234"/>
      <c r="H27" s="235"/>
      <c r="I27" s="230"/>
      <c r="J27" s="104" t="s">
        <v>62</v>
      </c>
      <c r="K27" s="151">
        <f>IFERROR(VLOOKUP($B$4,'FICHIER DE BASE'!$A$3:$CO$37,51,FALSE),0)</f>
        <v>0</v>
      </c>
      <c r="M27" s="228" t="s">
        <v>559</v>
      </c>
      <c r="N27" s="229">
        <f>IFERROR(VLOOKUP($B$4,'FICHIER DE BASE'!$A$4:$DE$37,63,FALSE),0)</f>
        <v>0</v>
      </c>
      <c r="Q27" s="185"/>
      <c r="AW27" s="149"/>
    </row>
    <row r="28" spans="1:49" ht="93.6" customHeight="1" x14ac:dyDescent="0.25">
      <c r="A28" s="236"/>
      <c r="B28" s="237"/>
      <c r="C28" s="238"/>
      <c r="D28" s="239"/>
      <c r="E28" s="237"/>
      <c r="F28" s="238"/>
      <c r="G28" s="239"/>
      <c r="H28" s="240"/>
      <c r="I28" s="230"/>
      <c r="J28" s="104" t="s">
        <v>63</v>
      </c>
      <c r="K28" s="151">
        <f>IFERROR(VLOOKUP($B$4,'FICHIER DE BASE'!$A$3:$CO$37,52,FALSE),0)</f>
        <v>0</v>
      </c>
      <c r="M28" s="241" t="s">
        <v>560</v>
      </c>
      <c r="N28" s="229">
        <f>IFERROR(VLOOKUP($B$4,'FICHIER DE BASE'!$A$4:$DE$37,64,FALSE),0)</f>
        <v>0</v>
      </c>
      <c r="Q28" s="185"/>
      <c r="AW28" s="149"/>
    </row>
    <row r="29" spans="1:49" ht="94.95" customHeight="1" x14ac:dyDescent="0.25">
      <c r="A29" s="242"/>
      <c r="B29" s="243"/>
      <c r="C29" s="244"/>
      <c r="D29" s="245"/>
      <c r="E29" s="243"/>
      <c r="F29" s="244"/>
      <c r="G29" s="245"/>
      <c r="H29" s="246"/>
      <c r="I29" s="230"/>
      <c r="J29" s="104" t="s">
        <v>204</v>
      </c>
      <c r="K29" s="151">
        <f>IFERROR(VLOOKUP($B$4,'FICHIER DE BASE'!$A$3:$CO$37,53,FALSE),0)</f>
        <v>0</v>
      </c>
      <c r="M29" s="228" t="s">
        <v>561</v>
      </c>
      <c r="N29" s="229">
        <f>IFERROR(VLOOKUP($B$4,'FICHIER DE BASE'!$A$4:$DE$37,65,FALSE),0)</f>
        <v>0</v>
      </c>
      <c r="Q29" s="185"/>
      <c r="AW29" s="149"/>
    </row>
    <row r="30" spans="1:49" ht="90.6" customHeight="1" x14ac:dyDescent="0.25">
      <c r="A30" s="223"/>
      <c r="B30" s="224"/>
      <c r="C30" s="225"/>
      <c r="D30" s="226"/>
      <c r="E30" s="224"/>
      <c r="F30" s="225"/>
      <c r="G30" s="226"/>
      <c r="H30" s="227"/>
      <c r="I30" s="230"/>
      <c r="J30" s="104" t="s">
        <v>205</v>
      </c>
      <c r="K30" s="151">
        <f>IFERROR(VLOOKUP($B$4,'FICHIER DE BASE'!$A$3:$CO$37,54,FALSE),0)</f>
        <v>0</v>
      </c>
      <c r="M30" s="228" t="s">
        <v>217</v>
      </c>
      <c r="N30" s="229">
        <f>IFERROR(VLOOKUP($B$4,'FICHIER DE BASE'!$A$4:$DE$37,66,FALSE),0)</f>
        <v>0</v>
      </c>
      <c r="Q30" s="185"/>
      <c r="AW30" s="149"/>
    </row>
    <row r="31" spans="1:49" ht="99.6" customHeight="1" x14ac:dyDescent="0.25">
      <c r="A31" s="223"/>
      <c r="B31" s="224"/>
      <c r="C31" s="225"/>
      <c r="D31" s="226"/>
      <c r="E31" s="224"/>
      <c r="F31" s="225"/>
      <c r="G31" s="226"/>
      <c r="H31" s="227"/>
      <c r="I31" s="230"/>
      <c r="J31" s="104" t="s">
        <v>206</v>
      </c>
      <c r="K31" s="151">
        <f>IFERROR(VLOOKUP($B$4,'FICHIER DE BASE'!$A$3:$CO$37,55,FALSE),0)</f>
        <v>0</v>
      </c>
      <c r="M31" s="228" t="s">
        <v>562</v>
      </c>
      <c r="N31" s="229">
        <f>IFERROR(VLOOKUP($B$4,'FICHIER DE BASE'!$A$4:$DE$37,67,FALSE),0)</f>
        <v>0</v>
      </c>
      <c r="Q31" s="185"/>
      <c r="AW31" s="149"/>
    </row>
    <row r="32" spans="1:49" ht="81" customHeight="1" x14ac:dyDescent="0.25">
      <c r="A32" s="223"/>
      <c r="B32" s="224"/>
      <c r="C32" s="225"/>
      <c r="D32" s="226"/>
      <c r="E32" s="224"/>
      <c r="F32" s="225"/>
      <c r="G32" s="226"/>
      <c r="H32" s="227"/>
      <c r="I32" s="230"/>
      <c r="J32" s="104" t="s">
        <v>207</v>
      </c>
      <c r="K32" s="151">
        <f>IFERROR(VLOOKUP($B$4,'FICHIER DE BASE'!$A$3:$CO$37,56,FALSE),0)</f>
        <v>0</v>
      </c>
      <c r="M32" s="228" t="s">
        <v>563</v>
      </c>
      <c r="N32" s="229">
        <f>IFERROR(VLOOKUP($B$4,'FICHIER DE BASE'!$A$4:$DE$37,68,FALSE),0)</f>
        <v>0</v>
      </c>
      <c r="Q32" s="185"/>
      <c r="AW32" s="149"/>
    </row>
    <row r="33" spans="1:49" ht="44.4" customHeight="1" x14ac:dyDescent="0.25">
      <c r="M33" s="228" t="s">
        <v>564</v>
      </c>
      <c r="N33" s="229">
        <f>IFERROR(VLOOKUP($B$4,'FICHIER DE BASE'!$A$4:$DE$37,69,FALSE),0)</f>
        <v>0</v>
      </c>
      <c r="Q33" s="185"/>
      <c r="AW33" s="149"/>
    </row>
    <row r="34" spans="1:49" ht="44.4" customHeight="1" x14ac:dyDescent="0.25">
      <c r="M34" s="228" t="s">
        <v>221</v>
      </c>
      <c r="N34" s="229">
        <f>IFERROR(VLOOKUP($B$4,'FICHIER DE BASE'!$A$4:$DE$37,70,FALSE),0)</f>
        <v>0</v>
      </c>
      <c r="Q34" s="185"/>
      <c r="AW34" s="149"/>
    </row>
    <row r="35" spans="1:49" ht="44.4" customHeight="1" x14ac:dyDescent="0.25">
      <c r="M35" s="228" t="s">
        <v>222</v>
      </c>
      <c r="N35" s="229">
        <f>IFERROR(VLOOKUP($B$4,'FICHIER DE BASE'!$A$4:$DE$37,71,FALSE),0)</f>
        <v>0</v>
      </c>
      <c r="Q35" s="185"/>
      <c r="AW35" s="149"/>
    </row>
    <row r="36" spans="1:49" ht="44.4" customHeight="1" x14ac:dyDescent="0.25">
      <c r="M36" s="228" t="s">
        <v>223</v>
      </c>
      <c r="N36" s="229">
        <f>IFERROR(VLOOKUP($B$4,'FICHIER DE BASE'!$A$4:$DE$37,72,FALSE),0)</f>
        <v>0</v>
      </c>
      <c r="Q36" s="185"/>
      <c r="AW36" s="149"/>
    </row>
    <row r="37" spans="1:49" ht="50.4" customHeight="1" x14ac:dyDescent="0.25">
      <c r="M37" s="248" t="s">
        <v>565</v>
      </c>
      <c r="N37" s="229">
        <f>SUM(N25:N36)</f>
        <v>0</v>
      </c>
      <c r="Q37" s="185"/>
      <c r="AW37" s="149"/>
    </row>
    <row r="38" spans="1:49" ht="18" customHeight="1" x14ac:dyDescent="0.25">
      <c r="Q38" s="185"/>
      <c r="AW38" s="149"/>
    </row>
    <row r="39" spans="1:49" ht="18" customHeight="1" x14ac:dyDescent="0.25">
      <c r="Q39" s="185"/>
      <c r="AW39" s="149"/>
    </row>
    <row r="40" spans="1:49" ht="18" customHeight="1" x14ac:dyDescent="0.25">
      <c r="Q40" s="185"/>
      <c r="AW40" s="149"/>
    </row>
    <row r="41" spans="1:49" ht="18" customHeight="1" x14ac:dyDescent="0.25">
      <c r="J41" s="249" t="str">
        <f>IF(N25&gt;0,M25,"")</f>
        <v/>
      </c>
      <c r="Q41" s="185"/>
      <c r="AW41" s="149"/>
    </row>
    <row r="42" spans="1:49" ht="18" customHeight="1" x14ac:dyDescent="0.25">
      <c r="A42" s="172"/>
      <c r="B42" s="172"/>
      <c r="C42" s="172"/>
      <c r="D42" s="172"/>
      <c r="E42" s="172"/>
      <c r="F42" s="172"/>
      <c r="G42" s="172"/>
      <c r="J42" s="249" t="str">
        <f t="shared" ref="J42:J52" si="0">IF(N26&gt;0,M26,"")</f>
        <v/>
      </c>
      <c r="Q42" s="185"/>
      <c r="AW42" s="149"/>
    </row>
    <row r="43" spans="1:49" ht="18" customHeight="1" x14ac:dyDescent="0.25">
      <c r="A43" s="172"/>
      <c r="B43" s="172"/>
      <c r="C43" s="172"/>
      <c r="D43" s="172"/>
      <c r="E43" s="172"/>
      <c r="F43" s="172"/>
      <c r="G43" s="172"/>
      <c r="J43" s="249" t="str">
        <f t="shared" si="0"/>
        <v/>
      </c>
      <c r="Q43" s="185"/>
      <c r="AW43" s="149"/>
    </row>
    <row r="44" spans="1:49" ht="18" customHeight="1" x14ac:dyDescent="0.25">
      <c r="J44" s="249" t="str">
        <f t="shared" si="0"/>
        <v/>
      </c>
      <c r="Q44" s="185"/>
      <c r="AW44" s="149"/>
    </row>
    <row r="45" spans="1:49" ht="12.75" customHeight="1" x14ac:dyDescent="0.25">
      <c r="J45" s="249" t="str">
        <f t="shared" si="0"/>
        <v/>
      </c>
      <c r="Q45" s="185"/>
      <c r="AW45" s="149"/>
    </row>
    <row r="46" spans="1:49" ht="13.95" customHeight="1" x14ac:dyDescent="0.25">
      <c r="J46" s="249" t="str">
        <f t="shared" si="0"/>
        <v/>
      </c>
      <c r="Q46" s="185"/>
      <c r="AW46" s="149"/>
    </row>
    <row r="47" spans="1:49" ht="13.95" customHeight="1" x14ac:dyDescent="0.25">
      <c r="J47" s="249" t="str">
        <f t="shared" si="0"/>
        <v/>
      </c>
      <c r="Q47" s="185"/>
      <c r="AW47" s="149"/>
    </row>
    <row r="48" spans="1:49" ht="13.95" customHeight="1" x14ac:dyDescent="0.25">
      <c r="J48" s="249" t="str">
        <f t="shared" si="0"/>
        <v/>
      </c>
      <c r="Q48" s="185"/>
      <c r="AW48" s="149"/>
    </row>
    <row r="49" spans="10:49" ht="13.95" customHeight="1" x14ac:dyDescent="0.25">
      <c r="J49" s="249" t="str">
        <f t="shared" si="0"/>
        <v/>
      </c>
      <c r="Q49" s="185"/>
      <c r="AW49" s="149"/>
    </row>
    <row r="50" spans="10:49" ht="13.95" customHeight="1" x14ac:dyDescent="0.25">
      <c r="J50" s="249" t="str">
        <f t="shared" si="0"/>
        <v/>
      </c>
      <c r="Q50" s="185"/>
      <c r="AW50" s="149"/>
    </row>
    <row r="51" spans="10:49" ht="13.95" customHeight="1" x14ac:dyDescent="0.25">
      <c r="J51" s="249" t="str">
        <f t="shared" si="0"/>
        <v/>
      </c>
      <c r="Q51" s="185"/>
      <c r="AW51" s="149"/>
    </row>
    <row r="52" spans="10:49" ht="13.95" customHeight="1" x14ac:dyDescent="0.25">
      <c r="J52" s="249" t="str">
        <f t="shared" si="0"/>
        <v/>
      </c>
      <c r="Q52" s="185"/>
      <c r="AW52" s="149"/>
    </row>
    <row r="53" spans="10:49" ht="13.95" customHeight="1" x14ac:dyDescent="0.25">
      <c r="Q53" s="185"/>
      <c r="AW53" s="149"/>
    </row>
    <row r="54" spans="10:49" ht="13.95" customHeight="1" x14ac:dyDescent="0.25">
      <c r="Q54" s="185"/>
      <c r="AW54" s="149"/>
    </row>
    <row r="55" spans="10:49" ht="13.95" customHeight="1" x14ac:dyDescent="0.25">
      <c r="Q55" s="185"/>
      <c r="AW55" s="149"/>
    </row>
    <row r="56" spans="10:49" ht="13.95" customHeight="1" x14ac:dyDescent="0.25">
      <c r="Q56" s="185"/>
      <c r="AW56" s="149"/>
    </row>
    <row r="57" spans="10:49" ht="13.95" customHeight="1" x14ac:dyDescent="0.25">
      <c r="Q57" s="185"/>
      <c r="AW57" s="149"/>
    </row>
    <row r="58" spans="10:49" ht="13.95" customHeight="1" x14ac:dyDescent="0.25">
      <c r="Q58" s="185"/>
      <c r="AW58" s="149"/>
    </row>
    <row r="59" spans="10:49" ht="13.95" customHeight="1" x14ac:dyDescent="0.25">
      <c r="J59" s="149"/>
      <c r="K59" s="149"/>
      <c r="P59" s="149"/>
      <c r="Q59" s="185"/>
      <c r="AW59" s="149"/>
    </row>
    <row r="60" spans="10:49" ht="13.95" customHeight="1" x14ac:dyDescent="0.25">
      <c r="J60" s="149"/>
      <c r="K60" s="149"/>
      <c r="P60" s="149"/>
      <c r="Q60" s="250"/>
      <c r="AW60" s="149"/>
    </row>
    <row r="61" spans="10:49" ht="13.95" customHeight="1" x14ac:dyDescent="0.25">
      <c r="J61" s="149"/>
      <c r="K61" s="149"/>
      <c r="P61" s="149"/>
      <c r="Q61" s="185"/>
      <c r="AW61" s="149"/>
    </row>
    <row r="62" spans="10:49" ht="13.95" customHeight="1" x14ac:dyDescent="0.25">
      <c r="J62" s="149"/>
      <c r="K62" s="149"/>
      <c r="P62" s="149"/>
      <c r="Q62" s="185"/>
      <c r="AW62" s="149"/>
    </row>
    <row r="63" spans="10:49" ht="13.95" customHeight="1" x14ac:dyDescent="0.25">
      <c r="J63" s="149"/>
      <c r="K63" s="149"/>
      <c r="P63" s="149"/>
      <c r="Q63" s="250"/>
      <c r="AW63" s="149"/>
    </row>
    <row r="64" spans="10:49" ht="13.95" customHeight="1" x14ac:dyDescent="0.25">
      <c r="J64" s="149"/>
      <c r="K64" s="149"/>
      <c r="P64" s="149"/>
      <c r="Q64" s="250"/>
      <c r="AW64" s="149"/>
    </row>
    <row r="65" spans="10:49" ht="13.95" customHeight="1" x14ac:dyDescent="0.25">
      <c r="J65" s="149"/>
      <c r="K65" s="149"/>
      <c r="P65" s="149"/>
      <c r="Q65" s="185"/>
      <c r="AW65" s="149"/>
    </row>
    <row r="66" spans="10:49" ht="13.95" customHeight="1" x14ac:dyDescent="0.25">
      <c r="J66" s="149"/>
      <c r="K66" s="149"/>
      <c r="P66" s="149"/>
      <c r="Q66" s="250"/>
      <c r="AW66" s="149"/>
    </row>
    <row r="67" spans="10:49" ht="13.95" customHeight="1" x14ac:dyDescent="0.25">
      <c r="J67" s="149"/>
      <c r="K67" s="149"/>
      <c r="P67" s="149"/>
      <c r="Q67" s="185"/>
      <c r="AW67" s="149"/>
    </row>
    <row r="68" spans="10:49" ht="13.95" customHeight="1" x14ac:dyDescent="0.25">
      <c r="J68" s="149"/>
      <c r="K68" s="149"/>
      <c r="P68" s="149"/>
      <c r="Q68" s="250"/>
      <c r="AW68" s="149"/>
    </row>
    <row r="69" spans="10:49" ht="13.95" customHeight="1" x14ac:dyDescent="0.25">
      <c r="J69" s="149"/>
      <c r="K69" s="149"/>
      <c r="P69" s="149"/>
      <c r="Q69" s="250"/>
      <c r="AW69" s="149"/>
    </row>
    <row r="70" spans="10:49" ht="13.95" customHeight="1" x14ac:dyDescent="0.25">
      <c r="J70" s="149"/>
      <c r="K70" s="149"/>
      <c r="P70" s="149"/>
      <c r="Q70" s="250"/>
      <c r="AW70" s="149"/>
    </row>
    <row r="71" spans="10:49" ht="13.95" customHeight="1" x14ac:dyDescent="0.25">
      <c r="J71" s="149"/>
      <c r="K71" s="149"/>
      <c r="P71" s="149"/>
      <c r="Q71" s="250"/>
      <c r="AW71" s="149"/>
    </row>
    <row r="72" spans="10:49" ht="13.95" customHeight="1" x14ac:dyDescent="0.25">
      <c r="J72" s="149"/>
      <c r="K72" s="149"/>
      <c r="P72" s="149"/>
      <c r="Q72" s="250"/>
      <c r="AW72" s="149"/>
    </row>
    <row r="73" spans="10:49" ht="13.95" customHeight="1" x14ac:dyDescent="0.25">
      <c r="J73" s="149"/>
      <c r="K73" s="149"/>
      <c r="P73" s="149"/>
      <c r="Q73" s="185"/>
      <c r="AW73" s="149"/>
    </row>
    <row r="74" spans="10:49" ht="13.95" customHeight="1" x14ac:dyDescent="0.25">
      <c r="J74" s="149"/>
      <c r="K74" s="149"/>
      <c r="P74" s="149"/>
      <c r="Q74" s="250"/>
      <c r="AW74" s="149"/>
    </row>
    <row r="75" spans="10:49" ht="13.95" customHeight="1" x14ac:dyDescent="0.25">
      <c r="J75" s="149"/>
      <c r="K75" s="149"/>
      <c r="P75" s="149"/>
      <c r="Q75" s="250"/>
      <c r="AW75" s="149"/>
    </row>
    <row r="76" spans="10:49" ht="13.95" customHeight="1" x14ac:dyDescent="0.25">
      <c r="J76" s="149"/>
      <c r="K76" s="149"/>
      <c r="P76" s="149"/>
      <c r="Q76" s="185"/>
      <c r="AW76" s="149"/>
    </row>
    <row r="77" spans="10:49" ht="13.95" customHeight="1" x14ac:dyDescent="0.25">
      <c r="J77" s="149"/>
      <c r="K77" s="149"/>
      <c r="P77" s="149"/>
      <c r="Q77" s="185"/>
      <c r="AW77" s="149"/>
    </row>
    <row r="78" spans="10:49" ht="13.95" customHeight="1" x14ac:dyDescent="0.25">
      <c r="J78" s="149"/>
      <c r="K78" s="149"/>
      <c r="P78" s="149"/>
      <c r="Q78" s="250"/>
      <c r="AW78" s="149"/>
    </row>
    <row r="79" spans="10:49" ht="13.95" customHeight="1" x14ac:dyDescent="0.25">
      <c r="J79" s="149"/>
      <c r="K79" s="149"/>
      <c r="P79" s="149"/>
      <c r="Q79" s="250"/>
      <c r="AW79" s="149"/>
    </row>
    <row r="80" spans="10:49" ht="13.95" customHeight="1" x14ac:dyDescent="0.25">
      <c r="J80" s="149"/>
      <c r="K80" s="149"/>
      <c r="P80" s="149"/>
      <c r="Q80" s="185"/>
      <c r="AW80" s="149"/>
    </row>
    <row r="81" spans="10:49" ht="13.95" customHeight="1" x14ac:dyDescent="0.25">
      <c r="J81" s="149"/>
      <c r="K81" s="149"/>
      <c r="P81" s="149"/>
      <c r="Q81" s="250"/>
      <c r="AW81" s="149"/>
    </row>
    <row r="82" spans="10:49" ht="13.95" customHeight="1" x14ac:dyDescent="0.25">
      <c r="J82" s="149"/>
      <c r="K82" s="149"/>
      <c r="P82" s="149"/>
      <c r="Q82" s="250"/>
      <c r="AW82" s="149"/>
    </row>
    <row r="83" spans="10:49" ht="13.95" customHeight="1" x14ac:dyDescent="0.25">
      <c r="J83" s="149"/>
      <c r="K83" s="149"/>
      <c r="P83" s="149"/>
      <c r="Q83" s="250"/>
      <c r="AW83" s="149"/>
    </row>
    <row r="84" spans="10:49" ht="13.95" customHeight="1" x14ac:dyDescent="0.25">
      <c r="J84" s="149"/>
      <c r="K84" s="149"/>
      <c r="P84" s="149"/>
      <c r="Q84" s="250"/>
      <c r="AW84" s="149"/>
    </row>
    <row r="85" spans="10:49" ht="13.95" customHeight="1" x14ac:dyDescent="0.25">
      <c r="J85" s="149"/>
      <c r="K85" s="149"/>
      <c r="P85" s="149"/>
      <c r="Q85" s="250"/>
      <c r="AW85" s="149"/>
    </row>
    <row r="86" spans="10:49" ht="13.95" customHeight="1" x14ac:dyDescent="0.25">
      <c r="J86" s="149"/>
      <c r="K86" s="149"/>
      <c r="P86" s="149"/>
      <c r="Q86" s="250"/>
      <c r="AW86" s="149"/>
    </row>
    <row r="87" spans="10:49" ht="13.95" customHeight="1" x14ac:dyDescent="0.25">
      <c r="J87" s="149"/>
      <c r="K87" s="149"/>
      <c r="P87" s="149"/>
      <c r="Q87" s="250"/>
      <c r="AW87" s="149"/>
    </row>
    <row r="88" spans="10:49" ht="13.95" customHeight="1" x14ac:dyDescent="0.25">
      <c r="J88" s="149"/>
      <c r="K88" s="149"/>
      <c r="P88" s="149"/>
      <c r="Q88" s="185"/>
      <c r="AW88" s="149"/>
    </row>
    <row r="89" spans="10:49" ht="13.95" customHeight="1" x14ac:dyDescent="0.25">
      <c r="J89" s="149"/>
      <c r="K89" s="149"/>
      <c r="P89" s="149"/>
      <c r="Q89" s="250"/>
      <c r="AW89" s="149"/>
    </row>
    <row r="90" spans="10:49" ht="13.95" customHeight="1" x14ac:dyDescent="0.25">
      <c r="J90" s="149"/>
      <c r="K90" s="149"/>
      <c r="P90" s="149"/>
      <c r="Q90" s="185"/>
      <c r="AW90" s="149"/>
    </row>
    <row r="91" spans="10:49" ht="13.95" customHeight="1" x14ac:dyDescent="0.25">
      <c r="J91" s="149"/>
      <c r="K91" s="149"/>
      <c r="P91" s="149"/>
      <c r="Q91" s="185"/>
      <c r="AW91" s="149"/>
    </row>
    <row r="92" spans="10:49" ht="13.95" customHeight="1" x14ac:dyDescent="0.25">
      <c r="J92" s="149"/>
      <c r="K92" s="149"/>
      <c r="P92" s="149"/>
      <c r="Q92" s="185"/>
      <c r="AW92" s="149"/>
    </row>
    <row r="93" spans="10:49" ht="13.95" customHeight="1" x14ac:dyDescent="0.25">
      <c r="J93" s="149"/>
      <c r="K93" s="149"/>
      <c r="P93" s="149"/>
      <c r="Q93" s="185"/>
      <c r="AW93" s="149"/>
    </row>
    <row r="94" spans="10:49" ht="13.95" customHeight="1" x14ac:dyDescent="0.25">
      <c r="J94" s="149"/>
      <c r="K94" s="149"/>
      <c r="P94" s="149"/>
      <c r="Q94" s="250"/>
      <c r="AW94" s="149"/>
    </row>
    <row r="95" spans="10:49" ht="13.95" customHeight="1" x14ac:dyDescent="0.25">
      <c r="J95" s="149"/>
      <c r="K95" s="149"/>
      <c r="P95" s="149"/>
      <c r="Q95" s="250"/>
      <c r="AW95" s="149"/>
    </row>
    <row r="96" spans="10:49" ht="13.95" customHeight="1" x14ac:dyDescent="0.25">
      <c r="J96" s="149"/>
      <c r="K96" s="149"/>
      <c r="P96" s="149"/>
      <c r="Q96" s="250"/>
      <c r="AW96" s="149"/>
    </row>
    <row r="97" spans="10:49" ht="13.95" customHeight="1" x14ac:dyDescent="0.25">
      <c r="J97" s="149"/>
      <c r="K97" s="149"/>
      <c r="P97" s="149"/>
      <c r="Q97" s="185"/>
      <c r="AW97" s="149"/>
    </row>
    <row r="98" spans="10:49" ht="13.95" customHeight="1" x14ac:dyDescent="0.25">
      <c r="J98" s="149"/>
      <c r="K98" s="149"/>
      <c r="P98" s="149"/>
      <c r="Q98" s="250"/>
      <c r="AW98" s="149"/>
    </row>
    <row r="99" spans="10:49" ht="13.95" customHeight="1" x14ac:dyDescent="0.25">
      <c r="J99" s="149"/>
      <c r="K99" s="149"/>
      <c r="P99" s="149"/>
      <c r="Q99" s="185"/>
      <c r="AW99" s="149"/>
    </row>
    <row r="100" spans="10:49" ht="13.95" customHeight="1" x14ac:dyDescent="0.25">
      <c r="J100" s="149"/>
      <c r="K100" s="149"/>
      <c r="P100" s="149"/>
      <c r="Q100" s="185"/>
      <c r="AW100" s="149"/>
    </row>
    <row r="101" spans="10:49" ht="13.95" customHeight="1" x14ac:dyDescent="0.25">
      <c r="J101" s="149"/>
      <c r="K101" s="149"/>
      <c r="P101" s="149"/>
      <c r="Q101" s="185"/>
      <c r="AW101" s="149"/>
    </row>
    <row r="102" spans="10:49" ht="13.95" customHeight="1" x14ac:dyDescent="0.25">
      <c r="J102" s="149"/>
      <c r="K102" s="149"/>
      <c r="P102" s="149"/>
      <c r="Q102" s="250"/>
      <c r="AW102" s="149"/>
    </row>
    <row r="103" spans="10:49" ht="13.95" customHeight="1" x14ac:dyDescent="0.25">
      <c r="J103" s="149"/>
      <c r="K103" s="149"/>
      <c r="P103" s="149"/>
      <c r="Q103" s="250"/>
      <c r="AW103" s="149"/>
    </row>
    <row r="104" spans="10:49" ht="13.95" customHeight="1" x14ac:dyDescent="0.25">
      <c r="J104" s="149"/>
      <c r="K104" s="149"/>
      <c r="P104" s="149"/>
      <c r="Q104" s="250"/>
      <c r="AW104" s="149"/>
    </row>
    <row r="105" spans="10:49" ht="13.95" customHeight="1" x14ac:dyDescent="0.25">
      <c r="J105" s="149"/>
      <c r="K105" s="149"/>
      <c r="P105" s="149"/>
      <c r="Q105" s="250"/>
      <c r="AW105" s="149"/>
    </row>
    <row r="106" spans="10:49" ht="13.95" customHeight="1" x14ac:dyDescent="0.25">
      <c r="J106" s="149"/>
      <c r="K106" s="149"/>
      <c r="P106" s="149"/>
      <c r="Q106" s="250"/>
      <c r="AW106" s="149"/>
    </row>
    <row r="107" spans="10:49" ht="13.95" customHeight="1" x14ac:dyDescent="0.25">
      <c r="J107" s="149"/>
      <c r="K107" s="149"/>
      <c r="P107" s="149"/>
      <c r="Q107" s="250"/>
      <c r="AW107" s="149"/>
    </row>
    <row r="108" spans="10:49" ht="13.95" customHeight="1" x14ac:dyDescent="0.25">
      <c r="J108" s="149"/>
      <c r="K108" s="149"/>
      <c r="P108" s="149"/>
      <c r="Q108" s="185"/>
      <c r="AW108" s="149"/>
    </row>
    <row r="109" spans="10:49" ht="13.95" customHeight="1" x14ac:dyDescent="0.25">
      <c r="J109" s="149"/>
      <c r="K109" s="149"/>
      <c r="P109" s="149"/>
      <c r="Q109" s="185"/>
      <c r="AW109" s="149"/>
    </row>
    <row r="110" spans="10:49" ht="13.95" customHeight="1" x14ac:dyDescent="0.25">
      <c r="J110" s="149"/>
      <c r="K110" s="149"/>
      <c r="P110" s="149"/>
      <c r="Q110" s="185"/>
      <c r="AW110" s="149"/>
    </row>
    <row r="111" spans="10:49" ht="13.95" customHeight="1" x14ac:dyDescent="0.25">
      <c r="J111" s="149"/>
      <c r="K111" s="149"/>
      <c r="P111" s="149"/>
      <c r="Q111" s="250"/>
      <c r="AW111" s="149"/>
    </row>
    <row r="112" spans="10:49" ht="13.95" customHeight="1" x14ac:dyDescent="0.25">
      <c r="J112" s="149"/>
      <c r="K112" s="149"/>
      <c r="P112" s="149"/>
      <c r="Q112" s="250"/>
      <c r="AW112" s="149"/>
    </row>
    <row r="113" spans="10:49" ht="13.95" customHeight="1" x14ac:dyDescent="0.25">
      <c r="J113" s="149"/>
      <c r="K113" s="149"/>
      <c r="P113" s="149"/>
      <c r="Q113" s="185"/>
      <c r="AW113" s="149"/>
    </row>
    <row r="114" spans="10:49" ht="13.95" customHeight="1" x14ac:dyDescent="0.25">
      <c r="J114" s="149"/>
      <c r="K114" s="149"/>
      <c r="P114" s="149"/>
      <c r="Q114" s="185"/>
      <c r="AW114" s="149"/>
    </row>
    <row r="115" spans="10:49" ht="13.95" customHeight="1" x14ac:dyDescent="0.25">
      <c r="J115" s="149"/>
      <c r="K115" s="149"/>
      <c r="P115" s="149"/>
      <c r="Q115" s="250"/>
      <c r="AW115" s="149"/>
    </row>
    <row r="116" spans="10:49" ht="13.95" customHeight="1" x14ac:dyDescent="0.25">
      <c r="J116" s="149"/>
      <c r="K116" s="149"/>
      <c r="P116" s="149"/>
      <c r="Q116" s="250"/>
      <c r="AW116" s="149"/>
    </row>
    <row r="117" spans="10:49" ht="13.95" customHeight="1" x14ac:dyDescent="0.25">
      <c r="J117" s="149"/>
      <c r="K117" s="149"/>
      <c r="P117" s="149"/>
      <c r="Q117" s="250"/>
      <c r="AW117" s="149"/>
    </row>
    <row r="118" spans="10:49" ht="13.95" customHeight="1" x14ac:dyDescent="0.25">
      <c r="J118" s="149"/>
      <c r="K118" s="149"/>
      <c r="P118" s="149"/>
      <c r="Q118" s="185"/>
      <c r="AW118" s="149"/>
    </row>
    <row r="119" spans="10:49" ht="13.95" customHeight="1" x14ac:dyDescent="0.25">
      <c r="J119" s="149"/>
      <c r="K119" s="149"/>
      <c r="P119" s="149"/>
      <c r="Q119" s="185"/>
      <c r="AW119" s="149"/>
    </row>
    <row r="120" spans="10:49" ht="13.95" customHeight="1" x14ac:dyDescent="0.25">
      <c r="J120" s="149"/>
      <c r="K120" s="149"/>
      <c r="P120" s="149"/>
      <c r="Q120" s="250"/>
      <c r="AW120" s="149"/>
    </row>
    <row r="121" spans="10:49" ht="13.95" customHeight="1" x14ac:dyDescent="0.25">
      <c r="J121" s="149"/>
      <c r="K121" s="149"/>
      <c r="P121" s="149"/>
      <c r="Q121" s="250"/>
      <c r="AW121" s="149"/>
    </row>
    <row r="122" spans="10:49" ht="13.95" customHeight="1" x14ac:dyDescent="0.25">
      <c r="J122" s="149"/>
      <c r="K122" s="149"/>
      <c r="P122" s="149"/>
      <c r="Q122" s="185"/>
      <c r="AW122" s="149"/>
    </row>
    <row r="123" spans="10:49" ht="13.95" customHeight="1" x14ac:dyDescent="0.25">
      <c r="J123" s="149"/>
      <c r="K123" s="149"/>
      <c r="P123" s="149"/>
      <c r="Q123" s="250"/>
      <c r="AW123" s="149"/>
    </row>
    <row r="124" spans="10:49" ht="13.95" customHeight="1" x14ac:dyDescent="0.25">
      <c r="J124" s="149"/>
      <c r="K124" s="149"/>
      <c r="P124" s="149"/>
      <c r="Q124" s="250"/>
      <c r="AW124" s="149"/>
    </row>
    <row r="125" spans="10:49" ht="13.95" customHeight="1" x14ac:dyDescent="0.25">
      <c r="J125" s="149"/>
      <c r="K125" s="149"/>
      <c r="P125" s="149"/>
      <c r="Q125" s="250"/>
      <c r="AW125" s="149"/>
    </row>
    <row r="126" spans="10:49" ht="13.95" customHeight="1" x14ac:dyDescent="0.25">
      <c r="J126" s="149"/>
      <c r="K126" s="149"/>
      <c r="P126" s="149"/>
      <c r="Q126" s="185"/>
      <c r="AW126" s="149"/>
    </row>
    <row r="127" spans="10:49" ht="13.95" customHeight="1" x14ac:dyDescent="0.25">
      <c r="J127" s="149"/>
      <c r="K127" s="149"/>
      <c r="P127" s="149"/>
      <c r="Q127" s="250"/>
      <c r="AW127" s="149"/>
    </row>
    <row r="128" spans="10:49" ht="13.95" customHeight="1" x14ac:dyDescent="0.25">
      <c r="J128" s="149"/>
      <c r="K128" s="149"/>
      <c r="P128" s="149"/>
      <c r="Q128" s="250"/>
      <c r="AW128" s="149"/>
    </row>
    <row r="129" spans="10:49" ht="13.95" customHeight="1" x14ac:dyDescent="0.25">
      <c r="J129" s="149"/>
      <c r="K129" s="149"/>
      <c r="P129" s="149"/>
      <c r="Q129" s="250"/>
      <c r="AW129" s="149"/>
    </row>
    <row r="130" spans="10:49" ht="13.95" customHeight="1" x14ac:dyDescent="0.25">
      <c r="J130" s="149"/>
      <c r="K130" s="149"/>
      <c r="P130" s="149"/>
      <c r="Q130" s="250"/>
      <c r="AW130" s="149"/>
    </row>
    <row r="131" spans="10:49" ht="13.95" customHeight="1" x14ac:dyDescent="0.25">
      <c r="J131" s="149"/>
      <c r="K131" s="149"/>
      <c r="P131" s="149"/>
      <c r="Q131" s="250"/>
      <c r="AW131" s="149"/>
    </row>
    <row r="132" spans="10:49" ht="13.95" customHeight="1" x14ac:dyDescent="0.25">
      <c r="J132" s="149"/>
      <c r="K132" s="149"/>
      <c r="P132" s="149"/>
      <c r="Q132" s="250"/>
      <c r="AW132" s="149"/>
    </row>
    <row r="133" spans="10:49" ht="13.95" customHeight="1" x14ac:dyDescent="0.25">
      <c r="J133" s="149"/>
      <c r="K133" s="149"/>
      <c r="P133" s="149"/>
      <c r="Q133" s="250"/>
      <c r="AW133" s="149"/>
    </row>
    <row r="134" spans="10:49" ht="13.95" customHeight="1" x14ac:dyDescent="0.25">
      <c r="J134" s="149"/>
      <c r="K134" s="149"/>
      <c r="P134" s="149"/>
      <c r="Q134" s="250"/>
      <c r="AW134" s="149"/>
    </row>
    <row r="135" spans="10:49" ht="13.95" customHeight="1" x14ac:dyDescent="0.25">
      <c r="J135" s="149"/>
      <c r="K135" s="149"/>
      <c r="P135" s="149"/>
      <c r="Q135" s="185"/>
      <c r="AW135" s="149"/>
    </row>
    <row r="136" spans="10:49" ht="13.95" customHeight="1" x14ac:dyDescent="0.25">
      <c r="J136" s="149"/>
      <c r="K136" s="149"/>
      <c r="P136" s="149"/>
      <c r="Q136" s="185"/>
      <c r="AW136" s="149"/>
    </row>
    <row r="137" spans="10:49" ht="13.95" customHeight="1" x14ac:dyDescent="0.25">
      <c r="J137" s="149"/>
      <c r="K137" s="149"/>
      <c r="P137" s="149"/>
      <c r="Q137" s="185"/>
      <c r="AW137" s="149"/>
    </row>
    <row r="138" spans="10:49" ht="13.95" customHeight="1" x14ac:dyDescent="0.25">
      <c r="J138" s="149"/>
      <c r="K138" s="149"/>
      <c r="P138" s="149"/>
      <c r="Q138" s="250"/>
      <c r="AW138" s="149"/>
    </row>
    <row r="139" spans="10:49" ht="13.95" customHeight="1" x14ac:dyDescent="0.25">
      <c r="J139" s="149"/>
      <c r="K139" s="149"/>
      <c r="P139" s="149"/>
      <c r="Q139" s="185"/>
      <c r="AW139" s="149"/>
    </row>
    <row r="140" spans="10:49" ht="13.95" customHeight="1" x14ac:dyDescent="0.25">
      <c r="J140" s="149"/>
      <c r="K140" s="149"/>
      <c r="P140" s="149"/>
      <c r="Q140" s="250"/>
      <c r="AW140" s="149"/>
    </row>
    <row r="141" spans="10:49" ht="13.95" customHeight="1" x14ac:dyDescent="0.25">
      <c r="J141" s="149"/>
      <c r="K141" s="149"/>
      <c r="P141" s="149"/>
      <c r="Q141" s="250"/>
      <c r="AW141" s="149"/>
    </row>
    <row r="142" spans="10:49" ht="13.95" customHeight="1" x14ac:dyDescent="0.25">
      <c r="J142" s="149"/>
      <c r="K142" s="149"/>
      <c r="P142" s="149"/>
      <c r="Q142" s="250"/>
      <c r="AW142" s="149"/>
    </row>
    <row r="143" spans="10:49" ht="13.95" customHeight="1" x14ac:dyDescent="0.25">
      <c r="J143" s="149"/>
      <c r="K143" s="149"/>
      <c r="P143" s="149"/>
      <c r="Q143" s="250"/>
      <c r="AW143" s="149"/>
    </row>
    <row r="144" spans="10:49" ht="13.95" customHeight="1" x14ac:dyDescent="0.25">
      <c r="J144" s="149"/>
      <c r="K144" s="149"/>
      <c r="P144" s="149"/>
      <c r="Q144" s="250"/>
      <c r="AW144" s="149"/>
    </row>
    <row r="145" spans="10:49" ht="13.95" customHeight="1" x14ac:dyDescent="0.25">
      <c r="J145" s="149"/>
      <c r="K145" s="149"/>
      <c r="P145" s="149"/>
      <c r="Q145" s="250"/>
      <c r="AW145" s="149"/>
    </row>
    <row r="146" spans="10:49" ht="13.95" customHeight="1" x14ac:dyDescent="0.25">
      <c r="J146" s="149"/>
      <c r="K146" s="149"/>
      <c r="P146" s="149"/>
      <c r="Q146" s="185"/>
      <c r="AW146" s="149"/>
    </row>
    <row r="147" spans="10:49" ht="13.95" customHeight="1" x14ac:dyDescent="0.25">
      <c r="J147" s="149"/>
      <c r="K147" s="149"/>
      <c r="P147" s="149"/>
      <c r="Q147" s="185"/>
      <c r="AW147" s="149"/>
    </row>
    <row r="148" spans="10:49" ht="13.95" customHeight="1" x14ac:dyDescent="0.25">
      <c r="J148" s="149"/>
      <c r="K148" s="149"/>
      <c r="P148" s="149"/>
      <c r="Q148" s="185"/>
      <c r="AW148" s="149"/>
    </row>
    <row r="149" spans="10:49" ht="13.95" customHeight="1" x14ac:dyDescent="0.25">
      <c r="J149" s="149"/>
      <c r="K149" s="149"/>
      <c r="P149" s="149"/>
      <c r="Q149" s="185"/>
      <c r="AW149" s="149"/>
    </row>
    <row r="150" spans="10:49" ht="13.95" customHeight="1" x14ac:dyDescent="0.25">
      <c r="J150" s="149"/>
      <c r="K150" s="149"/>
      <c r="P150" s="149"/>
      <c r="Q150" s="185"/>
      <c r="AW150" s="149"/>
    </row>
    <row r="151" spans="10:49" ht="13.95" customHeight="1" x14ac:dyDescent="0.25">
      <c r="J151" s="149"/>
      <c r="K151" s="149"/>
      <c r="P151" s="149"/>
      <c r="Q151" s="250"/>
      <c r="AW151" s="149"/>
    </row>
    <row r="152" spans="10:49" ht="13.95" customHeight="1" x14ac:dyDescent="0.25">
      <c r="J152" s="149"/>
      <c r="K152" s="149"/>
      <c r="P152" s="149"/>
      <c r="Q152" s="250"/>
      <c r="AW152" s="149"/>
    </row>
    <row r="153" spans="10:49" ht="13.95" customHeight="1" x14ac:dyDescent="0.25">
      <c r="J153" s="149"/>
      <c r="K153" s="149"/>
      <c r="P153" s="149"/>
      <c r="Q153" s="250"/>
      <c r="AW153" s="149"/>
    </row>
    <row r="154" spans="10:49" ht="13.95" customHeight="1" x14ac:dyDescent="0.25">
      <c r="J154" s="149"/>
      <c r="K154" s="149"/>
      <c r="P154" s="149"/>
      <c r="Q154" s="250"/>
      <c r="AW154" s="149"/>
    </row>
    <row r="155" spans="10:49" ht="13.95" customHeight="1" x14ac:dyDescent="0.25">
      <c r="J155" s="149"/>
      <c r="K155" s="149"/>
      <c r="P155" s="149"/>
      <c r="Q155" s="250"/>
      <c r="AW155" s="149"/>
    </row>
    <row r="156" spans="10:49" ht="13.95" customHeight="1" x14ac:dyDescent="0.25">
      <c r="J156" s="149"/>
      <c r="K156" s="149"/>
      <c r="P156" s="149"/>
      <c r="Q156" s="185"/>
      <c r="AW156" s="149"/>
    </row>
    <row r="157" spans="10:49" ht="13.95" customHeight="1" x14ac:dyDescent="0.25">
      <c r="J157" s="149"/>
      <c r="K157" s="149"/>
      <c r="P157" s="149"/>
      <c r="Q157" s="250"/>
      <c r="AW157" s="149"/>
    </row>
    <row r="158" spans="10:49" ht="13.95" customHeight="1" x14ac:dyDescent="0.25">
      <c r="J158" s="149"/>
      <c r="K158" s="149"/>
      <c r="P158" s="149"/>
      <c r="Q158" s="250"/>
      <c r="AW158" s="149"/>
    </row>
    <row r="159" spans="10:49" ht="13.95" customHeight="1" x14ac:dyDescent="0.25">
      <c r="J159" s="149"/>
      <c r="K159" s="149"/>
      <c r="P159" s="149"/>
      <c r="Q159" s="250"/>
      <c r="AW159" s="149"/>
    </row>
    <row r="160" spans="10:49" ht="13.95" customHeight="1" x14ac:dyDescent="0.25">
      <c r="J160" s="149"/>
      <c r="K160" s="149"/>
      <c r="P160" s="149"/>
      <c r="Q160" s="250"/>
      <c r="AW160" s="149"/>
    </row>
    <row r="161" spans="10:49" ht="13.95" customHeight="1" x14ac:dyDescent="0.25">
      <c r="J161" s="149"/>
      <c r="K161" s="149"/>
      <c r="P161" s="149"/>
      <c r="Q161" s="185"/>
      <c r="AW161" s="149"/>
    </row>
    <row r="162" spans="10:49" ht="13.95" customHeight="1" x14ac:dyDescent="0.25">
      <c r="J162" s="149"/>
      <c r="K162" s="149"/>
      <c r="P162" s="149"/>
      <c r="Q162" s="185"/>
      <c r="AW162" s="149"/>
    </row>
    <row r="163" spans="10:49" ht="13.95" customHeight="1" x14ac:dyDescent="0.25">
      <c r="J163" s="149"/>
      <c r="K163" s="149"/>
      <c r="P163" s="149"/>
      <c r="Q163" s="250"/>
      <c r="AW163" s="149"/>
    </row>
    <row r="164" spans="10:49" ht="13.95" customHeight="1" x14ac:dyDescent="0.25">
      <c r="J164" s="149"/>
      <c r="K164" s="149"/>
      <c r="P164" s="149"/>
      <c r="Q164" s="185"/>
      <c r="AW164" s="149"/>
    </row>
    <row r="165" spans="10:49" ht="13.95" customHeight="1" x14ac:dyDescent="0.25">
      <c r="J165" s="149"/>
      <c r="K165" s="149"/>
      <c r="P165" s="149"/>
      <c r="Q165" s="250"/>
      <c r="AW165" s="149"/>
    </row>
    <row r="166" spans="10:49" ht="13.95" customHeight="1" x14ac:dyDescent="0.25">
      <c r="J166" s="149"/>
      <c r="K166" s="149"/>
      <c r="P166" s="149"/>
      <c r="Q166" s="250"/>
      <c r="AW166" s="149"/>
    </row>
    <row r="167" spans="10:49" ht="13.95" customHeight="1" x14ac:dyDescent="0.25">
      <c r="J167" s="149"/>
      <c r="K167" s="149"/>
      <c r="P167" s="149"/>
      <c r="Q167" s="250"/>
      <c r="AW167" s="149"/>
    </row>
    <row r="168" spans="10:49" ht="13.95" customHeight="1" x14ac:dyDescent="0.25">
      <c r="J168" s="149"/>
      <c r="K168" s="149"/>
      <c r="P168" s="149"/>
      <c r="Q168" s="250"/>
      <c r="AW168" s="149"/>
    </row>
    <row r="169" spans="10:49" ht="13.95" customHeight="1" x14ac:dyDescent="0.25">
      <c r="J169" s="149"/>
      <c r="K169" s="149"/>
      <c r="P169" s="149"/>
      <c r="Q169" s="250"/>
      <c r="AW169" s="149"/>
    </row>
    <row r="170" spans="10:49" ht="13.95" customHeight="1" x14ac:dyDescent="0.25">
      <c r="J170" s="149"/>
      <c r="K170" s="149"/>
      <c r="P170" s="149"/>
      <c r="Q170" s="250"/>
      <c r="AW170" s="149"/>
    </row>
    <row r="171" spans="10:49" ht="13.95" customHeight="1" x14ac:dyDescent="0.25">
      <c r="J171" s="149"/>
      <c r="K171" s="149"/>
      <c r="P171" s="149"/>
      <c r="Q171" s="185"/>
      <c r="AW171" s="149"/>
    </row>
    <row r="172" spans="10:49" ht="13.95" customHeight="1" x14ac:dyDescent="0.25">
      <c r="J172" s="149"/>
      <c r="K172" s="149"/>
      <c r="P172" s="149"/>
      <c r="Q172" s="250"/>
      <c r="AW172" s="149"/>
    </row>
    <row r="173" spans="10:49" ht="13.95" customHeight="1" x14ac:dyDescent="0.25">
      <c r="J173" s="149"/>
      <c r="K173" s="149"/>
      <c r="P173" s="149"/>
      <c r="Q173" s="250"/>
      <c r="AW173" s="149"/>
    </row>
    <row r="174" spans="10:49" ht="13.95" customHeight="1" x14ac:dyDescent="0.25">
      <c r="J174" s="149"/>
      <c r="K174" s="149"/>
      <c r="P174" s="149"/>
      <c r="Q174" s="185"/>
      <c r="AW174" s="149"/>
    </row>
    <row r="175" spans="10:49" ht="13.95" customHeight="1" x14ac:dyDescent="0.25">
      <c r="J175" s="149"/>
      <c r="K175" s="149"/>
      <c r="P175" s="149"/>
      <c r="Q175" s="185"/>
      <c r="AW175" s="149"/>
    </row>
    <row r="176" spans="10:49" ht="13.95" customHeight="1" x14ac:dyDescent="0.25">
      <c r="J176" s="149"/>
      <c r="K176" s="149"/>
      <c r="P176" s="149"/>
      <c r="Q176" s="250"/>
      <c r="AW176" s="149"/>
    </row>
    <row r="177" spans="10:49" ht="13.95" customHeight="1" x14ac:dyDescent="0.25">
      <c r="J177" s="149"/>
      <c r="K177" s="149"/>
      <c r="P177" s="149"/>
      <c r="Q177" s="185"/>
      <c r="AW177" s="149"/>
    </row>
    <row r="178" spans="10:49" ht="13.95" customHeight="1" x14ac:dyDescent="0.25">
      <c r="J178" s="149"/>
      <c r="K178" s="149"/>
      <c r="P178" s="149"/>
      <c r="Q178" s="250"/>
      <c r="AW178" s="149"/>
    </row>
    <row r="179" spans="10:49" ht="13.95" customHeight="1" x14ac:dyDescent="0.25">
      <c r="J179" s="149"/>
      <c r="K179" s="149"/>
      <c r="P179" s="149"/>
      <c r="Q179" s="185"/>
      <c r="AW179" s="149"/>
    </row>
    <row r="180" spans="10:49" ht="13.95" customHeight="1" x14ac:dyDescent="0.25">
      <c r="J180" s="149"/>
      <c r="K180" s="149"/>
      <c r="P180" s="149"/>
      <c r="Q180" s="250"/>
      <c r="AW180" s="149"/>
    </row>
    <row r="181" spans="10:49" ht="13.95" customHeight="1" x14ac:dyDescent="0.25">
      <c r="J181" s="149"/>
      <c r="K181" s="149"/>
      <c r="P181" s="149"/>
      <c r="Q181" s="250"/>
      <c r="AW181" s="149"/>
    </row>
    <row r="182" spans="10:49" ht="13.95" customHeight="1" x14ac:dyDescent="0.25">
      <c r="J182" s="149"/>
      <c r="K182" s="149"/>
      <c r="P182" s="149"/>
      <c r="Q182" s="250"/>
      <c r="AW182" s="149"/>
    </row>
    <row r="183" spans="10:49" ht="13.95" customHeight="1" x14ac:dyDescent="0.25">
      <c r="J183" s="149"/>
      <c r="K183" s="149"/>
      <c r="P183" s="149"/>
      <c r="Q183" s="250"/>
      <c r="AW183" s="149"/>
    </row>
    <row r="184" spans="10:49" ht="13.95" customHeight="1" x14ac:dyDescent="0.25">
      <c r="J184" s="149"/>
      <c r="K184" s="149"/>
      <c r="P184" s="149"/>
      <c r="Q184" s="250"/>
      <c r="AW184" s="149"/>
    </row>
    <row r="185" spans="10:49" ht="13.95" customHeight="1" x14ac:dyDescent="0.25">
      <c r="J185" s="149"/>
      <c r="K185" s="149"/>
      <c r="P185" s="149"/>
      <c r="Q185" s="250"/>
      <c r="AW185" s="149"/>
    </row>
    <row r="186" spans="10:49" ht="13.95" customHeight="1" x14ac:dyDescent="0.25">
      <c r="J186" s="149"/>
      <c r="K186" s="149"/>
      <c r="P186" s="149"/>
      <c r="Q186" s="250"/>
      <c r="AW186" s="149"/>
    </row>
    <row r="187" spans="10:49" ht="13.95" customHeight="1" x14ac:dyDescent="0.25">
      <c r="J187" s="149"/>
      <c r="K187" s="149"/>
      <c r="P187" s="149"/>
      <c r="Q187" s="250"/>
      <c r="AW187" s="149"/>
    </row>
    <row r="188" spans="10:49" ht="13.95" customHeight="1" x14ac:dyDescent="0.25">
      <c r="J188" s="149"/>
      <c r="K188" s="149"/>
      <c r="P188" s="149"/>
      <c r="Q188" s="250"/>
      <c r="AW188" s="149"/>
    </row>
    <row r="189" spans="10:49" ht="13.95" customHeight="1" x14ac:dyDescent="0.25">
      <c r="J189" s="149"/>
      <c r="K189" s="149"/>
      <c r="P189" s="149"/>
      <c r="Q189" s="250"/>
      <c r="AW189" s="149"/>
    </row>
    <row r="190" spans="10:49" ht="13.95" customHeight="1" x14ac:dyDescent="0.25">
      <c r="J190" s="149"/>
      <c r="K190" s="149"/>
      <c r="P190" s="149"/>
      <c r="Q190" s="185"/>
      <c r="AW190" s="149"/>
    </row>
    <row r="191" spans="10:49" ht="13.95" customHeight="1" x14ac:dyDescent="0.25">
      <c r="J191" s="149"/>
      <c r="K191" s="149"/>
      <c r="P191" s="149"/>
      <c r="Q191" s="250"/>
      <c r="AW191" s="149"/>
    </row>
    <row r="192" spans="10:49" ht="13.95" customHeight="1" x14ac:dyDescent="0.25">
      <c r="J192" s="149"/>
      <c r="K192" s="149"/>
      <c r="P192" s="149"/>
      <c r="Q192" s="250"/>
      <c r="AW192" s="149"/>
    </row>
    <row r="193" spans="10:49" ht="13.95" customHeight="1" x14ac:dyDescent="0.25">
      <c r="J193" s="149"/>
      <c r="K193" s="149"/>
      <c r="P193" s="149"/>
      <c r="Q193" s="250"/>
      <c r="AW193" s="149"/>
    </row>
    <row r="194" spans="10:49" ht="13.95" customHeight="1" x14ac:dyDescent="0.25">
      <c r="J194" s="149"/>
      <c r="K194" s="149"/>
      <c r="P194" s="149"/>
      <c r="Q194" s="250"/>
      <c r="AW194" s="149"/>
    </row>
    <row r="195" spans="10:49" ht="13.95" customHeight="1" x14ac:dyDescent="0.25">
      <c r="J195" s="149"/>
      <c r="K195" s="149"/>
      <c r="P195" s="149"/>
      <c r="Q195" s="250"/>
      <c r="AW195" s="149"/>
    </row>
    <row r="196" spans="10:49" ht="13.95" customHeight="1" x14ac:dyDescent="0.25">
      <c r="J196" s="149"/>
      <c r="K196" s="149"/>
      <c r="P196" s="149"/>
      <c r="Q196" s="250"/>
      <c r="AW196" s="149"/>
    </row>
    <row r="197" spans="10:49" ht="13.95" customHeight="1" x14ac:dyDescent="0.25">
      <c r="J197" s="149"/>
      <c r="K197" s="149"/>
      <c r="P197" s="149"/>
      <c r="Q197" s="185"/>
      <c r="AW197" s="149"/>
    </row>
    <row r="198" spans="10:49" ht="13.95" customHeight="1" x14ac:dyDescent="0.25">
      <c r="J198" s="149"/>
      <c r="K198" s="149"/>
      <c r="P198" s="149"/>
      <c r="Q198" s="250"/>
      <c r="AW198" s="149"/>
    </row>
    <row r="199" spans="10:49" ht="13.95" customHeight="1" x14ac:dyDescent="0.25">
      <c r="J199" s="149"/>
      <c r="K199" s="149"/>
      <c r="P199" s="149"/>
      <c r="Q199" s="250"/>
      <c r="AW199" s="149"/>
    </row>
    <row r="200" spans="10:49" ht="13.95" customHeight="1" x14ac:dyDescent="0.25">
      <c r="J200" s="149"/>
      <c r="K200" s="149"/>
      <c r="P200" s="149"/>
      <c r="Q200" s="250"/>
      <c r="AW200" s="149"/>
    </row>
    <row r="201" spans="10:49" ht="13.95" customHeight="1" x14ac:dyDescent="0.25">
      <c r="J201" s="149"/>
      <c r="K201" s="149"/>
      <c r="P201" s="149"/>
      <c r="Q201" s="250"/>
      <c r="AW201" s="149"/>
    </row>
    <row r="202" spans="10:49" ht="13.95" customHeight="1" x14ac:dyDescent="0.25">
      <c r="J202" s="149"/>
      <c r="K202" s="149"/>
      <c r="P202" s="149"/>
      <c r="Q202" s="250"/>
      <c r="AW202" s="149"/>
    </row>
    <row r="203" spans="10:49" ht="13.95" customHeight="1" x14ac:dyDescent="0.25">
      <c r="J203" s="149"/>
      <c r="K203" s="149"/>
      <c r="P203" s="149"/>
      <c r="Q203" s="185"/>
      <c r="AW203" s="149"/>
    </row>
    <row r="204" spans="10:49" ht="13.95" customHeight="1" x14ac:dyDescent="0.25">
      <c r="J204" s="149"/>
      <c r="K204" s="149"/>
      <c r="P204" s="149"/>
      <c r="Q204" s="185"/>
      <c r="AW204" s="149"/>
    </row>
    <row r="205" spans="10:49" ht="13.95" customHeight="1" x14ac:dyDescent="0.25">
      <c r="J205" s="149"/>
      <c r="K205" s="149"/>
      <c r="P205" s="149"/>
      <c r="Q205" s="185"/>
      <c r="AW205" s="149"/>
    </row>
    <row r="206" spans="10:49" ht="13.95" customHeight="1" x14ac:dyDescent="0.25">
      <c r="J206" s="149"/>
      <c r="K206" s="149"/>
      <c r="P206" s="149"/>
      <c r="Q206" s="185"/>
      <c r="AW206" s="149"/>
    </row>
    <row r="207" spans="10:49" ht="13.95" customHeight="1" x14ac:dyDescent="0.25">
      <c r="J207" s="149"/>
      <c r="K207" s="149"/>
      <c r="P207" s="149"/>
      <c r="Q207" s="250"/>
      <c r="AW207" s="149"/>
    </row>
    <row r="208" spans="10:49" ht="13.95" customHeight="1" x14ac:dyDescent="0.25">
      <c r="J208" s="149"/>
      <c r="K208" s="149"/>
      <c r="P208" s="149"/>
      <c r="Q208" s="185"/>
      <c r="AW208" s="149"/>
    </row>
    <row r="209" spans="10:49" ht="13.95" customHeight="1" x14ac:dyDescent="0.25">
      <c r="J209" s="149"/>
      <c r="K209" s="149"/>
      <c r="P209" s="149"/>
      <c r="Q209" s="250"/>
      <c r="AW209" s="149"/>
    </row>
    <row r="210" spans="10:49" ht="13.95" customHeight="1" x14ac:dyDescent="0.25">
      <c r="J210" s="149"/>
      <c r="K210" s="149"/>
      <c r="P210" s="149"/>
      <c r="Q210" s="250"/>
      <c r="AW210" s="149"/>
    </row>
    <row r="211" spans="10:49" ht="13.95" customHeight="1" x14ac:dyDescent="0.25">
      <c r="J211" s="149"/>
      <c r="K211" s="149"/>
      <c r="P211" s="149"/>
      <c r="Q211" s="250"/>
      <c r="AW211" s="149"/>
    </row>
    <row r="212" spans="10:49" ht="13.95" customHeight="1" x14ac:dyDescent="0.25">
      <c r="J212" s="149"/>
      <c r="K212" s="149"/>
      <c r="P212" s="149"/>
      <c r="Q212" s="185"/>
      <c r="AW212" s="149"/>
    </row>
    <row r="213" spans="10:49" ht="13.95" customHeight="1" x14ac:dyDescent="0.25">
      <c r="J213" s="149"/>
      <c r="K213" s="149"/>
      <c r="P213" s="149"/>
      <c r="Q213" s="185"/>
      <c r="AW213" s="149"/>
    </row>
    <row r="214" spans="10:49" ht="13.95" customHeight="1" x14ac:dyDescent="0.25">
      <c r="J214" s="149"/>
      <c r="K214" s="149"/>
      <c r="P214" s="149"/>
      <c r="Q214" s="250"/>
      <c r="AW214" s="149"/>
    </row>
    <row r="215" spans="10:49" ht="13.95" customHeight="1" x14ac:dyDescent="0.25">
      <c r="J215" s="149"/>
      <c r="K215" s="149"/>
      <c r="P215" s="149"/>
      <c r="Q215" s="185"/>
      <c r="AW215" s="149"/>
    </row>
    <row r="216" spans="10:49" ht="13.95" customHeight="1" x14ac:dyDescent="0.25">
      <c r="J216" s="149"/>
      <c r="K216" s="149"/>
      <c r="P216" s="149"/>
      <c r="Q216" s="250"/>
      <c r="AW216" s="149"/>
    </row>
    <row r="217" spans="10:49" ht="13.95" customHeight="1" x14ac:dyDescent="0.25">
      <c r="J217" s="149"/>
      <c r="K217" s="149"/>
      <c r="P217" s="149"/>
      <c r="Q217" s="185"/>
      <c r="AW217" s="149"/>
    </row>
    <row r="218" spans="10:49" ht="13.95" customHeight="1" x14ac:dyDescent="0.25">
      <c r="J218" s="149"/>
      <c r="K218" s="149"/>
      <c r="P218" s="149"/>
      <c r="Q218" s="185"/>
      <c r="AW218" s="149"/>
    </row>
    <row r="219" spans="10:49" ht="13.95" customHeight="1" x14ac:dyDescent="0.25">
      <c r="J219" s="149"/>
      <c r="K219" s="149"/>
      <c r="P219" s="149"/>
      <c r="Q219" s="250"/>
      <c r="AW219" s="149"/>
    </row>
    <row r="220" spans="10:49" ht="13.95" customHeight="1" x14ac:dyDescent="0.25">
      <c r="J220" s="149"/>
      <c r="K220" s="149"/>
      <c r="P220" s="149"/>
      <c r="Q220" s="250"/>
      <c r="AW220" s="149"/>
    </row>
    <row r="221" spans="10:49" ht="13.95" customHeight="1" x14ac:dyDescent="0.25">
      <c r="J221" s="149"/>
      <c r="K221" s="149"/>
      <c r="P221" s="149"/>
      <c r="Q221" s="185"/>
      <c r="AW221" s="149"/>
    </row>
    <row r="222" spans="10:49" ht="13.95" customHeight="1" x14ac:dyDescent="0.25">
      <c r="J222" s="149"/>
      <c r="K222" s="149"/>
      <c r="P222" s="149"/>
      <c r="Q222" s="250"/>
      <c r="AW222" s="149"/>
    </row>
    <row r="223" spans="10:49" ht="13.95" customHeight="1" x14ac:dyDescent="0.25">
      <c r="J223" s="149"/>
      <c r="K223" s="149"/>
      <c r="P223" s="149"/>
      <c r="Q223" s="250"/>
      <c r="AW223" s="149"/>
    </row>
    <row r="224" spans="10:49" ht="13.95" customHeight="1" x14ac:dyDescent="0.25">
      <c r="J224" s="149"/>
      <c r="K224" s="149"/>
      <c r="P224" s="149"/>
      <c r="Q224" s="250"/>
      <c r="AW224" s="149"/>
    </row>
    <row r="225" spans="10:49" ht="13.95" customHeight="1" x14ac:dyDescent="0.25">
      <c r="J225" s="149"/>
      <c r="K225" s="149"/>
      <c r="P225" s="149"/>
      <c r="Q225" s="185"/>
      <c r="AW225" s="149"/>
    </row>
    <row r="226" spans="10:49" ht="13.95" customHeight="1" x14ac:dyDescent="0.25">
      <c r="J226" s="149"/>
      <c r="K226" s="149"/>
      <c r="P226" s="149"/>
      <c r="Q226" s="250"/>
      <c r="AW226" s="149"/>
    </row>
    <row r="227" spans="10:49" ht="13.95" customHeight="1" x14ac:dyDescent="0.25">
      <c r="J227" s="149"/>
      <c r="K227" s="149"/>
      <c r="P227" s="149"/>
      <c r="Q227" s="250"/>
      <c r="AW227" s="149"/>
    </row>
    <row r="228" spans="10:49" ht="13.95" customHeight="1" x14ac:dyDescent="0.25">
      <c r="J228" s="149"/>
      <c r="K228" s="149"/>
      <c r="P228" s="149"/>
      <c r="Q228" s="250"/>
      <c r="AW228" s="149"/>
    </row>
    <row r="229" spans="10:49" ht="13.95" customHeight="1" x14ac:dyDescent="0.25">
      <c r="J229" s="149"/>
      <c r="K229" s="149"/>
      <c r="P229" s="149"/>
      <c r="Q229" s="250"/>
      <c r="AW229" s="149"/>
    </row>
    <row r="230" spans="10:49" ht="13.95" customHeight="1" x14ac:dyDescent="0.25">
      <c r="J230" s="149"/>
      <c r="K230" s="149"/>
      <c r="P230" s="149"/>
      <c r="Q230" s="250"/>
      <c r="AW230" s="149"/>
    </row>
    <row r="231" spans="10:49" ht="13.95" customHeight="1" x14ac:dyDescent="0.25">
      <c r="J231" s="149"/>
      <c r="K231" s="149"/>
      <c r="P231" s="149"/>
      <c r="Q231" s="250"/>
      <c r="AW231" s="149"/>
    </row>
    <row r="232" spans="10:49" ht="13.95" customHeight="1" x14ac:dyDescent="0.25">
      <c r="J232" s="149"/>
      <c r="K232" s="149"/>
      <c r="P232" s="149"/>
      <c r="Q232" s="250"/>
      <c r="AW232" s="149"/>
    </row>
    <row r="233" spans="10:49" ht="13.95" customHeight="1" x14ac:dyDescent="0.25">
      <c r="J233" s="149"/>
      <c r="K233" s="149"/>
      <c r="P233" s="149"/>
      <c r="Q233" s="250"/>
      <c r="AW233" s="149"/>
    </row>
    <row r="234" spans="10:49" ht="13.95" customHeight="1" x14ac:dyDescent="0.25">
      <c r="J234" s="149"/>
      <c r="K234" s="149"/>
      <c r="P234" s="149"/>
      <c r="Q234" s="250"/>
      <c r="AW234" s="149"/>
    </row>
    <row r="235" spans="10:49" ht="13.95" customHeight="1" x14ac:dyDescent="0.25">
      <c r="J235" s="149"/>
      <c r="K235" s="149"/>
      <c r="P235" s="149"/>
      <c r="Q235" s="250"/>
      <c r="AW235" s="149"/>
    </row>
    <row r="236" spans="10:49" ht="13.95" customHeight="1" x14ac:dyDescent="0.25">
      <c r="J236" s="149"/>
      <c r="K236" s="149"/>
      <c r="P236" s="149"/>
      <c r="Q236" s="250"/>
      <c r="AW236" s="149"/>
    </row>
    <row r="237" spans="10:49" ht="13.95" customHeight="1" x14ac:dyDescent="0.25">
      <c r="J237" s="149"/>
      <c r="K237" s="149"/>
      <c r="P237" s="149"/>
      <c r="Q237" s="250"/>
      <c r="AW237" s="149"/>
    </row>
    <row r="238" spans="10:49" ht="13.95" customHeight="1" x14ac:dyDescent="0.25">
      <c r="J238" s="149"/>
      <c r="K238" s="149"/>
      <c r="P238" s="149"/>
      <c r="Q238" s="250"/>
      <c r="AW238" s="149"/>
    </row>
    <row r="239" spans="10:49" ht="13.95" customHeight="1" x14ac:dyDescent="0.25">
      <c r="J239" s="149"/>
      <c r="K239" s="149"/>
      <c r="P239" s="149"/>
      <c r="Q239" s="185"/>
      <c r="AW239" s="149"/>
    </row>
    <row r="240" spans="10:49" ht="13.95" customHeight="1" x14ac:dyDescent="0.25">
      <c r="J240" s="149"/>
      <c r="K240" s="149"/>
      <c r="P240" s="149"/>
      <c r="Q240" s="250"/>
      <c r="AW240" s="149"/>
    </row>
    <row r="241" spans="10:49" ht="13.95" customHeight="1" x14ac:dyDescent="0.25">
      <c r="J241" s="149"/>
      <c r="K241" s="149"/>
      <c r="P241" s="149"/>
      <c r="Q241" s="250"/>
      <c r="AW241" s="149"/>
    </row>
    <row r="242" spans="10:49" ht="13.95" customHeight="1" x14ac:dyDescent="0.25">
      <c r="J242" s="149"/>
      <c r="K242" s="149"/>
      <c r="P242" s="149"/>
      <c r="Q242" s="185"/>
      <c r="AW242" s="149"/>
    </row>
    <row r="243" spans="10:49" ht="13.95" customHeight="1" x14ac:dyDescent="0.25">
      <c r="J243" s="149"/>
      <c r="K243" s="149"/>
      <c r="P243" s="149"/>
      <c r="Q243" s="185"/>
      <c r="AW243" s="149"/>
    </row>
    <row r="244" spans="10:49" ht="13.95" customHeight="1" x14ac:dyDescent="0.25">
      <c r="J244" s="149"/>
      <c r="K244" s="149"/>
      <c r="P244" s="149"/>
      <c r="Q244" s="185"/>
      <c r="AW244" s="149"/>
    </row>
    <row r="245" spans="10:49" ht="13.95" customHeight="1" x14ac:dyDescent="0.25">
      <c r="J245" s="149"/>
      <c r="K245" s="149"/>
      <c r="P245" s="149"/>
      <c r="Q245" s="250"/>
      <c r="AW245" s="149"/>
    </row>
    <row r="246" spans="10:49" ht="13.95" customHeight="1" x14ac:dyDescent="0.25">
      <c r="J246" s="149"/>
      <c r="K246" s="149"/>
      <c r="P246" s="149"/>
      <c r="Q246" s="250"/>
      <c r="AW246" s="149"/>
    </row>
    <row r="247" spans="10:49" ht="13.95" customHeight="1" x14ac:dyDescent="0.25">
      <c r="J247" s="149"/>
      <c r="K247" s="149"/>
      <c r="P247" s="149"/>
      <c r="Q247" s="185"/>
      <c r="AW247" s="149"/>
    </row>
    <row r="248" spans="10:49" ht="13.95" customHeight="1" x14ac:dyDescent="0.25">
      <c r="J248" s="149"/>
      <c r="K248" s="149"/>
      <c r="P248" s="149"/>
      <c r="Q248" s="185"/>
      <c r="AW248" s="149"/>
    </row>
    <row r="249" spans="10:49" ht="13.95" customHeight="1" x14ac:dyDescent="0.25">
      <c r="J249" s="149"/>
      <c r="K249" s="149"/>
      <c r="P249" s="149"/>
      <c r="Q249" s="250"/>
      <c r="AW249" s="149"/>
    </row>
    <row r="250" spans="10:49" ht="13.95" customHeight="1" x14ac:dyDescent="0.25">
      <c r="J250" s="149"/>
      <c r="K250" s="149"/>
      <c r="P250" s="149"/>
      <c r="Q250" s="185"/>
      <c r="AW250" s="149"/>
    </row>
    <row r="251" spans="10:49" ht="13.95" customHeight="1" x14ac:dyDescent="0.25">
      <c r="J251" s="149"/>
      <c r="K251" s="149"/>
      <c r="P251" s="149"/>
      <c r="Q251" s="250"/>
      <c r="AW251" s="149"/>
    </row>
    <row r="252" spans="10:49" ht="13.95" customHeight="1" x14ac:dyDescent="0.25">
      <c r="J252" s="149"/>
      <c r="K252" s="149"/>
      <c r="P252" s="149"/>
      <c r="Q252" s="185"/>
      <c r="AW252" s="149"/>
    </row>
    <row r="253" spans="10:49" ht="13.95" customHeight="1" x14ac:dyDescent="0.25">
      <c r="J253" s="149"/>
      <c r="K253" s="149"/>
      <c r="P253" s="149"/>
      <c r="Q253" s="250"/>
      <c r="AW253" s="149"/>
    </row>
    <row r="254" spans="10:49" ht="13.95" customHeight="1" x14ac:dyDescent="0.25">
      <c r="J254" s="149"/>
      <c r="K254" s="149"/>
      <c r="P254" s="149"/>
      <c r="Q254" s="250"/>
      <c r="AW254" s="149"/>
    </row>
    <row r="255" spans="10:49" ht="13.95" customHeight="1" x14ac:dyDescent="0.25">
      <c r="J255" s="149"/>
      <c r="K255" s="149"/>
      <c r="P255" s="149"/>
      <c r="Q255" s="185"/>
      <c r="AW255" s="149"/>
    </row>
    <row r="256" spans="10:49" ht="13.95" customHeight="1" x14ac:dyDescent="0.25">
      <c r="J256" s="149"/>
      <c r="K256" s="149"/>
      <c r="P256" s="149"/>
      <c r="Q256" s="185"/>
      <c r="AW256" s="149"/>
    </row>
    <row r="257" spans="10:49" ht="13.95" customHeight="1" x14ac:dyDescent="0.25">
      <c r="J257" s="149"/>
      <c r="K257" s="149"/>
      <c r="P257" s="149"/>
      <c r="Q257" s="185"/>
      <c r="AW257" s="149"/>
    </row>
    <row r="258" spans="10:49" ht="13.95" customHeight="1" x14ac:dyDescent="0.25">
      <c r="J258" s="149"/>
      <c r="K258" s="149"/>
      <c r="P258" s="149"/>
      <c r="Q258" s="250"/>
      <c r="AW258" s="149"/>
    </row>
    <row r="259" spans="10:49" ht="13.95" customHeight="1" x14ac:dyDescent="0.25">
      <c r="J259" s="149"/>
      <c r="K259" s="149"/>
      <c r="P259" s="149"/>
      <c r="Q259" s="250"/>
      <c r="AW259" s="149"/>
    </row>
    <row r="260" spans="10:49" ht="13.95" customHeight="1" x14ac:dyDescent="0.25">
      <c r="J260" s="149"/>
      <c r="K260" s="149"/>
      <c r="P260" s="149"/>
      <c r="Q260" s="185"/>
      <c r="AW260" s="149"/>
    </row>
    <row r="261" spans="10:49" ht="13.95" customHeight="1" x14ac:dyDescent="0.25">
      <c r="J261" s="149"/>
      <c r="K261" s="149"/>
      <c r="P261" s="149"/>
      <c r="Q261" s="250"/>
      <c r="AW261" s="149"/>
    </row>
    <row r="262" spans="10:49" ht="13.95" customHeight="1" x14ac:dyDescent="0.25">
      <c r="J262" s="149"/>
      <c r="K262" s="149"/>
      <c r="P262" s="149"/>
      <c r="Q262" s="185"/>
      <c r="AW262" s="149"/>
    </row>
    <row r="263" spans="10:49" ht="13.95" customHeight="1" x14ac:dyDescent="0.25">
      <c r="J263" s="149"/>
      <c r="K263" s="149"/>
      <c r="P263" s="149"/>
      <c r="Q263" s="185"/>
      <c r="AW263" s="149"/>
    </row>
    <row r="264" spans="10:49" ht="13.95" customHeight="1" x14ac:dyDescent="0.25">
      <c r="J264" s="149"/>
      <c r="K264" s="149"/>
      <c r="P264" s="149"/>
      <c r="Q264" s="250"/>
      <c r="AW264" s="149"/>
    </row>
    <row r="265" spans="10:49" ht="13.95" customHeight="1" x14ac:dyDescent="0.25">
      <c r="J265" s="149"/>
      <c r="K265" s="149"/>
      <c r="P265" s="149"/>
      <c r="Q265" s="250"/>
      <c r="AW265" s="149"/>
    </row>
    <row r="266" spans="10:49" ht="13.95" customHeight="1" x14ac:dyDescent="0.25">
      <c r="J266" s="149"/>
      <c r="K266" s="149"/>
      <c r="P266" s="149"/>
      <c r="Q266" s="185"/>
      <c r="AW266" s="149"/>
    </row>
    <row r="267" spans="10:49" ht="13.95" customHeight="1" x14ac:dyDescent="0.25">
      <c r="J267" s="149"/>
      <c r="K267" s="149"/>
      <c r="P267" s="149"/>
      <c r="Q267" s="185"/>
      <c r="AW267" s="149"/>
    </row>
    <row r="268" spans="10:49" ht="13.95" customHeight="1" x14ac:dyDescent="0.25">
      <c r="J268" s="149"/>
      <c r="K268" s="149"/>
      <c r="P268" s="149"/>
      <c r="Q268" s="250"/>
      <c r="AW268" s="149"/>
    </row>
    <row r="269" spans="10:49" ht="13.95" customHeight="1" x14ac:dyDescent="0.25">
      <c r="J269" s="149"/>
      <c r="K269" s="149"/>
      <c r="P269" s="149"/>
      <c r="Q269" s="250"/>
      <c r="AW269" s="149"/>
    </row>
    <row r="270" spans="10:49" ht="13.95" customHeight="1" x14ac:dyDescent="0.25">
      <c r="J270" s="149"/>
      <c r="K270" s="149"/>
      <c r="P270" s="149"/>
      <c r="Q270" s="250"/>
      <c r="AW270" s="149"/>
    </row>
    <row r="271" spans="10:49" ht="13.95" customHeight="1" x14ac:dyDescent="0.25">
      <c r="J271" s="149"/>
      <c r="K271" s="149"/>
      <c r="P271" s="149"/>
      <c r="Q271" s="185"/>
      <c r="AW271" s="149"/>
    </row>
    <row r="272" spans="10:49" ht="13.95" customHeight="1" x14ac:dyDescent="0.25">
      <c r="J272" s="149"/>
      <c r="K272" s="149"/>
      <c r="P272" s="149"/>
      <c r="Q272" s="185"/>
      <c r="AW272" s="149"/>
    </row>
    <row r="273" spans="10:49" ht="13.95" customHeight="1" x14ac:dyDescent="0.25">
      <c r="J273" s="149"/>
      <c r="K273" s="149"/>
      <c r="P273" s="149"/>
      <c r="Q273" s="250"/>
      <c r="AW273" s="149"/>
    </row>
    <row r="274" spans="10:49" ht="13.95" customHeight="1" x14ac:dyDescent="0.25">
      <c r="J274" s="149"/>
      <c r="K274" s="149"/>
      <c r="P274" s="149"/>
      <c r="Q274" s="250"/>
      <c r="AW274" s="149"/>
    </row>
    <row r="275" spans="10:49" ht="13.95" customHeight="1" x14ac:dyDescent="0.25">
      <c r="J275" s="149"/>
      <c r="K275" s="149"/>
      <c r="P275" s="149"/>
      <c r="Q275" s="250"/>
      <c r="AW275" s="149"/>
    </row>
    <row r="276" spans="10:49" ht="13.95" customHeight="1" x14ac:dyDescent="0.25">
      <c r="J276" s="149"/>
      <c r="K276" s="149"/>
      <c r="P276" s="149"/>
      <c r="Q276" s="250"/>
      <c r="AW276" s="149"/>
    </row>
    <row r="277" spans="10:49" ht="13.95" customHeight="1" x14ac:dyDescent="0.25">
      <c r="J277" s="149"/>
      <c r="K277" s="149"/>
      <c r="P277" s="149"/>
      <c r="Q277" s="250"/>
      <c r="AW277" s="149"/>
    </row>
    <row r="278" spans="10:49" ht="13.95" customHeight="1" x14ac:dyDescent="0.25">
      <c r="J278" s="149"/>
      <c r="K278" s="149"/>
      <c r="P278" s="149"/>
      <c r="Q278" s="250"/>
      <c r="AW278" s="149"/>
    </row>
    <row r="279" spans="10:49" ht="13.95" customHeight="1" x14ac:dyDescent="0.25">
      <c r="J279" s="149"/>
      <c r="K279" s="149"/>
      <c r="P279" s="149"/>
      <c r="Q279" s="250"/>
      <c r="AW279" s="149"/>
    </row>
    <row r="280" spans="10:49" ht="13.95" customHeight="1" x14ac:dyDescent="0.25">
      <c r="J280" s="149"/>
      <c r="K280" s="149"/>
      <c r="P280" s="149"/>
      <c r="Q280" s="250"/>
      <c r="AW280" s="149"/>
    </row>
    <row r="281" spans="10:49" ht="13.95" customHeight="1" x14ac:dyDescent="0.25">
      <c r="J281" s="149"/>
      <c r="K281" s="149"/>
      <c r="P281" s="149"/>
      <c r="Q281" s="250"/>
      <c r="AW281" s="149"/>
    </row>
    <row r="282" spans="10:49" ht="13.95" customHeight="1" x14ac:dyDescent="0.25">
      <c r="J282" s="149"/>
      <c r="K282" s="149"/>
      <c r="P282" s="149"/>
      <c r="Q282" s="185"/>
      <c r="AW282" s="149"/>
    </row>
    <row r="283" spans="10:49" ht="13.95" customHeight="1" x14ac:dyDescent="0.25">
      <c r="J283" s="149"/>
      <c r="K283" s="149"/>
      <c r="P283" s="149"/>
      <c r="Q283" s="250"/>
      <c r="AW283" s="149"/>
    </row>
    <row r="284" spans="10:49" ht="13.95" customHeight="1" x14ac:dyDescent="0.25">
      <c r="J284" s="149"/>
      <c r="K284" s="149"/>
      <c r="P284" s="149"/>
      <c r="Q284" s="185"/>
      <c r="AW284" s="149"/>
    </row>
    <row r="285" spans="10:49" ht="13.95" customHeight="1" x14ac:dyDescent="0.25">
      <c r="J285" s="149"/>
      <c r="K285" s="149"/>
      <c r="P285" s="149"/>
      <c r="Q285" s="185"/>
      <c r="AW285" s="149"/>
    </row>
    <row r="286" spans="10:49" ht="13.95" customHeight="1" x14ac:dyDescent="0.25">
      <c r="J286" s="149"/>
      <c r="K286" s="149"/>
      <c r="P286" s="149"/>
      <c r="Q286" s="185"/>
      <c r="AW286" s="149"/>
    </row>
    <row r="287" spans="10:49" ht="13.95" customHeight="1" x14ac:dyDescent="0.25">
      <c r="J287" s="149"/>
      <c r="K287" s="149"/>
      <c r="P287" s="149"/>
      <c r="Q287" s="185"/>
      <c r="AW287" s="149"/>
    </row>
    <row r="288" spans="10:49" ht="13.95" customHeight="1" x14ac:dyDescent="0.25">
      <c r="J288" s="149"/>
      <c r="K288" s="149"/>
      <c r="P288" s="149"/>
      <c r="Q288" s="185"/>
      <c r="AW288" s="149"/>
    </row>
    <row r="289" spans="10:49" ht="13.95" customHeight="1" x14ac:dyDescent="0.25">
      <c r="J289" s="149"/>
      <c r="K289" s="149"/>
      <c r="P289" s="149"/>
      <c r="Q289" s="250"/>
      <c r="AW289" s="149"/>
    </row>
    <row r="290" spans="10:49" ht="13.95" customHeight="1" x14ac:dyDescent="0.25">
      <c r="J290" s="149"/>
      <c r="K290" s="149"/>
      <c r="P290" s="149"/>
      <c r="Q290" s="250"/>
      <c r="AW290" s="149"/>
    </row>
    <row r="291" spans="10:49" ht="13.95" customHeight="1" x14ac:dyDescent="0.25">
      <c r="J291" s="149"/>
      <c r="K291" s="149"/>
      <c r="P291" s="149"/>
      <c r="Q291" s="250"/>
      <c r="AW291" s="149"/>
    </row>
    <row r="292" spans="10:49" ht="13.95" customHeight="1" x14ac:dyDescent="0.25">
      <c r="J292" s="149"/>
      <c r="K292" s="149"/>
      <c r="P292" s="149"/>
      <c r="Q292" s="185"/>
      <c r="AW292" s="149"/>
    </row>
    <row r="293" spans="10:49" ht="13.95" customHeight="1" x14ac:dyDescent="0.25">
      <c r="J293" s="149"/>
      <c r="K293" s="149"/>
      <c r="P293" s="149"/>
      <c r="Q293" s="250"/>
      <c r="AW293" s="149"/>
    </row>
    <row r="294" spans="10:49" ht="13.95" customHeight="1" x14ac:dyDescent="0.25">
      <c r="J294" s="149"/>
      <c r="K294" s="149"/>
      <c r="P294" s="149"/>
      <c r="Q294" s="250"/>
      <c r="AW294" s="149"/>
    </row>
    <row r="295" spans="10:49" ht="13.95" customHeight="1" x14ac:dyDescent="0.25">
      <c r="J295" s="149"/>
      <c r="K295" s="149"/>
      <c r="P295" s="149"/>
      <c r="Q295" s="250"/>
      <c r="AW295" s="149"/>
    </row>
    <row r="296" spans="10:49" ht="13.95" customHeight="1" x14ac:dyDescent="0.25">
      <c r="J296" s="149"/>
      <c r="K296" s="149"/>
      <c r="P296" s="149"/>
      <c r="Q296" s="250"/>
      <c r="AW296" s="149"/>
    </row>
    <row r="297" spans="10:49" ht="13.95" customHeight="1" x14ac:dyDescent="0.25">
      <c r="J297" s="149"/>
      <c r="K297" s="149"/>
      <c r="P297" s="149"/>
      <c r="Q297" s="250"/>
      <c r="AW297" s="149"/>
    </row>
    <row r="298" spans="10:49" ht="13.95" customHeight="1" x14ac:dyDescent="0.25">
      <c r="J298" s="149"/>
      <c r="K298" s="149"/>
      <c r="P298" s="149"/>
      <c r="Q298" s="185"/>
      <c r="AW298" s="149"/>
    </row>
    <row r="299" spans="10:49" ht="13.95" customHeight="1" x14ac:dyDescent="0.25">
      <c r="J299" s="149"/>
      <c r="K299" s="149"/>
      <c r="P299" s="149"/>
      <c r="Q299" s="185"/>
      <c r="AW299" s="149"/>
    </row>
    <row r="300" spans="10:49" ht="13.95" customHeight="1" x14ac:dyDescent="0.25">
      <c r="J300" s="149"/>
      <c r="K300" s="149"/>
      <c r="P300" s="149"/>
      <c r="Q300" s="250"/>
      <c r="AW300" s="149"/>
    </row>
    <row r="301" spans="10:49" ht="13.95" customHeight="1" x14ac:dyDescent="0.25">
      <c r="J301" s="149"/>
      <c r="K301" s="149"/>
      <c r="P301" s="149"/>
      <c r="Q301" s="250"/>
      <c r="AW301" s="149"/>
    </row>
    <row r="302" spans="10:49" ht="13.95" customHeight="1" x14ac:dyDescent="0.25">
      <c r="J302" s="149"/>
      <c r="K302" s="149"/>
      <c r="P302" s="149"/>
      <c r="Q302" s="250"/>
      <c r="AW302" s="149"/>
    </row>
    <row r="303" spans="10:49" ht="13.95" customHeight="1" x14ac:dyDescent="0.25">
      <c r="J303" s="149"/>
      <c r="K303" s="149"/>
      <c r="P303" s="149"/>
      <c r="Q303" s="250"/>
      <c r="AW303" s="149"/>
    </row>
    <row r="304" spans="10:49" ht="13.95" customHeight="1" x14ac:dyDescent="0.25">
      <c r="J304" s="149"/>
      <c r="K304" s="149"/>
      <c r="P304" s="149"/>
      <c r="Q304" s="250"/>
      <c r="AW304" s="149"/>
    </row>
    <row r="305" spans="10:49" ht="13.95" customHeight="1" x14ac:dyDescent="0.25">
      <c r="J305" s="149"/>
      <c r="K305" s="149"/>
      <c r="P305" s="149"/>
      <c r="Q305" s="250"/>
      <c r="AW305" s="149"/>
    </row>
    <row r="306" spans="10:49" ht="13.95" customHeight="1" x14ac:dyDescent="0.25">
      <c r="J306" s="149"/>
      <c r="K306" s="149"/>
      <c r="P306" s="149"/>
      <c r="Q306" s="185"/>
      <c r="AW306" s="149"/>
    </row>
    <row r="307" spans="10:49" ht="13.95" customHeight="1" x14ac:dyDescent="0.25">
      <c r="J307" s="149"/>
      <c r="K307" s="149"/>
      <c r="P307" s="149"/>
      <c r="Q307" s="185"/>
      <c r="AW307" s="149"/>
    </row>
    <row r="308" spans="10:49" ht="13.95" customHeight="1" x14ac:dyDescent="0.25">
      <c r="J308" s="149"/>
      <c r="K308" s="149"/>
      <c r="P308" s="149"/>
      <c r="Q308" s="250"/>
      <c r="AW308" s="149"/>
    </row>
    <row r="309" spans="10:49" ht="13.95" customHeight="1" x14ac:dyDescent="0.25">
      <c r="J309" s="149"/>
      <c r="K309" s="149"/>
      <c r="P309" s="149"/>
      <c r="Q309" s="250"/>
      <c r="AW309" s="149"/>
    </row>
    <row r="310" spans="10:49" ht="13.95" customHeight="1" x14ac:dyDescent="0.25">
      <c r="J310" s="149"/>
      <c r="K310" s="149"/>
      <c r="P310" s="149"/>
      <c r="Q310" s="250"/>
      <c r="AW310" s="149"/>
    </row>
    <row r="311" spans="10:49" ht="13.95" customHeight="1" x14ac:dyDescent="0.25">
      <c r="J311" s="149"/>
      <c r="K311" s="149"/>
      <c r="P311" s="149"/>
      <c r="Q311" s="250"/>
      <c r="AW311" s="149"/>
    </row>
    <row r="312" spans="10:49" ht="13.95" customHeight="1" x14ac:dyDescent="0.25">
      <c r="J312" s="149"/>
      <c r="K312" s="149"/>
      <c r="P312" s="149"/>
      <c r="Q312" s="250"/>
      <c r="AW312" s="149"/>
    </row>
    <row r="313" spans="10:49" ht="13.95" customHeight="1" x14ac:dyDescent="0.25">
      <c r="J313" s="149"/>
      <c r="K313" s="149"/>
      <c r="P313" s="149"/>
      <c r="Q313" s="185"/>
      <c r="AW313" s="149"/>
    </row>
    <row r="314" spans="10:49" ht="13.95" customHeight="1" x14ac:dyDescent="0.25">
      <c r="J314" s="149"/>
      <c r="K314" s="149"/>
      <c r="P314" s="149"/>
      <c r="Q314" s="185"/>
      <c r="AW314" s="149"/>
    </row>
    <row r="315" spans="10:49" ht="13.95" customHeight="1" x14ac:dyDescent="0.25">
      <c r="J315" s="149"/>
      <c r="K315" s="149"/>
      <c r="P315" s="149"/>
      <c r="Q315" s="185"/>
      <c r="AW315" s="149"/>
    </row>
    <row r="316" spans="10:49" ht="13.95" customHeight="1" x14ac:dyDescent="0.25">
      <c r="J316" s="149"/>
      <c r="K316" s="149"/>
      <c r="P316" s="149"/>
      <c r="Q316" s="250"/>
      <c r="AW316" s="149"/>
    </row>
    <row r="317" spans="10:49" ht="13.95" customHeight="1" x14ac:dyDescent="0.25">
      <c r="J317" s="149"/>
      <c r="K317" s="149"/>
      <c r="P317" s="149"/>
      <c r="Q317" s="185"/>
      <c r="AW317" s="149"/>
    </row>
    <row r="318" spans="10:49" ht="13.95" customHeight="1" x14ac:dyDescent="0.25">
      <c r="J318" s="149"/>
      <c r="K318" s="149"/>
      <c r="P318" s="149"/>
      <c r="Q318" s="250"/>
      <c r="AW318" s="149"/>
    </row>
    <row r="319" spans="10:49" ht="13.95" customHeight="1" x14ac:dyDescent="0.25">
      <c r="J319" s="149"/>
      <c r="K319" s="149"/>
      <c r="P319" s="149"/>
      <c r="Q319" s="250"/>
      <c r="AW319" s="149"/>
    </row>
    <row r="320" spans="10:49" ht="13.95" customHeight="1" x14ac:dyDescent="0.25">
      <c r="J320" s="149"/>
      <c r="K320" s="149"/>
      <c r="P320" s="149"/>
      <c r="Q320" s="250"/>
      <c r="AW320" s="149"/>
    </row>
    <row r="321" spans="10:49" ht="13.95" customHeight="1" x14ac:dyDescent="0.25">
      <c r="J321" s="149"/>
      <c r="K321" s="149"/>
      <c r="P321" s="149"/>
      <c r="Q321" s="185"/>
      <c r="AW321" s="149"/>
    </row>
    <row r="322" spans="10:49" ht="13.95" customHeight="1" x14ac:dyDescent="0.25">
      <c r="J322" s="149"/>
      <c r="K322" s="149"/>
      <c r="P322" s="149"/>
      <c r="Q322" s="185"/>
      <c r="AW322" s="149"/>
    </row>
    <row r="323" spans="10:49" ht="13.95" customHeight="1" x14ac:dyDescent="0.25">
      <c r="J323" s="149"/>
      <c r="K323" s="149"/>
      <c r="P323" s="149"/>
      <c r="Q323" s="250"/>
      <c r="AW323" s="149"/>
    </row>
    <row r="324" spans="10:49" ht="13.95" customHeight="1" x14ac:dyDescent="0.25">
      <c r="J324" s="149"/>
      <c r="K324" s="149"/>
      <c r="P324" s="149"/>
      <c r="Q324" s="250"/>
      <c r="AW324" s="149"/>
    </row>
    <row r="325" spans="10:49" ht="13.95" customHeight="1" x14ac:dyDescent="0.25">
      <c r="J325" s="149"/>
      <c r="K325" s="149"/>
      <c r="P325" s="149"/>
      <c r="Q325" s="250"/>
      <c r="AW325" s="149"/>
    </row>
    <row r="326" spans="10:49" ht="13.95" customHeight="1" x14ac:dyDescent="0.25">
      <c r="J326" s="149"/>
      <c r="K326" s="149"/>
      <c r="P326" s="149"/>
      <c r="Q326" s="185"/>
      <c r="AW326" s="149"/>
    </row>
    <row r="327" spans="10:49" ht="13.95" customHeight="1" x14ac:dyDescent="0.25">
      <c r="J327" s="149"/>
      <c r="K327" s="149"/>
      <c r="P327" s="149"/>
      <c r="Q327" s="251"/>
      <c r="AW327" s="149"/>
    </row>
    <row r="328" spans="10:49" ht="13.95" customHeight="1" x14ac:dyDescent="0.25">
      <c r="J328" s="149"/>
      <c r="K328" s="149"/>
      <c r="P328" s="149"/>
      <c r="Q328" s="250"/>
      <c r="AW328" s="149"/>
    </row>
    <row r="329" spans="10:49" ht="13.95" customHeight="1" x14ac:dyDescent="0.25">
      <c r="J329" s="149"/>
      <c r="K329" s="149"/>
      <c r="P329" s="149"/>
      <c r="Q329" s="251"/>
      <c r="AW329" s="149"/>
    </row>
    <row r="330" spans="10:49" ht="13.95" customHeight="1" x14ac:dyDescent="0.25">
      <c r="J330" s="149"/>
      <c r="K330" s="149"/>
      <c r="P330" s="149"/>
      <c r="Q330" s="250"/>
      <c r="AW330" s="149"/>
    </row>
    <row r="331" spans="10:49" ht="13.95" customHeight="1" x14ac:dyDescent="0.25">
      <c r="J331" s="149"/>
      <c r="K331" s="149"/>
      <c r="P331" s="149"/>
      <c r="Q331" s="250"/>
      <c r="AW331" s="149"/>
    </row>
    <row r="332" spans="10:49" ht="13.95" customHeight="1" x14ac:dyDescent="0.25">
      <c r="J332" s="149"/>
      <c r="K332" s="149"/>
      <c r="P332" s="149"/>
      <c r="Q332" s="250"/>
      <c r="AW332" s="149"/>
    </row>
    <row r="333" spans="10:49" ht="13.95" customHeight="1" x14ac:dyDescent="0.25">
      <c r="J333" s="149"/>
      <c r="K333" s="149"/>
      <c r="P333" s="149"/>
      <c r="Q333" s="250"/>
      <c r="AW333" s="149"/>
    </row>
    <row r="334" spans="10:49" ht="13.95" customHeight="1" x14ac:dyDescent="0.25">
      <c r="J334" s="149"/>
      <c r="K334" s="149"/>
      <c r="P334" s="149"/>
      <c r="Q334" s="250"/>
      <c r="AW334" s="149"/>
    </row>
    <row r="335" spans="10:49" ht="13.95" customHeight="1" x14ac:dyDescent="0.25">
      <c r="J335" s="149"/>
      <c r="K335" s="149"/>
      <c r="P335" s="149"/>
      <c r="Q335" s="250"/>
      <c r="AW335" s="149"/>
    </row>
    <row r="336" spans="10:49" ht="13.95" customHeight="1" x14ac:dyDescent="0.25">
      <c r="J336" s="149"/>
      <c r="K336" s="149"/>
      <c r="P336" s="149"/>
      <c r="Q336" s="185"/>
      <c r="AW336" s="149"/>
    </row>
    <row r="337" spans="10:49" ht="13.95" customHeight="1" x14ac:dyDescent="0.25">
      <c r="J337" s="149"/>
      <c r="K337" s="149"/>
      <c r="P337" s="149"/>
      <c r="Q337" s="185"/>
      <c r="AW337" s="149"/>
    </row>
    <row r="338" spans="10:49" ht="13.95" customHeight="1" x14ac:dyDescent="0.25">
      <c r="J338" s="149"/>
      <c r="K338" s="149"/>
      <c r="P338" s="149"/>
      <c r="Q338" s="250"/>
      <c r="AW338" s="149"/>
    </row>
    <row r="339" spans="10:49" ht="13.95" customHeight="1" x14ac:dyDescent="0.25">
      <c r="J339" s="149"/>
      <c r="K339" s="149"/>
      <c r="P339" s="149"/>
      <c r="Q339" s="250"/>
      <c r="AW339" s="149"/>
    </row>
    <row r="340" spans="10:49" ht="13.95" customHeight="1" x14ac:dyDescent="0.25">
      <c r="J340" s="149"/>
      <c r="K340" s="149"/>
      <c r="P340" s="149"/>
      <c r="Q340" s="185"/>
      <c r="AW340" s="149"/>
    </row>
    <row r="341" spans="10:49" ht="13.95" customHeight="1" x14ac:dyDescent="0.25">
      <c r="J341" s="149"/>
      <c r="K341" s="149"/>
      <c r="P341" s="149"/>
      <c r="Q341" s="185"/>
      <c r="AW341" s="149"/>
    </row>
    <row r="342" spans="10:49" ht="13.95" customHeight="1" x14ac:dyDescent="0.25">
      <c r="J342" s="149"/>
      <c r="K342" s="149"/>
      <c r="P342" s="149"/>
      <c r="Q342" s="185"/>
      <c r="AW342" s="149"/>
    </row>
    <row r="343" spans="10:49" ht="13.95" customHeight="1" x14ac:dyDescent="0.25">
      <c r="J343" s="149"/>
      <c r="K343" s="149"/>
      <c r="P343" s="149"/>
      <c r="Q343" s="250"/>
      <c r="AW343" s="149"/>
    </row>
    <row r="344" spans="10:49" ht="13.95" customHeight="1" x14ac:dyDescent="0.25">
      <c r="J344" s="149"/>
      <c r="K344" s="149"/>
      <c r="P344" s="149"/>
      <c r="Q344" s="250"/>
      <c r="AW344" s="149"/>
    </row>
    <row r="345" spans="10:49" ht="13.95" customHeight="1" x14ac:dyDescent="0.25">
      <c r="J345" s="149"/>
      <c r="K345" s="149"/>
      <c r="P345" s="149"/>
      <c r="Q345" s="250"/>
      <c r="AW345" s="149"/>
    </row>
    <row r="346" spans="10:49" ht="13.95" customHeight="1" x14ac:dyDescent="0.25">
      <c r="J346" s="149"/>
      <c r="K346" s="149"/>
      <c r="P346" s="149"/>
      <c r="Q346" s="185"/>
      <c r="AW346" s="149"/>
    </row>
    <row r="347" spans="10:49" ht="13.95" customHeight="1" x14ac:dyDescent="0.25">
      <c r="J347" s="149"/>
      <c r="K347" s="149"/>
      <c r="P347" s="149"/>
      <c r="Q347" s="250"/>
      <c r="AW347" s="149"/>
    </row>
    <row r="348" spans="10:49" ht="13.95" customHeight="1" x14ac:dyDescent="0.25">
      <c r="J348" s="149"/>
      <c r="K348" s="149"/>
      <c r="P348" s="149"/>
      <c r="Q348" s="185"/>
      <c r="AW348" s="149"/>
    </row>
    <row r="349" spans="10:49" ht="13.95" customHeight="1" x14ac:dyDescent="0.25">
      <c r="J349" s="149"/>
      <c r="K349" s="149"/>
      <c r="P349" s="149"/>
      <c r="Q349" s="250"/>
      <c r="AW349" s="149"/>
    </row>
    <row r="350" spans="10:49" ht="13.95" customHeight="1" x14ac:dyDescent="0.25">
      <c r="J350" s="149"/>
      <c r="K350" s="149"/>
      <c r="P350" s="149"/>
      <c r="Q350" s="250"/>
      <c r="AW350" s="149"/>
    </row>
    <row r="351" spans="10:49" ht="13.95" customHeight="1" x14ac:dyDescent="0.25">
      <c r="J351" s="149"/>
      <c r="K351" s="149"/>
      <c r="P351" s="149"/>
      <c r="Q351" s="185"/>
      <c r="AW351" s="149"/>
    </row>
    <row r="352" spans="10:49" ht="13.95" customHeight="1" x14ac:dyDescent="0.25">
      <c r="J352" s="149"/>
      <c r="K352" s="149"/>
      <c r="P352" s="149"/>
      <c r="Q352" s="185"/>
      <c r="AW352" s="149"/>
    </row>
    <row r="353" spans="10:49" ht="13.95" customHeight="1" x14ac:dyDescent="0.25">
      <c r="J353" s="149"/>
      <c r="K353" s="149"/>
      <c r="P353" s="149"/>
      <c r="Q353" s="185"/>
      <c r="AW353" s="149"/>
    </row>
    <row r="354" spans="10:49" ht="13.95" customHeight="1" x14ac:dyDescent="0.25">
      <c r="J354" s="149"/>
      <c r="K354" s="149"/>
      <c r="P354" s="149"/>
      <c r="Q354" s="250"/>
      <c r="AW354" s="149"/>
    </row>
    <row r="355" spans="10:49" ht="13.95" customHeight="1" x14ac:dyDescent="0.25">
      <c r="J355" s="149"/>
      <c r="K355" s="149"/>
      <c r="P355" s="149"/>
      <c r="Q355" s="185"/>
      <c r="AW355" s="149"/>
    </row>
    <row r="356" spans="10:49" ht="13.95" customHeight="1" x14ac:dyDescent="0.25">
      <c r="J356" s="149"/>
      <c r="K356" s="149"/>
      <c r="P356" s="149"/>
      <c r="Q356" s="250"/>
      <c r="AW356" s="149"/>
    </row>
    <row r="357" spans="10:49" ht="13.95" customHeight="1" x14ac:dyDescent="0.25">
      <c r="J357" s="149"/>
      <c r="K357" s="149"/>
      <c r="P357" s="149"/>
      <c r="Q357" s="250"/>
      <c r="AW357" s="149"/>
    </row>
    <row r="358" spans="10:49" ht="13.95" customHeight="1" x14ac:dyDescent="0.25">
      <c r="J358" s="149"/>
      <c r="K358" s="149"/>
      <c r="P358" s="149"/>
      <c r="Q358" s="250"/>
      <c r="AW358" s="149"/>
    </row>
    <row r="359" spans="10:49" ht="13.95" customHeight="1" x14ac:dyDescent="0.25">
      <c r="J359" s="149"/>
      <c r="K359" s="149"/>
      <c r="P359" s="149"/>
      <c r="Q359" s="250"/>
      <c r="AW359" s="149"/>
    </row>
    <row r="360" spans="10:49" ht="13.95" customHeight="1" x14ac:dyDescent="0.25">
      <c r="J360" s="149"/>
      <c r="K360" s="149"/>
      <c r="P360" s="149"/>
      <c r="Q360" s="185"/>
      <c r="AW360" s="149"/>
    </row>
    <row r="361" spans="10:49" ht="13.95" customHeight="1" x14ac:dyDescent="0.25">
      <c r="J361" s="149"/>
      <c r="K361" s="149"/>
      <c r="P361" s="149"/>
      <c r="Q361" s="185"/>
      <c r="AW361" s="149"/>
    </row>
    <row r="362" spans="10:49" ht="13.95" customHeight="1" x14ac:dyDescent="0.25">
      <c r="J362" s="149"/>
      <c r="K362" s="149"/>
      <c r="P362" s="149"/>
      <c r="Q362" s="185"/>
      <c r="AW362" s="149"/>
    </row>
    <row r="363" spans="10:49" ht="13.95" customHeight="1" x14ac:dyDescent="0.25">
      <c r="J363" s="149"/>
      <c r="K363" s="149"/>
      <c r="P363" s="149"/>
      <c r="Q363" s="250"/>
      <c r="AW363" s="149"/>
    </row>
    <row r="364" spans="10:49" ht="13.95" customHeight="1" x14ac:dyDescent="0.25">
      <c r="J364" s="149"/>
      <c r="K364" s="149"/>
      <c r="P364" s="149"/>
      <c r="Q364" s="250"/>
      <c r="AW364" s="149"/>
    </row>
    <row r="365" spans="10:49" ht="13.95" customHeight="1" x14ac:dyDescent="0.25">
      <c r="J365" s="149"/>
      <c r="K365" s="149"/>
      <c r="P365" s="149"/>
      <c r="Q365" s="250"/>
      <c r="AW365" s="149"/>
    </row>
    <row r="366" spans="10:49" ht="13.95" customHeight="1" x14ac:dyDescent="0.25">
      <c r="J366" s="149"/>
      <c r="K366" s="149"/>
      <c r="P366" s="149"/>
      <c r="Q366" s="185"/>
      <c r="AW366" s="149"/>
    </row>
    <row r="367" spans="10:49" ht="13.95" customHeight="1" x14ac:dyDescent="0.25">
      <c r="J367" s="149"/>
      <c r="K367" s="149"/>
      <c r="P367" s="149"/>
      <c r="Q367" s="250"/>
      <c r="AW367" s="149"/>
    </row>
    <row r="368" spans="10:49" ht="13.95" customHeight="1" x14ac:dyDescent="0.25">
      <c r="J368" s="149"/>
      <c r="K368" s="149"/>
      <c r="P368" s="149"/>
      <c r="Q368" s="185"/>
      <c r="AW368" s="149"/>
    </row>
    <row r="369" spans="10:49" ht="13.95" customHeight="1" x14ac:dyDescent="0.25">
      <c r="J369" s="149"/>
      <c r="K369" s="149"/>
      <c r="P369" s="149"/>
      <c r="Q369" s="185"/>
      <c r="AW369" s="149"/>
    </row>
    <row r="370" spans="10:49" ht="13.95" customHeight="1" x14ac:dyDescent="0.25">
      <c r="J370" s="149"/>
      <c r="K370" s="149"/>
      <c r="P370" s="149"/>
      <c r="Q370" s="250"/>
      <c r="AW370" s="149"/>
    </row>
    <row r="371" spans="10:49" ht="13.95" customHeight="1" x14ac:dyDescent="0.25">
      <c r="J371" s="149"/>
      <c r="K371" s="149"/>
      <c r="P371" s="149"/>
      <c r="Q371" s="250"/>
      <c r="AW371" s="149"/>
    </row>
    <row r="372" spans="10:49" ht="13.95" customHeight="1" x14ac:dyDescent="0.25">
      <c r="J372" s="149"/>
      <c r="K372" s="149"/>
      <c r="P372" s="149"/>
      <c r="Q372" s="250"/>
      <c r="AW372" s="149"/>
    </row>
    <row r="373" spans="10:49" ht="13.95" customHeight="1" x14ac:dyDescent="0.25">
      <c r="J373" s="149"/>
      <c r="K373" s="149"/>
      <c r="P373" s="149"/>
      <c r="Q373" s="250"/>
      <c r="AW373" s="149"/>
    </row>
    <row r="374" spans="10:49" ht="13.95" customHeight="1" x14ac:dyDescent="0.25">
      <c r="J374" s="149"/>
      <c r="K374" s="149"/>
      <c r="P374" s="149"/>
      <c r="Q374" s="250"/>
      <c r="AW374" s="149"/>
    </row>
    <row r="375" spans="10:49" ht="13.95" customHeight="1" x14ac:dyDescent="0.25">
      <c r="J375" s="149"/>
      <c r="K375" s="149"/>
      <c r="P375" s="149"/>
      <c r="Q375" s="250"/>
      <c r="AW375" s="149"/>
    </row>
    <row r="376" spans="10:49" ht="13.95" customHeight="1" x14ac:dyDescent="0.25">
      <c r="J376" s="149"/>
      <c r="K376" s="149"/>
      <c r="P376" s="149"/>
      <c r="Q376" s="250"/>
      <c r="AW376" s="149"/>
    </row>
    <row r="377" spans="10:49" ht="13.95" customHeight="1" x14ac:dyDescent="0.25">
      <c r="J377" s="149"/>
      <c r="K377" s="149"/>
      <c r="P377" s="149"/>
      <c r="Q377" s="250"/>
      <c r="AW377" s="149"/>
    </row>
    <row r="378" spans="10:49" ht="13.95" customHeight="1" x14ac:dyDescent="0.25">
      <c r="J378" s="149"/>
      <c r="K378" s="149"/>
      <c r="P378" s="149"/>
      <c r="Q378" s="250"/>
      <c r="AW378" s="149"/>
    </row>
    <row r="379" spans="10:49" ht="13.95" customHeight="1" x14ac:dyDescent="0.25">
      <c r="J379" s="149"/>
      <c r="K379" s="149"/>
      <c r="P379" s="149"/>
      <c r="Q379" s="250"/>
      <c r="AW379" s="149"/>
    </row>
    <row r="380" spans="10:49" ht="13.95" customHeight="1" x14ac:dyDescent="0.25">
      <c r="J380" s="149"/>
      <c r="K380" s="149"/>
      <c r="P380" s="149"/>
      <c r="Q380" s="250"/>
      <c r="AW380" s="149"/>
    </row>
    <row r="381" spans="10:49" ht="13.95" customHeight="1" x14ac:dyDescent="0.25">
      <c r="J381" s="149"/>
      <c r="K381" s="149"/>
      <c r="P381" s="149"/>
      <c r="Q381" s="250"/>
      <c r="AW381" s="149"/>
    </row>
    <row r="382" spans="10:49" ht="13.95" customHeight="1" x14ac:dyDescent="0.25">
      <c r="J382" s="149"/>
      <c r="K382" s="149"/>
      <c r="P382" s="149"/>
      <c r="Q382" s="250"/>
      <c r="AW382" s="149"/>
    </row>
    <row r="383" spans="10:49" ht="13.95" customHeight="1" x14ac:dyDescent="0.25">
      <c r="J383" s="149"/>
      <c r="K383" s="149"/>
      <c r="P383" s="149"/>
      <c r="Q383" s="185"/>
      <c r="AW383" s="149"/>
    </row>
    <row r="384" spans="10:49" ht="13.95" customHeight="1" x14ac:dyDescent="0.25">
      <c r="J384" s="149"/>
      <c r="K384" s="149"/>
      <c r="P384" s="149"/>
      <c r="Q384" s="250"/>
      <c r="AW384" s="149"/>
    </row>
    <row r="385" spans="10:49" ht="13.95" customHeight="1" x14ac:dyDescent="0.25">
      <c r="J385" s="149"/>
      <c r="K385" s="149"/>
      <c r="P385" s="149"/>
      <c r="Q385" s="250"/>
      <c r="AW385" s="149"/>
    </row>
    <row r="386" spans="10:49" ht="13.95" customHeight="1" x14ac:dyDescent="0.25">
      <c r="J386" s="149"/>
      <c r="K386" s="149"/>
      <c r="P386" s="149"/>
      <c r="Q386" s="250"/>
      <c r="AW386" s="149"/>
    </row>
    <row r="387" spans="10:49" ht="13.95" customHeight="1" x14ac:dyDescent="0.25">
      <c r="J387" s="149"/>
      <c r="K387" s="149"/>
      <c r="P387" s="149"/>
      <c r="Q387" s="250"/>
      <c r="AW387" s="149"/>
    </row>
    <row r="388" spans="10:49" ht="13.95" customHeight="1" x14ac:dyDescent="0.25">
      <c r="J388" s="149"/>
      <c r="K388" s="149"/>
      <c r="P388" s="149"/>
      <c r="Q388" s="250"/>
      <c r="AW388" s="149"/>
    </row>
    <row r="389" spans="10:49" ht="13.95" customHeight="1" x14ac:dyDescent="0.25">
      <c r="J389" s="149"/>
      <c r="K389" s="149"/>
      <c r="P389" s="149"/>
      <c r="Q389" s="250"/>
      <c r="AW389" s="149"/>
    </row>
    <row r="390" spans="10:49" ht="13.95" customHeight="1" x14ac:dyDescent="0.25">
      <c r="J390" s="149"/>
      <c r="K390" s="149"/>
      <c r="P390" s="149"/>
      <c r="Q390" s="250"/>
      <c r="AW390" s="149"/>
    </row>
    <row r="391" spans="10:49" ht="13.95" customHeight="1" x14ac:dyDescent="0.25">
      <c r="J391" s="149"/>
      <c r="K391" s="149"/>
      <c r="P391" s="149"/>
      <c r="Q391" s="185"/>
      <c r="AW391" s="149"/>
    </row>
    <row r="392" spans="10:49" ht="13.95" customHeight="1" x14ac:dyDescent="0.25">
      <c r="J392" s="149"/>
      <c r="K392" s="149"/>
      <c r="P392" s="149"/>
      <c r="Q392" s="252"/>
      <c r="AW392" s="149"/>
    </row>
    <row r="393" spans="10:49" ht="13.95" customHeight="1" x14ac:dyDescent="0.25">
      <c r="J393" s="149"/>
      <c r="K393" s="149"/>
      <c r="P393" s="149"/>
      <c r="Q393" s="252"/>
      <c r="AW393" s="149"/>
    </row>
    <row r="394" spans="10:49" ht="13.95" customHeight="1" x14ac:dyDescent="0.25">
      <c r="J394" s="149"/>
      <c r="K394" s="149"/>
      <c r="P394" s="149"/>
      <c r="Q394" s="252"/>
      <c r="AW394" s="149"/>
    </row>
    <row r="395" spans="10:49" ht="13.95" customHeight="1" x14ac:dyDescent="0.25">
      <c r="J395" s="149"/>
      <c r="K395" s="149"/>
      <c r="P395" s="149"/>
      <c r="Q395" s="252"/>
      <c r="AW395" s="149"/>
    </row>
    <row r="396" spans="10:49" ht="13.95" customHeight="1" x14ac:dyDescent="0.25">
      <c r="J396" s="149"/>
      <c r="K396" s="149"/>
      <c r="P396" s="149"/>
      <c r="Q396" s="252"/>
      <c r="AW396" s="149"/>
    </row>
    <row r="397" spans="10:49" ht="13.95" customHeight="1" x14ac:dyDescent="0.25">
      <c r="J397" s="149"/>
      <c r="K397" s="149"/>
      <c r="P397" s="149"/>
      <c r="Q397" s="252"/>
      <c r="AW397" s="149"/>
    </row>
    <row r="398" spans="10:49" ht="13.95" customHeight="1" x14ac:dyDescent="0.25">
      <c r="J398" s="149"/>
      <c r="K398" s="149"/>
      <c r="P398" s="149"/>
      <c r="Q398" s="252"/>
      <c r="AW398" s="149"/>
    </row>
    <row r="399" spans="10:49" ht="13.95" customHeight="1" x14ac:dyDescent="0.25">
      <c r="J399" s="149"/>
      <c r="K399" s="149"/>
      <c r="P399" s="149"/>
      <c r="Q399" s="252"/>
      <c r="AW399" s="149"/>
    </row>
    <row r="400" spans="10:49" ht="13.95" customHeight="1" x14ac:dyDescent="0.25">
      <c r="J400" s="149"/>
      <c r="K400" s="149"/>
      <c r="P400" s="149"/>
      <c r="Q400" s="252"/>
      <c r="AW400" s="149"/>
    </row>
    <row r="401" spans="10:49" ht="13.95" customHeight="1" x14ac:dyDescent="0.25">
      <c r="J401" s="149"/>
      <c r="K401" s="149"/>
      <c r="P401" s="149"/>
      <c r="Q401" s="252"/>
      <c r="AW401" s="149"/>
    </row>
    <row r="402" spans="10:49" ht="13.95" customHeight="1" x14ac:dyDescent="0.25">
      <c r="J402" s="149"/>
      <c r="K402" s="149"/>
      <c r="P402" s="149"/>
      <c r="Q402" s="252"/>
      <c r="AW402" s="149"/>
    </row>
    <row r="403" spans="10:49" ht="13.95" customHeight="1" x14ac:dyDescent="0.25">
      <c r="J403" s="149"/>
      <c r="K403" s="149"/>
      <c r="P403" s="149"/>
      <c r="Q403" s="252"/>
      <c r="AW403" s="149"/>
    </row>
    <row r="404" spans="10:49" ht="13.95" customHeight="1" x14ac:dyDescent="0.25">
      <c r="J404" s="149"/>
      <c r="K404" s="149"/>
      <c r="P404" s="149"/>
      <c r="Q404" s="252"/>
      <c r="AW404" s="149"/>
    </row>
    <row r="405" spans="10:49" ht="13.95" customHeight="1" x14ac:dyDescent="0.25">
      <c r="J405" s="149"/>
      <c r="K405" s="149"/>
      <c r="P405" s="149"/>
      <c r="Q405" s="252"/>
      <c r="AW405" s="149"/>
    </row>
    <row r="406" spans="10:49" ht="13.95" customHeight="1" x14ac:dyDescent="0.25">
      <c r="J406" s="149"/>
      <c r="K406" s="149"/>
      <c r="P406" s="149"/>
      <c r="Q406" s="252"/>
      <c r="AW406" s="149"/>
    </row>
    <row r="407" spans="10:49" ht="13.95" customHeight="1" x14ac:dyDescent="0.25">
      <c r="J407" s="149"/>
      <c r="K407" s="149"/>
      <c r="P407" s="149"/>
      <c r="Q407" s="252"/>
      <c r="AW407" s="149"/>
    </row>
    <row r="408" spans="10:49" ht="13.95" customHeight="1" x14ac:dyDescent="0.25">
      <c r="J408" s="149"/>
      <c r="K408" s="149"/>
      <c r="P408" s="149"/>
      <c r="Q408" s="252"/>
      <c r="AW408" s="149"/>
    </row>
    <row r="409" spans="10:49" ht="13.95" customHeight="1" x14ac:dyDescent="0.25">
      <c r="J409" s="149"/>
      <c r="K409" s="149"/>
      <c r="P409" s="149"/>
      <c r="Q409" s="252"/>
      <c r="AW409" s="149"/>
    </row>
    <row r="410" spans="10:49" ht="13.95" customHeight="1" x14ac:dyDescent="0.25">
      <c r="J410" s="149"/>
      <c r="K410" s="149"/>
      <c r="P410" s="149"/>
      <c r="Q410" s="252"/>
      <c r="AW410" s="149"/>
    </row>
    <row r="411" spans="10:49" ht="13.95" customHeight="1" x14ac:dyDescent="0.25">
      <c r="J411" s="149"/>
      <c r="K411" s="149"/>
      <c r="P411" s="149"/>
      <c r="Q411" s="252"/>
      <c r="AW411" s="149"/>
    </row>
    <row r="412" spans="10:49" ht="13.95" customHeight="1" x14ac:dyDescent="0.25">
      <c r="J412" s="149"/>
      <c r="K412" s="149"/>
      <c r="P412" s="149"/>
      <c r="Q412" s="252"/>
      <c r="AW412" s="149"/>
    </row>
    <row r="413" spans="10:49" ht="13.95" customHeight="1" x14ac:dyDescent="0.25">
      <c r="J413" s="149"/>
      <c r="K413" s="149"/>
      <c r="P413" s="149"/>
      <c r="Q413" s="252"/>
      <c r="AW413" s="149"/>
    </row>
    <row r="414" spans="10:49" ht="13.95" customHeight="1" x14ac:dyDescent="0.25">
      <c r="J414" s="149"/>
      <c r="K414" s="149"/>
      <c r="P414" s="149"/>
      <c r="Q414" s="252"/>
      <c r="AW414" s="149"/>
    </row>
    <row r="415" spans="10:49" ht="13.95" customHeight="1" x14ac:dyDescent="0.25">
      <c r="J415" s="149"/>
      <c r="K415" s="149"/>
      <c r="P415" s="149"/>
      <c r="Q415" s="252"/>
      <c r="AW415" s="149"/>
    </row>
    <row r="416" spans="10:49" ht="13.95" customHeight="1" x14ac:dyDescent="0.25">
      <c r="J416" s="149"/>
      <c r="K416" s="149"/>
      <c r="P416" s="149"/>
      <c r="Q416" s="252"/>
      <c r="AW416" s="149"/>
    </row>
    <row r="417" spans="10:49" ht="13.95" customHeight="1" x14ac:dyDescent="0.25">
      <c r="J417" s="149"/>
      <c r="K417" s="149"/>
      <c r="P417" s="149"/>
      <c r="Q417" s="252"/>
      <c r="AW417" s="149"/>
    </row>
    <row r="418" spans="10:49" ht="13.95" customHeight="1" x14ac:dyDescent="0.25">
      <c r="J418" s="149"/>
      <c r="K418" s="149"/>
      <c r="P418" s="149"/>
      <c r="Q418" s="252"/>
      <c r="AW418" s="149"/>
    </row>
    <row r="419" spans="10:49" ht="13.95" customHeight="1" x14ac:dyDescent="0.25">
      <c r="J419" s="149"/>
      <c r="K419" s="149"/>
      <c r="P419" s="149"/>
      <c r="Q419" s="252"/>
      <c r="AW419" s="149"/>
    </row>
    <row r="420" spans="10:49" ht="13.95" customHeight="1" x14ac:dyDescent="0.25">
      <c r="J420" s="149"/>
      <c r="K420" s="149"/>
      <c r="P420" s="149"/>
      <c r="Q420" s="252"/>
      <c r="AW420" s="149"/>
    </row>
    <row r="421" spans="10:49" ht="13.95" customHeight="1" x14ac:dyDescent="0.25">
      <c r="J421" s="149"/>
      <c r="K421" s="149"/>
      <c r="P421" s="149"/>
      <c r="Q421" s="252"/>
      <c r="AW421" s="149"/>
    </row>
    <row r="422" spans="10:49" ht="13.95" customHeight="1" x14ac:dyDescent="0.25">
      <c r="J422" s="149"/>
      <c r="K422" s="149"/>
      <c r="P422" s="149"/>
      <c r="Q422" s="252"/>
      <c r="AW422" s="149"/>
    </row>
    <row r="423" spans="10:49" ht="13.95" customHeight="1" x14ac:dyDescent="0.25">
      <c r="J423" s="149"/>
      <c r="K423" s="149"/>
      <c r="P423" s="149"/>
      <c r="Q423" s="252"/>
      <c r="AW423" s="149"/>
    </row>
    <row r="424" spans="10:49" ht="13.95" customHeight="1" x14ac:dyDescent="0.25">
      <c r="J424" s="149"/>
      <c r="K424" s="149"/>
      <c r="P424" s="149"/>
      <c r="Q424" s="252"/>
      <c r="AW424" s="149"/>
    </row>
    <row r="425" spans="10:49" ht="13.95" customHeight="1" x14ac:dyDescent="0.25">
      <c r="J425" s="149"/>
      <c r="K425" s="149"/>
      <c r="P425" s="149"/>
      <c r="Q425" s="252"/>
      <c r="AW425" s="149"/>
    </row>
    <row r="426" spans="10:49" ht="13.95" customHeight="1" x14ac:dyDescent="0.25">
      <c r="J426" s="149"/>
      <c r="K426" s="149"/>
      <c r="P426" s="149"/>
      <c r="Q426" s="252"/>
      <c r="AW426" s="149"/>
    </row>
    <row r="427" spans="10:49" ht="13.2" x14ac:dyDescent="0.25">
      <c r="J427" s="149"/>
      <c r="K427" s="149"/>
      <c r="P427" s="149"/>
      <c r="Q427" s="252"/>
    </row>
    <row r="428" spans="10:49" ht="13.2" x14ac:dyDescent="0.25">
      <c r="J428" s="149"/>
      <c r="K428" s="149"/>
      <c r="P428" s="149"/>
      <c r="Q428" s="252"/>
    </row>
    <row r="429" spans="10:49" ht="13.2" x14ac:dyDescent="0.25">
      <c r="J429" s="149"/>
      <c r="K429" s="149"/>
      <c r="P429" s="149"/>
      <c r="Q429" s="252"/>
    </row>
    <row r="430" spans="10:49" ht="13.2" x14ac:dyDescent="0.25">
      <c r="J430" s="149"/>
      <c r="K430" s="149"/>
      <c r="P430" s="149"/>
      <c r="Q430" s="252"/>
    </row>
    <row r="431" spans="10:49" ht="13.2" x14ac:dyDescent="0.25">
      <c r="J431" s="149"/>
      <c r="K431" s="149"/>
      <c r="P431" s="149"/>
      <c r="Q431" s="252"/>
    </row>
    <row r="432" spans="10:49" ht="13.2" x14ac:dyDescent="0.25">
      <c r="J432" s="149"/>
      <c r="K432" s="149"/>
      <c r="P432" s="149"/>
      <c r="Q432" s="252"/>
    </row>
    <row r="433" spans="10:49" ht="13.2" x14ac:dyDescent="0.25">
      <c r="J433" s="149"/>
      <c r="K433" s="149"/>
      <c r="P433" s="149"/>
      <c r="Q433" s="252"/>
    </row>
    <row r="434" spans="10:49" ht="13.2" x14ac:dyDescent="0.25">
      <c r="J434" s="149"/>
      <c r="K434" s="149"/>
      <c r="P434" s="149"/>
      <c r="Q434" s="252"/>
    </row>
    <row r="435" spans="10:49" ht="13.2" x14ac:dyDescent="0.25">
      <c r="J435" s="149"/>
      <c r="K435" s="149"/>
      <c r="P435" s="149"/>
      <c r="Q435" s="252"/>
      <c r="AV435" s="173"/>
      <c r="AW435" s="149"/>
    </row>
    <row r="436" spans="10:49" ht="13.2" x14ac:dyDescent="0.25">
      <c r="J436" s="149"/>
      <c r="K436" s="149"/>
      <c r="P436" s="149"/>
      <c r="Q436" s="252"/>
      <c r="AU436" s="173"/>
      <c r="AW436" s="149"/>
    </row>
    <row r="437" spans="10:49" x14ac:dyDescent="0.25">
      <c r="Q437" s="252"/>
    </row>
    <row r="438" spans="10:49" x14ac:dyDescent="0.25">
      <c r="Q438" s="252"/>
    </row>
    <row r="439" spans="10:49" x14ac:dyDescent="0.25">
      <c r="Q439" s="252"/>
    </row>
    <row r="440" spans="10:49" x14ac:dyDescent="0.25">
      <c r="Q440" s="252"/>
    </row>
    <row r="441" spans="10:49" x14ac:dyDescent="0.25">
      <c r="Q441" s="252"/>
    </row>
    <row r="442" spans="10:49" x14ac:dyDescent="0.25">
      <c r="Q442" s="252"/>
    </row>
    <row r="443" spans="10:49" x14ac:dyDescent="0.25">
      <c r="Q443" s="252"/>
    </row>
    <row r="444" spans="10:49" x14ac:dyDescent="0.25">
      <c r="Q444" s="252"/>
    </row>
    <row r="445" spans="10:49" x14ac:dyDescent="0.25">
      <c r="Q445" s="252"/>
    </row>
    <row r="446" spans="10:49" x14ac:dyDescent="0.25">
      <c r="Q446" s="252"/>
    </row>
    <row r="447" spans="10:49" x14ac:dyDescent="0.25">
      <c r="Q447" s="252"/>
    </row>
    <row r="448" spans="10:49" x14ac:dyDescent="0.25">
      <c r="Q448" s="252"/>
    </row>
    <row r="449" spans="17:17" s="149" customFormat="1" ht="13.2" x14ac:dyDescent="0.25">
      <c r="Q449" s="252"/>
    </row>
    <row r="450" spans="17:17" s="149" customFormat="1" ht="13.2" x14ac:dyDescent="0.25">
      <c r="Q450" s="252"/>
    </row>
    <row r="451" spans="17:17" s="149" customFormat="1" ht="13.2" x14ac:dyDescent="0.25">
      <c r="Q451" s="252"/>
    </row>
    <row r="452" spans="17:17" s="149" customFormat="1" ht="13.2" x14ac:dyDescent="0.25">
      <c r="Q452" s="252"/>
    </row>
    <row r="453" spans="17:17" s="149" customFormat="1" ht="13.2" x14ac:dyDescent="0.25">
      <c r="Q453" s="252"/>
    </row>
    <row r="454" spans="17:17" s="149" customFormat="1" ht="13.2" x14ac:dyDescent="0.25">
      <c r="Q454" s="252"/>
    </row>
    <row r="455" spans="17:17" s="149" customFormat="1" ht="13.2" x14ac:dyDescent="0.25">
      <c r="Q455" s="252"/>
    </row>
    <row r="456" spans="17:17" s="149" customFormat="1" ht="13.2" x14ac:dyDescent="0.25">
      <c r="Q456" s="252"/>
    </row>
    <row r="457" spans="17:17" s="149" customFormat="1" ht="13.2" x14ac:dyDescent="0.25">
      <c r="Q457" s="252"/>
    </row>
    <row r="458" spans="17:17" s="149" customFormat="1" ht="13.2" x14ac:dyDescent="0.25">
      <c r="Q458" s="252"/>
    </row>
    <row r="459" spans="17:17" s="149" customFormat="1" ht="13.2" x14ac:dyDescent="0.25">
      <c r="Q459" s="252"/>
    </row>
    <row r="460" spans="17:17" s="149" customFormat="1" ht="13.2" x14ac:dyDescent="0.25">
      <c r="Q460" s="252"/>
    </row>
    <row r="461" spans="17:17" s="149" customFormat="1" ht="13.2" x14ac:dyDescent="0.25">
      <c r="Q461" s="252"/>
    </row>
    <row r="462" spans="17:17" s="149" customFormat="1" ht="13.2" x14ac:dyDescent="0.25">
      <c r="Q462" s="252"/>
    </row>
    <row r="463" spans="17:17" s="149" customFormat="1" ht="13.2" x14ac:dyDescent="0.25">
      <c r="Q463" s="252"/>
    </row>
    <row r="464" spans="17:17" s="149" customFormat="1" ht="13.2" x14ac:dyDescent="0.25">
      <c r="Q464" s="252"/>
    </row>
    <row r="465" spans="17:17" s="149" customFormat="1" ht="13.2" x14ac:dyDescent="0.25">
      <c r="Q465" s="252"/>
    </row>
    <row r="466" spans="17:17" s="149" customFormat="1" ht="13.2" x14ac:dyDescent="0.25">
      <c r="Q466" s="252"/>
    </row>
    <row r="467" spans="17:17" s="149" customFormat="1" ht="13.2" x14ac:dyDescent="0.25">
      <c r="Q467" s="252"/>
    </row>
    <row r="468" spans="17:17" s="149" customFormat="1" ht="13.2" x14ac:dyDescent="0.25">
      <c r="Q468" s="252"/>
    </row>
    <row r="469" spans="17:17" s="149" customFormat="1" ht="13.2" x14ac:dyDescent="0.25">
      <c r="Q469" s="252"/>
    </row>
    <row r="470" spans="17:17" s="149" customFormat="1" ht="13.2" x14ac:dyDescent="0.25">
      <c r="Q470" s="252"/>
    </row>
    <row r="471" spans="17:17" s="149" customFormat="1" ht="13.2" x14ac:dyDescent="0.25">
      <c r="Q471" s="252"/>
    </row>
    <row r="472" spans="17:17" s="149" customFormat="1" ht="13.2" x14ac:dyDescent="0.25">
      <c r="Q472" s="252"/>
    </row>
    <row r="473" spans="17:17" s="149" customFormat="1" ht="13.2" x14ac:dyDescent="0.25">
      <c r="Q473" s="252"/>
    </row>
    <row r="474" spans="17:17" s="149" customFormat="1" ht="13.2" x14ac:dyDescent="0.25">
      <c r="Q474" s="252"/>
    </row>
    <row r="475" spans="17:17" s="149" customFormat="1" ht="13.2" x14ac:dyDescent="0.25">
      <c r="Q475" s="252"/>
    </row>
    <row r="476" spans="17:17" s="149" customFormat="1" ht="13.2" x14ac:dyDescent="0.25">
      <c r="Q476" s="252"/>
    </row>
    <row r="477" spans="17:17" s="149" customFormat="1" ht="13.2" x14ac:dyDescent="0.25">
      <c r="Q477" s="252"/>
    </row>
    <row r="478" spans="17:17" s="149" customFormat="1" ht="13.2" x14ac:dyDescent="0.25">
      <c r="Q478" s="252"/>
    </row>
    <row r="479" spans="17:17" s="149" customFormat="1" ht="13.2" x14ac:dyDescent="0.25">
      <c r="Q479" s="252"/>
    </row>
    <row r="480" spans="17:17" s="149" customFormat="1" ht="13.2" x14ac:dyDescent="0.25">
      <c r="Q480" s="252"/>
    </row>
    <row r="481" spans="17:17" s="149" customFormat="1" ht="13.2" x14ac:dyDescent="0.25">
      <c r="Q481" s="252"/>
    </row>
    <row r="482" spans="17:17" s="149" customFormat="1" ht="13.2" x14ac:dyDescent="0.25">
      <c r="Q482" s="252"/>
    </row>
    <row r="483" spans="17:17" s="149" customFormat="1" ht="13.2" x14ac:dyDescent="0.25">
      <c r="Q483" s="252"/>
    </row>
    <row r="484" spans="17:17" s="149" customFormat="1" ht="13.2" x14ac:dyDescent="0.25">
      <c r="Q484" s="252"/>
    </row>
    <row r="485" spans="17:17" s="149" customFormat="1" ht="13.2" x14ac:dyDescent="0.25">
      <c r="Q485" s="252"/>
    </row>
    <row r="486" spans="17:17" s="149" customFormat="1" ht="13.2" x14ac:dyDescent="0.25">
      <c r="Q486" s="252"/>
    </row>
    <row r="487" spans="17:17" s="149" customFormat="1" ht="13.2" x14ac:dyDescent="0.25">
      <c r="Q487" s="252"/>
    </row>
    <row r="488" spans="17:17" s="149" customFormat="1" ht="13.2" x14ac:dyDescent="0.25">
      <c r="Q488" s="253"/>
    </row>
    <row r="489" spans="17:17" s="149" customFormat="1" ht="13.2" x14ac:dyDescent="0.25">
      <c r="Q489" s="253"/>
    </row>
    <row r="490" spans="17:17" s="149" customFormat="1" ht="13.2" x14ac:dyDescent="0.25">
      <c r="Q490" s="253"/>
    </row>
    <row r="491" spans="17:17" s="149" customFormat="1" ht="13.2" x14ac:dyDescent="0.25">
      <c r="Q491" s="253"/>
    </row>
    <row r="492" spans="17:17" s="149" customFormat="1" ht="13.2" x14ac:dyDescent="0.25">
      <c r="Q492" s="253"/>
    </row>
    <row r="493" spans="17:17" s="149" customFormat="1" ht="13.2" x14ac:dyDescent="0.25">
      <c r="Q493" s="253"/>
    </row>
    <row r="494" spans="17:17" s="149" customFormat="1" ht="13.2" x14ac:dyDescent="0.25">
      <c r="Q494" s="253"/>
    </row>
    <row r="495" spans="17:17" s="149" customFormat="1" ht="13.2" x14ac:dyDescent="0.25">
      <c r="Q495" s="253"/>
    </row>
    <row r="496" spans="17:17" s="149" customFormat="1" ht="13.2" x14ac:dyDescent="0.25">
      <c r="Q496" s="253"/>
    </row>
    <row r="497" spans="17:17" s="149" customFormat="1" ht="13.2" x14ac:dyDescent="0.25">
      <c r="Q497" s="253"/>
    </row>
    <row r="498" spans="17:17" s="149" customFormat="1" ht="13.2" x14ac:dyDescent="0.25">
      <c r="Q498" s="253"/>
    </row>
    <row r="499" spans="17:17" s="149" customFormat="1" ht="13.2" x14ac:dyDescent="0.25">
      <c r="Q499" s="253"/>
    </row>
    <row r="500" spans="17:17" s="149" customFormat="1" ht="13.2" x14ac:dyDescent="0.25">
      <c r="Q500" s="253"/>
    </row>
    <row r="501" spans="17:17" s="149" customFormat="1" ht="13.2" x14ac:dyDescent="0.25">
      <c r="Q501" s="253"/>
    </row>
    <row r="502" spans="17:17" s="149" customFormat="1" ht="13.2" x14ac:dyDescent="0.25">
      <c r="Q502" s="253"/>
    </row>
    <row r="503" spans="17:17" s="149" customFormat="1" ht="13.2" x14ac:dyDescent="0.25">
      <c r="Q503" s="253"/>
    </row>
    <row r="504" spans="17:17" s="149" customFormat="1" ht="13.2" x14ac:dyDescent="0.25">
      <c r="Q504" s="253"/>
    </row>
    <row r="505" spans="17:17" s="149" customFormat="1" ht="13.2" x14ac:dyDescent="0.25">
      <c r="Q505" s="253"/>
    </row>
    <row r="506" spans="17:17" s="149" customFormat="1" ht="13.2" x14ac:dyDescent="0.25">
      <c r="Q506" s="253"/>
    </row>
    <row r="507" spans="17:17" s="149" customFormat="1" ht="13.2" x14ac:dyDescent="0.25">
      <c r="Q507" s="253"/>
    </row>
    <row r="508" spans="17:17" s="149" customFormat="1" ht="13.2" x14ac:dyDescent="0.25">
      <c r="Q508" s="253"/>
    </row>
    <row r="509" spans="17:17" s="149" customFormat="1" ht="13.2" x14ac:dyDescent="0.25">
      <c r="Q509" s="253"/>
    </row>
    <row r="510" spans="17:17" s="149" customFormat="1" ht="13.2" x14ac:dyDescent="0.25">
      <c r="Q510" s="253"/>
    </row>
    <row r="511" spans="17:17" s="149" customFormat="1" ht="13.2" x14ac:dyDescent="0.25">
      <c r="Q511" s="253"/>
    </row>
    <row r="512" spans="17:17" s="149" customFormat="1" ht="13.2" x14ac:dyDescent="0.25">
      <c r="Q512" s="253"/>
    </row>
    <row r="513" spans="17:17" s="149" customFormat="1" ht="13.2" x14ac:dyDescent="0.25">
      <c r="Q513" s="253"/>
    </row>
    <row r="514" spans="17:17" s="149" customFormat="1" ht="13.2" x14ac:dyDescent="0.25">
      <c r="Q514" s="253"/>
    </row>
    <row r="515" spans="17:17" s="149" customFormat="1" ht="13.2" x14ac:dyDescent="0.25">
      <c r="Q515" s="253"/>
    </row>
    <row r="516" spans="17:17" s="149" customFormat="1" ht="13.2" x14ac:dyDescent="0.25">
      <c r="Q516" s="253"/>
    </row>
    <row r="517" spans="17:17" s="149" customFormat="1" ht="13.2" x14ac:dyDescent="0.25">
      <c r="Q517" s="253"/>
    </row>
    <row r="518" spans="17:17" s="149" customFormat="1" ht="13.2" x14ac:dyDescent="0.25">
      <c r="Q518" s="253"/>
    </row>
    <row r="519" spans="17:17" s="149" customFormat="1" ht="13.2" x14ac:dyDescent="0.25">
      <c r="Q519" s="253"/>
    </row>
    <row r="520" spans="17:17" s="149" customFormat="1" ht="13.2" x14ac:dyDescent="0.25">
      <c r="Q520" s="253"/>
    </row>
    <row r="521" spans="17:17" s="149" customFormat="1" ht="13.2" x14ac:dyDescent="0.25">
      <c r="Q521" s="253"/>
    </row>
    <row r="522" spans="17:17" s="149" customFormat="1" ht="13.2" x14ac:dyDescent="0.25">
      <c r="Q522" s="253"/>
    </row>
    <row r="523" spans="17:17" s="149" customFormat="1" ht="13.2" x14ac:dyDescent="0.25">
      <c r="Q523" s="253"/>
    </row>
    <row r="524" spans="17:17" s="149" customFormat="1" ht="13.2" x14ac:dyDescent="0.25">
      <c r="Q524" s="253"/>
    </row>
    <row r="525" spans="17:17" s="149" customFormat="1" ht="13.2" x14ac:dyDescent="0.25">
      <c r="Q525" s="253"/>
    </row>
    <row r="526" spans="17:17" s="149" customFormat="1" ht="13.2" x14ac:dyDescent="0.25">
      <c r="Q526" s="253"/>
    </row>
    <row r="527" spans="17:17" s="149" customFormat="1" ht="13.2" x14ac:dyDescent="0.25">
      <c r="Q527" s="253"/>
    </row>
    <row r="528" spans="17:17" s="149" customFormat="1" ht="13.2" x14ac:dyDescent="0.25">
      <c r="Q528" s="253"/>
    </row>
    <row r="529" spans="17:17" s="149" customFormat="1" ht="13.2" x14ac:dyDescent="0.25">
      <c r="Q529" s="253"/>
    </row>
    <row r="530" spans="17:17" s="149" customFormat="1" ht="13.2" x14ac:dyDescent="0.25">
      <c r="Q530" s="253"/>
    </row>
    <row r="531" spans="17:17" s="149" customFormat="1" ht="13.2" x14ac:dyDescent="0.25">
      <c r="Q531" s="253"/>
    </row>
    <row r="532" spans="17:17" s="149" customFormat="1" ht="13.2" x14ac:dyDescent="0.25">
      <c r="Q532" s="253"/>
    </row>
    <row r="533" spans="17:17" s="149" customFormat="1" ht="13.2" x14ac:dyDescent="0.25">
      <c r="Q533" s="253"/>
    </row>
    <row r="534" spans="17:17" s="149" customFormat="1" ht="13.2" x14ac:dyDescent="0.25">
      <c r="Q534" s="253"/>
    </row>
    <row r="535" spans="17:17" s="149" customFormat="1" ht="13.2" x14ac:dyDescent="0.25">
      <c r="Q535" s="253"/>
    </row>
    <row r="536" spans="17:17" s="149" customFormat="1" ht="13.2" x14ac:dyDescent="0.25">
      <c r="Q536" s="253"/>
    </row>
    <row r="537" spans="17:17" s="149" customFormat="1" ht="13.2" x14ac:dyDescent="0.25">
      <c r="Q537" s="253"/>
    </row>
    <row r="538" spans="17:17" s="149" customFormat="1" ht="13.2" x14ac:dyDescent="0.25">
      <c r="Q538" s="253"/>
    </row>
    <row r="539" spans="17:17" s="149" customFormat="1" ht="13.2" x14ac:dyDescent="0.25">
      <c r="Q539" s="253"/>
    </row>
    <row r="540" spans="17:17" s="149" customFormat="1" ht="13.2" x14ac:dyDescent="0.25">
      <c r="Q540" s="253"/>
    </row>
    <row r="541" spans="17:17" s="149" customFormat="1" ht="13.2" x14ac:dyDescent="0.25">
      <c r="Q541" s="253"/>
    </row>
    <row r="542" spans="17:17" s="149" customFormat="1" ht="13.2" x14ac:dyDescent="0.25">
      <c r="Q542" s="253"/>
    </row>
    <row r="543" spans="17:17" s="149" customFormat="1" ht="13.2" x14ac:dyDescent="0.25">
      <c r="Q543" s="253"/>
    </row>
    <row r="544" spans="17:17" s="149" customFormat="1" ht="13.2" x14ac:dyDescent="0.25">
      <c r="Q544" s="253"/>
    </row>
    <row r="545" spans="17:17" s="149" customFormat="1" ht="13.2" x14ac:dyDescent="0.25">
      <c r="Q545" s="253"/>
    </row>
    <row r="546" spans="17:17" s="149" customFormat="1" ht="13.2" x14ac:dyDescent="0.25">
      <c r="Q546" s="253"/>
    </row>
    <row r="547" spans="17:17" s="149" customFormat="1" ht="13.2" x14ac:dyDescent="0.25">
      <c r="Q547" s="253"/>
    </row>
    <row r="548" spans="17:17" s="149" customFormat="1" ht="13.2" x14ac:dyDescent="0.25">
      <c r="Q548" s="253"/>
    </row>
    <row r="549" spans="17:17" s="149" customFormat="1" ht="13.2" x14ac:dyDescent="0.25">
      <c r="Q549" s="253"/>
    </row>
    <row r="550" spans="17:17" s="149" customFormat="1" ht="13.2" x14ac:dyDescent="0.25">
      <c r="Q550" s="253"/>
    </row>
    <row r="551" spans="17:17" s="149" customFormat="1" ht="13.2" x14ac:dyDescent="0.25">
      <c r="Q551" s="253"/>
    </row>
    <row r="552" spans="17:17" s="149" customFormat="1" ht="13.2" x14ac:dyDescent="0.25">
      <c r="Q552" s="253"/>
    </row>
    <row r="553" spans="17:17" s="149" customFormat="1" ht="13.2" x14ac:dyDescent="0.25">
      <c r="Q553" s="253"/>
    </row>
    <row r="554" spans="17:17" s="149" customFormat="1" ht="13.2" x14ac:dyDescent="0.25">
      <c r="Q554" s="253"/>
    </row>
    <row r="555" spans="17:17" s="149" customFormat="1" ht="13.2" x14ac:dyDescent="0.25">
      <c r="Q555" s="253"/>
    </row>
    <row r="556" spans="17:17" s="149" customFormat="1" ht="13.2" x14ac:dyDescent="0.25">
      <c r="Q556" s="253"/>
    </row>
    <row r="557" spans="17:17" s="149" customFormat="1" ht="13.2" x14ac:dyDescent="0.25">
      <c r="Q557" s="253"/>
    </row>
    <row r="558" spans="17:17" s="149" customFormat="1" ht="13.2" x14ac:dyDescent="0.25">
      <c r="Q558" s="253"/>
    </row>
    <row r="559" spans="17:17" s="149" customFormat="1" ht="13.2" x14ac:dyDescent="0.25">
      <c r="Q559" s="253"/>
    </row>
    <row r="560" spans="17:17" s="149" customFormat="1" ht="13.2" x14ac:dyDescent="0.25">
      <c r="Q560" s="253"/>
    </row>
    <row r="561" spans="17:17" s="149" customFormat="1" ht="13.2" x14ac:dyDescent="0.25">
      <c r="Q561" s="253"/>
    </row>
    <row r="562" spans="17:17" s="149" customFormat="1" ht="13.2" x14ac:dyDescent="0.25">
      <c r="Q562" s="253"/>
    </row>
    <row r="563" spans="17:17" s="149" customFormat="1" ht="13.2" x14ac:dyDescent="0.25">
      <c r="Q563" s="253"/>
    </row>
    <row r="564" spans="17:17" s="149" customFormat="1" ht="13.2" x14ac:dyDescent="0.25">
      <c r="Q564" s="253"/>
    </row>
    <row r="565" spans="17:17" s="149" customFormat="1" ht="13.2" x14ac:dyDescent="0.25">
      <c r="Q565" s="253"/>
    </row>
    <row r="566" spans="17:17" s="149" customFormat="1" ht="13.2" x14ac:dyDescent="0.25">
      <c r="Q566" s="253"/>
    </row>
    <row r="567" spans="17:17" s="149" customFormat="1" ht="13.2" x14ac:dyDescent="0.25">
      <c r="Q567" s="253"/>
    </row>
    <row r="568" spans="17:17" s="149" customFormat="1" ht="13.2" x14ac:dyDescent="0.25">
      <c r="Q568" s="253"/>
    </row>
    <row r="569" spans="17:17" s="149" customFormat="1" ht="13.2" x14ac:dyDescent="0.25">
      <c r="Q569" s="253"/>
    </row>
    <row r="570" spans="17:17" s="149" customFormat="1" ht="13.2" x14ac:dyDescent="0.25">
      <c r="Q570" s="253"/>
    </row>
    <row r="571" spans="17:17" s="149" customFormat="1" ht="13.2" x14ac:dyDescent="0.25">
      <c r="Q571" s="253"/>
    </row>
    <row r="572" spans="17:17" s="149" customFormat="1" ht="13.2" x14ac:dyDescent="0.25">
      <c r="Q572" s="253"/>
    </row>
    <row r="573" spans="17:17" s="149" customFormat="1" ht="13.2" x14ac:dyDescent="0.25">
      <c r="Q573" s="253"/>
    </row>
    <row r="574" spans="17:17" s="149" customFormat="1" ht="13.2" x14ac:dyDescent="0.25">
      <c r="Q574" s="253"/>
    </row>
    <row r="575" spans="17:17" s="149" customFormat="1" ht="13.2" x14ac:dyDescent="0.25">
      <c r="Q575" s="253"/>
    </row>
    <row r="576" spans="17:17" s="149" customFormat="1" ht="13.2" x14ac:dyDescent="0.25">
      <c r="Q576" s="253"/>
    </row>
    <row r="577" spans="17:17" s="149" customFormat="1" ht="13.2" x14ac:dyDescent="0.25">
      <c r="Q577" s="253"/>
    </row>
    <row r="578" spans="17:17" s="149" customFormat="1" ht="13.2" x14ac:dyDescent="0.25">
      <c r="Q578" s="253"/>
    </row>
    <row r="579" spans="17:17" s="149" customFormat="1" ht="13.2" x14ac:dyDescent="0.25">
      <c r="Q579" s="253"/>
    </row>
    <row r="580" spans="17:17" s="149" customFormat="1" ht="13.2" x14ac:dyDescent="0.25">
      <c r="Q580" s="253"/>
    </row>
    <row r="581" spans="17:17" s="149" customFormat="1" ht="13.2" x14ac:dyDescent="0.25">
      <c r="Q581" s="253"/>
    </row>
    <row r="582" spans="17:17" s="149" customFormat="1" ht="13.2" x14ac:dyDescent="0.25">
      <c r="Q582" s="253"/>
    </row>
    <row r="583" spans="17:17" s="149" customFormat="1" ht="13.2" x14ac:dyDescent="0.25">
      <c r="Q583" s="253"/>
    </row>
    <row r="584" spans="17:17" s="149" customFormat="1" ht="13.2" x14ac:dyDescent="0.25">
      <c r="Q584" s="253"/>
    </row>
    <row r="585" spans="17:17" s="149" customFormat="1" ht="13.2" x14ac:dyDescent="0.25">
      <c r="Q585" s="253"/>
    </row>
    <row r="586" spans="17:17" s="149" customFormat="1" ht="13.2" x14ac:dyDescent="0.25">
      <c r="Q586" s="253"/>
    </row>
    <row r="587" spans="17:17" s="149" customFormat="1" ht="13.2" x14ac:dyDescent="0.25">
      <c r="Q587" s="253"/>
    </row>
    <row r="588" spans="17:17" s="149" customFormat="1" ht="13.2" x14ac:dyDescent="0.25">
      <c r="Q588" s="253"/>
    </row>
    <row r="589" spans="17:17" s="149" customFormat="1" ht="13.2" x14ac:dyDescent="0.25">
      <c r="Q589" s="253"/>
    </row>
    <row r="590" spans="17:17" s="149" customFormat="1" ht="13.2" x14ac:dyDescent="0.25">
      <c r="Q590" s="253"/>
    </row>
    <row r="591" spans="17:17" s="149" customFormat="1" ht="13.2" x14ac:dyDescent="0.25">
      <c r="Q591" s="253"/>
    </row>
    <row r="592" spans="17:17" s="149" customFormat="1" ht="13.2" x14ac:dyDescent="0.25">
      <c r="Q592" s="253"/>
    </row>
    <row r="593" spans="17:17" s="149" customFormat="1" ht="13.2" x14ac:dyDescent="0.25">
      <c r="Q593" s="253"/>
    </row>
    <row r="594" spans="17:17" s="149" customFormat="1" ht="13.2" x14ac:dyDescent="0.25">
      <c r="Q594" s="253"/>
    </row>
    <row r="595" spans="17:17" s="149" customFormat="1" ht="13.2" x14ac:dyDescent="0.25">
      <c r="Q595" s="253"/>
    </row>
    <row r="596" spans="17:17" s="149" customFormat="1" ht="13.2" x14ac:dyDescent="0.25">
      <c r="Q596" s="253"/>
    </row>
    <row r="597" spans="17:17" s="149" customFormat="1" ht="13.2" x14ac:dyDescent="0.25">
      <c r="Q597" s="253"/>
    </row>
    <row r="598" spans="17:17" s="149" customFormat="1" ht="13.2" x14ac:dyDescent="0.25">
      <c r="Q598" s="253"/>
    </row>
    <row r="599" spans="17:17" s="149" customFormat="1" ht="13.2" x14ac:dyDescent="0.25">
      <c r="Q599" s="253"/>
    </row>
    <row r="600" spans="17:17" s="149" customFormat="1" ht="13.2" x14ac:dyDescent="0.25">
      <c r="Q600" s="253"/>
    </row>
    <row r="601" spans="17:17" s="149" customFormat="1" ht="13.2" x14ac:dyDescent="0.25">
      <c r="Q601" s="253"/>
    </row>
    <row r="602" spans="17:17" s="149" customFormat="1" ht="13.2" x14ac:dyDescent="0.25">
      <c r="Q602" s="253"/>
    </row>
    <row r="603" spans="17:17" s="149" customFormat="1" ht="13.2" x14ac:dyDescent="0.25">
      <c r="Q603" s="253"/>
    </row>
    <row r="604" spans="17:17" s="149" customFormat="1" ht="13.2" x14ac:dyDescent="0.25">
      <c r="Q604" s="253"/>
    </row>
    <row r="605" spans="17:17" s="149" customFormat="1" ht="13.2" x14ac:dyDescent="0.25">
      <c r="Q605" s="253"/>
    </row>
    <row r="606" spans="17:17" s="149" customFormat="1" ht="13.2" x14ac:dyDescent="0.25">
      <c r="Q606" s="253"/>
    </row>
    <row r="607" spans="17:17" s="149" customFormat="1" ht="13.2" x14ac:dyDescent="0.25">
      <c r="Q607" s="253"/>
    </row>
    <row r="608" spans="17:17" s="149" customFormat="1" ht="13.2" x14ac:dyDescent="0.25">
      <c r="Q608" s="253"/>
    </row>
    <row r="609" spans="17:17" s="149" customFormat="1" ht="13.2" x14ac:dyDescent="0.25">
      <c r="Q609" s="253"/>
    </row>
    <row r="610" spans="17:17" s="149" customFormat="1" ht="13.2" x14ac:dyDescent="0.25">
      <c r="Q610" s="253"/>
    </row>
    <row r="611" spans="17:17" s="149" customFormat="1" ht="13.2" x14ac:dyDescent="0.25">
      <c r="Q611" s="253"/>
    </row>
    <row r="612" spans="17:17" s="149" customFormat="1" ht="13.2" x14ac:dyDescent="0.25">
      <c r="Q612" s="253"/>
    </row>
    <row r="613" spans="17:17" s="149" customFormat="1" ht="13.2" x14ac:dyDescent="0.25">
      <c r="Q613" s="253"/>
    </row>
    <row r="614" spans="17:17" s="149" customFormat="1" ht="13.2" x14ac:dyDescent="0.25">
      <c r="Q614" s="253"/>
    </row>
    <row r="615" spans="17:17" s="149" customFormat="1" ht="13.2" x14ac:dyDescent="0.25">
      <c r="Q615" s="253"/>
    </row>
    <row r="616" spans="17:17" s="149" customFormat="1" ht="13.2" x14ac:dyDescent="0.25">
      <c r="Q616" s="253"/>
    </row>
    <row r="617" spans="17:17" s="149" customFormat="1" ht="13.2" x14ac:dyDescent="0.25">
      <c r="Q617" s="253"/>
    </row>
    <row r="618" spans="17:17" s="149" customFormat="1" ht="13.2" x14ac:dyDescent="0.25">
      <c r="Q618" s="253"/>
    </row>
    <row r="619" spans="17:17" s="149" customFormat="1" ht="13.2" x14ac:dyDescent="0.25">
      <c r="Q619" s="253"/>
    </row>
    <row r="620" spans="17:17" s="149" customFormat="1" ht="13.2" x14ac:dyDescent="0.25">
      <c r="Q620" s="253"/>
    </row>
    <row r="621" spans="17:17" s="149" customFormat="1" ht="13.2" x14ac:dyDescent="0.25">
      <c r="Q621" s="253"/>
    </row>
    <row r="622" spans="17:17" s="149" customFormat="1" ht="13.2" x14ac:dyDescent="0.25">
      <c r="Q622" s="253"/>
    </row>
    <row r="623" spans="17:17" s="149" customFormat="1" ht="13.2" x14ac:dyDescent="0.25">
      <c r="Q623" s="253"/>
    </row>
    <row r="624" spans="17:17" s="149" customFormat="1" ht="13.2" x14ac:dyDescent="0.25">
      <c r="Q624" s="253"/>
    </row>
    <row r="625" spans="17:17" s="149" customFormat="1" ht="13.2" x14ac:dyDescent="0.25">
      <c r="Q625" s="253"/>
    </row>
    <row r="626" spans="17:17" s="149" customFormat="1" ht="13.2" x14ac:dyDescent="0.25">
      <c r="Q626" s="253"/>
    </row>
    <row r="627" spans="17:17" s="149" customFormat="1" ht="13.2" x14ac:dyDescent="0.25">
      <c r="Q627" s="253"/>
    </row>
    <row r="628" spans="17:17" s="149" customFormat="1" ht="13.2" x14ac:dyDescent="0.25">
      <c r="Q628" s="253"/>
    </row>
    <row r="629" spans="17:17" s="149" customFormat="1" ht="13.2" x14ac:dyDescent="0.25">
      <c r="Q629" s="253"/>
    </row>
    <row r="630" spans="17:17" s="149" customFormat="1" ht="13.2" x14ac:dyDescent="0.25">
      <c r="Q630" s="253"/>
    </row>
    <row r="631" spans="17:17" s="149" customFormat="1" ht="13.2" x14ac:dyDescent="0.25">
      <c r="Q631" s="253"/>
    </row>
    <row r="632" spans="17:17" s="149" customFormat="1" ht="13.2" x14ac:dyDescent="0.25">
      <c r="Q632" s="253"/>
    </row>
    <row r="633" spans="17:17" s="149" customFormat="1" ht="13.2" x14ac:dyDescent="0.25">
      <c r="Q633" s="253"/>
    </row>
    <row r="634" spans="17:17" s="149" customFormat="1" ht="13.2" x14ac:dyDescent="0.25">
      <c r="Q634" s="253"/>
    </row>
    <row r="635" spans="17:17" s="149" customFormat="1" ht="13.2" x14ac:dyDescent="0.25">
      <c r="Q635" s="253"/>
    </row>
    <row r="636" spans="17:17" s="149" customFormat="1" ht="13.2" x14ac:dyDescent="0.25">
      <c r="Q636" s="253"/>
    </row>
    <row r="637" spans="17:17" s="149" customFormat="1" ht="13.2" x14ac:dyDescent="0.25">
      <c r="Q637" s="253"/>
    </row>
    <row r="638" spans="17:17" s="149" customFormat="1" ht="13.2" x14ac:dyDescent="0.25">
      <c r="Q638" s="253"/>
    </row>
    <row r="639" spans="17:17" s="149" customFormat="1" ht="13.2" x14ac:dyDescent="0.25">
      <c r="Q639" s="253"/>
    </row>
    <row r="640" spans="17:17" s="149" customFormat="1" ht="13.2" x14ac:dyDescent="0.25">
      <c r="Q640" s="253"/>
    </row>
    <row r="641" spans="17:17" s="149" customFormat="1" ht="13.2" x14ac:dyDescent="0.25">
      <c r="Q641" s="253"/>
    </row>
    <row r="642" spans="17:17" s="149" customFormat="1" ht="13.2" x14ac:dyDescent="0.25">
      <c r="Q642" s="253"/>
    </row>
    <row r="643" spans="17:17" s="149" customFormat="1" ht="13.2" x14ac:dyDescent="0.25">
      <c r="Q643" s="253"/>
    </row>
    <row r="644" spans="17:17" s="149" customFormat="1" ht="13.2" x14ac:dyDescent="0.25">
      <c r="Q644" s="253"/>
    </row>
    <row r="645" spans="17:17" s="149" customFormat="1" ht="13.2" x14ac:dyDescent="0.25">
      <c r="Q645" s="253"/>
    </row>
    <row r="646" spans="17:17" s="149" customFormat="1" ht="13.2" x14ac:dyDescent="0.25">
      <c r="Q646" s="253"/>
    </row>
    <row r="647" spans="17:17" s="149" customFormat="1" ht="13.2" x14ac:dyDescent="0.25">
      <c r="Q647" s="253"/>
    </row>
    <row r="648" spans="17:17" s="149" customFormat="1" ht="13.2" x14ac:dyDescent="0.25">
      <c r="Q648" s="253"/>
    </row>
    <row r="649" spans="17:17" s="149" customFormat="1" ht="13.2" x14ac:dyDescent="0.25">
      <c r="Q649" s="253"/>
    </row>
    <row r="650" spans="17:17" s="149" customFormat="1" ht="13.2" x14ac:dyDescent="0.25">
      <c r="Q650" s="253"/>
    </row>
    <row r="651" spans="17:17" s="149" customFormat="1" ht="13.2" x14ac:dyDescent="0.25">
      <c r="Q651" s="253"/>
    </row>
    <row r="652" spans="17:17" s="149" customFormat="1" ht="13.2" x14ac:dyDescent="0.25">
      <c r="Q652" s="253"/>
    </row>
    <row r="653" spans="17:17" s="149" customFormat="1" ht="13.2" x14ac:dyDescent="0.25">
      <c r="Q653" s="253"/>
    </row>
    <row r="654" spans="17:17" s="149" customFormat="1" ht="13.2" x14ac:dyDescent="0.25">
      <c r="Q654" s="253"/>
    </row>
    <row r="655" spans="17:17" s="149" customFormat="1" ht="13.2" x14ac:dyDescent="0.25">
      <c r="Q655" s="253"/>
    </row>
    <row r="656" spans="17:17" s="149" customFormat="1" ht="13.2" x14ac:dyDescent="0.25">
      <c r="Q656" s="253"/>
    </row>
    <row r="657" spans="17:17" s="149" customFormat="1" ht="13.2" x14ac:dyDescent="0.25">
      <c r="Q657" s="253"/>
    </row>
    <row r="658" spans="17:17" s="149" customFormat="1" ht="13.2" x14ac:dyDescent="0.25">
      <c r="Q658" s="253"/>
    </row>
    <row r="659" spans="17:17" s="149" customFormat="1" ht="13.2" x14ac:dyDescent="0.25">
      <c r="Q659" s="253"/>
    </row>
    <row r="660" spans="17:17" s="149" customFormat="1" ht="13.2" x14ac:dyDescent="0.25">
      <c r="Q660" s="253"/>
    </row>
    <row r="661" spans="17:17" s="149" customFormat="1" ht="13.2" x14ac:dyDescent="0.25">
      <c r="Q661" s="253"/>
    </row>
    <row r="662" spans="17:17" s="149" customFormat="1" ht="13.2" x14ac:dyDescent="0.25">
      <c r="Q662" s="253"/>
    </row>
    <row r="663" spans="17:17" s="149" customFormat="1" ht="13.2" x14ac:dyDescent="0.25">
      <c r="Q663" s="253"/>
    </row>
    <row r="664" spans="17:17" s="149" customFormat="1" ht="13.2" x14ac:dyDescent="0.25">
      <c r="Q664" s="253"/>
    </row>
    <row r="665" spans="17:17" s="149" customFormat="1" ht="13.2" x14ac:dyDescent="0.25">
      <c r="Q665" s="253"/>
    </row>
    <row r="666" spans="17:17" s="149" customFormat="1" ht="13.2" x14ac:dyDescent="0.25">
      <c r="Q666" s="253"/>
    </row>
    <row r="667" spans="17:17" s="149" customFormat="1" ht="13.2" x14ac:dyDescent="0.25">
      <c r="Q667" s="253"/>
    </row>
    <row r="668" spans="17:17" s="149" customFormat="1" ht="13.2" x14ac:dyDescent="0.25">
      <c r="Q668" s="253"/>
    </row>
    <row r="669" spans="17:17" s="149" customFormat="1" ht="13.2" x14ac:dyDescent="0.25">
      <c r="Q669" s="253"/>
    </row>
    <row r="670" spans="17:17" s="149" customFormat="1" ht="13.2" x14ac:dyDescent="0.25">
      <c r="Q670" s="253"/>
    </row>
    <row r="671" spans="17:17" s="149" customFormat="1" ht="13.2" x14ac:dyDescent="0.25">
      <c r="Q671" s="253"/>
    </row>
    <row r="672" spans="17:17" s="149" customFormat="1" ht="13.2" x14ac:dyDescent="0.25">
      <c r="Q672" s="253"/>
    </row>
    <row r="673" spans="17:17" s="149" customFormat="1" ht="13.2" x14ac:dyDescent="0.25">
      <c r="Q673" s="253"/>
    </row>
    <row r="674" spans="17:17" s="149" customFormat="1" ht="13.2" x14ac:dyDescent="0.25">
      <c r="Q674" s="253"/>
    </row>
    <row r="675" spans="17:17" s="149" customFormat="1" ht="13.2" x14ac:dyDescent="0.25">
      <c r="Q675" s="253"/>
    </row>
    <row r="676" spans="17:17" s="149" customFormat="1" ht="13.2" x14ac:dyDescent="0.25">
      <c r="Q676" s="253"/>
    </row>
    <row r="677" spans="17:17" s="149" customFormat="1" ht="13.2" x14ac:dyDescent="0.25">
      <c r="Q677" s="253"/>
    </row>
    <row r="678" spans="17:17" s="149" customFormat="1" ht="13.2" x14ac:dyDescent="0.25">
      <c r="Q678" s="253"/>
    </row>
    <row r="679" spans="17:17" s="149" customFormat="1" ht="13.2" x14ac:dyDescent="0.25">
      <c r="Q679" s="253"/>
    </row>
    <row r="680" spans="17:17" s="149" customFormat="1" ht="13.2" x14ac:dyDescent="0.25">
      <c r="Q680" s="253"/>
    </row>
    <row r="681" spans="17:17" s="149" customFormat="1" ht="13.2" x14ac:dyDescent="0.25">
      <c r="Q681" s="253"/>
    </row>
    <row r="682" spans="17:17" s="149" customFormat="1" ht="13.2" x14ac:dyDescent="0.25">
      <c r="Q682" s="253"/>
    </row>
    <row r="683" spans="17:17" s="149" customFormat="1" ht="13.2" x14ac:dyDescent="0.25">
      <c r="Q683" s="253"/>
    </row>
    <row r="684" spans="17:17" s="149" customFormat="1" ht="13.2" x14ac:dyDescent="0.25">
      <c r="Q684" s="253"/>
    </row>
    <row r="685" spans="17:17" s="149" customFormat="1" ht="13.2" x14ac:dyDescent="0.25">
      <c r="Q685" s="253"/>
    </row>
    <row r="686" spans="17:17" s="149" customFormat="1" ht="13.2" x14ac:dyDescent="0.25">
      <c r="Q686" s="253"/>
    </row>
    <row r="687" spans="17:17" s="149" customFormat="1" ht="13.2" x14ac:dyDescent="0.25">
      <c r="Q687" s="253"/>
    </row>
    <row r="688" spans="17:17" s="149" customFormat="1" ht="13.2" x14ac:dyDescent="0.25">
      <c r="Q688" s="253"/>
    </row>
    <row r="689" spans="17:17" s="149" customFormat="1" ht="13.2" x14ac:dyDescent="0.25">
      <c r="Q689" s="253"/>
    </row>
    <row r="690" spans="17:17" s="149" customFormat="1" ht="13.2" x14ac:dyDescent="0.25">
      <c r="Q690" s="253"/>
    </row>
    <row r="691" spans="17:17" s="149" customFormat="1" ht="13.2" x14ac:dyDescent="0.25">
      <c r="Q691" s="253"/>
    </row>
    <row r="692" spans="17:17" s="149" customFormat="1" ht="13.2" x14ac:dyDescent="0.25">
      <c r="Q692" s="253"/>
    </row>
    <row r="693" spans="17:17" s="149" customFormat="1" ht="13.2" x14ac:dyDescent="0.25">
      <c r="Q693" s="253"/>
    </row>
    <row r="694" spans="17:17" s="149" customFormat="1" ht="13.2" x14ac:dyDescent="0.25">
      <c r="Q694" s="253"/>
    </row>
    <row r="695" spans="17:17" s="149" customFormat="1" ht="13.2" x14ac:dyDescent="0.25">
      <c r="Q695" s="253"/>
    </row>
    <row r="696" spans="17:17" s="149" customFormat="1" ht="13.2" x14ac:dyDescent="0.25">
      <c r="Q696" s="253"/>
    </row>
    <row r="697" spans="17:17" s="149" customFormat="1" ht="13.2" x14ac:dyDescent="0.25">
      <c r="Q697" s="253"/>
    </row>
    <row r="698" spans="17:17" s="149" customFormat="1" ht="13.2" x14ac:dyDescent="0.25">
      <c r="Q698" s="253"/>
    </row>
    <row r="699" spans="17:17" s="149" customFormat="1" ht="13.2" x14ac:dyDescent="0.25">
      <c r="Q699" s="253"/>
    </row>
    <row r="700" spans="17:17" s="149" customFormat="1" ht="13.2" x14ac:dyDescent="0.25">
      <c r="Q700" s="253"/>
    </row>
    <row r="701" spans="17:17" s="149" customFormat="1" ht="13.2" x14ac:dyDescent="0.25">
      <c r="Q701" s="253"/>
    </row>
    <row r="702" spans="17:17" s="149" customFormat="1" ht="13.2" x14ac:dyDescent="0.25">
      <c r="Q702" s="253"/>
    </row>
    <row r="703" spans="17:17" s="149" customFormat="1" ht="13.2" x14ac:dyDescent="0.25">
      <c r="Q703" s="253"/>
    </row>
    <row r="704" spans="17:17" s="149" customFormat="1" ht="13.2" x14ac:dyDescent="0.25">
      <c r="Q704" s="253"/>
    </row>
    <row r="705" spans="17:17" s="149" customFormat="1" ht="13.2" x14ac:dyDescent="0.25">
      <c r="Q705" s="253"/>
    </row>
    <row r="706" spans="17:17" s="149" customFormat="1" ht="13.2" x14ac:dyDescent="0.25">
      <c r="Q706" s="253"/>
    </row>
    <row r="707" spans="17:17" s="149" customFormat="1" ht="13.2" x14ac:dyDescent="0.25">
      <c r="Q707" s="253"/>
    </row>
    <row r="708" spans="17:17" s="149" customFormat="1" ht="13.2" x14ac:dyDescent="0.25">
      <c r="Q708" s="253"/>
    </row>
    <row r="709" spans="17:17" s="149" customFormat="1" ht="13.2" x14ac:dyDescent="0.25">
      <c r="Q709" s="253"/>
    </row>
    <row r="710" spans="17:17" s="149" customFormat="1" ht="13.2" x14ac:dyDescent="0.25">
      <c r="Q710" s="253"/>
    </row>
    <row r="711" spans="17:17" s="149" customFormat="1" ht="13.2" x14ac:dyDescent="0.25">
      <c r="Q711" s="253"/>
    </row>
    <row r="712" spans="17:17" s="149" customFormat="1" ht="13.2" x14ac:dyDescent="0.25">
      <c r="Q712" s="253"/>
    </row>
    <row r="713" spans="17:17" s="149" customFormat="1" ht="13.2" x14ac:dyDescent="0.25">
      <c r="Q713" s="253"/>
    </row>
    <row r="714" spans="17:17" s="149" customFormat="1" ht="13.2" x14ac:dyDescent="0.25">
      <c r="Q714" s="253"/>
    </row>
    <row r="715" spans="17:17" s="149" customFormat="1" ht="13.2" x14ac:dyDescent="0.25">
      <c r="Q715" s="253"/>
    </row>
    <row r="716" spans="17:17" s="149" customFormat="1" ht="13.2" x14ac:dyDescent="0.25">
      <c r="Q716" s="253"/>
    </row>
    <row r="717" spans="17:17" s="149" customFormat="1" ht="13.2" x14ac:dyDescent="0.25">
      <c r="Q717" s="253"/>
    </row>
    <row r="718" spans="17:17" s="149" customFormat="1" ht="13.2" x14ac:dyDescent="0.25">
      <c r="Q718" s="253"/>
    </row>
    <row r="719" spans="17:17" s="149" customFormat="1" ht="13.2" x14ac:dyDescent="0.25">
      <c r="Q719" s="253"/>
    </row>
    <row r="720" spans="17:17" s="149" customFormat="1" ht="13.2" x14ac:dyDescent="0.25">
      <c r="Q720" s="253"/>
    </row>
    <row r="721" spans="17:17" s="149" customFormat="1" ht="13.2" x14ac:dyDescent="0.25">
      <c r="Q721" s="253"/>
    </row>
    <row r="722" spans="17:17" s="149" customFormat="1" ht="13.2" x14ac:dyDescent="0.25">
      <c r="Q722" s="253"/>
    </row>
    <row r="723" spans="17:17" s="149" customFormat="1" ht="13.2" x14ac:dyDescent="0.25">
      <c r="Q723" s="253"/>
    </row>
    <row r="724" spans="17:17" s="149" customFormat="1" ht="13.2" x14ac:dyDescent="0.25">
      <c r="Q724" s="253"/>
    </row>
    <row r="725" spans="17:17" s="149" customFormat="1" ht="13.2" x14ac:dyDescent="0.25">
      <c r="Q725" s="253"/>
    </row>
    <row r="726" spans="17:17" s="149" customFormat="1" ht="13.2" x14ac:dyDescent="0.25">
      <c r="Q726" s="253"/>
    </row>
    <row r="727" spans="17:17" s="149" customFormat="1" ht="13.2" x14ac:dyDescent="0.25">
      <c r="Q727" s="253"/>
    </row>
    <row r="728" spans="17:17" s="149" customFormat="1" ht="13.2" x14ac:dyDescent="0.25">
      <c r="Q728" s="253"/>
    </row>
    <row r="729" spans="17:17" s="149" customFormat="1" ht="13.2" x14ac:dyDescent="0.25">
      <c r="Q729" s="253"/>
    </row>
    <row r="730" spans="17:17" s="149" customFormat="1" ht="13.2" x14ac:dyDescent="0.25">
      <c r="Q730" s="253"/>
    </row>
    <row r="731" spans="17:17" s="149" customFormat="1" ht="13.2" x14ac:dyDescent="0.25">
      <c r="Q731" s="253"/>
    </row>
    <row r="732" spans="17:17" s="149" customFormat="1" ht="13.2" x14ac:dyDescent="0.25">
      <c r="Q732" s="253"/>
    </row>
    <row r="733" spans="17:17" s="149" customFormat="1" ht="13.2" x14ac:dyDescent="0.25">
      <c r="Q733" s="253"/>
    </row>
    <row r="734" spans="17:17" s="149" customFormat="1" ht="13.2" x14ac:dyDescent="0.25">
      <c r="Q734" s="253"/>
    </row>
    <row r="735" spans="17:17" s="149" customFormat="1" ht="13.2" x14ac:dyDescent="0.25">
      <c r="Q735" s="253"/>
    </row>
    <row r="736" spans="17:17" s="149" customFormat="1" ht="13.2" x14ac:dyDescent="0.25">
      <c r="Q736" s="253"/>
    </row>
    <row r="737" spans="17:17" s="149" customFormat="1" ht="13.2" x14ac:dyDescent="0.25">
      <c r="Q737" s="253"/>
    </row>
    <row r="738" spans="17:17" s="149" customFormat="1" ht="13.2" x14ac:dyDescent="0.25">
      <c r="Q738" s="253"/>
    </row>
    <row r="739" spans="17:17" s="149" customFormat="1" ht="13.2" x14ac:dyDescent="0.25">
      <c r="Q739" s="253"/>
    </row>
    <row r="740" spans="17:17" s="149" customFormat="1" ht="13.2" x14ac:dyDescent="0.25">
      <c r="Q740" s="253"/>
    </row>
    <row r="741" spans="17:17" s="149" customFormat="1" ht="13.2" x14ac:dyDescent="0.25">
      <c r="Q741" s="253"/>
    </row>
    <row r="742" spans="17:17" s="149" customFormat="1" ht="13.2" x14ac:dyDescent="0.25">
      <c r="Q742" s="253"/>
    </row>
    <row r="743" spans="17:17" s="149" customFormat="1" ht="13.2" x14ac:dyDescent="0.25">
      <c r="Q743" s="253"/>
    </row>
    <row r="744" spans="17:17" s="149" customFormat="1" ht="13.2" x14ac:dyDescent="0.25">
      <c r="Q744" s="253"/>
    </row>
    <row r="745" spans="17:17" s="149" customFormat="1" ht="13.2" x14ac:dyDescent="0.25">
      <c r="Q745" s="253"/>
    </row>
    <row r="746" spans="17:17" s="149" customFormat="1" ht="13.2" x14ac:dyDescent="0.25">
      <c r="Q746" s="253"/>
    </row>
    <row r="747" spans="17:17" s="149" customFormat="1" ht="13.2" x14ac:dyDescent="0.25">
      <c r="Q747" s="253"/>
    </row>
    <row r="748" spans="17:17" s="149" customFormat="1" ht="13.2" x14ac:dyDescent="0.25">
      <c r="Q748" s="253"/>
    </row>
    <row r="749" spans="17:17" s="149" customFormat="1" ht="13.2" x14ac:dyDescent="0.25">
      <c r="Q749" s="253"/>
    </row>
    <row r="750" spans="17:17" s="149" customFormat="1" ht="13.2" x14ac:dyDescent="0.25">
      <c r="Q750" s="253"/>
    </row>
    <row r="751" spans="17:17" s="149" customFormat="1" ht="13.2" x14ac:dyDescent="0.25">
      <c r="Q751" s="253"/>
    </row>
    <row r="752" spans="17:17" s="149" customFormat="1" ht="13.2" x14ac:dyDescent="0.25">
      <c r="Q752" s="253"/>
    </row>
    <row r="753" spans="17:17" s="149" customFormat="1" ht="13.2" x14ac:dyDescent="0.25">
      <c r="Q753" s="253"/>
    </row>
    <row r="754" spans="17:17" s="149" customFormat="1" ht="13.2" x14ac:dyDescent="0.25">
      <c r="Q754" s="253"/>
    </row>
    <row r="755" spans="17:17" s="149" customFormat="1" ht="13.2" x14ac:dyDescent="0.25">
      <c r="Q755" s="253"/>
    </row>
    <row r="756" spans="17:17" s="149" customFormat="1" ht="13.2" x14ac:dyDescent="0.25">
      <c r="Q756" s="253"/>
    </row>
    <row r="757" spans="17:17" s="149" customFormat="1" ht="13.2" x14ac:dyDescent="0.25">
      <c r="Q757" s="253"/>
    </row>
    <row r="758" spans="17:17" s="149" customFormat="1" ht="13.2" x14ac:dyDescent="0.25">
      <c r="Q758" s="253"/>
    </row>
    <row r="759" spans="17:17" s="149" customFormat="1" ht="13.2" x14ac:dyDescent="0.25">
      <c r="Q759" s="253"/>
    </row>
    <row r="760" spans="17:17" s="149" customFormat="1" ht="13.2" x14ac:dyDescent="0.25">
      <c r="Q760" s="253"/>
    </row>
    <row r="761" spans="17:17" s="149" customFormat="1" ht="13.2" x14ac:dyDescent="0.25">
      <c r="Q761" s="253"/>
    </row>
    <row r="762" spans="17:17" s="149" customFormat="1" ht="13.2" x14ac:dyDescent="0.25">
      <c r="Q762" s="253"/>
    </row>
    <row r="763" spans="17:17" s="149" customFormat="1" ht="13.2" x14ac:dyDescent="0.25">
      <c r="Q763" s="253"/>
    </row>
    <row r="764" spans="17:17" s="149" customFormat="1" ht="13.2" x14ac:dyDescent="0.25">
      <c r="Q764" s="253"/>
    </row>
    <row r="765" spans="17:17" s="149" customFormat="1" ht="13.2" x14ac:dyDescent="0.25">
      <c r="Q765" s="253"/>
    </row>
    <row r="766" spans="17:17" s="149" customFormat="1" ht="13.2" x14ac:dyDescent="0.25">
      <c r="Q766" s="253"/>
    </row>
    <row r="767" spans="17:17" s="149" customFormat="1" ht="13.2" x14ac:dyDescent="0.25">
      <c r="Q767" s="253"/>
    </row>
    <row r="768" spans="17:17" s="149" customFormat="1" ht="13.2" x14ac:dyDescent="0.25">
      <c r="Q768" s="253"/>
    </row>
    <row r="769" spans="17:17" s="149" customFormat="1" ht="13.2" x14ac:dyDescent="0.25">
      <c r="Q769" s="253"/>
    </row>
    <row r="770" spans="17:17" s="149" customFormat="1" ht="13.2" x14ac:dyDescent="0.25">
      <c r="Q770" s="253"/>
    </row>
    <row r="771" spans="17:17" s="149" customFormat="1" ht="13.2" x14ac:dyDescent="0.25">
      <c r="Q771" s="253"/>
    </row>
    <row r="772" spans="17:17" s="149" customFormat="1" ht="13.2" x14ac:dyDescent="0.25">
      <c r="Q772" s="253"/>
    </row>
    <row r="773" spans="17:17" s="149" customFormat="1" ht="13.2" x14ac:dyDescent="0.25">
      <c r="Q773" s="253"/>
    </row>
    <row r="774" spans="17:17" s="149" customFormat="1" ht="13.2" x14ac:dyDescent="0.25">
      <c r="Q774" s="253"/>
    </row>
    <row r="775" spans="17:17" s="149" customFormat="1" ht="13.2" x14ac:dyDescent="0.25">
      <c r="Q775" s="253"/>
    </row>
    <row r="776" spans="17:17" s="149" customFormat="1" ht="13.2" x14ac:dyDescent="0.25">
      <c r="Q776" s="253"/>
    </row>
    <row r="777" spans="17:17" s="149" customFormat="1" ht="13.2" x14ac:dyDescent="0.25">
      <c r="Q777" s="253"/>
    </row>
    <row r="778" spans="17:17" s="149" customFormat="1" ht="13.2" x14ac:dyDescent="0.25">
      <c r="Q778" s="253"/>
    </row>
    <row r="779" spans="17:17" s="149" customFormat="1" ht="13.2" x14ac:dyDescent="0.25">
      <c r="Q779" s="253"/>
    </row>
    <row r="780" spans="17:17" s="149" customFormat="1" ht="13.2" x14ac:dyDescent="0.25">
      <c r="Q780" s="253"/>
    </row>
    <row r="781" spans="17:17" s="149" customFormat="1" ht="13.2" x14ac:dyDescent="0.25">
      <c r="Q781" s="253"/>
    </row>
    <row r="782" spans="17:17" s="149" customFormat="1" ht="13.2" x14ac:dyDescent="0.25">
      <c r="Q782" s="253"/>
    </row>
    <row r="783" spans="17:17" s="149" customFormat="1" ht="13.2" x14ac:dyDescent="0.25">
      <c r="Q783" s="253"/>
    </row>
    <row r="784" spans="17:17" s="149" customFormat="1" ht="13.2" x14ac:dyDescent="0.25">
      <c r="Q784" s="253"/>
    </row>
    <row r="785" spans="17:17" s="149" customFormat="1" ht="13.2" x14ac:dyDescent="0.25">
      <c r="Q785" s="253"/>
    </row>
    <row r="786" spans="17:17" s="149" customFormat="1" ht="13.2" x14ac:dyDescent="0.25">
      <c r="Q786" s="253"/>
    </row>
    <row r="787" spans="17:17" s="149" customFormat="1" ht="13.2" x14ac:dyDescent="0.25">
      <c r="Q787" s="253"/>
    </row>
    <row r="788" spans="17:17" s="149" customFormat="1" ht="13.2" x14ac:dyDescent="0.25">
      <c r="Q788" s="253"/>
    </row>
    <row r="789" spans="17:17" s="149" customFormat="1" ht="13.2" x14ac:dyDescent="0.25">
      <c r="Q789" s="253"/>
    </row>
    <row r="790" spans="17:17" s="149" customFormat="1" ht="13.2" x14ac:dyDescent="0.25">
      <c r="Q790" s="253"/>
    </row>
    <row r="791" spans="17:17" s="149" customFormat="1" ht="13.2" x14ac:dyDescent="0.25">
      <c r="Q791" s="253"/>
    </row>
    <row r="792" spans="17:17" s="149" customFormat="1" ht="13.2" x14ac:dyDescent="0.25">
      <c r="Q792" s="253"/>
    </row>
    <row r="793" spans="17:17" s="149" customFormat="1" ht="13.2" x14ac:dyDescent="0.25">
      <c r="Q793" s="253"/>
    </row>
    <row r="794" spans="17:17" s="149" customFormat="1" ht="13.2" x14ac:dyDescent="0.25">
      <c r="Q794" s="253"/>
    </row>
    <row r="795" spans="17:17" s="149" customFormat="1" ht="13.2" x14ac:dyDescent="0.25">
      <c r="Q795" s="253"/>
    </row>
    <row r="796" spans="17:17" s="149" customFormat="1" ht="13.2" x14ac:dyDescent="0.25">
      <c r="Q796" s="253"/>
    </row>
    <row r="797" spans="17:17" s="149" customFormat="1" ht="13.2" x14ac:dyDescent="0.25">
      <c r="Q797" s="253"/>
    </row>
    <row r="798" spans="17:17" s="149" customFormat="1" ht="13.2" x14ac:dyDescent="0.25">
      <c r="Q798" s="253"/>
    </row>
    <row r="799" spans="17:17" s="149" customFormat="1" ht="13.2" x14ac:dyDescent="0.25">
      <c r="Q799" s="253"/>
    </row>
    <row r="800" spans="17:17" s="149" customFormat="1" ht="13.2" x14ac:dyDescent="0.25">
      <c r="Q800" s="253"/>
    </row>
    <row r="801" spans="17:17" s="149" customFormat="1" ht="13.2" x14ac:dyDescent="0.25">
      <c r="Q801" s="253"/>
    </row>
    <row r="802" spans="17:17" s="149" customFormat="1" ht="13.2" x14ac:dyDescent="0.25">
      <c r="Q802" s="253"/>
    </row>
    <row r="803" spans="17:17" s="149" customFormat="1" ht="13.2" x14ac:dyDescent="0.25">
      <c r="Q803" s="253"/>
    </row>
    <row r="804" spans="17:17" s="149" customFormat="1" ht="13.2" x14ac:dyDescent="0.25">
      <c r="Q804" s="253"/>
    </row>
    <row r="805" spans="17:17" s="149" customFormat="1" ht="13.2" x14ac:dyDescent="0.25">
      <c r="Q805" s="253"/>
    </row>
    <row r="806" spans="17:17" s="149" customFormat="1" ht="13.2" x14ac:dyDescent="0.25">
      <c r="Q806" s="253"/>
    </row>
    <row r="807" spans="17:17" s="149" customFormat="1" ht="13.2" x14ac:dyDescent="0.25">
      <c r="Q807" s="253"/>
    </row>
    <row r="808" spans="17:17" s="149" customFormat="1" ht="13.2" x14ac:dyDescent="0.25">
      <c r="Q808" s="253"/>
    </row>
    <row r="809" spans="17:17" s="149" customFormat="1" ht="13.2" x14ac:dyDescent="0.25">
      <c r="Q809" s="253"/>
    </row>
    <row r="810" spans="17:17" s="149" customFormat="1" ht="13.2" x14ac:dyDescent="0.25">
      <c r="Q810" s="253"/>
    </row>
    <row r="811" spans="17:17" s="149" customFormat="1" ht="13.2" x14ac:dyDescent="0.25">
      <c r="Q811" s="253"/>
    </row>
    <row r="812" spans="17:17" s="149" customFormat="1" ht="13.2" x14ac:dyDescent="0.25">
      <c r="Q812" s="253"/>
    </row>
    <row r="813" spans="17:17" s="149" customFormat="1" ht="13.2" x14ac:dyDescent="0.25">
      <c r="Q813" s="253"/>
    </row>
    <row r="814" spans="17:17" s="149" customFormat="1" ht="13.2" x14ac:dyDescent="0.25">
      <c r="Q814" s="253"/>
    </row>
    <row r="815" spans="17:17" s="149" customFormat="1" ht="13.2" x14ac:dyDescent="0.25">
      <c r="Q815" s="253"/>
    </row>
    <row r="816" spans="17:17" s="149" customFormat="1" ht="13.2" x14ac:dyDescent="0.25">
      <c r="Q816" s="253"/>
    </row>
    <row r="817" spans="17:17" s="149" customFormat="1" ht="13.2" x14ac:dyDescent="0.25">
      <c r="Q817" s="253"/>
    </row>
    <row r="818" spans="17:17" s="149" customFormat="1" ht="13.2" x14ac:dyDescent="0.25">
      <c r="Q818" s="253"/>
    </row>
    <row r="819" spans="17:17" s="149" customFormat="1" ht="13.2" x14ac:dyDescent="0.25">
      <c r="Q819" s="253"/>
    </row>
    <row r="820" spans="17:17" s="149" customFormat="1" ht="13.2" x14ac:dyDescent="0.25">
      <c r="Q820" s="253"/>
    </row>
    <row r="821" spans="17:17" s="149" customFormat="1" ht="13.2" x14ac:dyDescent="0.25">
      <c r="Q821" s="253"/>
    </row>
    <row r="822" spans="17:17" s="149" customFormat="1" ht="13.2" x14ac:dyDescent="0.25">
      <c r="Q822" s="253"/>
    </row>
    <row r="823" spans="17:17" s="149" customFormat="1" ht="13.2" x14ac:dyDescent="0.25">
      <c r="Q823" s="253"/>
    </row>
    <row r="824" spans="17:17" s="149" customFormat="1" ht="13.2" x14ac:dyDescent="0.25">
      <c r="Q824" s="253"/>
    </row>
    <row r="825" spans="17:17" s="149" customFormat="1" ht="13.2" x14ac:dyDescent="0.25">
      <c r="Q825" s="253"/>
    </row>
    <row r="826" spans="17:17" s="149" customFormat="1" ht="13.2" x14ac:dyDescent="0.25">
      <c r="Q826" s="253"/>
    </row>
    <row r="827" spans="17:17" s="149" customFormat="1" ht="13.2" x14ac:dyDescent="0.25">
      <c r="Q827" s="253"/>
    </row>
    <row r="828" spans="17:17" s="149" customFormat="1" ht="13.2" x14ac:dyDescent="0.25">
      <c r="Q828" s="253"/>
    </row>
    <row r="829" spans="17:17" s="149" customFormat="1" ht="13.2" x14ac:dyDescent="0.25">
      <c r="Q829" s="253"/>
    </row>
    <row r="830" spans="17:17" s="149" customFormat="1" ht="13.2" x14ac:dyDescent="0.25">
      <c r="Q830" s="253"/>
    </row>
    <row r="831" spans="17:17" s="149" customFormat="1" ht="13.2" x14ac:dyDescent="0.25">
      <c r="Q831" s="253"/>
    </row>
    <row r="832" spans="17:17" s="149" customFormat="1" ht="13.2" x14ac:dyDescent="0.25">
      <c r="Q832" s="253"/>
    </row>
    <row r="833" spans="17:17" s="149" customFormat="1" ht="13.2" x14ac:dyDescent="0.25">
      <c r="Q833" s="253"/>
    </row>
    <row r="834" spans="17:17" s="149" customFormat="1" ht="13.2" x14ac:dyDescent="0.25">
      <c r="Q834" s="253"/>
    </row>
    <row r="835" spans="17:17" s="149" customFormat="1" ht="13.2" x14ac:dyDescent="0.25">
      <c r="Q835" s="253"/>
    </row>
    <row r="836" spans="17:17" s="149" customFormat="1" ht="13.2" x14ac:dyDescent="0.25">
      <c r="Q836" s="253"/>
    </row>
    <row r="837" spans="17:17" s="149" customFormat="1" ht="13.2" x14ac:dyDescent="0.25">
      <c r="Q837" s="253"/>
    </row>
    <row r="838" spans="17:17" s="149" customFormat="1" ht="13.2" x14ac:dyDescent="0.25">
      <c r="Q838" s="253"/>
    </row>
    <row r="839" spans="17:17" s="149" customFormat="1" ht="13.2" x14ac:dyDescent="0.25">
      <c r="Q839" s="253"/>
    </row>
    <row r="840" spans="17:17" s="149" customFormat="1" ht="13.2" x14ac:dyDescent="0.25">
      <c r="Q840" s="253"/>
    </row>
    <row r="841" spans="17:17" s="149" customFormat="1" ht="13.2" x14ac:dyDescent="0.25">
      <c r="Q841" s="253"/>
    </row>
    <row r="842" spans="17:17" s="149" customFormat="1" ht="13.2" x14ac:dyDescent="0.25">
      <c r="Q842" s="253"/>
    </row>
    <row r="843" spans="17:17" s="149" customFormat="1" ht="13.2" x14ac:dyDescent="0.25">
      <c r="Q843" s="253"/>
    </row>
    <row r="844" spans="17:17" s="149" customFormat="1" ht="13.2" x14ac:dyDescent="0.25">
      <c r="Q844" s="253"/>
    </row>
    <row r="845" spans="17:17" s="149" customFormat="1" ht="13.2" x14ac:dyDescent="0.25">
      <c r="Q845" s="253"/>
    </row>
    <row r="846" spans="17:17" s="149" customFormat="1" ht="13.2" x14ac:dyDescent="0.25">
      <c r="Q846" s="253"/>
    </row>
    <row r="847" spans="17:17" s="149" customFormat="1" ht="13.2" x14ac:dyDescent="0.25">
      <c r="Q847" s="253"/>
    </row>
    <row r="848" spans="17:17" s="149" customFormat="1" ht="13.2" x14ac:dyDescent="0.25">
      <c r="Q848" s="253"/>
    </row>
    <row r="849" spans="17:17" s="149" customFormat="1" ht="13.2" x14ac:dyDescent="0.25">
      <c r="Q849" s="253"/>
    </row>
    <row r="850" spans="17:17" s="149" customFormat="1" ht="13.2" x14ac:dyDescent="0.25">
      <c r="Q850" s="253"/>
    </row>
    <row r="851" spans="17:17" s="149" customFormat="1" ht="13.2" x14ac:dyDescent="0.25">
      <c r="Q851" s="253"/>
    </row>
    <row r="852" spans="17:17" s="149" customFormat="1" ht="13.2" x14ac:dyDescent="0.25">
      <c r="Q852" s="253"/>
    </row>
    <row r="853" spans="17:17" s="149" customFormat="1" ht="13.2" x14ac:dyDescent="0.25">
      <c r="Q853" s="253"/>
    </row>
    <row r="854" spans="17:17" s="149" customFormat="1" ht="13.2" x14ac:dyDescent="0.25">
      <c r="Q854" s="253"/>
    </row>
    <row r="855" spans="17:17" s="149" customFormat="1" ht="13.2" x14ac:dyDescent="0.25">
      <c r="Q855" s="253"/>
    </row>
    <row r="856" spans="17:17" s="149" customFormat="1" ht="13.2" x14ac:dyDescent="0.25">
      <c r="Q856" s="253"/>
    </row>
    <row r="857" spans="17:17" s="149" customFormat="1" ht="13.2" x14ac:dyDescent="0.25">
      <c r="Q857" s="253"/>
    </row>
    <row r="858" spans="17:17" s="149" customFormat="1" ht="13.2" x14ac:dyDescent="0.25">
      <c r="Q858" s="253"/>
    </row>
    <row r="859" spans="17:17" s="149" customFormat="1" ht="13.2" x14ac:dyDescent="0.25">
      <c r="Q859" s="253"/>
    </row>
    <row r="860" spans="17:17" s="149" customFormat="1" ht="13.2" x14ac:dyDescent="0.25">
      <c r="Q860" s="253"/>
    </row>
    <row r="861" spans="17:17" s="149" customFormat="1" ht="13.2" x14ac:dyDescent="0.25">
      <c r="Q861" s="253"/>
    </row>
    <row r="862" spans="17:17" s="149" customFormat="1" ht="13.2" x14ac:dyDescent="0.25">
      <c r="Q862" s="253"/>
    </row>
    <row r="863" spans="17:17" s="149" customFormat="1" ht="13.2" x14ac:dyDescent="0.25">
      <c r="Q863" s="253"/>
    </row>
    <row r="864" spans="17:17" s="149" customFormat="1" ht="13.2" x14ac:dyDescent="0.25">
      <c r="Q864" s="253"/>
    </row>
    <row r="865" spans="17:17" s="149" customFormat="1" ht="13.2" x14ac:dyDescent="0.25">
      <c r="Q865" s="253"/>
    </row>
    <row r="866" spans="17:17" s="149" customFormat="1" ht="13.2" x14ac:dyDescent="0.25">
      <c r="Q866" s="253"/>
    </row>
    <row r="867" spans="17:17" s="149" customFormat="1" ht="13.2" x14ac:dyDescent="0.25">
      <c r="Q867" s="253"/>
    </row>
    <row r="868" spans="17:17" s="149" customFormat="1" ht="13.2" x14ac:dyDescent="0.25">
      <c r="Q868" s="253"/>
    </row>
    <row r="869" spans="17:17" s="149" customFormat="1" ht="13.2" x14ac:dyDescent="0.25">
      <c r="Q869" s="253"/>
    </row>
    <row r="870" spans="17:17" s="149" customFormat="1" ht="13.2" x14ac:dyDescent="0.25">
      <c r="Q870" s="253"/>
    </row>
    <row r="871" spans="17:17" s="149" customFormat="1" ht="13.2" x14ac:dyDescent="0.25">
      <c r="Q871" s="253"/>
    </row>
    <row r="872" spans="17:17" s="149" customFormat="1" ht="13.2" x14ac:dyDescent="0.25">
      <c r="Q872" s="253"/>
    </row>
    <row r="873" spans="17:17" s="149" customFormat="1" ht="13.2" x14ac:dyDescent="0.25">
      <c r="Q873" s="253"/>
    </row>
    <row r="874" spans="17:17" s="149" customFormat="1" ht="13.2" x14ac:dyDescent="0.25">
      <c r="Q874" s="253"/>
    </row>
    <row r="875" spans="17:17" s="149" customFormat="1" ht="13.2" x14ac:dyDescent="0.25">
      <c r="Q875" s="253"/>
    </row>
    <row r="876" spans="17:17" s="149" customFormat="1" ht="13.2" x14ac:dyDescent="0.25">
      <c r="Q876" s="253"/>
    </row>
    <row r="877" spans="17:17" s="149" customFormat="1" ht="13.2" x14ac:dyDescent="0.25">
      <c r="Q877" s="253"/>
    </row>
    <row r="878" spans="17:17" s="149" customFormat="1" ht="13.2" x14ac:dyDescent="0.25">
      <c r="Q878" s="253"/>
    </row>
    <row r="879" spans="17:17" s="149" customFormat="1" ht="13.2" x14ac:dyDescent="0.25">
      <c r="Q879" s="253"/>
    </row>
    <row r="880" spans="17:17" s="149" customFormat="1" ht="13.2" x14ac:dyDescent="0.25">
      <c r="Q880" s="253"/>
    </row>
    <row r="881" spans="17:17" s="149" customFormat="1" ht="13.2" x14ac:dyDescent="0.25">
      <c r="Q881" s="253"/>
    </row>
    <row r="882" spans="17:17" s="149" customFormat="1" ht="13.2" x14ac:dyDescent="0.25">
      <c r="Q882" s="253"/>
    </row>
    <row r="883" spans="17:17" s="149" customFormat="1" ht="13.2" x14ac:dyDescent="0.25">
      <c r="Q883" s="253"/>
    </row>
    <row r="884" spans="17:17" s="149" customFormat="1" ht="13.2" x14ac:dyDescent="0.25">
      <c r="Q884" s="253"/>
    </row>
    <row r="885" spans="17:17" s="149" customFormat="1" ht="13.2" x14ac:dyDescent="0.25">
      <c r="Q885" s="253"/>
    </row>
    <row r="886" spans="17:17" s="149" customFormat="1" ht="13.2" x14ac:dyDescent="0.25">
      <c r="Q886" s="253"/>
    </row>
    <row r="887" spans="17:17" s="149" customFormat="1" ht="13.2" x14ac:dyDescent="0.25">
      <c r="Q887" s="253"/>
    </row>
    <row r="888" spans="17:17" s="149" customFormat="1" ht="13.2" x14ac:dyDescent="0.25">
      <c r="Q888" s="253"/>
    </row>
    <row r="889" spans="17:17" s="149" customFormat="1" ht="13.2" x14ac:dyDescent="0.25">
      <c r="Q889" s="253"/>
    </row>
    <row r="890" spans="17:17" s="149" customFormat="1" ht="13.2" x14ac:dyDescent="0.25">
      <c r="Q890" s="253"/>
    </row>
    <row r="891" spans="17:17" s="149" customFormat="1" ht="13.2" x14ac:dyDescent="0.25">
      <c r="Q891" s="253"/>
    </row>
    <row r="892" spans="17:17" s="149" customFormat="1" ht="13.2" x14ac:dyDescent="0.25">
      <c r="Q892" s="253"/>
    </row>
    <row r="893" spans="17:17" s="149" customFormat="1" ht="13.2" x14ac:dyDescent="0.25">
      <c r="Q893" s="253"/>
    </row>
    <row r="894" spans="17:17" s="149" customFormat="1" ht="13.2" x14ac:dyDescent="0.25">
      <c r="Q894" s="253"/>
    </row>
    <row r="895" spans="17:17" s="149" customFormat="1" ht="13.2" x14ac:dyDescent="0.25">
      <c r="Q895" s="253"/>
    </row>
    <row r="896" spans="17:17" s="149" customFormat="1" ht="13.2" x14ac:dyDescent="0.25">
      <c r="Q896" s="253"/>
    </row>
    <row r="897" spans="17:17" s="149" customFormat="1" ht="13.2" x14ac:dyDescent="0.25">
      <c r="Q897" s="253"/>
    </row>
    <row r="898" spans="17:17" s="149" customFormat="1" ht="13.2" x14ac:dyDescent="0.25">
      <c r="Q898" s="253"/>
    </row>
    <row r="899" spans="17:17" s="149" customFormat="1" ht="13.2" x14ac:dyDescent="0.25">
      <c r="Q899" s="253"/>
    </row>
    <row r="900" spans="17:17" s="149" customFormat="1" ht="13.2" x14ac:dyDescent="0.25">
      <c r="Q900" s="253"/>
    </row>
    <row r="901" spans="17:17" s="149" customFormat="1" ht="13.2" x14ac:dyDescent="0.25">
      <c r="Q901" s="253"/>
    </row>
    <row r="902" spans="17:17" s="149" customFormat="1" ht="13.2" x14ac:dyDescent="0.25">
      <c r="Q902" s="253"/>
    </row>
    <row r="903" spans="17:17" s="149" customFormat="1" ht="13.2" x14ac:dyDescent="0.25">
      <c r="Q903" s="253"/>
    </row>
    <row r="904" spans="17:17" s="149" customFormat="1" ht="13.2" x14ac:dyDescent="0.25">
      <c r="Q904" s="253"/>
    </row>
    <row r="905" spans="17:17" s="149" customFormat="1" ht="13.2" x14ac:dyDescent="0.25">
      <c r="Q905" s="253"/>
    </row>
    <row r="906" spans="17:17" s="149" customFormat="1" ht="13.2" x14ac:dyDescent="0.25">
      <c r="Q906" s="253"/>
    </row>
    <row r="907" spans="17:17" s="149" customFormat="1" ht="13.2" x14ac:dyDescent="0.25">
      <c r="Q907" s="253"/>
    </row>
    <row r="908" spans="17:17" s="149" customFormat="1" ht="13.2" x14ac:dyDescent="0.25">
      <c r="Q908" s="253"/>
    </row>
    <row r="909" spans="17:17" s="149" customFormat="1" ht="13.2" x14ac:dyDescent="0.25">
      <c r="Q909" s="253"/>
    </row>
    <row r="910" spans="17:17" s="149" customFormat="1" ht="13.2" x14ac:dyDescent="0.25">
      <c r="Q910" s="253"/>
    </row>
    <row r="911" spans="17:17" s="149" customFormat="1" ht="13.2" x14ac:dyDescent="0.25">
      <c r="Q911" s="253"/>
    </row>
    <row r="912" spans="17:17" s="149" customFormat="1" ht="13.2" x14ac:dyDescent="0.25">
      <c r="Q912" s="253"/>
    </row>
    <row r="913" spans="17:17" s="149" customFormat="1" ht="13.2" x14ac:dyDescent="0.25">
      <c r="Q913" s="253"/>
    </row>
    <row r="914" spans="17:17" s="149" customFormat="1" ht="13.2" x14ac:dyDescent="0.25">
      <c r="Q914" s="253"/>
    </row>
    <row r="915" spans="17:17" s="149" customFormat="1" ht="13.2" x14ac:dyDescent="0.25">
      <c r="Q915" s="253"/>
    </row>
    <row r="916" spans="17:17" s="149" customFormat="1" ht="13.2" x14ac:dyDescent="0.25">
      <c r="Q916" s="253"/>
    </row>
    <row r="917" spans="17:17" s="149" customFormat="1" ht="13.2" x14ac:dyDescent="0.25">
      <c r="Q917" s="253"/>
    </row>
    <row r="918" spans="17:17" s="149" customFormat="1" ht="13.2" x14ac:dyDescent="0.25">
      <c r="Q918" s="253"/>
    </row>
    <row r="919" spans="17:17" s="149" customFormat="1" ht="13.2" x14ac:dyDescent="0.25">
      <c r="Q919" s="253"/>
    </row>
    <row r="920" spans="17:17" s="149" customFormat="1" ht="13.2" x14ac:dyDescent="0.25">
      <c r="Q920" s="253"/>
    </row>
    <row r="921" spans="17:17" s="149" customFormat="1" ht="13.2" x14ac:dyDescent="0.25">
      <c r="Q921" s="253"/>
    </row>
    <row r="922" spans="17:17" s="149" customFormat="1" ht="13.2" x14ac:dyDescent="0.25">
      <c r="Q922" s="253"/>
    </row>
    <row r="923" spans="17:17" s="149" customFormat="1" ht="13.2" x14ac:dyDescent="0.25">
      <c r="Q923" s="253"/>
    </row>
    <row r="924" spans="17:17" s="149" customFormat="1" ht="13.2" x14ac:dyDescent="0.25">
      <c r="Q924" s="253"/>
    </row>
    <row r="925" spans="17:17" s="149" customFormat="1" ht="13.2" x14ac:dyDescent="0.25">
      <c r="Q925" s="253"/>
    </row>
    <row r="926" spans="17:17" s="149" customFormat="1" ht="13.2" x14ac:dyDescent="0.25">
      <c r="Q926" s="253"/>
    </row>
    <row r="927" spans="17:17" s="149" customFormat="1" ht="13.2" x14ac:dyDescent="0.25">
      <c r="Q927" s="253"/>
    </row>
    <row r="928" spans="17:17" s="149" customFormat="1" ht="13.2" x14ac:dyDescent="0.25">
      <c r="Q928" s="253"/>
    </row>
    <row r="929" spans="17:17" s="149" customFormat="1" ht="13.2" x14ac:dyDescent="0.25">
      <c r="Q929" s="253"/>
    </row>
    <row r="930" spans="17:17" s="149" customFormat="1" ht="13.2" x14ac:dyDescent="0.25">
      <c r="Q930" s="253"/>
    </row>
    <row r="931" spans="17:17" s="149" customFormat="1" ht="13.2" x14ac:dyDescent="0.25">
      <c r="Q931" s="253"/>
    </row>
    <row r="932" spans="17:17" s="149" customFormat="1" ht="13.2" x14ac:dyDescent="0.25">
      <c r="Q932" s="253"/>
    </row>
    <row r="933" spans="17:17" s="149" customFormat="1" ht="13.2" x14ac:dyDescent="0.25">
      <c r="Q933" s="253"/>
    </row>
    <row r="934" spans="17:17" s="149" customFormat="1" ht="13.2" x14ac:dyDescent="0.25">
      <c r="Q934" s="253"/>
    </row>
    <row r="935" spans="17:17" s="149" customFormat="1" ht="13.2" x14ac:dyDescent="0.25">
      <c r="Q935" s="253"/>
    </row>
    <row r="936" spans="17:17" s="149" customFormat="1" ht="13.2" x14ac:dyDescent="0.25">
      <c r="Q936" s="253"/>
    </row>
    <row r="937" spans="17:17" s="149" customFormat="1" ht="13.2" x14ac:dyDescent="0.25">
      <c r="Q937" s="253"/>
    </row>
    <row r="938" spans="17:17" s="149" customFormat="1" ht="13.2" x14ac:dyDescent="0.25">
      <c r="Q938" s="253"/>
    </row>
    <row r="939" spans="17:17" s="149" customFormat="1" ht="13.2" x14ac:dyDescent="0.25">
      <c r="Q939" s="253"/>
    </row>
    <row r="940" spans="17:17" s="149" customFormat="1" ht="13.2" x14ac:dyDescent="0.25">
      <c r="Q940" s="253"/>
    </row>
    <row r="941" spans="17:17" s="149" customFormat="1" ht="13.2" x14ac:dyDescent="0.25">
      <c r="Q941" s="253"/>
    </row>
    <row r="942" spans="17:17" s="149" customFormat="1" ht="13.2" x14ac:dyDescent="0.25">
      <c r="Q942" s="253"/>
    </row>
    <row r="943" spans="17:17" s="149" customFormat="1" ht="13.2" x14ac:dyDescent="0.25">
      <c r="Q943" s="253"/>
    </row>
    <row r="944" spans="17:17" s="149" customFormat="1" ht="13.2" x14ac:dyDescent="0.25">
      <c r="Q944" s="253"/>
    </row>
    <row r="945" spans="17:17" s="149" customFormat="1" ht="13.2" x14ac:dyDescent="0.25">
      <c r="Q945" s="253"/>
    </row>
    <row r="946" spans="17:17" s="149" customFormat="1" ht="13.2" x14ac:dyDescent="0.25">
      <c r="Q946" s="253"/>
    </row>
    <row r="947" spans="17:17" s="149" customFormat="1" ht="13.2" x14ac:dyDescent="0.25">
      <c r="Q947" s="253"/>
    </row>
    <row r="948" spans="17:17" s="149" customFormat="1" ht="13.2" x14ac:dyDescent="0.25">
      <c r="Q948" s="253"/>
    </row>
    <row r="949" spans="17:17" s="149" customFormat="1" ht="13.2" x14ac:dyDescent="0.25">
      <c r="Q949" s="253"/>
    </row>
    <row r="950" spans="17:17" s="149" customFormat="1" ht="13.2" x14ac:dyDescent="0.25">
      <c r="Q950" s="253"/>
    </row>
    <row r="951" spans="17:17" s="149" customFormat="1" ht="13.2" x14ac:dyDescent="0.25">
      <c r="Q951" s="253"/>
    </row>
    <row r="952" spans="17:17" s="149" customFormat="1" ht="13.2" x14ac:dyDescent="0.25">
      <c r="Q952" s="253"/>
    </row>
    <row r="953" spans="17:17" s="149" customFormat="1" ht="13.2" x14ac:dyDescent="0.25">
      <c r="Q953" s="253"/>
    </row>
    <row r="954" spans="17:17" s="149" customFormat="1" ht="13.2" x14ac:dyDescent="0.25">
      <c r="Q954" s="253"/>
    </row>
    <row r="955" spans="17:17" s="149" customFormat="1" ht="13.2" x14ac:dyDescent="0.25">
      <c r="Q955" s="253"/>
    </row>
    <row r="956" spans="17:17" s="149" customFormat="1" ht="13.2" x14ac:dyDescent="0.25">
      <c r="Q956" s="253"/>
    </row>
    <row r="957" spans="17:17" s="149" customFormat="1" ht="13.2" x14ac:dyDescent="0.25">
      <c r="Q957" s="253"/>
    </row>
    <row r="958" spans="17:17" s="149" customFormat="1" ht="13.2" x14ac:dyDescent="0.25">
      <c r="Q958" s="253"/>
    </row>
    <row r="959" spans="17:17" s="149" customFormat="1" ht="13.2" x14ac:dyDescent="0.25">
      <c r="Q959" s="253"/>
    </row>
    <row r="960" spans="17:17" s="149" customFormat="1" ht="13.2" x14ac:dyDescent="0.25">
      <c r="Q960" s="253"/>
    </row>
    <row r="961" spans="17:17" s="149" customFormat="1" ht="13.2" x14ac:dyDescent="0.25">
      <c r="Q961" s="253"/>
    </row>
    <row r="962" spans="17:17" s="149" customFormat="1" ht="13.2" x14ac:dyDescent="0.25">
      <c r="Q962" s="253"/>
    </row>
    <row r="963" spans="17:17" s="149" customFormat="1" ht="13.2" x14ac:dyDescent="0.25">
      <c r="Q963" s="253"/>
    </row>
    <row r="964" spans="17:17" s="149" customFormat="1" ht="13.2" x14ac:dyDescent="0.25">
      <c r="Q964" s="253"/>
    </row>
    <row r="965" spans="17:17" s="149" customFormat="1" ht="13.2" x14ac:dyDescent="0.25">
      <c r="Q965" s="253"/>
    </row>
    <row r="966" spans="17:17" s="149" customFormat="1" ht="13.2" x14ac:dyDescent="0.25">
      <c r="Q966" s="253"/>
    </row>
    <row r="967" spans="17:17" s="149" customFormat="1" ht="13.2" x14ac:dyDescent="0.25">
      <c r="Q967" s="253"/>
    </row>
    <row r="968" spans="17:17" s="149" customFormat="1" ht="13.2" x14ac:dyDescent="0.25">
      <c r="Q968" s="253"/>
    </row>
    <row r="969" spans="17:17" s="149" customFormat="1" ht="13.2" x14ac:dyDescent="0.25">
      <c r="Q969" s="253"/>
    </row>
    <row r="970" spans="17:17" s="149" customFormat="1" ht="13.2" x14ac:dyDescent="0.25">
      <c r="Q970" s="253"/>
    </row>
    <row r="971" spans="17:17" s="149" customFormat="1" ht="13.2" x14ac:dyDescent="0.25">
      <c r="Q971" s="253"/>
    </row>
    <row r="972" spans="17:17" s="149" customFormat="1" ht="13.2" x14ac:dyDescent="0.25">
      <c r="Q972" s="253"/>
    </row>
    <row r="973" spans="17:17" s="149" customFormat="1" ht="13.2" x14ac:dyDescent="0.25">
      <c r="Q973" s="253"/>
    </row>
    <row r="974" spans="17:17" s="149" customFormat="1" ht="13.2" x14ac:dyDescent="0.25">
      <c r="Q974" s="253"/>
    </row>
    <row r="975" spans="17:17" s="149" customFormat="1" ht="13.2" x14ac:dyDescent="0.25">
      <c r="Q975" s="253"/>
    </row>
    <row r="976" spans="17:17" s="149" customFormat="1" ht="13.2" x14ac:dyDescent="0.25">
      <c r="Q976" s="253"/>
    </row>
    <row r="977" spans="17:17" s="149" customFormat="1" ht="13.2" x14ac:dyDescent="0.25">
      <c r="Q977" s="253"/>
    </row>
    <row r="978" spans="17:17" s="149" customFormat="1" ht="13.2" x14ac:dyDescent="0.25">
      <c r="Q978" s="253"/>
    </row>
    <row r="979" spans="17:17" s="149" customFormat="1" ht="13.2" x14ac:dyDescent="0.25">
      <c r="Q979" s="253"/>
    </row>
    <row r="980" spans="17:17" s="149" customFormat="1" ht="13.2" x14ac:dyDescent="0.25">
      <c r="Q980" s="253"/>
    </row>
    <row r="981" spans="17:17" s="149" customFormat="1" ht="13.2" x14ac:dyDescent="0.25">
      <c r="Q981" s="253"/>
    </row>
    <row r="982" spans="17:17" s="149" customFormat="1" ht="13.2" x14ac:dyDescent="0.25">
      <c r="Q982" s="253"/>
    </row>
    <row r="983" spans="17:17" s="149" customFormat="1" ht="13.2" x14ac:dyDescent="0.25">
      <c r="Q983" s="253"/>
    </row>
    <row r="984" spans="17:17" s="149" customFormat="1" ht="13.2" x14ac:dyDescent="0.25">
      <c r="Q984" s="253"/>
    </row>
    <row r="985" spans="17:17" s="149" customFormat="1" ht="13.2" x14ac:dyDescent="0.25">
      <c r="Q985" s="253"/>
    </row>
    <row r="986" spans="17:17" s="149" customFormat="1" ht="13.2" x14ac:dyDescent="0.25">
      <c r="Q986" s="253"/>
    </row>
    <row r="987" spans="17:17" s="149" customFormat="1" ht="13.2" x14ac:dyDescent="0.25">
      <c r="Q987" s="253"/>
    </row>
    <row r="988" spans="17:17" s="149" customFormat="1" ht="13.2" x14ac:dyDescent="0.25">
      <c r="Q988" s="253"/>
    </row>
    <row r="989" spans="17:17" s="149" customFormat="1" ht="13.2" x14ac:dyDescent="0.25">
      <c r="Q989" s="253"/>
    </row>
    <row r="990" spans="17:17" s="149" customFormat="1" ht="13.2" x14ac:dyDescent="0.25">
      <c r="Q990" s="253"/>
    </row>
    <row r="991" spans="17:17" s="149" customFormat="1" ht="13.2" x14ac:dyDescent="0.25">
      <c r="Q991" s="253"/>
    </row>
    <row r="992" spans="17:17" s="149" customFormat="1" ht="13.2" x14ac:dyDescent="0.25">
      <c r="Q992" s="253"/>
    </row>
    <row r="993" spans="17:17" s="149" customFormat="1" ht="13.2" x14ac:dyDescent="0.25">
      <c r="Q993" s="253"/>
    </row>
    <row r="994" spans="17:17" s="149" customFormat="1" ht="13.2" x14ac:dyDescent="0.25">
      <c r="Q994" s="253"/>
    </row>
    <row r="995" spans="17:17" s="149" customFormat="1" ht="13.2" x14ac:dyDescent="0.25">
      <c r="Q995" s="253"/>
    </row>
    <row r="996" spans="17:17" s="149" customFormat="1" ht="13.2" x14ac:dyDescent="0.25">
      <c r="Q996" s="253"/>
    </row>
    <row r="997" spans="17:17" s="149" customFormat="1" ht="13.2" x14ac:dyDescent="0.25">
      <c r="Q997" s="253"/>
    </row>
    <row r="998" spans="17:17" s="149" customFormat="1" ht="13.2" x14ac:dyDescent="0.25">
      <c r="Q998" s="253"/>
    </row>
    <row r="999" spans="17:17" s="149" customFormat="1" ht="13.2" x14ac:dyDescent="0.25">
      <c r="Q999" s="253"/>
    </row>
    <row r="1000" spans="17:17" s="149" customFormat="1" ht="13.2" x14ac:dyDescent="0.25">
      <c r="Q1000" s="253"/>
    </row>
    <row r="1001" spans="17:17" s="149" customFormat="1" ht="13.2" x14ac:dyDescent="0.25">
      <c r="Q1001" s="253"/>
    </row>
    <row r="1002" spans="17:17" s="149" customFormat="1" ht="13.2" x14ac:dyDescent="0.25">
      <c r="Q1002" s="253"/>
    </row>
    <row r="1003" spans="17:17" s="149" customFormat="1" thickBot="1" x14ac:dyDescent="0.3">
      <c r="Q1003" s="254"/>
    </row>
  </sheetData>
  <mergeCells count="30">
    <mergeCell ref="B6:E6"/>
    <mergeCell ref="G6:H6"/>
    <mergeCell ref="M6:M7"/>
    <mergeCell ref="N6:N7"/>
    <mergeCell ref="B7:E7"/>
    <mergeCell ref="M12:M13"/>
    <mergeCell ref="N12:N13"/>
    <mergeCell ref="R1:S2"/>
    <mergeCell ref="M2:M3"/>
    <mergeCell ref="N2:N3"/>
    <mergeCell ref="M4:M5"/>
    <mergeCell ref="N4:N5"/>
    <mergeCell ref="C8:E8"/>
    <mergeCell ref="M8:M9"/>
    <mergeCell ref="N8:N9"/>
    <mergeCell ref="M10:M11"/>
    <mergeCell ref="N10:N11"/>
    <mergeCell ref="G14:H14"/>
    <mergeCell ref="M14:M15"/>
    <mergeCell ref="N14:N15"/>
    <mergeCell ref="B16:C16"/>
    <mergeCell ref="M16:M17"/>
    <mergeCell ref="N16:N17"/>
    <mergeCell ref="B18:E18"/>
    <mergeCell ref="M18:M19"/>
    <mergeCell ref="N18:N19"/>
    <mergeCell ref="B19:C19"/>
    <mergeCell ref="B20:C20"/>
    <mergeCell ref="M20:M21"/>
    <mergeCell ref="N20:N21"/>
  </mergeCells>
  <conditionalFormatting sqref="K1:K32">
    <cfRule type="cellIs" dxfId="3" priority="3" stopIfTrue="1" operator="greaterThan">
      <formula>0</formula>
    </cfRule>
  </conditionalFormatting>
  <conditionalFormatting sqref="Q5:Q391">
    <cfRule type="expression" dxfId="2" priority="2">
      <formula>$A5="NC"</formula>
    </cfRule>
  </conditionalFormatting>
  <conditionalFormatting sqref="Q5:Q391">
    <cfRule type="duplicateValues" dxfId="1" priority="4"/>
  </conditionalFormatting>
  <conditionalFormatting sqref="N1:N1048576">
    <cfRule type="cellIs" dxfId="0" priority="1" operator="greaterThan">
      <formula>0</formula>
    </cfRule>
  </conditionalFormatting>
  <dataValidations count="1">
    <dataValidation type="custom" allowBlank="1" showInputMessage="1" showErrorMessage="1" error="ECRIRE QUAND MAJUSCULE" sqref="Q85:Q115">
      <formula1>EXACT(Q85,UPPER(Q85))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1</xdr:col>
                <xdr:colOff>22860</xdr:colOff>
                <xdr:row>0</xdr:row>
                <xdr:rowOff>739140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>
            <anchor moveWithCells="1" sizeWithCells="1">
              <from>
                <xdr:col>20</xdr:col>
                <xdr:colOff>60960</xdr:colOff>
                <xdr:row>0</xdr:row>
                <xdr:rowOff>502920</xdr:rowOff>
              </from>
              <to>
                <xdr:col>21</xdr:col>
                <xdr:colOff>480060</xdr:colOff>
                <xdr:row>1</xdr:row>
                <xdr:rowOff>350520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FICHIER DE BASE</vt:lpstr>
      <vt:lpstr>MOTIF.X</vt:lpstr>
      <vt:lpstr>CODE REVENDEUR</vt:lpstr>
      <vt:lpstr>CATEGORIE</vt:lpstr>
      <vt:lpstr>Fiche suivi client</vt:lpstr>
      <vt:lpstr>Feuil2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SM</cp:lastModifiedBy>
  <cp:lastPrinted>2014-10-01T15:18:53Z</cp:lastPrinted>
  <dcterms:created xsi:type="dcterms:W3CDTF">2010-06-23T08:58:50Z</dcterms:created>
  <dcterms:modified xsi:type="dcterms:W3CDTF">2014-11-04T13:15:13Z</dcterms:modified>
</cp:coreProperties>
</file>