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65" windowWidth="15195" windowHeight="7365" tabRatio="671" activeTab="2"/>
  </bookViews>
  <sheets>
    <sheet name="M911" sheetId="1" r:id="rId1"/>
    <sheet name="S-R 0SE" sheetId="6" r:id="rId2"/>
    <sheet name="S-R 0RE" sheetId="7" r:id="rId3"/>
    <sheet name="Baan-1 synthese" sheetId="5" r:id="rId4"/>
    <sheet name="Baan-2 actual" sheetId="3" r:id="rId5"/>
    <sheet name="Baan-3 estimated" sheetId="4" r:id="rId6"/>
  </sheets>
  <calcPr calcId="125725"/>
</workbook>
</file>

<file path=xl/calcChain.xml><?xml version="1.0" encoding="utf-8"?>
<calcChain xmlns="http://schemas.openxmlformats.org/spreadsheetml/2006/main">
  <c r="D13" i="7" a="1"/>
  <c r="D13" s="1"/>
  <c r="D14" a="1"/>
  <c r="D14" s="1"/>
  <c r="D15" a="1"/>
  <c r="D15" s="1"/>
  <c r="D16" a="1"/>
  <c r="D16" s="1"/>
  <c r="D17" a="1"/>
  <c r="D17" s="1"/>
  <c r="D18" a="1"/>
  <c r="D18" s="1"/>
  <c r="D12" a="1"/>
  <c r="D12" s="1"/>
  <c r="B13" a="1"/>
  <c r="B13" s="1"/>
  <c r="B14" a="1"/>
  <c r="B14" s="1"/>
  <c r="B15" a="1"/>
  <c r="B15" s="1"/>
  <c r="B16" a="1"/>
  <c r="B16" s="1"/>
  <c r="B17" a="1"/>
  <c r="B17" s="1"/>
  <c r="B18" a="1"/>
  <c r="B18" s="1"/>
  <c r="B12" a="1"/>
  <c r="B12" s="1"/>
  <c r="A13" a="1"/>
  <c r="A13" s="1"/>
  <c r="A14" a="1"/>
  <c r="A14" s="1"/>
  <c r="A15" a="1"/>
  <c r="A15" s="1"/>
  <c r="A16" a="1"/>
  <c r="A16" s="1"/>
  <c r="A17" a="1"/>
  <c r="A17" s="1"/>
  <c r="A18" a="1"/>
  <c r="A18" s="1"/>
  <c r="A12" a="1"/>
  <c r="A12" s="1"/>
  <c r="B19" l="1"/>
  <c r="A12" i="6" a="1"/>
  <c r="A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12" a="1"/>
  <c r="D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12" a="1"/>
  <c r="B12" s="1"/>
  <c r="A21" a="1"/>
  <c r="A21" s="1"/>
  <c r="A22" a="1"/>
  <c r="A22" s="1"/>
  <c r="A23" a="1"/>
  <c r="A23" s="1"/>
  <c r="A24" a="1"/>
  <c r="A24" s="1"/>
  <c r="A25" a="1"/>
  <c r="A25" s="1"/>
  <c r="A26" a="1"/>
  <c r="A26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B27" l="1"/>
  <c r="B1"/>
  <c r="D4"/>
  <c r="I4"/>
  <c r="D5"/>
  <c r="I5"/>
  <c r="D7"/>
  <c r="I7"/>
  <c r="D8"/>
  <c r="I8"/>
  <c r="I9"/>
  <c r="D9" l="1"/>
  <c r="F12"/>
  <c r="F22"/>
  <c r="F23"/>
  <c r="F24"/>
  <c r="F25"/>
  <c r="F26"/>
  <c r="D20" i="7"/>
  <c r="D28" i="6"/>
  <c r="D8" i="7"/>
  <c r="D7"/>
  <c r="I5"/>
  <c r="I4"/>
  <c r="I20" s="1"/>
  <c r="D5"/>
  <c r="D4"/>
  <c r="I13" a="1"/>
  <c r="I13" s="1"/>
  <c r="I14" a="1"/>
  <c r="I14" s="1"/>
  <c r="I15" a="1"/>
  <c r="I15" s="1"/>
  <c r="I16" a="1"/>
  <c r="I16" s="1"/>
  <c r="I17" a="1"/>
  <c r="I17" s="1"/>
  <c r="I18" a="1"/>
  <c r="I18" s="1"/>
  <c r="I12" a="1"/>
  <c r="I12" s="1"/>
  <c r="I12" i="6" a="1"/>
  <c r="I12" s="1"/>
  <c r="G13" i="7" a="1"/>
  <c r="G13" s="1"/>
  <c r="G14" a="1"/>
  <c r="G14" s="1"/>
  <c r="G15" a="1"/>
  <c r="G15" s="1"/>
  <c r="G16" a="1"/>
  <c r="G16" s="1"/>
  <c r="G17" a="1"/>
  <c r="G17" s="1"/>
  <c r="G18" a="1"/>
  <c r="G18" s="1"/>
  <c r="G12" a="1"/>
  <c r="G12" s="1"/>
  <c r="G12" i="6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24" a="1"/>
  <c r="G24" s="1"/>
  <c r="G25" a="1"/>
  <c r="G25" s="1"/>
  <c r="G26" a="1"/>
  <c r="G26" s="1"/>
  <c r="I13" a="1"/>
  <c r="I13" s="1"/>
  <c r="H13" s="1"/>
  <c r="I14" a="1"/>
  <c r="I14" s="1"/>
  <c r="H14" s="1"/>
  <c r="I15" a="1"/>
  <c r="I15" s="1"/>
  <c r="I16" a="1"/>
  <c r="I16" s="1"/>
  <c r="H16" s="1"/>
  <c r="I17" a="1"/>
  <c r="I17" s="1"/>
  <c r="H17" s="1"/>
  <c r="I18" a="1"/>
  <c r="I18" s="1"/>
  <c r="H18" s="1"/>
  <c r="I19" a="1"/>
  <c r="I19" s="1"/>
  <c r="H19" s="1"/>
  <c r="I20" a="1"/>
  <c r="I20" s="1"/>
  <c r="H20" s="1"/>
  <c r="I21" a="1"/>
  <c r="I21" s="1"/>
  <c r="I22" a="1"/>
  <c r="I22" s="1"/>
  <c r="H22" s="1"/>
  <c r="I23" a="1"/>
  <c r="I23" s="1"/>
  <c r="H23" s="1"/>
  <c r="I24" a="1"/>
  <c r="I24" s="1"/>
  <c r="H24" s="1"/>
  <c r="I25" a="1"/>
  <c r="I25" s="1"/>
  <c r="H25" s="1"/>
  <c r="I26" a="1"/>
  <c r="I26" s="1"/>
  <c r="H26" s="1"/>
  <c r="F12" i="7"/>
  <c r="F13"/>
  <c r="F14"/>
  <c r="F15"/>
  <c r="F16"/>
  <c r="F17"/>
  <c r="F18"/>
  <c r="AA14" i="1"/>
  <c r="Z14"/>
  <c r="AA8"/>
  <c r="Z8"/>
  <c r="I7" i="7" l="1"/>
  <c r="I3" i="6"/>
  <c r="I3" i="7"/>
  <c r="I8"/>
  <c r="H21" i="6"/>
  <c r="H15"/>
  <c r="B34" i="7"/>
  <c r="C12"/>
  <c r="C17"/>
  <c r="C15"/>
  <c r="C13"/>
  <c r="C18"/>
  <c r="C16"/>
  <c r="C14"/>
  <c r="H18"/>
  <c r="H16"/>
  <c r="H14"/>
  <c r="H17"/>
  <c r="H15"/>
  <c r="H13"/>
  <c r="H12"/>
  <c r="H12" i="6"/>
  <c r="C12"/>
  <c r="C26"/>
  <c r="C25"/>
  <c r="C23"/>
  <c r="C21"/>
  <c r="C19"/>
  <c r="C17"/>
  <c r="C15"/>
  <c r="C13"/>
  <c r="C24"/>
  <c r="C22"/>
  <c r="C20"/>
  <c r="C18"/>
  <c r="C16"/>
  <c r="C14"/>
  <c r="F13"/>
  <c r="F14"/>
  <c r="F15"/>
  <c r="F16"/>
  <c r="F17"/>
  <c r="F18"/>
  <c r="F19"/>
  <c r="F20"/>
  <c r="F21"/>
  <c r="AB8" i="1"/>
  <c r="U8"/>
  <c r="U14"/>
  <c r="AC14"/>
  <c r="AB14"/>
  <c r="AC8"/>
  <c r="D27" i="6"/>
  <c r="D3" i="7" l="1"/>
  <c r="D3" i="6"/>
  <c r="AD42" i="1"/>
  <c r="AF41"/>
  <c r="AD41"/>
  <c r="C15" i="5" l="1"/>
  <c r="C32"/>
  <c r="B1" i="7" l="1"/>
  <c r="D19"/>
  <c r="D21" s="1"/>
  <c r="D23" s="1"/>
  <c r="D9"/>
  <c r="D25" l="1"/>
  <c r="I28" i="6"/>
  <c r="B42" s="1"/>
  <c r="D29"/>
  <c r="D31" s="1"/>
  <c r="D33" l="1"/>
  <c r="B39"/>
  <c r="I19" i="7"/>
  <c r="G19"/>
  <c r="B32" s="1"/>
  <c r="I9"/>
  <c r="G27" i="6"/>
  <c r="B40" s="1"/>
  <c r="I27"/>
  <c r="B31" i="7" l="1"/>
  <c r="I21"/>
  <c r="I23" s="1"/>
  <c r="B33"/>
  <c r="I29" i="6"/>
  <c r="B41"/>
  <c r="B35" i="7" l="1"/>
  <c r="I25"/>
  <c r="B36" s="1"/>
  <c r="I31" i="6"/>
  <c r="I33" l="1"/>
  <c r="B44" s="1"/>
  <c r="B43"/>
  <c r="W17" i="1"/>
  <c r="W11"/>
  <c r="T8" l="1"/>
  <c r="V8" l="1"/>
  <c r="W8" s="1"/>
  <c r="X8"/>
  <c r="AC26"/>
  <c r="X22"/>
  <c r="W21"/>
  <c r="V21"/>
  <c r="W20"/>
  <c r="V20"/>
  <c r="I20"/>
  <c r="F20"/>
  <c r="E20"/>
  <c r="D20"/>
  <c r="D41" s="1"/>
  <c r="T14"/>
  <c r="I3"/>
  <c r="I2"/>
  <c r="X20" l="1"/>
  <c r="X21"/>
  <c r="X14"/>
  <c r="E41"/>
  <c r="U21"/>
  <c r="V14"/>
  <c r="W14" s="1"/>
</calcChain>
</file>

<file path=xl/comments1.xml><?xml version="1.0" encoding="utf-8"?>
<comments xmlns="http://schemas.openxmlformats.org/spreadsheetml/2006/main">
  <authors>
    <author>u1668165</author>
  </authors>
  <commentList>
    <comment ref="X6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Calibri"/>
            <family val="2"/>
          </rPr>
          <t xml:space="preserve">→Si l'écart </t>
        </r>
        <r>
          <rPr>
            <i/>
            <sz val="8"/>
            <color indexed="81"/>
            <rFont val="Calibri"/>
            <family val="2"/>
          </rPr>
          <t>est négatif</t>
        </r>
        <r>
          <rPr>
            <sz val="8"/>
            <color indexed="81"/>
            <rFont val="Calibri"/>
            <family val="2"/>
          </rPr>
          <t>, le coût réel est inférieur à la prévision donc FAVORABLE</t>
        </r>
      </text>
    </comment>
    <comment ref="X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→ Si l'écart </t>
        </r>
        <r>
          <rPr>
            <i/>
            <sz val="8"/>
            <color indexed="81"/>
            <rFont val="Tahoma"/>
            <family val="2"/>
          </rPr>
          <t>est positif</t>
        </r>
        <r>
          <rPr>
            <sz val="8"/>
            <color indexed="81"/>
            <rFont val="Tahoma"/>
            <family val="2"/>
          </rPr>
          <t>, le coût réel est supérieur à la prévision donc DÉFAVORABLE</t>
        </r>
      </text>
    </comment>
    <comment ref="Z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C</t>
        </r>
        <r>
          <rPr>
            <b/>
            <sz val="8"/>
            <color indexed="81"/>
            <rFont val="Tahoma"/>
            <family val="2"/>
          </rPr>
          <t>onsultation coût et valorisation des fluxs</t>
        </r>
        <r>
          <rPr>
            <sz val="8"/>
            <color indexed="81"/>
            <rFont val="Tahoma"/>
            <family val="2"/>
          </rPr>
          <t xml:space="preserve"> (restitution des données de couts et valorisation ---&gt; édition stock et en cours --&gt; inventory receipt transaction)
</t>
        </r>
        <r>
          <rPr>
            <i/>
            <sz val="8"/>
            <color indexed="81"/>
            <rFont val="Tahoma"/>
            <family val="2"/>
          </rPr>
          <t>Double cliquer 
Cost détails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Coûts matière + Surchages</t>
        </r>
      </text>
    </comment>
    <comment ref="AA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</t>
        </r>
        <r>
          <rPr>
            <b/>
            <sz val="8"/>
            <color indexed="81"/>
            <rFont val="Tahoma"/>
            <family val="2"/>
          </rPr>
          <t xml:space="preserve">Consultation coût et valorisation </t>
        </r>
        <r>
          <rPr>
            <sz val="8"/>
            <color indexed="81"/>
            <rFont val="Tahoma"/>
            <family val="2"/>
          </rPr>
          <t xml:space="preserve">(édition des coûts standard --&gt; print standard cost price by item)
Total N-1 date du jour
</t>
        </r>
        <r>
          <rPr>
            <u/>
            <sz val="8"/>
            <color indexed="81"/>
            <rFont val="Tahoma"/>
            <family val="2"/>
          </rPr>
          <t>Se rapprocher le plus de notre prix unitaire standard</t>
        </r>
      </text>
    </comment>
    <comment ref="AC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</commentList>
</comments>
</file>

<file path=xl/comments2.xml><?xml version="1.0" encoding="utf-8"?>
<comments xmlns="http://schemas.openxmlformats.org/spreadsheetml/2006/main">
  <authors>
    <author>u9250159</author>
  </authors>
  <commentList>
    <comment ref="G12" authorId="0">
      <text>
        <r>
          <rPr>
            <b/>
            <sz val="8"/>
            <color indexed="81"/>
            <rFont val="Tahoma"/>
            <family val="2"/>
          </rPr>
          <t>à *60/I$4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" authorId="0">
      <text>
        <r>
          <rPr>
            <b/>
            <sz val="8"/>
            <color indexed="81"/>
            <rFont val="Tahoma"/>
            <family val="2"/>
          </rPr>
          <t xml:space="preserve">à / I$4
</t>
        </r>
      </text>
    </comment>
  </commentList>
</comments>
</file>

<file path=xl/comments3.xml><?xml version="1.0" encoding="utf-8"?>
<comments xmlns="http://schemas.openxmlformats.org/spreadsheetml/2006/main">
  <authors>
    <author>u9250159</author>
  </authors>
  <commentList>
    <comment ref="G12" authorId="0">
      <text>
        <r>
          <rPr>
            <b/>
            <sz val="8"/>
            <color indexed="81"/>
            <rFont val="Tahoma"/>
            <family val="2"/>
          </rPr>
          <t xml:space="preserve">à *60/I$4
</t>
        </r>
      </text>
    </comment>
    <comment ref="I12" authorId="0">
      <text>
        <r>
          <rPr>
            <b/>
            <sz val="8"/>
            <color indexed="81"/>
            <rFont val="Tahoma"/>
            <family val="2"/>
          </rPr>
          <t>à /I$4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<sst xmlns="http://schemas.openxmlformats.org/spreadsheetml/2006/main" count="1404" uniqueCount="430">
  <si>
    <t>C a</t>
  </si>
  <si>
    <t>C o</t>
  </si>
  <si>
    <t>Total</t>
  </si>
  <si>
    <t>Moyenne 0SE</t>
  </si>
  <si>
    <t>Moyenne 0RE</t>
  </si>
  <si>
    <t>EU</t>
  </si>
  <si>
    <t>EOP</t>
  </si>
  <si>
    <t>Planificateur</t>
  </si>
  <si>
    <t xml:space="preserve"> Ordre de </t>
  </si>
  <si>
    <t xml:space="preserve">Article             </t>
  </si>
  <si>
    <t xml:space="preserve">Désignation           </t>
  </si>
  <si>
    <t>Date de clôture</t>
  </si>
  <si>
    <t>Groupe article</t>
  </si>
  <si>
    <t>COUTS</t>
  </si>
  <si>
    <t>ÉCARTS</t>
  </si>
  <si>
    <t>QUANTITÉS</t>
  </si>
  <si>
    <t>HEURES</t>
  </si>
  <si>
    <t>PRIX UNITAIRE</t>
  </si>
  <si>
    <t xml:space="preserve">Écart sur </t>
  </si>
  <si>
    <t xml:space="preserve">Écart en % </t>
  </si>
  <si>
    <t>Favorable /</t>
  </si>
  <si>
    <t>Décomposition P.U. Réel</t>
  </si>
  <si>
    <t>Décomposition P.U. Standard</t>
  </si>
  <si>
    <t>Fabrication</t>
  </si>
  <si>
    <t>Réel</t>
  </si>
  <si>
    <t>Standard</t>
  </si>
  <si>
    <t xml:space="preserve"> de Qté  </t>
  </si>
  <si>
    <t>Bur. Cal.</t>
  </si>
  <si>
    <t xml:space="preserve"> Econom. </t>
  </si>
  <si>
    <t xml:space="preserve"> Lancée </t>
  </si>
  <si>
    <t xml:space="preserve">Rejetée </t>
  </si>
  <si>
    <t xml:space="preserve"> Bonne  </t>
  </si>
  <si>
    <t xml:space="preserve">    HAP   </t>
  </si>
  <si>
    <t xml:space="preserve">    HD    </t>
  </si>
  <si>
    <t>coût standard</t>
  </si>
  <si>
    <t>Défavorable</t>
  </si>
  <si>
    <t>Coût d'achat</t>
  </si>
  <si>
    <t xml:space="preserve">Coûts opératoires </t>
  </si>
  <si>
    <t>Coûts opératoires</t>
  </si>
  <si>
    <t>Prix unitaire réel</t>
  </si>
  <si>
    <t>Prix unitaire standard</t>
  </si>
  <si>
    <t>Quantité</t>
  </si>
  <si>
    <t>PU Devis</t>
  </si>
  <si>
    <t>Coût opératoires</t>
  </si>
  <si>
    <t>% Pourcentage d'augmentation</t>
  </si>
  <si>
    <t>Devis</t>
  </si>
  <si>
    <t xml:space="preserve">Ecart des coûts opératoires: </t>
  </si>
  <si>
    <t xml:space="preserve">Ecart au coût d'achat : </t>
  </si>
  <si>
    <t xml:space="preserve"> Date : 28-04-14  09:40                                                               SYNTHESE DES BILANS ECONOMIQUES D'OF                                                                 Page    :    1</t>
  </si>
  <si>
    <t xml:space="preserve"> Ordres de fabrication : de 0SE003651                 à 0SE003651</t>
  </si>
  <si>
    <t xml:space="preserve"> Articles              : de                           à ZZZZZZZZZZZZZZZZZZZZZZZZZ</t>
  </si>
  <si>
    <t xml:space="preserve"> Projets               : de                           à ZZZZZZZZZ</t>
  </si>
  <si>
    <t xml:space="preserve"> Codes EOP             : de                           à ZZZZZZ</t>
  </si>
  <si>
    <t xml:space="preserve"> Planificateurs        : de                           à ZZZZZZ</t>
  </si>
  <si>
    <t xml:space="preserve"> Statut OF             :    Closed</t>
  </si>
  <si>
    <t xml:space="preserve"> Dates de cloture      : de                           à 07042014</t>
  </si>
  <si>
    <t>-----------------------------------------------------------------------------------------------------------------------------------------------------------------------------------------------------------</t>
  </si>
  <si>
    <t>--+---+-------+-----------+---------------------+-----------------------+--------+-------+--------+--------+---------+---------+---------+---------+--------+--------+--------+----------+----------+------</t>
  </si>
  <si>
    <t xml:space="preserve"> Date : 28-04-14  09:41                                                               SYNTHESE DES BILANS ECONOMIQUES D'OF                                                                 Page    :    1</t>
  </si>
  <si>
    <t xml:space="preserve"> Ordres de fabrication : de 0RE001294                 à 0RE001294</t>
  </si>
  <si>
    <t>Planifi</t>
  </si>
  <si>
    <t xml:space="preserve"> Ordre de  </t>
  </si>
  <si>
    <t xml:space="preserve"> Article             </t>
  </si>
  <si>
    <t xml:space="preserve"> Désignation           </t>
  </si>
  <si>
    <t>Date  de</t>
  </si>
  <si>
    <t xml:space="preserve"> Groupe</t>
  </si>
  <si>
    <t xml:space="preserve">      Coûts      </t>
  </si>
  <si>
    <t xml:space="preserve">           Ecarts            </t>
  </si>
  <si>
    <t xml:space="preserve">               Quantités            </t>
  </si>
  <si>
    <t xml:space="preserve">       Heures        </t>
  </si>
  <si>
    <t>Gest.</t>
  </si>
  <si>
    <t xml:space="preserve">  </t>
  </si>
  <si>
    <t xml:space="preserve">   </t>
  </si>
  <si>
    <t xml:space="preserve">                     </t>
  </si>
  <si>
    <t xml:space="preserve">                       </t>
  </si>
  <si>
    <t xml:space="preserve">clôture </t>
  </si>
  <si>
    <t>article</t>
  </si>
  <si>
    <t xml:space="preserve">  Réel  </t>
  </si>
  <si>
    <t xml:space="preserve">  Total  </t>
  </si>
  <si>
    <t>I0</t>
  </si>
  <si>
    <t xml:space="preserve"> 97GP10</t>
  </si>
  <si>
    <t xml:space="preserve"> 0SE003651 </t>
  </si>
  <si>
    <t>21-03-14</t>
  </si>
  <si>
    <t xml:space="preserve"> 8Y102 </t>
  </si>
  <si>
    <t xml:space="preserve"> 97GP18</t>
  </si>
  <si>
    <t xml:space="preserve"> 0RE001294 </t>
  </si>
  <si>
    <t>COUTS MATIERES</t>
  </si>
  <si>
    <t>Date   : 28-04</t>
  </si>
  <si>
    <t>-14 [09:42, Eur]                AC</t>
  </si>
  <si>
    <t>TUAL PRODUCT</t>
  </si>
  <si>
    <t>DER</t>
  </si>
  <si>
    <t>P</t>
  </si>
  <si>
    <t>age</t>
  </si>
  <si>
    <t>:    1</t>
  </si>
  <si>
    <t>C</t>
  </si>
  <si>
    <t>--------------</t>
  </si>
  <si>
    <t>----------------------------------</t>
  </si>
  <si>
    <t>------------</t>
  </si>
  <si>
    <t>---------------</t>
  </si>
  <si>
    <t>------</t>
  </si>
  <si>
    <t>----</t>
  </si>
  <si>
    <t>--------</t>
  </si>
  <si>
    <t>---------</t>
  </si>
  <si>
    <t>--</t>
  </si>
  <si>
    <t>-----------</t>
  </si>
  <si>
    <t>Production Ord</t>
  </si>
  <si>
    <t>er :0SE003651  Closed</t>
  </si>
  <si>
    <t>Q</t>
  </si>
  <si>
    <t>uantit</t>
  </si>
  <si>
    <t>y Or</t>
  </si>
  <si>
    <t>dered  :</t>
  </si>
  <si>
    <t>00 UN</t>
  </si>
  <si>
    <t>Item</t>
  </si>
  <si>
    <t>:         10663841000</t>
  </si>
  <si>
    <t>y De</t>
  </si>
  <si>
    <t>livered:</t>
  </si>
  <si>
    <t>y Re</t>
  </si>
  <si>
    <t>jected :</t>
  </si>
  <si>
    <t>Revision</t>
  </si>
  <si>
    <t>:C02 __</t>
  </si>
  <si>
    <t>Cost Component</t>
  </si>
  <si>
    <t>| Description</t>
  </si>
  <si>
    <t>| Cost Comp</t>
  </si>
  <si>
    <t>onent Type</t>
  </si>
  <si>
    <t>|</t>
  </si>
  <si>
    <t>Currency</t>
  </si>
  <si>
    <t>Amount</t>
  </si>
  <si>
    <t>--+-------------------------------</t>
  </si>
  <si>
    <t>-+----------</t>
  </si>
  <si>
    <t>-+</t>
  </si>
  <si>
    <t>---+</t>
  </si>
  <si>
    <t>Sub Item</t>
  </si>
  <si>
    <t>Work</t>
  </si>
  <si>
    <t>enter</t>
  </si>
  <si>
    <t>0PNY</t>
  </si>
  <si>
    <t>B02 __      Pos.:  10     Oper.</t>
  </si>
  <si>
    <t>: 10</t>
  </si>
  <si>
    <t>Actu</t>
  </si>
  <si>
    <t>al</t>
  </si>
  <si>
    <t>Quantity</t>
  </si>
  <si>
    <t>UN</t>
  </si>
  <si>
    <t>MA</t>
  </si>
  <si>
    <t>| Coûts matière aggrégés</t>
  </si>
  <si>
    <t>| Material</t>
  </si>
  <si>
    <t>Costs</t>
  </si>
  <si>
    <t>EUR</t>
  </si>
  <si>
    <t>OP</t>
  </si>
  <si>
    <t>| Coûts opératoires aggrégés</t>
  </si>
  <si>
    <t>| Operation</t>
  </si>
  <si>
    <t>SU</t>
  </si>
  <si>
    <t>| Surcharges agrégées</t>
  </si>
  <si>
    <t>| Surch. on</t>
  </si>
  <si>
    <t>Material Costs</t>
  </si>
  <si>
    <t>D   __      Pos.:  20     Oper.</t>
  </si>
  <si>
    <t>A02 __      Pos.:  30     Oper.</t>
  </si>
  <si>
    <t>KG</t>
  </si>
  <si>
    <t>/100 Work</t>
  </si>
  <si>
    <t>A02 __      Pos.:  40     Oper.</t>
  </si>
  <si>
    <t>A   __      Pos.:  50     Oper.</t>
  </si>
  <si>
    <t>MAEX1</t>
  </si>
  <si>
    <t>| Achat externe Tx normal</t>
  </si>
  <si>
    <t>MAFA1</t>
  </si>
  <si>
    <t>| Frais d'appro Tx normal</t>
  </si>
  <si>
    <t>A01 __      Pos.:  60     Oper.</t>
  </si>
  <si>
    <t>---</t>
  </si>
  <si>
    <t>TOTAL COUTS MATIERES</t>
  </si>
  <si>
    <t>COÛTS OPERATOI</t>
  </si>
  <si>
    <t>RES</t>
  </si>
  <si>
    <t>Operation</t>
  </si>
  <si>
    <t>: 10  Work Center      :970PNY</t>
  </si>
  <si>
    <t>Man Hours :</t>
  </si>
  <si>
    <t>Hours</t>
  </si>
  <si>
    <t>:</t>
  </si>
  <si>
    <t>1.9400</t>
  </si>
  <si>
    <t>OPTP73</t>
  </si>
  <si>
    <t>: 30  Work Center      :970PAA</t>
  </si>
  <si>
    <t>2.0000</t>
  </si>
  <si>
    <t>: 40  Work Center      :970PMM</t>
  </si>
  <si>
    <t>11.0500</t>
  </si>
  <si>
    <t>: 50  Work Center      :970PNL</t>
  </si>
  <si>
    <t>13.7400</t>
  </si>
  <si>
    <t>: 55  Work Center      :970PNH</t>
  </si>
  <si>
    <t>14.7400</t>
  </si>
  <si>
    <t>: 60  Work Center      :970PRA</t>
  </si>
  <si>
    <t>0.0000</t>
  </si>
  <si>
    <t>: 70  Work Center      :970PNH</t>
  </si>
  <si>
    <t>6.5950</t>
  </si>
  <si>
    <t>: 80  Work Center      :970PMU</t>
  </si>
  <si>
    <t>10.4100</t>
  </si>
  <si>
    <t>: 90  Work Center      :970PAA</t>
  </si>
  <si>
    <t>18.6100</t>
  </si>
  <si>
    <t>TOTAL COÛTS OPERATOIRES</t>
  </si>
  <si>
    <t>Total by Order</t>
  </si>
  <si>
    <t>-14 [09:43, Eur]                AC</t>
  </si>
  <si>
    <t>er :0RE001294  Closed</t>
  </si>
  <si>
    <t>:         92581602000</t>
  </si>
  <si>
    <t>:A01 __</t>
  </si>
  <si>
    <t>0PBA</t>
  </si>
  <si>
    <t>C02 __      Pos.:  50     Oper.</t>
  </si>
  <si>
    <t>:  3</t>
  </si>
  <si>
    <t>072 Work</t>
  </si>
  <si>
    <t>A   __      Pos.: 210     Oper.</t>
  </si>
  <si>
    <t>:  3  Work Center      :970PBA</t>
  </si>
  <si>
    <t>: 10  Work Center      :970PBA</t>
  </si>
  <si>
    <t>Currency              : EUR</t>
  </si>
  <si>
    <t>Include Fixed Costs   : No</t>
  </si>
  <si>
    <t>Total Material Costs</t>
  </si>
  <si>
    <t>Total Operation Costs</t>
  </si>
  <si>
    <t>Total Surcharge Material Costs</t>
  </si>
  <si>
    <t>Total Surcharge Operation Costs</t>
  </si>
  <si>
    <t>Total Cost Price</t>
  </si>
  <si>
    <t>48,2703*</t>
  </si>
  <si>
    <t>10,0940*</t>
  </si>
  <si>
    <t>0,0000*</t>
  </si>
  <si>
    <t>60,1153*</t>
  </si>
  <si>
    <t>3,2214*</t>
  </si>
  <si>
    <t>Page</t>
  </si>
  <si>
    <t>-------</t>
  </si>
  <si>
    <t>sts</t>
  </si>
  <si>
    <t>+------</t>
  </si>
  <si>
    <t>+</t>
  </si>
  <si>
    <t>(Min)</t>
  </si>
  <si>
    <t>Total Material C</t>
  </si>
  <si>
    <t>osts</t>
  </si>
  <si>
    <t>Total Operation</t>
  </si>
  <si>
    <t>Total Surcharge</t>
  </si>
  <si>
    <t>Total General Co</t>
  </si>
  <si>
    <t>Date   : 28-04-14 [09:44, E</t>
  </si>
  <si>
    <t>ur]</t>
  </si>
  <si>
    <t>---------------------------</t>
  </si>
  <si>
    <t>Item                  :</t>
  </si>
  <si>
    <t>Price Calculation Code: S14</t>
  </si>
  <si>
    <t>Code calcu</t>
  </si>
  <si>
    <t>Order Quantity        :</t>
  </si>
  <si>
    <t>---------+-----------------</t>
  </si>
  <si>
    <t>+------------------------</t>
  </si>
  <si>
    <t>ption</t>
  </si>
  <si>
    <t>AGE ELEMENT</t>
  </si>
  <si>
    <t>E 24 HEURES</t>
  </si>
  <si>
    <t>ECTRIQUE CO</t>
  </si>
  <si>
    <t>GE A L'ENCR</t>
  </si>
  <si>
    <t>LAGE BPF-AL</t>
  </si>
  <si>
    <t>N ROUTE</t>
  </si>
  <si>
    <t>LIM SALLE (</t>
  </si>
  <si>
    <t>MENT AUTOMA</t>
  </si>
  <si>
    <t>LE RADIOGRA</t>
  </si>
  <si>
    <t>+----------</t>
  </si>
  <si>
    <t>rges</t>
  </si>
  <si>
    <t>TRL PRODUIT</t>
  </si>
  <si>
    <t>LE RECETTE</t>
  </si>
  <si>
    <t>ITIONNEMENT</t>
  </si>
  <si>
    <t xml:space="preserve">Réel </t>
  </si>
  <si>
    <t>PUHT</t>
  </si>
  <si>
    <t>Quantité Economique</t>
  </si>
  <si>
    <t xml:space="preserve">Rebuts </t>
  </si>
  <si>
    <t>Coût total d'achats</t>
  </si>
  <si>
    <t xml:space="preserve">Frais d'appro </t>
  </si>
  <si>
    <t>Material cost</t>
  </si>
  <si>
    <t xml:space="preserve">Main d'œuvre </t>
  </si>
  <si>
    <t>MO sous total</t>
  </si>
  <si>
    <t xml:space="preserve">MO complément </t>
  </si>
  <si>
    <t xml:space="preserve">MO total </t>
  </si>
  <si>
    <t>Taux d'efficacité</t>
  </si>
  <si>
    <t>TOTAL MO</t>
  </si>
  <si>
    <t>TOTAL</t>
  </si>
  <si>
    <t>Tableau d'écarts</t>
  </si>
  <si>
    <t>Commentaires</t>
  </si>
  <si>
    <t>Écart sur coût matière</t>
  </si>
  <si>
    <t>Écart sur quantité (temps)</t>
  </si>
  <si>
    <t>Écart sur coût opératoire</t>
  </si>
  <si>
    <t>Écart sur coût opératoire complément</t>
  </si>
  <si>
    <t>Écart sur coût opératoire total</t>
  </si>
  <si>
    <t>Écart sur PU</t>
  </si>
  <si>
    <t>Tps Min</t>
  </si>
  <si>
    <t>TUO</t>
  </si>
  <si>
    <r>
      <t>ac %</t>
    </r>
    <r>
      <rPr>
        <b/>
        <sz val="10"/>
        <rFont val="Arial"/>
        <family val="2"/>
      </rPr>
      <t xml:space="preserve">  efficacité</t>
    </r>
  </si>
  <si>
    <r>
      <t xml:space="preserve">ac % </t>
    </r>
    <r>
      <rPr>
        <b/>
        <sz val="10"/>
        <rFont val="Arial"/>
        <family val="2"/>
      </rPr>
      <t xml:space="preserve"> efficacité</t>
    </r>
  </si>
  <si>
    <t>Quantité bonne</t>
  </si>
  <si>
    <t xml:space="preserve">Une quantité éco de                                                                         </t>
  </si>
  <si>
    <t>produits réalisés</t>
  </si>
  <si>
    <t xml:space="preserve">pour </t>
  </si>
  <si>
    <t>Rebuts % :</t>
  </si>
  <si>
    <t>% Rebuts S</t>
  </si>
  <si>
    <t>% Rebuts R</t>
  </si>
  <si>
    <t xml:space="preserve">0SE </t>
  </si>
  <si>
    <t>0RE</t>
  </si>
  <si>
    <t>0SE</t>
  </si>
  <si>
    <t>CO</t>
  </si>
  <si>
    <t>ST PRICE CALCULATION BY ITEM</t>
  </si>
  <si>
    <t>------------------------------------------</t>
  </si>
  <si>
    <t>----------</t>
  </si>
  <si>
    <t>andard Cos</t>
  </si>
  <si>
    <t>t Price</t>
  </si>
  <si>
    <t>l standard 2014</t>
  </si>
  <si>
    <t>Ma</t>
  </si>
  <si>
    <t>terial Cos</t>
  </si>
  <si>
    <t>ts</t>
  </si>
  <si>
    <t>Op</t>
  </si>
  <si>
    <t>eration Co</t>
  </si>
  <si>
    <t>-----+------------------------------+-----</t>
  </si>
  <si>
    <t>Wor</t>
  </si>
  <si>
    <t>Operatio</t>
  </si>
  <si>
    <t>n Time</t>
  </si>
  <si>
    <t>Cen</t>
  </si>
  <si>
    <t>--------------+</t>
  </si>
  <si>
    <t>----+--------------------------------+----</t>
  </si>
  <si>
    <t>Price</t>
  </si>
  <si>
    <t>e Base</t>
  </si>
  <si>
    <t>-------------+-</t>
  </si>
  <si>
    <t>-+-----------------------+----------------</t>
  </si>
  <si>
    <t>+---------</t>
  </si>
  <si>
    <t>Material C</t>
  </si>
  <si>
    <t>per     U</t>
  </si>
  <si>
    <t>N</t>
  </si>
  <si>
    <t>Position  Item</t>
  </si>
  <si>
    <t xml:space="preserve"> Description                  </t>
  </si>
  <si>
    <t xml:space="preserve">                              </t>
  </si>
  <si>
    <t xml:space="preserve"> Unit</t>
  </si>
  <si>
    <t>10/  2           1038794</t>
  </si>
  <si>
    <t xml:space="preserve">  UN</t>
  </si>
  <si>
    <t>20/  3           1068155</t>
  </si>
  <si>
    <t>30/  2           1053451</t>
  </si>
  <si>
    <t>40/  2           1044524</t>
  </si>
  <si>
    <t>50/  2           1067174</t>
  </si>
  <si>
    <t>60/  2           1066384</t>
  </si>
  <si>
    <t>80/  1           9258160</t>
  </si>
  <si>
    <t>90/  2           1063804</t>
  </si>
  <si>
    <t xml:space="preserve">  KG</t>
  </si>
  <si>
    <t>100/  1           8144840</t>
  </si>
  <si>
    <t xml:space="preserve">  GR</t>
  </si>
  <si>
    <t>110/  1           8144840</t>
  </si>
  <si>
    <t>120/  1           8144841</t>
  </si>
  <si>
    <t xml:space="preserve"> Operation Costs</t>
  </si>
  <si>
    <t>------------------------</t>
  </si>
  <si>
    <t xml:space="preserve">   Oper-  Task  Descri</t>
  </si>
  <si>
    <t xml:space="preserve">k    Description                    </t>
  </si>
  <si>
    <t xml:space="preserve">   ation       </t>
  </si>
  <si>
    <t xml:space="preserve">ter                                 </t>
  </si>
  <si>
    <t>---------+------+-------</t>
  </si>
  <si>
    <t xml:space="preserve">   10     9802  NETTOY</t>
  </si>
  <si>
    <t xml:space="preserve">S             </t>
  </si>
  <si>
    <t xml:space="preserve">   20     9968  ATTENT</t>
  </si>
  <si>
    <t xml:space="preserve">R01  ATTENTE 24 HEURES              </t>
  </si>
  <si>
    <t xml:space="preserve">   30     9850  TIR EL</t>
  </si>
  <si>
    <t xml:space="preserve">   40     9764  MARQUA</t>
  </si>
  <si>
    <t xml:space="preserve">E             </t>
  </si>
  <si>
    <t xml:space="preserve">   50     9789  ASSEMB</t>
  </si>
  <si>
    <t xml:space="preserve">VEOLE         </t>
  </si>
  <si>
    <t xml:space="preserve">   55     9863  MISE E</t>
  </si>
  <si>
    <t xml:space="preserve">   60     9721  PREP A</t>
  </si>
  <si>
    <t xml:space="preserve">COULOIR)      </t>
  </si>
  <si>
    <t xml:space="preserve">   70     9785  CHARGE</t>
  </si>
  <si>
    <t xml:space="preserve">TIQUE         </t>
  </si>
  <si>
    <t xml:space="preserve">   80     9772  CONTRO</t>
  </si>
  <si>
    <t xml:space="preserve">PHIQUE        </t>
  </si>
  <si>
    <t xml:space="preserve">PMU  CABINE DE RADIOGRAPHIE         </t>
  </si>
  <si>
    <t xml:space="preserve">   90     9988  CTRL 1</t>
  </si>
  <si>
    <t xml:space="preserve"> Total Operation Costs</t>
  </si>
  <si>
    <t xml:space="preserve"> Cost Price Surcharges</t>
  </si>
  <si>
    <t xml:space="preserve"> Booking        Ware-</t>
  </si>
  <si>
    <t xml:space="preserve"> Descripti</t>
  </si>
  <si>
    <t xml:space="preserve">on           </t>
  </si>
  <si>
    <t xml:space="preserve"> Description                 Surcharge</t>
  </si>
  <si>
    <t xml:space="preserve">     Cost</t>
  </si>
  <si>
    <t xml:space="preserve"> Triggered by   house</t>
  </si>
  <si>
    <t xml:space="preserve"> Surcharg</t>
  </si>
  <si>
    <t>---------------+--------</t>
  </si>
  <si>
    <t xml:space="preserve"> Receipt       </t>
  </si>
  <si>
    <t xml:space="preserve"> Issue         </t>
  </si>
  <si>
    <t xml:space="preserve"> Total Cost Price Surcha</t>
  </si>
  <si>
    <t>10/  2           1066384</t>
  </si>
  <si>
    <t>20/  1           1067176</t>
  </si>
  <si>
    <t xml:space="preserve">    3     7708  RESP C</t>
  </si>
  <si>
    <t xml:space="preserve">   10     9854  CONTRO</t>
  </si>
  <si>
    <t xml:space="preserve">PF2/PF3       </t>
  </si>
  <si>
    <t xml:space="preserve">   20     9826  RECOND</t>
  </si>
  <si>
    <t xml:space="preserve">PF3          </t>
  </si>
  <si>
    <t xml:space="preserve">PMT  FERMETURE/CTRL/CONDITIONNEMENT </t>
  </si>
  <si>
    <t xml:space="preserve"> Inv,</t>
  </si>
  <si>
    <t xml:space="preserve">NTROLE FAB,   </t>
  </si>
  <si>
    <t>00% ISOL,EL</t>
  </si>
  <si>
    <t xml:space="preserve">EC,VISU,COND, </t>
  </si>
  <si>
    <t>Seq,</t>
  </si>
  <si>
    <t>No,</t>
  </si>
  <si>
    <t xml:space="preserve"> Frais d'appro sous-tr         9,50  %</t>
  </si>
  <si>
    <t xml:space="preserve"> Frais d'appro réduit          4,00  %</t>
  </si>
  <si>
    <t xml:space="preserve"> Frais d'appro normal          9,50  %</t>
  </si>
  <si>
    <t>ION COSTS</t>
  </si>
  <si>
    <t>BY OR</t>
  </si>
  <si>
    <t>-----</t>
  </si>
  <si>
    <t>RON</t>
  </si>
  <si>
    <t>DELLE</t>
  </si>
  <si>
    <t>Material</t>
  </si>
  <si>
    <t>ALV</t>
  </si>
  <si>
    <t>EOLE</t>
  </si>
  <si>
    <t>COM</t>
  </si>
  <si>
    <t>POSIT</t>
  </si>
  <si>
    <t>CER</t>
  </si>
  <si>
    <t>AMIQU</t>
  </si>
  <si>
    <t>COU</t>
  </si>
  <si>
    <t>VERCL</t>
  </si>
  <si>
    <t>M/C</t>
  </si>
  <si>
    <t>4.1200</t>
  </si>
  <si>
    <t>13.1900</t>
  </si>
  <si>
    <t>I F</t>
  </si>
  <si>
    <t>PY 22</t>
  </si>
  <si>
    <t>BAN</t>
  </si>
  <si>
    <t>DE IN</t>
  </si>
  <si>
    <t>1.4300</t>
  </si>
  <si>
    <t>26.1700</t>
  </si>
  <si>
    <t xml:space="preserve"> RONDELLE ISOLANTE </t>
  </si>
  <si>
    <t xml:space="preserve"> RONDELLE METALLIQUE  </t>
  </si>
  <si>
    <t xml:space="preserve"> PAILLET DE FERMETURE</t>
  </si>
  <si>
    <t xml:space="preserve"> ALVEOLE </t>
  </si>
  <si>
    <t xml:space="preserve"> COUVERCLE </t>
  </si>
  <si>
    <t xml:space="preserve"> CERAMIQUE SURMOULEE</t>
  </si>
  <si>
    <t xml:space="preserve"> OUT CHARG GESTION</t>
  </si>
  <si>
    <t xml:space="preserve"> COMPOSITION</t>
  </si>
  <si>
    <t xml:space="preserve"> DURCISSEUR</t>
  </si>
  <si>
    <t xml:space="preserve"> DILUANT             </t>
  </si>
  <si>
    <t xml:space="preserve"> ENCRE </t>
  </si>
  <si>
    <t xml:space="preserve">PNY  MACHINE A DEGRAISSER </t>
  </si>
  <si>
    <t xml:space="preserve">PAA  SALLES INITATEUR ELECTRIQ, </t>
  </si>
  <si>
    <t xml:space="preserve">PMM  MARQUEUSE </t>
  </si>
  <si>
    <t>PNL  CHAINE DE MONTAGE ALVEOLE</t>
  </si>
  <si>
    <t>PNH  SALLE DE CHARGEMENT</t>
  </si>
  <si>
    <t xml:space="preserve">PRA  PREPAR, ALIM, SALLE </t>
  </si>
  <si>
    <t xml:space="preserve"> EMBALLAGE</t>
  </si>
  <si>
    <t xml:space="preserve"> I FPY 22 ATS</t>
  </si>
  <si>
    <t xml:space="preserve">PBA  MOYENS YQ CONTR, RECETTE </t>
  </si>
</sst>
</file>

<file path=xl/styles.xml><?xml version="1.0" encoding="utf-8"?>
<styleSheet xmlns="http://schemas.openxmlformats.org/spreadsheetml/2006/main">
  <numFmts count="8">
    <numFmt numFmtId="164" formatCode="_-* #,##0.00\ [$€-40C]_-;\-* #,##0.00\ [$€-40C]_-;_-* &quot;-&quot;??\ [$€-40C]_-;_-@_-"/>
    <numFmt numFmtId="165" formatCode="0.0%"/>
    <numFmt numFmtId="166" formatCode="#,##0.00\ [$€-40C]"/>
    <numFmt numFmtId="167" formatCode="General\ \U"/>
    <numFmt numFmtId="168" formatCode="_-* #,##0.00\ _F_-;\-* #,##0.00\ _F_-;_-* &quot;-&quot;??\ _F_-;_-@_-"/>
    <numFmt numFmtId="169" formatCode="#,##0.0000"/>
    <numFmt numFmtId="170" formatCode="#,##0.000"/>
    <numFmt numFmtId="171" formatCode="0.00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sz val="10"/>
      <color theme="2" tint="-0.749992370372631"/>
      <name val="Arial"/>
      <family val="2"/>
    </font>
    <font>
      <sz val="10"/>
      <name val="Arial"/>
      <family val="2"/>
    </font>
    <font>
      <b/>
      <u/>
      <sz val="12"/>
      <color theme="2" tint="-0.749992370372631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  <font>
      <b/>
      <sz val="14"/>
      <color rgb="FF00B050"/>
      <name val="Calibri"/>
      <family val="2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81"/>
      <name val="Calibri"/>
      <family val="2"/>
    </font>
    <font>
      <i/>
      <sz val="8"/>
      <color indexed="81"/>
      <name val="Calibri"/>
      <family val="2"/>
    </font>
    <font>
      <i/>
      <sz val="8"/>
      <color indexed="81"/>
      <name val="Tahoma"/>
      <family val="2"/>
    </font>
    <font>
      <u/>
      <sz val="8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0"/>
      <color theme="9" tint="-0.249977111117893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color theme="9" tint="-0.249977111117893"/>
      <name val="Arial"/>
      <family val="2"/>
    </font>
    <font>
      <b/>
      <sz val="10"/>
      <color indexed="8"/>
      <name val="Arial"/>
      <family val="2"/>
    </font>
    <font>
      <sz val="10"/>
      <color indexed="11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DashDot">
        <color rgb="FF00B0F0"/>
      </right>
      <top style="medium">
        <color indexed="64"/>
      </top>
      <bottom/>
      <diagonal/>
    </border>
    <border>
      <left style="mediumDashDot">
        <color rgb="FF00B0F0"/>
      </left>
      <right/>
      <top style="mediumDashDot">
        <color rgb="FF00B0F0"/>
      </top>
      <bottom style="mediumDashDot">
        <color rgb="FF00B0F0"/>
      </bottom>
      <diagonal/>
    </border>
    <border>
      <left/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/>
      <diagonal/>
    </border>
    <border>
      <left/>
      <right/>
      <top style="mediumDashDot">
        <color rgb="FF00B0F0"/>
      </top>
      <bottom style="mediumDashDot">
        <color rgb="FF00B0F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DashDot">
        <color rgb="FF00B0F0"/>
      </right>
      <top style="thin">
        <color indexed="64"/>
      </top>
      <bottom/>
      <diagonal/>
    </border>
    <border>
      <left style="mediumDashDot">
        <color rgb="FF00B0F0"/>
      </left>
      <right style="mediumDashDot">
        <color rgb="FF00B0F0"/>
      </right>
      <top/>
      <bottom/>
      <diagonal/>
    </border>
    <border>
      <left style="mediumDashDot">
        <color rgb="FF00B0F0"/>
      </left>
      <right/>
      <top style="mediumDashDot">
        <color rgb="FF00B0F0"/>
      </top>
      <bottom/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rgb="FF00B0F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0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3" xfId="0" applyFont="1" applyFill="1" applyBorder="1" applyAlignment="1"/>
    <xf numFmtId="164" fontId="0" fillId="0" borderId="4" xfId="0" applyNumberFormat="1" applyBorder="1"/>
    <xf numFmtId="164" fontId="0" fillId="0" borderId="5" xfId="0" applyNumberFormat="1" applyBorder="1"/>
    <xf numFmtId="164" fontId="0" fillId="0" borderId="2" xfId="0" applyNumberFormat="1" applyBorder="1"/>
    <xf numFmtId="164" fontId="0" fillId="0" borderId="6" xfId="0" applyNumberFormat="1" applyBorder="1"/>
    <xf numFmtId="164" fontId="0" fillId="0" borderId="1" xfId="0" applyNumberFormat="1" applyBorder="1"/>
    <xf numFmtId="164" fontId="0" fillId="0" borderId="7" xfId="0" applyNumberFormat="1" applyBorder="1"/>
    <xf numFmtId="164" fontId="0" fillId="0" borderId="0" xfId="0" applyNumberFormat="1" applyBorder="1"/>
    <xf numFmtId="0" fontId="5" fillId="3" borderId="9" xfId="0" applyFont="1" applyFill="1" applyBorder="1" applyAlignment="1">
      <alignment horizontal="center" vertical="top"/>
    </xf>
    <xf numFmtId="1" fontId="5" fillId="3" borderId="19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top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1" fontId="5" fillId="3" borderId="24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/>
    </xf>
    <xf numFmtId="0" fontId="7" fillId="3" borderId="26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164" fontId="0" fillId="4" borderId="1" xfId="0" applyNumberFormat="1" applyFill="1" applyBorder="1"/>
    <xf numFmtId="2" fontId="0" fillId="4" borderId="1" xfId="0" applyNumberFormat="1" applyFill="1" applyBorder="1"/>
    <xf numFmtId="165" fontId="0" fillId="4" borderId="1" xfId="1" applyNumberFormat="1" applyFon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66" fontId="2" fillId="4" borderId="3" xfId="0" applyNumberFormat="1" applyFont="1" applyFill="1" applyBorder="1"/>
    <xf numFmtId="166" fontId="2" fillId="4" borderId="28" xfId="0" applyNumberFormat="1" applyFont="1" applyFill="1" applyBorder="1"/>
    <xf numFmtId="0" fontId="5" fillId="3" borderId="26" xfId="0" applyFont="1" applyFill="1" applyBorder="1" applyAlignment="1">
      <alignment horizontal="center" vertical="center"/>
    </xf>
    <xf numFmtId="9" fontId="4" fillId="4" borderId="29" xfId="2" applyFont="1" applyFill="1" applyBorder="1" applyAlignment="1">
      <alignment horizontal="center"/>
    </xf>
    <xf numFmtId="2" fontId="0" fillId="0" borderId="0" xfId="0" applyNumberFormat="1"/>
    <xf numFmtId="0" fontId="0" fillId="4" borderId="3" xfId="0" applyFill="1" applyBorder="1" applyAlignment="1">
      <alignment horizontal="center"/>
    </xf>
    <xf numFmtId="164" fontId="0" fillId="4" borderId="30" xfId="0" applyNumberFormat="1" applyFill="1" applyBorder="1"/>
    <xf numFmtId="2" fontId="0" fillId="4" borderId="30" xfId="0" applyNumberFormat="1" applyFill="1" applyBorder="1"/>
    <xf numFmtId="165" fontId="0" fillId="4" borderId="30" xfId="1" applyNumberFormat="1" applyFon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/>
    </xf>
    <xf numFmtId="0" fontId="5" fillId="5" borderId="31" xfId="0" applyFont="1" applyFill="1" applyBorder="1"/>
    <xf numFmtId="164" fontId="0" fillId="4" borderId="31" xfId="0" applyNumberFormat="1" applyFill="1" applyBorder="1"/>
    <xf numFmtId="167" fontId="0" fillId="4" borderId="31" xfId="0" applyNumberFormat="1" applyFill="1" applyBorder="1"/>
    <xf numFmtId="0" fontId="5" fillId="6" borderId="31" xfId="0" applyFont="1" applyFill="1" applyBorder="1" applyAlignment="1">
      <alignment horizontal="left"/>
    </xf>
    <xf numFmtId="164" fontId="2" fillId="4" borderId="31" xfId="0" applyNumberFormat="1" applyFont="1" applyFill="1" applyBorder="1"/>
    <xf numFmtId="166" fontId="0" fillId="4" borderId="31" xfId="0" applyNumberFormat="1" applyFill="1" applyBorder="1" applyAlignment="1">
      <alignment horizontal="center"/>
    </xf>
    <xf numFmtId="0" fontId="4" fillId="9" borderId="31" xfId="0" applyFont="1" applyFill="1" applyBorder="1" applyAlignment="1">
      <alignment horizontal="center"/>
    </xf>
    <xf numFmtId="14" fontId="0" fillId="0" borderId="0" xfId="0" applyNumberFormat="1"/>
    <xf numFmtId="0" fontId="0" fillId="4" borderId="31" xfId="0" applyFill="1" applyBorder="1" applyAlignment="1">
      <alignment horizontal="center"/>
    </xf>
    <xf numFmtId="0" fontId="0" fillId="2" borderId="0" xfId="0" applyFill="1"/>
    <xf numFmtId="14" fontId="0" fillId="2" borderId="0" xfId="0" applyNumberFormat="1" applyFill="1"/>
    <xf numFmtId="0" fontId="12" fillId="0" borderId="0" xfId="0" applyFont="1"/>
    <xf numFmtId="0" fontId="13" fillId="0" borderId="0" xfId="0" applyFont="1"/>
    <xf numFmtId="4" fontId="0" fillId="12" borderId="0" xfId="0" applyNumberFormat="1" applyFill="1"/>
    <xf numFmtId="0" fontId="0" fillId="0" borderId="0" xfId="0" applyBorder="1"/>
    <xf numFmtId="4" fontId="0" fillId="0" borderId="0" xfId="0" applyNumberFormat="1"/>
    <xf numFmtId="0" fontId="22" fillId="0" borderId="31" xfId="0" applyFont="1" applyBorder="1" applyAlignment="1">
      <alignment horizontal="center"/>
    </xf>
    <xf numFmtId="0" fontId="23" fillId="0" borderId="0" xfId="0" applyFont="1" applyBorder="1"/>
    <xf numFmtId="14" fontId="23" fillId="0" borderId="31" xfId="0" applyNumberFormat="1" applyFont="1" applyBorder="1"/>
    <xf numFmtId="0" fontId="0" fillId="0" borderId="31" xfId="0" applyBorder="1" applyAlignment="1">
      <alignment horizontal="center"/>
    </xf>
    <xf numFmtId="0" fontId="24" fillId="0" borderId="31" xfId="0" applyFont="1" applyBorder="1" applyAlignment="1">
      <alignment horizontal="center"/>
    </xf>
    <xf numFmtId="14" fontId="23" fillId="0" borderId="31" xfId="0" applyNumberFormat="1" applyFont="1" applyBorder="1" applyAlignment="1">
      <alignment horizontal="right"/>
    </xf>
    <xf numFmtId="0" fontId="24" fillId="14" borderId="31" xfId="0" applyFont="1" applyFill="1" applyBorder="1"/>
    <xf numFmtId="14" fontId="0" fillId="0" borderId="31" xfId="0" applyNumberFormat="1" applyBorder="1" applyAlignment="1">
      <alignment horizontal="center"/>
    </xf>
    <xf numFmtId="2" fontId="0" fillId="14" borderId="31" xfId="0" applyNumberFormat="1" applyFill="1" applyBorder="1" applyAlignment="1">
      <alignment horizontal="center"/>
    </xf>
    <xf numFmtId="169" fontId="0" fillId="0" borderId="0" xfId="0" applyNumberFormat="1"/>
    <xf numFmtId="4" fontId="0" fillId="0" borderId="31" xfId="0" applyNumberFormat="1" applyBorder="1"/>
    <xf numFmtId="0" fontId="24" fillId="0" borderId="31" xfId="0" applyFont="1" applyBorder="1"/>
    <xf numFmtId="3" fontId="0" fillId="0" borderId="31" xfId="0" applyNumberFormat="1" applyBorder="1" applyAlignment="1">
      <alignment horizontal="center"/>
    </xf>
    <xf numFmtId="9" fontId="0" fillId="0" borderId="31" xfId="1" applyFont="1" applyBorder="1" applyAlignment="1">
      <alignment horizontal="center"/>
    </xf>
    <xf numFmtId="0" fontId="0" fillId="0" borderId="30" xfId="0" applyBorder="1"/>
    <xf numFmtId="0" fontId="0" fillId="0" borderId="30" xfId="0" applyBorder="1" applyAlignment="1">
      <alignment horizontal="center"/>
    </xf>
    <xf numFmtId="4" fontId="0" fillId="0" borderId="0" xfId="0" applyNumberFormat="1" applyBorder="1"/>
    <xf numFmtId="4" fontId="0" fillId="0" borderId="30" xfId="0" applyNumberFormat="1" applyBorder="1"/>
    <xf numFmtId="2" fontId="0" fillId="0" borderId="30" xfId="0" applyNumberFormat="1" applyBorder="1" applyAlignment="1">
      <alignment horizontal="center"/>
    </xf>
    <xf numFmtId="0" fontId="24" fillId="3" borderId="28" xfId="0" applyFont="1" applyFill="1" applyBorder="1"/>
    <xf numFmtId="0" fontId="0" fillId="12" borderId="31" xfId="0" applyFill="1" applyBorder="1" applyAlignment="1">
      <alignment horizontal="center"/>
    </xf>
    <xf numFmtId="2" fontId="0" fillId="3" borderId="31" xfId="0" applyNumberFormat="1" applyFill="1" applyBorder="1" applyAlignment="1">
      <alignment horizontal="center"/>
    </xf>
    <xf numFmtId="0" fontId="24" fillId="3" borderId="31" xfId="0" applyFont="1" applyFill="1" applyBorder="1"/>
    <xf numFmtId="4" fontId="0" fillId="12" borderId="31" xfId="0" applyNumberFormat="1" applyFill="1" applyBorder="1"/>
    <xf numFmtId="2" fontId="0" fillId="12" borderId="31" xfId="0" applyNumberFormat="1" applyFill="1" applyBorder="1" applyAlignment="1">
      <alignment horizontal="center"/>
    </xf>
    <xf numFmtId="4" fontId="0" fillId="0" borderId="0" xfId="0" applyNumberFormat="1" applyAlignment="1">
      <alignment horizontal="right"/>
    </xf>
    <xf numFmtId="2" fontId="0" fillId="0" borderId="31" xfId="0" applyNumberFormat="1" applyBorder="1" applyAlignment="1">
      <alignment horizontal="center"/>
    </xf>
    <xf numFmtId="4" fontId="25" fillId="0" borderId="0" xfId="0" applyNumberFormat="1" applyFont="1" applyFill="1" applyAlignment="1">
      <alignment horizontal="center"/>
    </xf>
    <xf numFmtId="4" fontId="0" fillId="0" borderId="0" xfId="0" applyNumberFormat="1" applyFill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24" fillId="15" borderId="31" xfId="0" applyFont="1" applyFill="1" applyBorder="1"/>
    <xf numFmtId="2" fontId="0" fillId="15" borderId="31" xfId="0" applyNumberFormat="1" applyFill="1" applyBorder="1" applyAlignment="1">
      <alignment horizontal="center"/>
    </xf>
    <xf numFmtId="4" fontId="8" fillId="16" borderId="0" xfId="0" applyNumberFormat="1" applyFont="1" applyFill="1"/>
    <xf numFmtId="0" fontId="0" fillId="0" borderId="31" xfId="0" applyBorder="1"/>
    <xf numFmtId="171" fontId="0" fillId="0" borderId="31" xfId="0" applyNumberFormat="1" applyBorder="1" applyAlignment="1">
      <alignment horizontal="center"/>
    </xf>
    <xf numFmtId="0" fontId="24" fillId="15" borderId="31" xfId="0" applyFont="1" applyFill="1" applyBorder="1" applyAlignment="1">
      <alignment horizontal="center"/>
    </xf>
    <xf numFmtId="4" fontId="25" fillId="0" borderId="0" xfId="0" applyNumberFormat="1" applyFont="1" applyAlignment="1">
      <alignment horizontal="center"/>
    </xf>
    <xf numFmtId="2" fontId="24" fillId="15" borderId="31" xfId="0" applyNumberFormat="1" applyFont="1" applyFill="1" applyBorder="1" applyAlignment="1">
      <alignment horizontal="center"/>
    </xf>
    <xf numFmtId="9" fontId="1" fillId="15" borderId="31" xfId="1" applyNumberFormat="1" applyFill="1" applyBorder="1" applyAlignment="1">
      <alignment horizontal="center"/>
    </xf>
    <xf numFmtId="4" fontId="26" fillId="14" borderId="31" xfId="0" applyNumberFormat="1" applyFont="1" applyFill="1" applyBorder="1" applyAlignment="1">
      <alignment horizontal="center" vertical="center" wrapText="1"/>
    </xf>
    <xf numFmtId="2" fontId="24" fillId="14" borderId="31" xfId="0" applyNumberFormat="1" applyFont="1" applyFill="1" applyBorder="1" applyAlignment="1">
      <alignment horizontal="center"/>
    </xf>
    <xf numFmtId="2" fontId="26" fillId="14" borderId="31" xfId="0" applyNumberFormat="1" applyFont="1" applyFill="1" applyBorder="1" applyAlignment="1">
      <alignment horizontal="center" vertical="center" wrapText="1"/>
    </xf>
    <xf numFmtId="4" fontId="0" fillId="14" borderId="31" xfId="0" applyNumberFormat="1" applyFill="1" applyBorder="1" applyAlignment="1">
      <alignment horizontal="center"/>
    </xf>
    <xf numFmtId="0" fontId="0" fillId="0" borderId="30" xfId="0" applyFill="1" applyBorder="1"/>
    <xf numFmtId="0" fontId="0" fillId="0" borderId="30" xfId="0" applyFill="1" applyBorder="1" applyAlignment="1">
      <alignment horizontal="center"/>
    </xf>
    <xf numFmtId="4" fontId="27" fillId="0" borderId="30" xfId="0" applyNumberFormat="1" applyFont="1" applyFill="1" applyBorder="1" applyAlignment="1">
      <alignment horizontal="center" wrapText="1"/>
    </xf>
    <xf numFmtId="169" fontId="0" fillId="0" borderId="30" xfId="0" applyNumberFormat="1" applyFill="1" applyBorder="1" applyAlignment="1">
      <alignment horizontal="center"/>
    </xf>
    <xf numFmtId="4" fontId="0" fillId="0" borderId="0" xfId="0" applyNumberFormat="1" applyFill="1" applyBorder="1"/>
    <xf numFmtId="2" fontId="27" fillId="0" borderId="30" xfId="0" applyNumberFormat="1" applyFont="1" applyFill="1" applyBorder="1" applyAlignment="1">
      <alignment horizontal="center" wrapText="1"/>
    </xf>
    <xf numFmtId="4" fontId="24" fillId="0" borderId="0" xfId="0" applyNumberFormat="1" applyFont="1" applyFill="1" applyBorder="1"/>
    <xf numFmtId="4" fontId="0" fillId="12" borderId="31" xfId="0" applyNumberFormat="1" applyFill="1" applyBorder="1" applyAlignment="1">
      <alignment horizontal="center" wrapText="1"/>
    </xf>
    <xf numFmtId="4" fontId="24" fillId="14" borderId="31" xfId="0" applyNumberFormat="1" applyFont="1" applyFill="1" applyBorder="1" applyAlignment="1">
      <alignment horizontal="center"/>
    </xf>
    <xf numFmtId="2" fontId="0" fillId="12" borderId="31" xfId="0" applyNumberFormat="1" applyFill="1" applyBorder="1" applyAlignment="1">
      <alignment horizontal="center" wrapText="1"/>
    </xf>
    <xf numFmtId="0" fontId="24" fillId="12" borderId="0" xfId="0" applyFont="1" applyFill="1" applyBorder="1"/>
    <xf numFmtId="0" fontId="0" fillId="12" borderId="0" xfId="0" applyFill="1" applyBorder="1" applyAlignment="1">
      <alignment horizontal="center"/>
    </xf>
    <xf numFmtId="4" fontId="0" fillId="12" borderId="0" xfId="0" applyNumberFormat="1" applyFill="1" applyBorder="1" applyAlignment="1">
      <alignment horizontal="center" wrapText="1"/>
    </xf>
    <xf numFmtId="169" fontId="24" fillId="12" borderId="0" xfId="0" applyNumberFormat="1" applyFont="1" applyFill="1" applyBorder="1" applyAlignment="1">
      <alignment horizontal="center"/>
    </xf>
    <xf numFmtId="2" fontId="0" fillId="12" borderId="0" xfId="0" applyNumberFormat="1" applyFill="1" applyBorder="1" applyAlignment="1">
      <alignment horizontal="center" wrapText="1"/>
    </xf>
    <xf numFmtId="170" fontId="24" fillId="12" borderId="0" xfId="0" applyNumberFormat="1" applyFont="1" applyFill="1" applyBorder="1" applyAlignment="1">
      <alignment horizontal="center"/>
    </xf>
    <xf numFmtId="4" fontId="24" fillId="12" borderId="0" xfId="0" applyNumberFormat="1" applyFont="1" applyFill="1" applyBorder="1"/>
    <xf numFmtId="0" fontId="24" fillId="0" borderId="0" xfId="0" applyFont="1" applyFill="1" applyBorder="1"/>
    <xf numFmtId="0" fontId="24" fillId="0" borderId="0" xfId="0" applyFont="1" applyAlignment="1">
      <alignment horizontal="center"/>
    </xf>
    <xf numFmtId="0" fontId="21" fillId="4" borderId="31" xfId="0" applyFont="1" applyFill="1" applyBorder="1" applyAlignment="1">
      <alignment vertical="center"/>
    </xf>
    <xf numFmtId="4" fontId="7" fillId="0" borderId="28" xfId="0" applyNumberFormat="1" applyFont="1" applyFill="1" applyBorder="1" applyAlignment="1">
      <alignment horizontal="center" vertical="center"/>
    </xf>
    <xf numFmtId="0" fontId="24" fillId="4" borderId="31" xfId="0" applyFont="1" applyFill="1" applyBorder="1"/>
    <xf numFmtId="2" fontId="7" fillId="0" borderId="28" xfId="0" applyNumberFormat="1" applyFont="1" applyBorder="1" applyAlignment="1">
      <alignment horizontal="center"/>
    </xf>
    <xf numFmtId="4" fontId="7" fillId="0" borderId="28" xfId="0" applyNumberFormat="1" applyFont="1" applyBorder="1" applyAlignment="1">
      <alignment horizontal="center"/>
    </xf>
    <xf numFmtId="4" fontId="7" fillId="0" borderId="28" xfId="0" applyNumberFormat="1" applyFont="1" applyBorder="1" applyAlignment="1">
      <alignment horizontal="center" vertical="center"/>
    </xf>
    <xf numFmtId="1" fontId="0" fillId="15" borderId="31" xfId="0" applyNumberFormat="1" applyFill="1" applyBorder="1" applyAlignment="1">
      <alignment horizontal="center"/>
    </xf>
    <xf numFmtId="9" fontId="1" fillId="15" borderId="31" xfId="1" applyFill="1" applyBorder="1" applyAlignment="1">
      <alignment horizontal="center"/>
    </xf>
    <xf numFmtId="0" fontId="8" fillId="11" borderId="31" xfId="0" applyFont="1" applyFill="1" applyBorder="1"/>
    <xf numFmtId="0" fontId="13" fillId="8" borderId="1" xfId="0" applyFont="1" applyFill="1" applyBorder="1" applyAlignment="1">
      <alignment horizontal="left" vertical="center" wrapText="1"/>
    </xf>
    <xf numFmtId="0" fontId="0" fillId="0" borderId="0" xfId="0" applyNumberFormat="1"/>
    <xf numFmtId="0" fontId="13" fillId="8" borderId="1" xfId="0" applyFont="1" applyFill="1" applyBorder="1" applyAlignment="1">
      <alignment vertical="center" wrapText="1"/>
    </xf>
    <xf numFmtId="0" fontId="13" fillId="8" borderId="27" xfId="0" applyFont="1" applyFill="1" applyBorder="1" applyAlignment="1">
      <alignment vertical="center" wrapText="1"/>
    </xf>
    <xf numFmtId="9" fontId="13" fillId="8" borderId="1" xfId="0" applyNumberFormat="1" applyFont="1" applyFill="1" applyBorder="1" applyAlignment="1">
      <alignment horizontal="left" vertical="center" wrapText="1"/>
    </xf>
    <xf numFmtId="0" fontId="13" fillId="8" borderId="30" xfId="0" applyFont="1" applyFill="1" applyBorder="1" applyAlignment="1">
      <alignment horizontal="left" vertical="center" wrapText="1"/>
    </xf>
    <xf numFmtId="0" fontId="13" fillId="8" borderId="30" xfId="0" applyFont="1" applyFill="1" applyBorder="1" applyAlignment="1">
      <alignment vertical="center" wrapText="1"/>
    </xf>
    <xf numFmtId="0" fontId="13" fillId="8" borderId="28" xfId="0" applyFont="1" applyFill="1" applyBorder="1" applyAlignment="1">
      <alignment vertical="center" wrapText="1"/>
    </xf>
    <xf numFmtId="0" fontId="13" fillId="8" borderId="31" xfId="0" applyFont="1" applyFill="1" applyBorder="1" applyAlignment="1">
      <alignment horizontal="left" vertical="center" wrapText="1"/>
    </xf>
    <xf numFmtId="0" fontId="13" fillId="8" borderId="7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center" vertical="center"/>
    </xf>
    <xf numFmtId="2" fontId="0" fillId="11" borderId="31" xfId="0" applyNumberFormat="1" applyFill="1" applyBorder="1" applyAlignment="1">
      <alignment horizontal="center"/>
    </xf>
    <xf numFmtId="0" fontId="32" fillId="11" borderId="31" xfId="0" applyNumberFormat="1" applyFont="1" applyFill="1" applyBorder="1" applyAlignment="1">
      <alignment horizontal="left"/>
    </xf>
    <xf numFmtId="0" fontId="31" fillId="0" borderId="0" xfId="0" applyFont="1"/>
    <xf numFmtId="1" fontId="8" fillId="15" borderId="31" xfId="0" applyNumberFormat="1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 indent="4"/>
    </xf>
    <xf numFmtId="0" fontId="5" fillId="3" borderId="11" xfId="0" applyFont="1" applyFill="1" applyBorder="1" applyAlignment="1">
      <alignment horizontal="left" vertical="center" indent="4"/>
    </xf>
    <xf numFmtId="0" fontId="5" fillId="3" borderId="9" xfId="0" applyFont="1" applyFill="1" applyBorder="1" applyAlignment="1">
      <alignment horizontal="left" vertical="center" indent="4"/>
    </xf>
    <xf numFmtId="0" fontId="5" fillId="3" borderId="16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left" vertical="center" wrapText="1"/>
    </xf>
    <xf numFmtId="0" fontId="13" fillId="8" borderId="5" xfId="0" applyFont="1" applyFill="1" applyBorder="1" applyAlignment="1">
      <alignment horizontal="left" vertical="center" wrapText="1"/>
    </xf>
    <xf numFmtId="0" fontId="13" fillId="8" borderId="3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4" fillId="9" borderId="31" xfId="0" applyFont="1" applyFill="1" applyBorder="1" applyAlignment="1">
      <alignment horizontal="center"/>
    </xf>
    <xf numFmtId="9" fontId="2" fillId="10" borderId="3" xfId="1" applyFont="1" applyFill="1" applyBorder="1" applyAlignment="1">
      <alignment horizontal="center"/>
    </xf>
    <xf numFmtId="9" fontId="2" fillId="10" borderId="28" xfId="1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0" fontId="5" fillId="3" borderId="19" xfId="0" applyNumberFormat="1" applyFont="1" applyFill="1" applyBorder="1" applyAlignment="1">
      <alignment horizontal="center" vertical="center"/>
    </xf>
    <xf numFmtId="10" fontId="5" fillId="3" borderId="24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30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22" fillId="13" borderId="3" xfId="0" applyFont="1" applyFill="1" applyBorder="1" applyAlignment="1">
      <alignment horizontal="center" wrapText="1"/>
    </xf>
    <xf numFmtId="0" fontId="22" fillId="13" borderId="30" xfId="0" applyFont="1" applyFill="1" applyBorder="1" applyAlignment="1">
      <alignment horizontal="center" wrapText="1"/>
    </xf>
    <xf numFmtId="0" fontId="22" fillId="13" borderId="28" xfId="0" applyFont="1" applyFill="1" applyBorder="1" applyAlignment="1">
      <alignment horizontal="center" wrapText="1"/>
    </xf>
    <xf numFmtId="0" fontId="29" fillId="0" borderId="31" xfId="0" applyFont="1" applyBorder="1" applyAlignment="1">
      <alignment horizontal="left" vertical="top" wrapText="1"/>
    </xf>
    <xf numFmtId="0" fontId="29" fillId="0" borderId="31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center" wrapText="1"/>
    </xf>
    <xf numFmtId="0" fontId="0" fillId="0" borderId="3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8" fillId="4" borderId="31" xfId="0" applyFont="1" applyFill="1" applyBorder="1" applyAlignment="1">
      <alignment horizontal="center"/>
    </xf>
    <xf numFmtId="0" fontId="28" fillId="4" borderId="3" xfId="0" applyFont="1" applyFill="1" applyBorder="1" applyAlignment="1">
      <alignment horizontal="center"/>
    </xf>
    <xf numFmtId="0" fontId="28" fillId="4" borderId="30" xfId="0" applyFont="1" applyFill="1" applyBorder="1" applyAlignment="1">
      <alignment horizontal="center"/>
    </xf>
    <xf numFmtId="0" fontId="28" fillId="4" borderId="28" xfId="0" applyFont="1" applyFill="1" applyBorder="1" applyAlignment="1">
      <alignment horizontal="center"/>
    </xf>
    <xf numFmtId="0" fontId="8" fillId="0" borderId="31" xfId="0" applyFont="1" applyBorder="1" applyAlignment="1">
      <alignment horizontal="left" vertical="top" wrapText="1"/>
    </xf>
    <xf numFmtId="0" fontId="8" fillId="0" borderId="31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24" fillId="4" borderId="6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/>
    </xf>
  </cellXfs>
  <cellStyles count="8">
    <cellStyle name="Milliers 2" xfId="3"/>
    <cellStyle name="Normal" xfId="0" builtinId="0"/>
    <cellStyle name="Normal 2" xfId="4"/>
    <cellStyle name="Normal 3" xfId="5"/>
    <cellStyle name="Normal 4" xfId="6"/>
    <cellStyle name="Pourcentage" xfId="1" builtinId="5"/>
    <cellStyle name="Pourcentage 2" xfId="2"/>
    <cellStyle name="Pourcentage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❶ : </a:t>
            </a:r>
            <a:r>
              <a:rPr lang="fr-FR" sz="1400" b="0" i="0" baseline="0">
                <a:effectLst/>
              </a:rPr>
              <a:t>Différence au niveau du prix unitaire </a:t>
            </a:r>
            <a:endParaRPr lang="fr-FR" sz="1400" b="0">
              <a:effectLst/>
            </a:endParaRP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'M911'!$E$19</c:f>
              <c:strCache>
                <c:ptCount val="1"/>
                <c:pt idx="0">
                  <c:v>Prix unitaire réel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dLbls>
            <c:dLblPos val="outEnd"/>
            <c:showVal val="1"/>
          </c:dLbls>
          <c:cat>
            <c:strRef>
              <c:f>'M911'!$D$20</c:f>
              <c:strCache>
                <c:ptCount val="1"/>
                <c:pt idx="0">
                  <c:v> 0RE001294 </c:v>
                </c:pt>
              </c:strCache>
            </c:strRef>
          </c:cat>
          <c:val>
            <c:numRef>
              <c:f>'M911'!$E$20</c:f>
              <c:numCache>
                <c:formatCode>_-* #,##0.00\ [$€-40C]_-;\-* #,##0.00\ [$€-40C]_-;_-* "-"??\ [$€-40C]_-;_-@_-</c:formatCode>
                <c:ptCount val="1"/>
                <c:pt idx="0">
                  <c:v>69.401065719360574</c:v>
                </c:pt>
              </c:numCache>
            </c:numRef>
          </c:val>
        </c:ser>
        <c:ser>
          <c:idx val="1"/>
          <c:order val="1"/>
          <c:tx>
            <c:strRef>
              <c:f>'M911'!$F$19</c:f>
              <c:strCache>
                <c:ptCount val="1"/>
                <c:pt idx="0">
                  <c:v>Prix unitaire standard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outEnd"/>
            <c:showVal val="1"/>
          </c:dLbls>
          <c:cat>
            <c:strRef>
              <c:f>'M911'!$D$20</c:f>
              <c:strCache>
                <c:ptCount val="1"/>
                <c:pt idx="0">
                  <c:v> 0RE001294 </c:v>
                </c:pt>
              </c:strCache>
            </c:strRef>
          </c:cat>
          <c:val>
            <c:numRef>
              <c:f>'M911'!$F$20</c:f>
              <c:numCache>
                <c:formatCode>_-* #,##0.00\ [$€-40C]_-;\-* #,##0.00\ [$€-40C]_-;_-* "-"??\ [$€-40C]_-;_-@_-</c:formatCode>
                <c:ptCount val="1"/>
                <c:pt idx="0">
                  <c:v>64.439162500000009</c:v>
                </c:pt>
              </c:numCache>
            </c:numRef>
          </c:val>
        </c:ser>
        <c:ser>
          <c:idx val="3"/>
          <c:order val="3"/>
          <c:tx>
            <c:strRef>
              <c:f>'M911'!$J$19</c:f>
              <c:strCache>
                <c:ptCount val="1"/>
                <c:pt idx="0">
                  <c:v>PU Devis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Lbls>
            <c:dLblPos val="outEnd"/>
            <c:showVal val="1"/>
          </c:dLbls>
          <c:cat>
            <c:strRef>
              <c:f>'M911'!$D$20</c:f>
              <c:strCache>
                <c:ptCount val="1"/>
                <c:pt idx="0">
                  <c:v> 0RE001294 </c:v>
                </c:pt>
              </c:strCache>
            </c:strRef>
          </c:cat>
          <c:val>
            <c:numRef>
              <c:f>'M911'!$J$20</c:f>
              <c:numCache>
                <c:formatCode>_-* #,##0.00\ [$€-40C]_-;\-* #,##0.00\ [$€-40C]_-;_-* "-"??\ [$€-40C]_-;_-@_-</c:formatCode>
                <c:ptCount val="1"/>
              </c:numCache>
            </c:numRef>
          </c:val>
        </c:ser>
        <c:dLbls/>
        <c:axId val="29611520"/>
        <c:axId val="29613056"/>
      </c:barChart>
      <c:scatterChart>
        <c:scatterStyle val="lineMarker"/>
        <c:ser>
          <c:idx val="2"/>
          <c:order val="2"/>
          <c:tx>
            <c:strRef>
              <c:f>'M911'!$I$19</c:f>
              <c:strCache>
                <c:ptCount val="1"/>
                <c:pt idx="0">
                  <c:v>Quantité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6"/>
            <c:spPr>
              <a:solidFill>
                <a:srgbClr val="00B050"/>
              </a:solidFill>
            </c:spPr>
          </c:marker>
          <c:dLbls>
            <c:txPr>
              <a:bodyPr/>
              <a:lstStyle/>
              <a:p>
                <a:pPr>
                  <a:defRPr b="1">
                    <a:solidFill>
                      <a:srgbClr val="00B050"/>
                    </a:solidFill>
                  </a:defRPr>
                </a:pPr>
                <a:endParaRPr lang="fr-FR"/>
              </a:p>
            </c:txPr>
            <c:dLblPos val="t"/>
            <c:showVal val="1"/>
          </c:dLbls>
          <c:xVal>
            <c:strRef>
              <c:f>'M911'!$D$20</c:f>
              <c:strCache>
                <c:ptCount val="1"/>
                <c:pt idx="0">
                  <c:v> 0RE001294 </c:v>
                </c:pt>
              </c:strCache>
            </c:strRef>
          </c:xVal>
          <c:yVal>
            <c:numRef>
              <c:f>'M911'!$I$20</c:f>
              <c:numCache>
                <c:formatCode>General\ \U</c:formatCode>
                <c:ptCount val="1"/>
                <c:pt idx="0">
                  <c:v>1126</c:v>
                </c:pt>
              </c:numCache>
            </c:numRef>
          </c:yVal>
        </c:ser>
        <c:dLbls/>
        <c:axId val="29624960"/>
        <c:axId val="29623040"/>
      </c:scatterChart>
      <c:catAx>
        <c:axId val="29611520"/>
        <c:scaling>
          <c:orientation val="minMax"/>
        </c:scaling>
        <c:axPos val="b"/>
        <c:numFmt formatCode="General" sourceLinked="1"/>
        <c:tickLblPos val="nextTo"/>
        <c:crossAx val="29613056"/>
        <c:crosses val="autoZero"/>
        <c:auto val="1"/>
        <c:lblAlgn val="ctr"/>
        <c:lblOffset val="100"/>
      </c:catAx>
      <c:valAx>
        <c:axId val="29613056"/>
        <c:scaling>
          <c:orientation val="minMax"/>
          <c:min val="0"/>
        </c:scaling>
        <c:axPos val="l"/>
        <c:majorGridlines/>
        <c:numFmt formatCode="_-* #,##0.00\ [$€-40C]_-;\-* #,##0.00\ [$€-40C]_-;_-* &quot;-&quot;??\ [$€-40C]_-;_-@_-" sourceLinked="1"/>
        <c:tickLblPos val="nextTo"/>
        <c:crossAx val="29611520"/>
        <c:crosses val="autoZero"/>
        <c:crossBetween val="between"/>
      </c:valAx>
      <c:valAx>
        <c:axId val="29623040"/>
        <c:scaling>
          <c:orientation val="minMax"/>
        </c:scaling>
        <c:axPos val="r"/>
        <c:numFmt formatCode="General\ \U" sourceLinked="1"/>
        <c:tickLblPos val="nextTo"/>
        <c:txPr>
          <a:bodyPr/>
          <a:lstStyle/>
          <a:p>
            <a:pPr>
              <a:defRPr b="1">
                <a:solidFill>
                  <a:srgbClr val="00B050"/>
                </a:solidFill>
              </a:defRPr>
            </a:pPr>
            <a:endParaRPr lang="fr-FR"/>
          </a:p>
        </c:txPr>
        <c:crossAx val="29624960"/>
        <c:crosses val="max"/>
        <c:crossBetween val="midCat"/>
      </c:valAx>
      <c:valAx>
        <c:axId val="29624960"/>
        <c:scaling>
          <c:orientation val="minMax"/>
        </c:scaling>
        <c:delete val="1"/>
        <c:axPos val="b"/>
        <c:numFmt formatCode="General" sourceLinked="1"/>
        <c:tickLblPos val="none"/>
        <c:crossAx val="29623040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❷ : </a:t>
            </a:r>
            <a:r>
              <a:rPr lang="fr-FR" sz="1400" b="0" i="0" baseline="0">
                <a:effectLst/>
              </a:rPr>
              <a:t>Répartition des coûts d'achats et des coûts opératoires</a:t>
            </a:r>
            <a:endParaRPr lang="fr-FR" sz="1400" b="0">
              <a:effectLst/>
            </a:endParaRP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'M911'!$V$19</c:f>
              <c:strCache>
                <c:ptCount val="1"/>
                <c:pt idx="0">
                  <c:v>Coût d'achat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solidFill>
                <a:schemeClr val="accent3">
                  <a:lumMod val="60000"/>
                  <a:lumOff val="40000"/>
                </a:schemeClr>
              </a:solidFill>
            </a:ln>
          </c:spPr>
          <c:dPt>
            <c:idx val="0"/>
            <c:spPr>
              <a:pattFill prst="dkUpDiag">
                <a:fgClr>
                  <a:schemeClr val="accent3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3">
                    <a:lumMod val="60000"/>
                    <a:lumOff val="40000"/>
                  </a:schemeClr>
                </a:solidFill>
              </a:ln>
            </c:spPr>
          </c:dPt>
          <c:cat>
            <c:strRef>
              <c:f>'M911'!$U$20:$U$22</c:f>
              <c:strCache>
                <c:ptCount val="3"/>
                <c:pt idx="0">
                  <c:v>Standard</c:v>
                </c:pt>
                <c:pt idx="1">
                  <c:v> 0RE001294 </c:v>
                </c:pt>
                <c:pt idx="2">
                  <c:v>Devis</c:v>
                </c:pt>
              </c:strCache>
            </c:strRef>
          </c:cat>
          <c:val>
            <c:numRef>
              <c:f>'M911'!$V$20:$V$22</c:f>
              <c:numCache>
                <c:formatCode>_-* #,##0.00\ [$€-40C]_-;\-* #,##0.00\ [$€-40C]_-;_-* "-"??\ [$€-40C]_-;_-@_-</c:formatCode>
                <c:ptCount val="3"/>
                <c:pt idx="0">
                  <c:v>36.877600000000001</c:v>
                </c:pt>
                <c:pt idx="1">
                  <c:v>41.471394316163412</c:v>
                </c:pt>
              </c:numCache>
            </c:numRef>
          </c:val>
        </c:ser>
        <c:ser>
          <c:idx val="1"/>
          <c:order val="1"/>
          <c:tx>
            <c:strRef>
              <c:f>'M911'!$W$19</c:f>
              <c:strCache>
                <c:ptCount val="1"/>
                <c:pt idx="0">
                  <c:v>Coût opératoires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dPt>
            <c:idx val="0"/>
            <c:spPr>
              <a:pattFill prst="dkUpDiag">
                <a:fgClr>
                  <a:schemeClr val="accent2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c:spPr>
          </c:dPt>
          <c:cat>
            <c:strRef>
              <c:f>'M911'!$U$20:$U$22</c:f>
              <c:strCache>
                <c:ptCount val="3"/>
                <c:pt idx="0">
                  <c:v>Standard</c:v>
                </c:pt>
                <c:pt idx="1">
                  <c:v> 0RE001294 </c:v>
                </c:pt>
                <c:pt idx="2">
                  <c:v>Devis</c:v>
                </c:pt>
              </c:strCache>
            </c:strRef>
          </c:cat>
          <c:val>
            <c:numRef>
              <c:f>'M911'!$W$20:$W$22</c:f>
              <c:numCache>
                <c:formatCode>_-* #,##0.00\ [$€-40C]_-;\-* #,##0.00\ [$€-40C]_-;_-* "-"??\ [$€-40C]_-;_-@_-</c:formatCode>
                <c:ptCount val="3"/>
                <c:pt idx="0">
                  <c:v>27.561562500000001</c:v>
                </c:pt>
                <c:pt idx="1">
                  <c:v>27.929671403197158</c:v>
                </c:pt>
              </c:numCache>
            </c:numRef>
          </c:val>
        </c:ser>
        <c:dLbls>
          <c:showVal val="1"/>
        </c:dLbls>
        <c:overlap val="100"/>
        <c:axId val="25723648"/>
        <c:axId val="25725184"/>
      </c:barChart>
      <c:catAx>
        <c:axId val="25723648"/>
        <c:scaling>
          <c:orientation val="minMax"/>
        </c:scaling>
        <c:axPos val="b"/>
        <c:tickLblPos val="nextTo"/>
        <c:crossAx val="25725184"/>
        <c:crosses val="autoZero"/>
        <c:auto val="1"/>
        <c:lblAlgn val="ctr"/>
        <c:lblOffset val="100"/>
      </c:catAx>
      <c:valAx>
        <c:axId val="25725184"/>
        <c:scaling>
          <c:orientation val="minMax"/>
        </c:scaling>
        <c:axPos val="l"/>
        <c:majorGridlines/>
        <c:numFmt formatCode="_-* #,##0.00\ [$€-40C]_-;\-* #,##0.00\ [$€-40C]_-;_-* &quot;-&quot;??\ [$€-40C]_-;_-@_-" sourceLinked="1"/>
        <c:tickLblPos val="nextTo"/>
        <c:crossAx val="25723648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44449</xdr:rowOff>
    </xdr:from>
    <xdr:to>
      <xdr:col>13</xdr:col>
      <xdr:colOff>419100</xdr:colOff>
      <xdr:row>37</xdr:row>
      <xdr:rowOff>63501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1066800</xdr:colOff>
      <xdr:row>23</xdr:row>
      <xdr:rowOff>95248</xdr:rowOff>
    </xdr:from>
    <xdr:to>
      <xdr:col>25</xdr:col>
      <xdr:colOff>1117600</xdr:colOff>
      <xdr:row>38</xdr:row>
      <xdr:rowOff>139699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0.17165</cdr:x>
      <cdr:y>0.25009</cdr:y>
    </cdr:from>
    <cdr:to>
      <cdr:x>0.29724</cdr:x>
      <cdr:y>0.33134</cdr:y>
    </cdr:to>
    <cdr:sp macro="" textlink="'M911'!$X$20">
      <cdr:nvSpPr>
        <cdr:cNvPr id="2" name="ZoneTexte 1"/>
        <cdr:cNvSpPr txBox="1"/>
      </cdr:nvSpPr>
      <cdr:spPr>
        <a:xfrm xmlns:a="http://schemas.openxmlformats.org/drawingml/2006/main">
          <a:off x="1026778" y="792460"/>
          <a:ext cx="751241" cy="2574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6809FE49-2071-4F94-9E5D-C426F3728DD6}" type="TxLink">
            <a:rPr lang="fr-FR" sz="1100"/>
            <a:pPr/>
            <a:t>64,44 €</a:t>
          </a:fld>
          <a:endParaRPr lang="fr-FR" sz="1100"/>
        </a:p>
      </cdr:txBody>
    </cdr:sp>
  </cdr:relSizeAnchor>
  <cdr:relSizeAnchor xmlns:cdr="http://schemas.openxmlformats.org/drawingml/2006/chartDrawing">
    <cdr:from>
      <cdr:x>0.39581</cdr:x>
      <cdr:y>0.20078</cdr:y>
    </cdr:from>
    <cdr:to>
      <cdr:x>0.53079</cdr:x>
      <cdr:y>0.29787</cdr:y>
    </cdr:to>
    <cdr:sp macro="" textlink="'M911'!$X$21">
      <cdr:nvSpPr>
        <cdr:cNvPr id="3" name="ZoneTexte 1"/>
        <cdr:cNvSpPr txBox="1"/>
      </cdr:nvSpPr>
      <cdr:spPr>
        <a:xfrm xmlns:a="http://schemas.openxmlformats.org/drawingml/2006/main">
          <a:off x="2367591" y="636201"/>
          <a:ext cx="807410" cy="3076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E5C41C5-8187-4165-82EF-887BB2FA8268}" type="TxLink">
            <a:rPr lang="fr-FR" sz="1100"/>
            <a:pPr/>
            <a:t>69,40 €</a:t>
          </a:fld>
          <a:endParaRPr lang="fr-FR" sz="1100"/>
        </a:p>
      </cdr:txBody>
    </cdr:sp>
  </cdr:relSizeAnchor>
  <cdr:relSizeAnchor xmlns:cdr="http://schemas.openxmlformats.org/drawingml/2006/chartDrawing">
    <cdr:from>
      <cdr:x>0.61996</cdr:x>
      <cdr:y>0.20484</cdr:y>
    </cdr:from>
    <cdr:to>
      <cdr:x>0.75494</cdr:x>
      <cdr:y>0.30193</cdr:y>
    </cdr:to>
    <cdr:sp macro="" textlink="'M911'!$X$22">
      <cdr:nvSpPr>
        <cdr:cNvPr id="4" name="ZoneTexte 1"/>
        <cdr:cNvSpPr txBox="1"/>
      </cdr:nvSpPr>
      <cdr:spPr>
        <a:xfrm xmlns:a="http://schemas.openxmlformats.org/drawingml/2006/main">
          <a:off x="3708400" y="698500"/>
          <a:ext cx="807410" cy="3310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E4FE0733-CFFA-4C1A-8112-5051A34497A9}" type="TxLink">
            <a:rPr lang="fr-FR" sz="1100"/>
            <a:pPr/>
            <a:t>0,00 €</a:t>
          </a:fld>
          <a:endParaRPr lang="fr-FR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1028700</xdr:colOff>
      <xdr:row>2</xdr:row>
      <xdr:rowOff>171450</xdr:rowOff>
    </xdr:from>
    <xdr:to>
      <xdr:col>9</xdr:col>
      <xdr:colOff>1495425</xdr:colOff>
      <xdr:row>2</xdr:row>
      <xdr:rowOff>171451</xdr:rowOff>
    </xdr:to>
    <xdr:cxnSp macro="">
      <xdr:nvCxnSpPr>
        <xdr:cNvPr id="3" name="Connecteur droit avec flèche 2"/>
        <xdr:cNvCxnSpPr/>
      </xdr:nvCxnSpPr>
      <xdr:spPr>
        <a:xfrm flipV="1">
          <a:off x="11391900" y="2105025"/>
          <a:ext cx="0" cy="1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42"/>
  <sheetViews>
    <sheetView showGridLines="0" topLeftCell="U1" zoomScale="75" zoomScaleNormal="75" workbookViewId="0">
      <selection activeCell="V21" sqref="V21"/>
    </sheetView>
  </sheetViews>
  <sheetFormatPr baseColWidth="10" defaultRowHeight="15" outlineLevelCol="1"/>
  <cols>
    <col min="1" max="1" width="3.5703125" style="1" hidden="1" customWidth="1" outlineLevel="1"/>
    <col min="2" max="2" width="5" style="1" hidden="1" customWidth="1" outlineLevel="1"/>
    <col min="3" max="3" width="13.42578125" style="1" hidden="1" customWidth="1" outlineLevel="1"/>
    <col min="4" max="4" width="14.42578125" bestFit="1" customWidth="1" collapsed="1"/>
    <col min="5" max="5" width="17.28515625" style="1" customWidth="1"/>
    <col min="6" max="6" width="26.85546875" bestFit="1" customWidth="1"/>
    <col min="7" max="7" width="16.28515625" style="1" hidden="1" customWidth="1" outlineLevel="1"/>
    <col min="8" max="8" width="15" style="1" hidden="1" customWidth="1" outlineLevel="1"/>
    <col min="9" max="9" width="9.7109375" bestFit="1" customWidth="1" collapsed="1"/>
    <col min="10" max="10" width="10" bestFit="1" customWidth="1"/>
    <col min="11" max="13" width="11.42578125" hidden="1" customWidth="1" outlineLevel="1"/>
    <col min="14" max="14" width="11.42578125" collapsed="1"/>
    <col min="18" max="19" width="11.42578125" hidden="1" customWidth="1" outlineLevel="1"/>
    <col min="20" max="20" width="16.42578125" customWidth="1" collapsed="1"/>
    <col min="21" max="21" width="17.85546875" bestFit="1" customWidth="1"/>
    <col min="22" max="22" width="14.7109375" bestFit="1" customWidth="1"/>
    <col min="23" max="23" width="17.140625" bestFit="1" customWidth="1"/>
    <col min="24" max="24" width="16.42578125" customWidth="1"/>
    <col min="25" max="25" width="1.140625" customWidth="1"/>
    <col min="26" max="26" width="17" customWidth="1"/>
    <col min="27" max="27" width="20" bestFit="1" customWidth="1"/>
    <col min="28" max="28" width="16.7109375" customWidth="1"/>
    <col min="29" max="29" width="20.140625" customWidth="1"/>
    <col min="30" max="30" width="5.85546875" bestFit="1" customWidth="1"/>
    <col min="31" max="31" width="5.42578125" bestFit="1" customWidth="1"/>
    <col min="32" max="32" width="5.42578125" customWidth="1"/>
    <col min="33" max="33" width="16.5703125" bestFit="1" customWidth="1"/>
  </cols>
  <sheetData>
    <row r="1" spans="1:29" ht="23.25">
      <c r="D1" s="2">
        <v>2013</v>
      </c>
      <c r="E1" s="3" t="s">
        <v>0</v>
      </c>
      <c r="F1" s="3" t="s">
        <v>1</v>
      </c>
      <c r="G1" s="4"/>
      <c r="H1" s="4"/>
      <c r="I1" s="3" t="s">
        <v>2</v>
      </c>
    </row>
    <row r="2" spans="1:29" ht="15.75">
      <c r="D2" s="5" t="s">
        <v>3</v>
      </c>
      <c r="E2" s="6"/>
      <c r="F2" s="7"/>
      <c r="G2"/>
      <c r="H2"/>
      <c r="I2" s="8">
        <f>E2+F2</f>
        <v>0</v>
      </c>
    </row>
    <row r="3" spans="1:29" ht="15.75">
      <c r="D3" s="5" t="s">
        <v>4</v>
      </c>
      <c r="E3" s="9"/>
      <c r="F3" s="10"/>
      <c r="G3"/>
      <c r="H3"/>
      <c r="I3" s="11">
        <f>E3+F3</f>
        <v>0</v>
      </c>
    </row>
    <row r="4" spans="1:29">
      <c r="E4" s="12"/>
      <c r="F4" s="12"/>
      <c r="G4"/>
      <c r="H4"/>
      <c r="I4" s="12"/>
    </row>
    <row r="5" spans="1:29" ht="15.75" thickBot="1"/>
    <row r="6" spans="1:29" ht="15.75" customHeight="1" thickBot="1">
      <c r="A6" s="149" t="s">
        <v>5</v>
      </c>
      <c r="B6" s="149" t="s">
        <v>6</v>
      </c>
      <c r="C6" s="149" t="s">
        <v>7</v>
      </c>
      <c r="D6" s="13" t="s">
        <v>8</v>
      </c>
      <c r="E6" s="151" t="s">
        <v>9</v>
      </c>
      <c r="F6" s="151" t="s">
        <v>10</v>
      </c>
      <c r="G6" s="149" t="s">
        <v>11</v>
      </c>
      <c r="H6" s="149" t="s">
        <v>12</v>
      </c>
      <c r="I6" s="146" t="s">
        <v>13</v>
      </c>
      <c r="J6" s="148"/>
      <c r="K6" s="180" t="s">
        <v>14</v>
      </c>
      <c r="L6" s="181"/>
      <c r="M6" s="182"/>
      <c r="N6" s="146" t="s">
        <v>15</v>
      </c>
      <c r="O6" s="147"/>
      <c r="P6" s="147"/>
      <c r="Q6" s="148"/>
      <c r="R6" s="146" t="s">
        <v>16</v>
      </c>
      <c r="S6" s="154"/>
      <c r="T6" s="170" t="s">
        <v>17</v>
      </c>
      <c r="U6" s="171"/>
      <c r="V6" s="14" t="s">
        <v>18</v>
      </c>
      <c r="W6" s="172" t="s">
        <v>19</v>
      </c>
      <c r="X6" s="15" t="s">
        <v>20</v>
      </c>
      <c r="Z6" s="174" t="s">
        <v>21</v>
      </c>
      <c r="AA6" s="175"/>
      <c r="AB6" s="176" t="s">
        <v>22</v>
      </c>
      <c r="AC6" s="175"/>
    </row>
    <row r="7" spans="1:29" ht="15.75" customHeight="1" thickBot="1">
      <c r="A7" s="150"/>
      <c r="B7" s="150"/>
      <c r="C7" s="146"/>
      <c r="D7" s="16" t="s">
        <v>23</v>
      </c>
      <c r="E7" s="152"/>
      <c r="F7" s="153"/>
      <c r="G7" s="150"/>
      <c r="H7" s="150"/>
      <c r="I7" s="17" t="s">
        <v>24</v>
      </c>
      <c r="J7" s="17" t="s">
        <v>25</v>
      </c>
      <c r="K7" s="18" t="s">
        <v>2</v>
      </c>
      <c r="L7" s="18" t="s">
        <v>26</v>
      </c>
      <c r="M7" s="18" t="s">
        <v>27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9" t="s">
        <v>33</v>
      </c>
      <c r="T7" s="20" t="s">
        <v>24</v>
      </c>
      <c r="U7" s="20" t="s">
        <v>25</v>
      </c>
      <c r="V7" s="20" t="s">
        <v>34</v>
      </c>
      <c r="W7" s="173"/>
      <c r="X7" s="20" t="s">
        <v>35</v>
      </c>
      <c r="Z7" s="21" t="s">
        <v>36</v>
      </c>
      <c r="AA7" s="21" t="s">
        <v>37</v>
      </c>
      <c r="AB7" s="22" t="s">
        <v>36</v>
      </c>
      <c r="AC7" s="23" t="s">
        <v>38</v>
      </c>
    </row>
    <row r="8" spans="1:29">
      <c r="A8" s="33" t="s">
        <v>79</v>
      </c>
      <c r="B8" s="33">
        <v>97</v>
      </c>
      <c r="C8" s="33" t="s">
        <v>80</v>
      </c>
      <c r="D8" s="33" t="s">
        <v>81</v>
      </c>
      <c r="E8" s="33">
        <v>1066384100</v>
      </c>
      <c r="F8" s="33"/>
      <c r="G8" s="33" t="s">
        <v>82</v>
      </c>
      <c r="H8" s="33" t="s">
        <v>83</v>
      </c>
      <c r="I8" s="33">
        <v>73848</v>
      </c>
      <c r="J8" s="33">
        <v>67524</v>
      </c>
      <c r="K8" s="33">
        <v>-6323</v>
      </c>
      <c r="L8" s="33">
        <v>1554</v>
      </c>
      <c r="M8" s="33">
        <v>0</v>
      </c>
      <c r="N8" s="33">
        <v>1000</v>
      </c>
      <c r="O8" s="33">
        <v>1230</v>
      </c>
      <c r="P8" s="33">
        <v>61</v>
      </c>
      <c r="Q8" s="33">
        <v>1159</v>
      </c>
      <c r="R8" s="33">
        <v>90.1</v>
      </c>
      <c r="S8" s="50">
        <v>89.8</v>
      </c>
      <c r="T8" s="24">
        <f>IFERROR(I8/Q8,"")</f>
        <v>63.716997411561692</v>
      </c>
      <c r="U8" s="24">
        <f>IFERROR(((J8/Q8)/0.96),"")</f>
        <v>60.688093183779117</v>
      </c>
      <c r="V8" s="25">
        <f>IFERROR(T8-U8,"")</f>
        <v>3.0289042277825757</v>
      </c>
      <c r="W8" s="26">
        <f>IFERROR(V8/U8,"")</f>
        <v>4.9909365558912462E-2</v>
      </c>
      <c r="X8" s="27" t="str">
        <f>IF(T8&gt;U8,"Défavorable","Favorable")</f>
        <v>Défavorable</v>
      </c>
      <c r="Z8" s="28">
        <f>(SUMIF('Baan-2 actual'!C1:C119,"| Material",'Baan-2 actual'!N1:N119)+SUMIF('Baan-2 actual'!C1:C119,"| Surch. on",'Baan-2 actual'!N1:N119))/'Baan-2 actual'!I6</f>
        <v>40.595211389128551</v>
      </c>
      <c r="AA8" s="29">
        <f>SUMIF('Baan-2 actual'!C1:C119,"| Operation",'Baan-2 actual'!N1:N119)/'Baan-2 actual'!I6</f>
        <v>23.12179465056083</v>
      </c>
      <c r="AB8" s="28">
        <f>(SUMIF('Baan-3 estimated'!E2:E119,"Total Material C",'Baan-3 estimated'!I2:I119)+SUMIF('Baan-3 estimated'!F2:F119,"Material C",'Baan-3 estimated'!I2:I119))</f>
        <v>35.803399999999996</v>
      </c>
      <c r="AC8" s="29">
        <f>(SUMIF('Baan-3 estimated'!E2:E119,"Total Operation",'Baan-3 estimated'!I2:I119)+SUMIF('Baan-3 estimated'!F2:F119,"Operation",'Baan-3 estimated'!I2:I119))/0.96</f>
        <v>23.500937500000003</v>
      </c>
    </row>
    <row r="9" spans="1:29" ht="15.75" thickBot="1"/>
    <row r="10" spans="1:29" ht="16.5" thickBot="1">
      <c r="W10" s="30" t="s">
        <v>283</v>
      </c>
      <c r="X10" s="30" t="s">
        <v>282</v>
      </c>
    </row>
    <row r="11" spans="1:29" ht="15.75">
      <c r="A11"/>
      <c r="B11"/>
      <c r="C11"/>
      <c r="E11"/>
      <c r="S11" s="1"/>
      <c r="T11" s="1"/>
      <c r="W11" s="31">
        <f>P8/(P8+Q8)</f>
        <v>0.05</v>
      </c>
      <c r="X11" s="31"/>
      <c r="Z11" s="32"/>
      <c r="AA11" s="32"/>
    </row>
    <row r="14" spans="1:29">
      <c r="A14" s="33" t="s">
        <v>79</v>
      </c>
      <c r="B14" s="33">
        <v>97</v>
      </c>
      <c r="C14" s="33" t="s">
        <v>84</v>
      </c>
      <c r="D14" s="33" t="s">
        <v>85</v>
      </c>
      <c r="E14" s="33">
        <v>9258160200</v>
      </c>
      <c r="F14" s="33"/>
      <c r="G14" s="33">
        <v>41643</v>
      </c>
      <c r="H14" s="33" t="s">
        <v>83</v>
      </c>
      <c r="I14" s="33">
        <v>78145</v>
      </c>
      <c r="J14" s="33">
        <v>71323</v>
      </c>
      <c r="K14" s="33">
        <v>-6822</v>
      </c>
      <c r="L14" s="33">
        <v>2141</v>
      </c>
      <c r="M14" s="33">
        <v>0</v>
      </c>
      <c r="N14" s="33">
        <v>1000</v>
      </c>
      <c r="O14" s="33">
        <v>1200</v>
      </c>
      <c r="P14" s="33">
        <v>33</v>
      </c>
      <c r="Q14" s="33">
        <v>1126</v>
      </c>
      <c r="R14" s="33">
        <v>29.9</v>
      </c>
      <c r="S14" s="33">
        <v>27.6</v>
      </c>
      <c r="T14" s="34">
        <f>IFERROR(I14/Q14,"")</f>
        <v>69.400532859680283</v>
      </c>
      <c r="U14" s="34">
        <f>IFERROR(((J14/Q14)/0.96),"")</f>
        <v>65.981164890467738</v>
      </c>
      <c r="V14" s="35">
        <f>IFERROR(T14-U14,"")</f>
        <v>3.4193679692125443</v>
      </c>
      <c r="W14" s="36">
        <f>IFERROR(V14/U14,"")</f>
        <v>5.1823394977777035E-2</v>
      </c>
      <c r="X14" s="37" t="str">
        <f>IF(T14&gt;U14,"Défavorable","Favorable")</f>
        <v>Défavorable</v>
      </c>
      <c r="Z14" s="28">
        <f>(SUMIF('Baan-2 actual'!C121:C240,"| Material",'Baan-2 actual'!N121:N240)+SUMIF('Baan-2 actual'!C121:C240,"| Surch. on",'Baan-2 actual'!N121:N240))/'Baan-2 actual'!I125</f>
        <v>41.471394316163412</v>
      </c>
      <c r="AA14" s="29">
        <f>SUMIF('Baan-2 actual'!C121:C240,"| Operation",'Baan-2 actual'!N121:N240)/'Baan-2 actual'!I125</f>
        <v>27.929671403197158</v>
      </c>
      <c r="AB14" s="28">
        <f>(SUMIF('Baan-3 estimated'!E121:E240,"Total Material C",'Baan-3 estimated'!I121:I240)+SUMIF('Baan-3 estimated'!F121:F240,"Material C",'Baan-3 estimated'!I121:I240))</f>
        <v>36.877600000000001</v>
      </c>
      <c r="AC14" s="29">
        <f>(SUMIF('Baan-3 estimated'!E121:E240,"Total Operation",'Baan-3 estimated'!I121:I240)+SUMIF('Baan-3 estimated'!F121:F240,"Operation",'Baan-3 estimated'!I121:I240))/0.96</f>
        <v>27.561562500000001</v>
      </c>
    </row>
    <row r="15" spans="1:29" ht="15.75" thickBot="1"/>
    <row r="16" spans="1:29" ht="16.5" thickBot="1">
      <c r="W16" s="30" t="s">
        <v>283</v>
      </c>
      <c r="X16" s="30" t="s">
        <v>282</v>
      </c>
    </row>
    <row r="17" spans="4:33" ht="15.75">
      <c r="W17" s="31">
        <f>P14/(P14+Q14)</f>
        <v>2.8472821397756688E-2</v>
      </c>
      <c r="X17" s="31"/>
    </row>
    <row r="19" spans="4:33" ht="31.5">
      <c r="E19" s="38" t="s">
        <v>39</v>
      </c>
      <c r="F19" s="38" t="s">
        <v>40</v>
      </c>
      <c r="I19" s="38" t="s">
        <v>41</v>
      </c>
      <c r="J19" s="38" t="s">
        <v>42</v>
      </c>
      <c r="U19" s="39"/>
      <c r="V19" s="40" t="s">
        <v>36</v>
      </c>
      <c r="W19" s="40" t="s">
        <v>43</v>
      </c>
      <c r="X19" s="41" t="s">
        <v>2</v>
      </c>
    </row>
    <row r="20" spans="4:33" ht="15.75">
      <c r="D20" s="42" t="str">
        <f>D14</f>
        <v xml:space="preserve"> 0RE001294 </v>
      </c>
      <c r="E20" s="43">
        <f>Z14+AA14</f>
        <v>69.401065719360574</v>
      </c>
      <c r="F20" s="43">
        <f>AB14+AC14</f>
        <v>64.439162500000009</v>
      </c>
      <c r="I20" s="44">
        <f>Q14</f>
        <v>1126</v>
      </c>
      <c r="J20" s="43"/>
      <c r="U20" s="45" t="s">
        <v>25</v>
      </c>
      <c r="V20" s="46">
        <f>AB14</f>
        <v>36.877600000000001</v>
      </c>
      <c r="W20" s="46">
        <f>AC14</f>
        <v>27.561562500000001</v>
      </c>
      <c r="X20" s="47">
        <f>SUM(V20:W20)</f>
        <v>64.439162500000009</v>
      </c>
    </row>
    <row r="21" spans="4:33" ht="15.75">
      <c r="U21" s="45" t="str">
        <f>D20</f>
        <v xml:space="preserve"> 0RE001294 </v>
      </c>
      <c r="V21" s="46">
        <f>Z14</f>
        <v>41.471394316163412</v>
      </c>
      <c r="W21" s="46">
        <f>AA14</f>
        <v>27.929671403197158</v>
      </c>
      <c r="X21" s="47">
        <f>SUM(V21:W21)</f>
        <v>69.401065719360574</v>
      </c>
    </row>
    <row r="22" spans="4:33" ht="15.75">
      <c r="U22" s="45" t="s">
        <v>45</v>
      </c>
      <c r="V22" s="46"/>
      <c r="W22" s="46"/>
      <c r="X22" s="47">
        <f>SUM(V22:W22)</f>
        <v>0</v>
      </c>
    </row>
    <row r="26" spans="4:33" ht="21">
      <c r="AC26" s="177" t="str">
        <f>D14</f>
        <v xml:space="preserve"> 0RE001294 </v>
      </c>
      <c r="AD26" s="178"/>
      <c r="AE26" s="178"/>
      <c r="AF26" s="178"/>
      <c r="AG26" s="179"/>
    </row>
    <row r="27" spans="4:33" ht="15" customHeight="1">
      <c r="AC27" s="155" t="s">
        <v>47</v>
      </c>
      <c r="AD27" s="156"/>
      <c r="AE27" s="156"/>
      <c r="AF27" s="156"/>
      <c r="AG27" s="157"/>
    </row>
    <row r="28" spans="4:33" ht="15" customHeight="1">
      <c r="AC28" s="158"/>
      <c r="AD28" s="159"/>
      <c r="AE28" s="159"/>
      <c r="AF28" s="159"/>
      <c r="AG28" s="160"/>
    </row>
    <row r="29" spans="4:33">
      <c r="AC29" s="161"/>
      <c r="AD29" s="162"/>
      <c r="AE29" s="162"/>
      <c r="AF29" s="162"/>
      <c r="AG29" s="163"/>
    </row>
    <row r="30" spans="4:33" ht="15.75" customHeight="1">
      <c r="AC30" s="161"/>
      <c r="AD30" s="162"/>
      <c r="AE30" s="162"/>
      <c r="AF30" s="162"/>
      <c r="AG30" s="163"/>
    </row>
    <row r="31" spans="4:33" ht="15" customHeight="1">
      <c r="AC31" s="161"/>
      <c r="AD31" s="162"/>
      <c r="AE31" s="162"/>
      <c r="AF31" s="162"/>
      <c r="AG31" s="163"/>
    </row>
    <row r="32" spans="4:33" ht="15" customHeight="1">
      <c r="AC32" s="161"/>
      <c r="AD32" s="162"/>
      <c r="AE32" s="162"/>
      <c r="AF32" s="162"/>
      <c r="AG32" s="163"/>
    </row>
    <row r="33" spans="4:33" ht="15" customHeight="1">
      <c r="AC33" s="161"/>
      <c r="AD33" s="162"/>
      <c r="AE33" s="162"/>
      <c r="AF33" s="162"/>
      <c r="AG33" s="163"/>
    </row>
    <row r="34" spans="4:33" ht="20.25" customHeight="1">
      <c r="AC34" s="161"/>
      <c r="AD34" s="162"/>
      <c r="AE34" s="162"/>
      <c r="AF34" s="162"/>
      <c r="AG34" s="163"/>
    </row>
    <row r="35" spans="4:33" ht="15" customHeight="1">
      <c r="AC35" s="155" t="s">
        <v>46</v>
      </c>
      <c r="AD35" s="156"/>
      <c r="AE35" s="156"/>
      <c r="AF35" s="156"/>
      <c r="AG35" s="157"/>
    </row>
    <row r="36" spans="4:33" ht="15" customHeight="1">
      <c r="AC36" s="158"/>
      <c r="AD36" s="159"/>
      <c r="AE36" s="159"/>
      <c r="AF36" s="159"/>
      <c r="AG36" s="160"/>
    </row>
    <row r="37" spans="4:33">
      <c r="AC37" s="161"/>
      <c r="AD37" s="162"/>
      <c r="AE37" s="162"/>
      <c r="AF37" s="162"/>
      <c r="AG37" s="163"/>
    </row>
    <row r="38" spans="4:33" ht="15.75" customHeight="1">
      <c r="AC38" s="161"/>
      <c r="AD38" s="162"/>
      <c r="AE38" s="162"/>
      <c r="AF38" s="162"/>
      <c r="AG38" s="163"/>
    </row>
    <row r="39" spans="4:33">
      <c r="AC39" s="161"/>
      <c r="AD39" s="162"/>
      <c r="AE39" s="162"/>
      <c r="AF39" s="162"/>
      <c r="AG39" s="163"/>
    </row>
    <row r="40" spans="4:33" s="1" customFormat="1" ht="15.75">
      <c r="D40"/>
      <c r="E40" s="167" t="s">
        <v>44</v>
      </c>
      <c r="F40" s="167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 s="164"/>
      <c r="AD40" s="165"/>
      <c r="AE40" s="165"/>
      <c r="AF40" s="165"/>
      <c r="AG40" s="166"/>
    </row>
    <row r="41" spans="4:33" s="1" customFormat="1" ht="15.75" customHeight="1">
      <c r="D41" s="48" t="str">
        <f>D20</f>
        <v xml:space="preserve"> 0RE001294 </v>
      </c>
      <c r="E41" s="168">
        <f>E20/F20-1</f>
        <v>7.7001361080081709E-2</v>
      </c>
      <c r="F41" s="169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 s="139" t="s">
        <v>278</v>
      </c>
      <c r="AD41" s="136">
        <f>N14</f>
        <v>1000</v>
      </c>
      <c r="AE41" s="137" t="s">
        <v>280</v>
      </c>
      <c r="AF41" s="137">
        <f>Q14</f>
        <v>1126</v>
      </c>
      <c r="AG41" s="138" t="s">
        <v>279</v>
      </c>
    </row>
    <row r="42" spans="4:33">
      <c r="AC42" s="140" t="s">
        <v>281</v>
      </c>
      <c r="AD42" s="135">
        <f>W17</f>
        <v>2.8472821397756688E-2</v>
      </c>
      <c r="AE42" s="133"/>
      <c r="AF42" s="131"/>
      <c r="AG42" s="134"/>
    </row>
  </sheetData>
  <mergeCells count="22">
    <mergeCell ref="R6:S6"/>
    <mergeCell ref="AC35:AG35"/>
    <mergeCell ref="AC36:AG40"/>
    <mergeCell ref="E40:F40"/>
    <mergeCell ref="E41:F41"/>
    <mergeCell ref="AC28:AG34"/>
    <mergeCell ref="AC27:AG27"/>
    <mergeCell ref="G6:G7"/>
    <mergeCell ref="T6:U6"/>
    <mergeCell ref="W6:W7"/>
    <mergeCell ref="Z6:AA6"/>
    <mergeCell ref="AB6:AC6"/>
    <mergeCell ref="AC26:AG26"/>
    <mergeCell ref="H6:H7"/>
    <mergeCell ref="I6:J6"/>
    <mergeCell ref="K6:M6"/>
    <mergeCell ref="N6:Q6"/>
    <mergeCell ref="A6:A7"/>
    <mergeCell ref="B6:B7"/>
    <mergeCell ref="C6:C7"/>
    <mergeCell ref="E6:E7"/>
    <mergeCell ref="F6:F7"/>
  </mergeCells>
  <pageMargins left="0.7" right="0.7" top="0.75" bottom="0.75" header="0.3" footer="0.3"/>
  <pageSetup paperSize="8" scale="55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J44"/>
  <sheetViews>
    <sheetView workbookViewId="0">
      <selection activeCell="D12" sqref="D12"/>
    </sheetView>
  </sheetViews>
  <sheetFormatPr baseColWidth="10" defaultRowHeight="15"/>
  <cols>
    <col min="1" max="1" width="35.7109375" bestFit="1" customWidth="1"/>
    <col min="2" max="2" width="9.5703125" bestFit="1" customWidth="1"/>
    <col min="3" max="3" width="14.5703125" bestFit="1" customWidth="1"/>
    <col min="4" max="4" width="8.7109375" customWidth="1"/>
    <col min="5" max="5" width="2.42578125" customWidth="1"/>
    <col min="6" max="6" width="35.28515625" bestFit="1" customWidth="1"/>
    <col min="7" max="7" width="9.5703125" bestFit="1" customWidth="1"/>
    <col min="8" max="8" width="14.5703125" bestFit="1" customWidth="1"/>
    <col min="9" max="9" width="8" customWidth="1"/>
    <col min="10" max="10" width="2.85546875" customWidth="1"/>
  </cols>
  <sheetData>
    <row r="1" spans="1:10" ht="18" customHeight="1">
      <c r="A1" s="58" t="s">
        <v>25</v>
      </c>
      <c r="B1" s="183" t="str">
        <f>'M911'!D8</f>
        <v xml:space="preserve"> 0SE003651 </v>
      </c>
      <c r="C1" s="184"/>
      <c r="D1" s="185"/>
      <c r="E1" s="59"/>
      <c r="F1" s="58" t="s">
        <v>251</v>
      </c>
      <c r="G1" s="183"/>
      <c r="H1" s="184"/>
      <c r="I1" s="185"/>
      <c r="J1" s="57"/>
    </row>
    <row r="2" spans="1:10" ht="18">
      <c r="A2" s="60"/>
      <c r="B2" s="61"/>
      <c r="C2" s="61"/>
      <c r="D2" s="62" t="s">
        <v>252</v>
      </c>
      <c r="E2" s="57"/>
      <c r="F2" s="63"/>
      <c r="G2" s="61"/>
      <c r="H2" s="61"/>
      <c r="I2" s="62" t="s">
        <v>252</v>
      </c>
      <c r="J2" s="57"/>
    </row>
    <row r="3" spans="1:10">
      <c r="A3" s="64" t="s">
        <v>40</v>
      </c>
      <c r="B3" s="61"/>
      <c r="C3" s="65"/>
      <c r="D3" s="66">
        <f>'M911'!AB8+'M911'!AC8</f>
        <v>59.304337500000003</v>
      </c>
      <c r="E3" s="67"/>
      <c r="F3" s="64" t="s">
        <v>39</v>
      </c>
      <c r="G3" s="61"/>
      <c r="H3" s="65"/>
      <c r="I3" s="66">
        <f>'M911'!Z8+'M911'!AA8</f>
        <v>63.71700603968938</v>
      </c>
      <c r="J3" s="57"/>
    </row>
    <row r="4" spans="1:10">
      <c r="A4" s="69" t="s">
        <v>253</v>
      </c>
      <c r="B4" s="61"/>
      <c r="C4" s="61"/>
      <c r="D4" s="70">
        <f>'M911'!N8</f>
        <v>1000</v>
      </c>
      <c r="E4" s="57"/>
      <c r="F4" s="69" t="s">
        <v>277</v>
      </c>
      <c r="G4" s="61"/>
      <c r="H4" s="61"/>
      <c r="I4" s="70">
        <f>'M911'!Q8</f>
        <v>1159</v>
      </c>
    </row>
    <row r="5" spans="1:10">
      <c r="A5" s="69" t="s">
        <v>254</v>
      </c>
      <c r="B5" s="61"/>
      <c r="C5" s="61"/>
      <c r="D5" s="71">
        <f>'M911'!X11</f>
        <v>0</v>
      </c>
      <c r="E5" s="57"/>
      <c r="F5" s="69" t="s">
        <v>254</v>
      </c>
      <c r="G5" s="61"/>
      <c r="H5" s="61"/>
      <c r="I5" s="71">
        <f>'M911'!W11</f>
        <v>0.05</v>
      </c>
      <c r="J5" s="57"/>
    </row>
    <row r="6" spans="1:10">
      <c r="A6" s="72"/>
      <c r="B6" s="73"/>
      <c r="C6" s="73"/>
      <c r="D6" s="73"/>
      <c r="E6" s="74"/>
      <c r="F6" s="72"/>
      <c r="G6" s="75"/>
      <c r="H6" s="76"/>
      <c r="I6" s="73"/>
      <c r="J6" s="74"/>
    </row>
    <row r="7" spans="1:10">
      <c r="A7" s="77" t="s">
        <v>255</v>
      </c>
      <c r="B7" s="78"/>
      <c r="C7" s="78"/>
      <c r="D7" s="79">
        <f>SUMIF('Baan-3 estimated'!E2:E119,"Total Material C",'Baan-3 estimated'!I2:I119)</f>
        <v>32.898099999999999</v>
      </c>
      <c r="E7" s="57"/>
      <c r="F7" s="80" t="s">
        <v>255</v>
      </c>
      <c r="G7" s="81"/>
      <c r="H7" s="82"/>
      <c r="I7" s="79">
        <f>SUMIF('Baan-2 actual'!C2:C119,"| Material",'Baan-2 actual'!N2:N119)/I4</f>
        <v>36.905056082830022</v>
      </c>
      <c r="J7" s="83"/>
    </row>
    <row r="8" spans="1:10">
      <c r="A8" s="77" t="s">
        <v>256</v>
      </c>
      <c r="B8" s="78"/>
      <c r="C8" s="78"/>
      <c r="D8" s="79">
        <f>SUMIF('Baan-3 estimated'!F2:F119,"Material C",'Baan-3 estimated'!I2:I119)</f>
        <v>2.9053</v>
      </c>
      <c r="E8" s="57"/>
      <c r="F8" s="80" t="s">
        <v>256</v>
      </c>
      <c r="G8" s="81"/>
      <c r="H8" s="82"/>
      <c r="I8" s="79">
        <f>SUMIF('Baan-2 actual'!C2:C119,"| Surch. on",'Baan-2 actual'!N2:N119)/I4</f>
        <v>3.6901553062985335</v>
      </c>
      <c r="J8" s="57"/>
    </row>
    <row r="9" spans="1:10">
      <c r="A9" s="64" t="s">
        <v>257</v>
      </c>
      <c r="B9" s="61"/>
      <c r="C9" s="61"/>
      <c r="D9" s="66">
        <f>SUM(D7:D8)</f>
        <v>35.803399999999996</v>
      </c>
      <c r="E9" s="57"/>
      <c r="F9" s="64" t="s">
        <v>257</v>
      </c>
      <c r="G9" s="68"/>
      <c r="H9" s="84"/>
      <c r="I9" s="66">
        <f>SUM(I7:I8)</f>
        <v>40.595211389128558</v>
      </c>
      <c r="J9" s="85"/>
    </row>
    <row r="10" spans="1:10">
      <c r="A10" s="56"/>
      <c r="B10" s="87"/>
      <c r="C10" s="88"/>
      <c r="D10" s="88"/>
      <c r="E10" s="74"/>
      <c r="F10" s="56"/>
      <c r="G10" s="87"/>
      <c r="H10" s="89"/>
      <c r="I10" s="88"/>
      <c r="J10" s="57"/>
    </row>
    <row r="11" spans="1:10">
      <c r="A11" s="90" t="s">
        <v>258</v>
      </c>
      <c r="B11" s="62" t="s">
        <v>273</v>
      </c>
      <c r="C11" s="62" t="s">
        <v>274</v>
      </c>
      <c r="D11" s="62" t="s">
        <v>252</v>
      </c>
      <c r="E11" s="57"/>
      <c r="F11" s="90" t="s">
        <v>258</v>
      </c>
      <c r="G11" s="62" t="s">
        <v>273</v>
      </c>
      <c r="H11" s="62" t="s">
        <v>274</v>
      </c>
      <c r="I11" s="62" t="s">
        <v>252</v>
      </c>
      <c r="J11" s="57"/>
    </row>
    <row r="12" spans="1:10">
      <c r="A12" s="143" t="str">
        <f t="array" ref="A12">IFERROR(INDEX('Baan-3 estimated'!$E$1:$E$119,SMALL(IF('Baan-3 estimated'!$D$1:$D$119=970,ROW('Baan-3 estimated'!$1:$119)),ROW(E1)),1),"")</f>
        <v xml:space="preserve">PNY  MACHINE A DEGRAISSER </v>
      </c>
      <c r="B12" s="142">
        <f t="array" ref="B12">IFERROR(INDEX('Baan-3 estimated'!$G$1:$G$119,SMALL(IF('Baan-3 estimated'!$D$1:$D$119=970,ROW('Baan-3 estimated'!$1:$119)),ROW(G1)),1),"")</f>
        <v>2.4E-2</v>
      </c>
      <c r="C12" s="145">
        <f>IFERROR((D12/B12)*60,"")</f>
        <v>151</v>
      </c>
      <c r="D12" s="142">
        <f t="array" ref="D12">IFERROR(INDEX('Baan-3 estimated'!$I$1:$I$119,SMALL(IF('Baan-3 estimated'!$D$1:$D$119=970,ROW('Baan-3 estimated'!$1:$119)),ROW(I1)),1),"")</f>
        <v>6.0400000000000002E-2</v>
      </c>
      <c r="E12" s="57"/>
      <c r="F12" s="143" t="str">
        <f>A12</f>
        <v xml:space="preserve">PNY  MACHINE A DEGRAISSER </v>
      </c>
      <c r="G12" s="142" t="str">
        <f t="array" ref="G12">IFERROR(INDEX('Baan-2 actual'!$D$2:$D$119,SMALL(IF('Baan-2 actual'!$C$2:$C$119=Man Hours,ROW('Baan-2 actual'!$2:$119)),ROW(G1)),1),"")</f>
        <v/>
      </c>
      <c r="H12" s="145" t="str">
        <f>IFERROR((I12/G12*60),"")</f>
        <v/>
      </c>
      <c r="I12" s="142" t="str">
        <f t="array" ref="I12">IFERROR(INDEX('Baan-2 actual'!$N$2:$N$119,SMALL(IF('Baan-2 actual'!$A$2:$A$119=OPTP73,ROW('Baan-2 actual'!$2:$119)),ROW(G1)),1),"")</f>
        <v/>
      </c>
      <c r="J12" s="57"/>
    </row>
    <row r="13" spans="1:10">
      <c r="A13" s="143" t="str">
        <f t="array" ref="A13">IFERROR(INDEX('Baan-3 estimated'!$E$1:$E$119,SMALL(IF('Baan-3 estimated'!$D$1:$D$119=970,ROW('Baan-3 estimated'!$1:$119)),ROW(E2)),1),"")</f>
        <v xml:space="preserve">R01  ATTENTE 24 HEURES              </v>
      </c>
      <c r="B13" s="142">
        <f t="array" ref="B13">IFERROR(INDEX('Baan-3 estimated'!$G$1:$G$119,SMALL(IF('Baan-3 estimated'!$D$1:$D$119=970,ROW('Baan-3 estimated'!$1:$119)),ROW(G2)),1),"")</f>
        <v>4.0000000000000002E-4</v>
      </c>
      <c r="C13" s="145">
        <f t="shared" ref="C13:C26" si="0">IFERROR((D13/B13)*60,"")</f>
        <v>0</v>
      </c>
      <c r="D13" s="142">
        <f t="array" ref="D13">IFERROR(INDEX('Baan-3 estimated'!$I$1:$I$119,SMALL(IF('Baan-3 estimated'!$D$1:$D$119=970,ROW('Baan-3 estimated'!$1:$119)),ROW(I2)),1),"")</f>
        <v>0</v>
      </c>
      <c r="E13" s="57"/>
      <c r="F13" s="143" t="str">
        <f t="shared" ref="F13:F26" si="1">A13</f>
        <v xml:space="preserve">R01  ATTENTE 24 HEURES              </v>
      </c>
      <c r="G13" s="142" t="str">
        <f t="array" ref="G13">IFERROR(INDEX('Baan-2 actual'!$D$2:$D$119,SMALL(IF('Baan-2 actual'!$C$2:$C$119=Man Hours,ROW('Baan-2 actual'!$2:$119)),ROW(G2)),1),"")</f>
        <v/>
      </c>
      <c r="H13" s="145" t="str">
        <f t="shared" ref="H13:H26" si="2">IFERROR((I13/G13*60),"")</f>
        <v/>
      </c>
      <c r="I13" s="142" t="str">
        <f t="array" ref="I13">IFERROR(INDEX('Baan-2 actual'!$N$2:$N$119,SMALL(IF('Baan-2 actual'!$A$2:$A$119=OPTP73,ROW('Baan-2 actual'!$2:$119)),ROW(G2)),1),"")</f>
        <v/>
      </c>
      <c r="J13" s="57"/>
    </row>
    <row r="14" spans="1:10">
      <c r="A14" s="143" t="str">
        <f t="array" ref="A14">IFERROR(INDEX('Baan-3 estimated'!$E$1:$E$119,SMALL(IF('Baan-3 estimated'!$D$1:$D$119=970,ROW('Baan-3 estimated'!$1:$119)),ROW(E3)),1),"")</f>
        <v xml:space="preserve">PAA  SALLES INITATEUR ELECTRIQ, </v>
      </c>
      <c r="B14" s="142">
        <f t="array" ref="B14">IFERROR(INDEX('Baan-3 estimated'!$G$1:$G$119,SMALL(IF('Baan-3 estimated'!$D$1:$D$119=970,ROW('Baan-3 estimated'!$1:$119)),ROW(G3)),1),"")</f>
        <v>4.8000000000000001E-2</v>
      </c>
      <c r="C14" s="145">
        <f t="shared" si="0"/>
        <v>151.125</v>
      </c>
      <c r="D14" s="142">
        <f t="array" ref="D14">IFERROR(INDEX('Baan-3 estimated'!$I$1:$I$119,SMALL(IF('Baan-3 estimated'!$D$1:$D$119=970,ROW('Baan-3 estimated'!$1:$119)),ROW(I3)),1),"")</f>
        <v>0.12089999999999999</v>
      </c>
      <c r="E14" s="57"/>
      <c r="F14" s="143" t="str">
        <f t="shared" si="1"/>
        <v xml:space="preserve">PAA  SALLES INITATEUR ELECTRIQ, </v>
      </c>
      <c r="G14" s="142" t="str">
        <f t="array" ref="G14">IFERROR(INDEX('Baan-2 actual'!$D$2:$D$119,SMALL(IF('Baan-2 actual'!$C$2:$C$119=Man Hours,ROW('Baan-2 actual'!$2:$119)),ROW(G3)),1),"")</f>
        <v/>
      </c>
      <c r="H14" s="145" t="str">
        <f t="shared" si="2"/>
        <v/>
      </c>
      <c r="I14" s="142" t="str">
        <f t="array" ref="I14">IFERROR(INDEX('Baan-2 actual'!$N$2:$N$119,SMALL(IF('Baan-2 actual'!$A$2:$A$119=OPTP73,ROW('Baan-2 actual'!$2:$119)),ROW(G3)),1),"")</f>
        <v/>
      </c>
      <c r="J14" s="57"/>
    </row>
    <row r="15" spans="1:10">
      <c r="A15" s="143" t="str">
        <f t="array" ref="A15">IFERROR(INDEX('Baan-3 estimated'!$E$1:$E$119,SMALL(IF('Baan-3 estimated'!$D$1:$D$119=970,ROW('Baan-3 estimated'!$1:$119)),ROW(E4)),1),"")</f>
        <v xml:space="preserve">PMM  MARQUEUSE </v>
      </c>
      <c r="B15" s="142">
        <f t="array" ref="B15">IFERROR(INDEX('Baan-3 estimated'!$G$1:$G$119,SMALL(IF('Baan-3 estimated'!$D$1:$D$119=970,ROW('Baan-3 estimated'!$1:$119)),ROW(G4)),1),"")</f>
        <v>0.36599999999999999</v>
      </c>
      <c r="C15" s="145">
        <f t="shared" si="0"/>
        <v>151.09836065573771</v>
      </c>
      <c r="D15" s="142">
        <f t="array" ref="D15">IFERROR(INDEX('Baan-3 estimated'!$I$1:$I$119,SMALL(IF('Baan-3 estimated'!$D$1:$D$119=970,ROW('Baan-3 estimated'!$1:$119)),ROW(I4)),1),"")</f>
        <v>0.92169999999999996</v>
      </c>
      <c r="E15" s="57"/>
      <c r="F15" s="143" t="str">
        <f t="shared" si="1"/>
        <v xml:space="preserve">PMM  MARQUEUSE </v>
      </c>
      <c r="G15" s="142" t="str">
        <f t="array" ref="G15">IFERROR(INDEX('Baan-2 actual'!$D$2:$D$119,SMALL(IF('Baan-2 actual'!$C$2:$C$119=Man Hours,ROW('Baan-2 actual'!$2:$119)),ROW(G4)),1),"")</f>
        <v/>
      </c>
      <c r="H15" s="145" t="str">
        <f t="shared" si="2"/>
        <v/>
      </c>
      <c r="I15" s="142" t="str">
        <f t="array" ref="I15">IFERROR(INDEX('Baan-2 actual'!$N$2:$N$119,SMALL(IF('Baan-2 actual'!$A$2:$A$119=OPTP73,ROW('Baan-2 actual'!$2:$119)),ROW(G4)),1),"")</f>
        <v/>
      </c>
      <c r="J15" s="57"/>
    </row>
    <row r="16" spans="1:10">
      <c r="A16" s="143" t="str">
        <f t="array" ref="A16">IFERROR(INDEX('Baan-3 estimated'!$E$1:$E$119,SMALL(IF('Baan-3 estimated'!$D$1:$D$119=970,ROW('Baan-3 estimated'!$1:$119)),ROW(E5)),1),"")</f>
        <v>PNL  CHAINE DE MONTAGE ALVEOLE</v>
      </c>
      <c r="B16" s="142">
        <f t="array" ref="B16">IFERROR(INDEX('Baan-3 estimated'!$G$1:$G$119,SMALL(IF('Baan-3 estimated'!$D$1:$D$119=970,ROW('Baan-3 estimated'!$1:$119)),ROW(G5)),1),"")</f>
        <v>0.67200000000000004</v>
      </c>
      <c r="C16" s="145">
        <f t="shared" si="0"/>
        <v>151.09821428571428</v>
      </c>
      <c r="D16" s="142">
        <f t="array" ref="D16">IFERROR(INDEX('Baan-3 estimated'!$I$1:$I$119,SMALL(IF('Baan-3 estimated'!$D$1:$D$119=970,ROW('Baan-3 estimated'!$1:$119)),ROW(I5)),1),"")</f>
        <v>1.6922999999999999</v>
      </c>
      <c r="E16" s="57"/>
      <c r="F16" s="143" t="str">
        <f t="shared" si="1"/>
        <v>PNL  CHAINE DE MONTAGE ALVEOLE</v>
      </c>
      <c r="G16" s="142" t="str">
        <f t="array" ref="G16">IFERROR(INDEX('Baan-2 actual'!$D$2:$D$119,SMALL(IF('Baan-2 actual'!$C$2:$C$119=Man Hours,ROW('Baan-2 actual'!$2:$119)),ROW(G5)),1),"")</f>
        <v/>
      </c>
      <c r="H16" s="145" t="str">
        <f t="shared" si="2"/>
        <v/>
      </c>
      <c r="I16" s="142" t="str">
        <f t="array" ref="I16">IFERROR(INDEX('Baan-2 actual'!$N$2:$N$119,SMALL(IF('Baan-2 actual'!$A$2:$A$119=OPTP73,ROW('Baan-2 actual'!$2:$119)),ROW(G5)),1),"")</f>
        <v/>
      </c>
      <c r="J16" s="57"/>
    </row>
    <row r="17" spans="1:10">
      <c r="A17" s="143" t="str">
        <f t="array" ref="A17">IFERROR(INDEX('Baan-3 estimated'!$E$1:$E$119,SMALL(IF('Baan-3 estimated'!$D$1:$D$119=970,ROW('Baan-3 estimated'!$1:$119)),ROW(E6)),1),"")</f>
        <v>PNH  SALLE DE CHARGEMENT</v>
      </c>
      <c r="B17" s="142">
        <f t="array" ref="B17">IFERROR(INDEX('Baan-3 estimated'!$G$1:$G$119,SMALL(IF('Baan-3 estimated'!$D$1:$D$119=970,ROW('Baan-3 estimated'!$1:$119)),ROW(G6)),1),"")</f>
        <v>0.37440000000000001</v>
      </c>
      <c r="C17" s="145">
        <f t="shared" si="0"/>
        <v>151.1057692307692</v>
      </c>
      <c r="D17" s="142">
        <f t="array" ref="D17">IFERROR(INDEX('Baan-3 estimated'!$I$1:$I$119,SMALL(IF('Baan-3 estimated'!$D$1:$D$119=970,ROW('Baan-3 estimated'!$1:$119)),ROW(I6)),1),"")</f>
        <v>0.94289999999999996</v>
      </c>
      <c r="E17" s="57"/>
      <c r="F17" s="143" t="str">
        <f t="shared" si="1"/>
        <v>PNH  SALLE DE CHARGEMENT</v>
      </c>
      <c r="G17" s="142" t="str">
        <f t="array" ref="G17">IFERROR(INDEX('Baan-2 actual'!$D$2:$D$119,SMALL(IF('Baan-2 actual'!$C$2:$C$119=Man Hours,ROW('Baan-2 actual'!$2:$119)),ROW(G6)),1),"")</f>
        <v/>
      </c>
      <c r="H17" s="145" t="str">
        <f t="shared" si="2"/>
        <v/>
      </c>
      <c r="I17" s="142" t="str">
        <f t="array" ref="I17">IFERROR(INDEX('Baan-2 actual'!$N$2:$N$119,SMALL(IF('Baan-2 actual'!$A$2:$A$119=OPTP73,ROW('Baan-2 actual'!$2:$119)),ROW(G6)),1),"")</f>
        <v/>
      </c>
      <c r="J17" s="57"/>
    </row>
    <row r="18" spans="1:10">
      <c r="A18" s="143" t="str">
        <f t="array" ref="A18">IFERROR(INDEX('Baan-3 estimated'!$E$1:$E$119,SMALL(IF('Baan-3 estimated'!$D$1:$D$119=970,ROW('Baan-3 estimated'!$1:$119)),ROW(E7)),1),"")</f>
        <v xml:space="preserve">PRA  PREPAR, ALIM, SALLE </v>
      </c>
      <c r="B18" s="142">
        <f t="array" ref="B18">IFERROR(INDEX('Baan-3 estimated'!$G$1:$G$119,SMALL(IF('Baan-3 estimated'!$D$1:$D$119=970,ROW('Baan-3 estimated'!$1:$119)),ROW(G7)),1),"")</f>
        <v>0.13980000000000001</v>
      </c>
      <c r="C18" s="145">
        <f t="shared" si="0"/>
        <v>151.11587982832617</v>
      </c>
      <c r="D18" s="142">
        <f t="array" ref="D18">IFERROR(INDEX('Baan-3 estimated'!$I$1:$I$119,SMALL(IF('Baan-3 estimated'!$D$1:$D$119=970,ROW('Baan-3 estimated'!$1:$119)),ROW(I7)),1),"")</f>
        <v>0.35210000000000002</v>
      </c>
      <c r="E18" s="57"/>
      <c r="F18" s="143" t="str">
        <f t="shared" si="1"/>
        <v xml:space="preserve">PRA  PREPAR, ALIM, SALLE </v>
      </c>
      <c r="G18" s="142" t="str">
        <f t="array" ref="G18">IFERROR(INDEX('Baan-2 actual'!$D$2:$D$119,SMALL(IF('Baan-2 actual'!$C$2:$C$119=Man Hours,ROW('Baan-2 actual'!$2:$119)),ROW(G7)),1),"")</f>
        <v/>
      </c>
      <c r="H18" s="145" t="str">
        <f t="shared" si="2"/>
        <v/>
      </c>
      <c r="I18" s="142" t="str">
        <f t="array" ref="I18">IFERROR(INDEX('Baan-2 actual'!$N$2:$N$119,SMALL(IF('Baan-2 actual'!$A$2:$A$119=OPTP73,ROW('Baan-2 actual'!$2:$119)),ROW(G7)),1),"")</f>
        <v/>
      </c>
      <c r="J18" s="57"/>
    </row>
    <row r="19" spans="1:10">
      <c r="A19" s="143" t="str">
        <f t="array" ref="A19">IFERROR(INDEX('Baan-3 estimated'!$E$1:$E$119,SMALL(IF('Baan-3 estimated'!$D$1:$D$119=970,ROW('Baan-3 estimated'!$1:$119)),ROW(E8)),1),"")</f>
        <v>PNH  SALLE DE CHARGEMENT</v>
      </c>
      <c r="B19" s="142">
        <f t="array" ref="B19">IFERROR(INDEX('Baan-3 estimated'!$G$1:$G$119,SMALL(IF('Baan-3 estimated'!$D$1:$D$119=970,ROW('Baan-3 estimated'!$1:$119)),ROW(G8)),1),"")</f>
        <v>0.876</v>
      </c>
      <c r="C19" s="145">
        <f t="shared" si="0"/>
        <v>151.10273972602741</v>
      </c>
      <c r="D19" s="142">
        <f t="array" ref="D19">IFERROR(INDEX('Baan-3 estimated'!$I$1:$I$119,SMALL(IF('Baan-3 estimated'!$D$1:$D$119=970,ROW('Baan-3 estimated'!$1:$119)),ROW(I8)),1),"")</f>
        <v>2.2061000000000002</v>
      </c>
      <c r="E19" s="57"/>
      <c r="F19" s="143" t="str">
        <f t="shared" si="1"/>
        <v>PNH  SALLE DE CHARGEMENT</v>
      </c>
      <c r="G19" s="142" t="str">
        <f t="array" ref="G19">IFERROR(INDEX('Baan-2 actual'!$D$2:$D$119,SMALL(IF('Baan-2 actual'!$C$2:$C$119=Man Hours,ROW('Baan-2 actual'!$2:$119)),ROW(G8)),1),"")</f>
        <v/>
      </c>
      <c r="H19" s="145" t="str">
        <f t="shared" si="2"/>
        <v/>
      </c>
      <c r="I19" s="142" t="str">
        <f t="array" ref="I19">IFERROR(INDEX('Baan-2 actual'!$N$2:$N$119,SMALL(IF('Baan-2 actual'!$A$2:$A$119=OPTP73,ROW('Baan-2 actual'!$2:$119)),ROW(G8)),1),"")</f>
        <v/>
      </c>
      <c r="J19" s="57"/>
    </row>
    <row r="20" spans="1:10">
      <c r="A20" s="143" t="str">
        <f t="array" ref="A20">IFERROR(INDEX('Baan-3 estimated'!$E$1:$E$119,SMALL(IF('Baan-3 estimated'!$D$1:$D$119=970,ROW('Baan-3 estimated'!$1:$119)),ROW(E9)),1),"")</f>
        <v xml:space="preserve">PMU  CABINE DE RADIOGRAPHIE         </v>
      </c>
      <c r="B20" s="142">
        <f t="array" ref="B20">IFERROR(INDEX('Baan-3 estimated'!$G$1:$G$119,SMALL(IF('Baan-3 estimated'!$D$1:$D$119=970,ROW('Baan-3 estimated'!$1:$119)),ROW(G9)),1),"")</f>
        <v>0.50800000000000001</v>
      </c>
      <c r="C20" s="145">
        <f t="shared" si="0"/>
        <v>151.0984251968504</v>
      </c>
      <c r="D20" s="142">
        <f t="array" ref="D20">IFERROR(INDEX('Baan-3 estimated'!$I$1:$I$119,SMALL(IF('Baan-3 estimated'!$D$1:$D$119=970,ROW('Baan-3 estimated'!$1:$119)),ROW(I9)),1),"")</f>
        <v>1.2793000000000001</v>
      </c>
      <c r="E20" s="57"/>
      <c r="F20" s="143" t="str">
        <f t="shared" si="1"/>
        <v xml:space="preserve">PMU  CABINE DE RADIOGRAPHIE         </v>
      </c>
      <c r="G20" s="142" t="str">
        <f t="array" ref="G20">IFERROR(INDEX('Baan-2 actual'!$D$2:$D$119,SMALL(IF('Baan-2 actual'!$C$2:$C$119=Man Hours,ROW('Baan-2 actual'!$2:$119)),ROW(G9)),1),"")</f>
        <v/>
      </c>
      <c r="H20" s="145" t="str">
        <f t="shared" si="2"/>
        <v/>
      </c>
      <c r="I20" s="142" t="str">
        <f t="array" ref="I20">IFERROR(INDEX('Baan-2 actual'!$N$2:$N$119,SMALL(IF('Baan-2 actual'!$A$2:$A$119=OPTP73,ROW('Baan-2 actual'!$2:$119)),ROW(G9)),1),"")</f>
        <v/>
      </c>
      <c r="J20" s="57"/>
    </row>
    <row r="21" spans="1:10">
      <c r="A21" s="143" t="str">
        <f t="array" ref="A21">IFERROR(INDEX('Baan-3 estimated'!$E$1:$E$119,SMALL(IF('Baan-3 estimated'!$D$1:$D$119=970,ROW('Baan-3 estimated'!$1:$119)),ROW(E10)),1),"")</f>
        <v xml:space="preserve">PAA  SALLES INITATEUR ELECTRIQ, </v>
      </c>
      <c r="B21" s="142">
        <f t="array" ref="B21">IFERROR(INDEX('Baan-3 estimated'!$G$1:$G$119,SMALL(IF('Baan-3 estimated'!$D$1:$D$119=970,ROW('Baan-3 estimated'!$1:$119)),ROW(G10)),1),"")</f>
        <v>1</v>
      </c>
      <c r="C21" s="145">
        <f t="shared" si="0"/>
        <v>151.09800000000001</v>
      </c>
      <c r="D21" s="142">
        <f t="array" ref="D21">IFERROR(INDEX('Baan-3 estimated'!$I$1:$I$119,SMALL(IF('Baan-3 estimated'!$D$1:$D$119=970,ROW('Baan-3 estimated'!$1:$119)),ROW(I10)),1),"")</f>
        <v>2.5183</v>
      </c>
      <c r="E21" s="57"/>
      <c r="F21" s="143" t="str">
        <f t="shared" si="1"/>
        <v xml:space="preserve">PAA  SALLES INITATEUR ELECTRIQ, </v>
      </c>
      <c r="G21" s="142" t="str">
        <f t="array" ref="G21">IFERROR(INDEX('Baan-2 actual'!$D$2:$D$119,SMALL(IF('Baan-2 actual'!$C$2:$C$119=Man Hours,ROW('Baan-2 actual'!$2:$119)),ROW(G10)),1),"")</f>
        <v/>
      </c>
      <c r="H21" s="145" t="str">
        <f t="shared" si="2"/>
        <v/>
      </c>
      <c r="I21" s="142" t="str">
        <f t="array" ref="I21">IFERROR(INDEX('Baan-2 actual'!$N$2:$N$119,SMALL(IF('Baan-2 actual'!$A$2:$A$119=OPTP73,ROW('Baan-2 actual'!$2:$119)),ROW(G10)),1),"")</f>
        <v/>
      </c>
      <c r="J21" s="57"/>
    </row>
    <row r="22" spans="1:10">
      <c r="A22" s="143" t="str">
        <f t="array" ref="A22">IFERROR(INDEX('Baan-3 estimated'!$E$1:$E$119,SMALL(IF('Baan-3 estimated'!$D$1:$D$119=970,ROW('Baan-3 estimated'!$1:$119)),ROW(E11)),1),"")</f>
        <v/>
      </c>
      <c r="B22" s="142" t="str">
        <f t="array" ref="B22">IFERROR(INDEX('Baan-3 estimated'!$G$1:$G$119,SMALL(IF('Baan-3 estimated'!$D$1:$D$119=970,ROW('Baan-3 estimated'!$1:$119)),ROW(G11)),1),"")</f>
        <v/>
      </c>
      <c r="C22" s="145" t="str">
        <f t="shared" si="0"/>
        <v/>
      </c>
      <c r="D22" s="142" t="str">
        <f t="array" ref="D22">IFERROR(INDEX('Baan-3 estimated'!$I$1:$I$119,SMALL(IF('Baan-3 estimated'!$D$1:$D$119=970,ROW('Baan-3 estimated'!$1:$119)),ROW(I11)),1),"")</f>
        <v/>
      </c>
      <c r="E22" s="92"/>
      <c r="F22" s="143" t="str">
        <f t="shared" si="1"/>
        <v/>
      </c>
      <c r="G22" s="142" t="str">
        <f t="array" ref="G22">IFERROR(INDEX('Baan-2 actual'!$D$2:$D$119,SMALL(IF('Baan-2 actual'!$C$2:$C$119=Man Hours,ROW('Baan-2 actual'!$2:$119)),ROW(G11)),1),"")</f>
        <v/>
      </c>
      <c r="H22" s="145" t="str">
        <f t="shared" si="2"/>
        <v/>
      </c>
      <c r="I22" s="142" t="str">
        <f t="array" ref="I22">IFERROR(INDEX('Baan-2 actual'!$N$2:$N$119,SMALL(IF('Baan-2 actual'!$A$2:$A$119=OPTP73,ROW('Baan-2 actual'!$2:$119)),ROW(G11)),1),"")</f>
        <v/>
      </c>
      <c r="J22" s="86"/>
    </row>
    <row r="23" spans="1:10">
      <c r="A23" s="143" t="str">
        <f t="array" ref="A23">IFERROR(INDEX('Baan-3 estimated'!$E$1:$E$119,SMALL(IF('Baan-3 estimated'!$D$1:$D$119=970,ROW('Baan-3 estimated'!$1:$119)),ROW(E12)),1),"")</f>
        <v/>
      </c>
      <c r="B23" s="142" t="str">
        <f t="array" ref="B23">IFERROR(INDEX('Baan-3 estimated'!$G$1:$G$119,SMALL(IF('Baan-3 estimated'!$D$1:$D$119=970,ROW('Baan-3 estimated'!$1:$119)),ROW(G12)),1),"")</f>
        <v/>
      </c>
      <c r="C23" s="145" t="str">
        <f t="shared" si="0"/>
        <v/>
      </c>
      <c r="D23" s="142" t="str">
        <f t="array" ref="D23">IFERROR(INDEX('Baan-3 estimated'!$I$1:$I$119,SMALL(IF('Baan-3 estimated'!$D$1:$D$119=970,ROW('Baan-3 estimated'!$1:$119)),ROW(I12)),1),"")</f>
        <v/>
      </c>
      <c r="E23" s="92"/>
      <c r="F23" s="143" t="str">
        <f t="shared" si="1"/>
        <v/>
      </c>
      <c r="G23" s="142" t="str">
        <f t="array" ref="G23">IFERROR(INDEX('Baan-2 actual'!$D$2:$D$119,SMALL(IF('Baan-2 actual'!$C$2:$C$119=Man Hours,ROW('Baan-2 actual'!$2:$119)),ROW(G12)),1),"")</f>
        <v/>
      </c>
      <c r="H23" s="145" t="str">
        <f t="shared" si="2"/>
        <v/>
      </c>
      <c r="I23" s="142" t="str">
        <f t="array" ref="I23">IFERROR(INDEX('Baan-2 actual'!$N$2:$N$119,SMALL(IF('Baan-2 actual'!$A$2:$A$119=OPTP73,ROW('Baan-2 actual'!$2:$119)),ROW(G12)),1),"")</f>
        <v/>
      </c>
      <c r="J23" s="86"/>
    </row>
    <row r="24" spans="1:10">
      <c r="A24" s="143" t="str">
        <f t="array" ref="A24">IFERROR(INDEX('Baan-3 estimated'!$E$1:$E$119,SMALL(IF('Baan-3 estimated'!$D$1:$D$119=970,ROW('Baan-3 estimated'!$1:$119)),ROW(E13)),1),"")</f>
        <v/>
      </c>
      <c r="B24" s="142" t="str">
        <f t="array" ref="B24">IFERROR(INDEX('Baan-3 estimated'!$G$1:$G$119,SMALL(IF('Baan-3 estimated'!$D$1:$D$119=970,ROW('Baan-3 estimated'!$1:$119)),ROW(G13)),1),"")</f>
        <v/>
      </c>
      <c r="C24" s="145" t="str">
        <f t="shared" si="0"/>
        <v/>
      </c>
      <c r="D24" s="142" t="str">
        <f t="array" ref="D24">IFERROR(INDEX('Baan-3 estimated'!$I$1:$I$119,SMALL(IF('Baan-3 estimated'!$D$1:$D$119=970,ROW('Baan-3 estimated'!$1:$119)),ROW(I13)),1),"")</f>
        <v/>
      </c>
      <c r="E24" s="92"/>
      <c r="F24" s="143" t="str">
        <f t="shared" si="1"/>
        <v/>
      </c>
      <c r="G24" s="142" t="str">
        <f t="array" ref="G24">IFERROR(INDEX('Baan-2 actual'!$D$2:$D$119,SMALL(IF('Baan-2 actual'!$C$2:$C$119=Man Hours,ROW('Baan-2 actual'!$2:$119)),ROW(G13)),1),"")</f>
        <v/>
      </c>
      <c r="H24" s="145" t="str">
        <f t="shared" si="2"/>
        <v/>
      </c>
      <c r="I24" s="142" t="str">
        <f t="array" ref="I24">IFERROR(INDEX('Baan-2 actual'!$N$2:$N$119,SMALL(IF('Baan-2 actual'!$A$2:$A$119=OPTP73,ROW('Baan-2 actual'!$2:$119)),ROW(G13)),1),"")</f>
        <v/>
      </c>
      <c r="J24" s="86"/>
    </row>
    <row r="25" spans="1:10">
      <c r="A25" s="143" t="str">
        <f t="array" ref="A25">IFERROR(INDEX('Baan-3 estimated'!$E$1:$E$119,SMALL(IF('Baan-3 estimated'!$D$1:$D$119=970,ROW('Baan-3 estimated'!$1:$119)),ROW(E14)),1),"")</f>
        <v/>
      </c>
      <c r="B25" s="142" t="str">
        <f t="array" ref="B25">IFERROR(INDEX('Baan-3 estimated'!$G$1:$G$119,SMALL(IF('Baan-3 estimated'!$D$1:$D$119=970,ROW('Baan-3 estimated'!$1:$119)),ROW(G14)),1),"")</f>
        <v/>
      </c>
      <c r="C25" s="145" t="str">
        <f t="shared" si="0"/>
        <v/>
      </c>
      <c r="D25" s="142" t="str">
        <f t="array" ref="D25">IFERROR(INDEX('Baan-3 estimated'!$I$1:$I$119,SMALL(IF('Baan-3 estimated'!$D$1:$D$119=970,ROW('Baan-3 estimated'!$1:$119)),ROW(I14)),1),"")</f>
        <v/>
      </c>
      <c r="E25" s="92"/>
      <c r="F25" s="143" t="str">
        <f t="shared" si="1"/>
        <v/>
      </c>
      <c r="G25" s="142" t="str">
        <f t="array" ref="G25">IFERROR(INDEX('Baan-2 actual'!$D$2:$D$119,SMALL(IF('Baan-2 actual'!$C$2:$C$119=Man Hours,ROW('Baan-2 actual'!$2:$119)),ROW(G14)),1),"")</f>
        <v/>
      </c>
      <c r="H25" s="145" t="str">
        <f t="shared" si="2"/>
        <v/>
      </c>
      <c r="I25" s="142" t="str">
        <f t="array" ref="I25">IFERROR(INDEX('Baan-2 actual'!$N$2:$N$119,SMALL(IF('Baan-2 actual'!$A$2:$A$119=OPTP73,ROW('Baan-2 actual'!$2:$119)),ROW(G14)),1),"")</f>
        <v/>
      </c>
      <c r="J25" s="86"/>
    </row>
    <row r="26" spans="1:10">
      <c r="A26" s="143" t="str">
        <f t="array" ref="A26">IFERROR(INDEX('Baan-3 estimated'!$E$1:$E$119,SMALL(IF('Baan-3 estimated'!$D$1:$D$119=970,ROW('Baan-3 estimated'!$1:$119)),ROW(E15)),1),"")</f>
        <v/>
      </c>
      <c r="B26" s="142" t="str">
        <f t="array" ref="B26">IFERROR(INDEX('Baan-3 estimated'!$G$1:$G$119,SMALL(IF('Baan-3 estimated'!$D$1:$D$119=970,ROW('Baan-3 estimated'!$1:$119)),ROW(G15)),1),"")</f>
        <v/>
      </c>
      <c r="C26" s="145" t="str">
        <f t="shared" si="0"/>
        <v/>
      </c>
      <c r="D26" s="142" t="str">
        <f t="array" ref="D26">IFERROR(INDEX('Baan-3 estimated'!$I$1:$I$119,SMALL(IF('Baan-3 estimated'!$D$1:$D$119=970,ROW('Baan-3 estimated'!$1:$119)),ROW(I15)),1),"")</f>
        <v/>
      </c>
      <c r="E26" s="92"/>
      <c r="F26" s="143" t="str">
        <f t="shared" si="1"/>
        <v/>
      </c>
      <c r="G26" s="142" t="str">
        <f t="array" ref="G26">IFERROR(INDEX('Baan-2 actual'!$D$2:$D$119,SMALL(IF('Baan-2 actual'!$C$2:$C$119=Man Hours,ROW('Baan-2 actual'!$2:$119)),ROW(G15)),1),"")</f>
        <v/>
      </c>
      <c r="H26" s="145" t="str">
        <f t="shared" si="2"/>
        <v/>
      </c>
      <c r="I26" s="142" t="str">
        <f t="array" ref="I26">IFERROR(INDEX('Baan-2 actual'!$N$2:$N$119,SMALL(IF('Baan-2 actual'!$A$2:$A$119=OPTP73,ROW('Baan-2 actual'!$2:$119)),ROW(G15)),1),"")</f>
        <v/>
      </c>
      <c r="J26" s="86"/>
    </row>
    <row r="27" spans="1:10">
      <c r="A27" s="93"/>
      <c r="B27" s="94">
        <f>SUM(B12:B22)</f>
        <v>4.0085999999999995</v>
      </c>
      <c r="C27" s="95" t="s">
        <v>259</v>
      </c>
      <c r="D27" s="91">
        <f>SUM(D12:D22)</f>
        <v>10.094000000000001</v>
      </c>
      <c r="E27" s="57"/>
      <c r="F27" s="93"/>
      <c r="G27" s="84">
        <f>SUM(G12:G22)</f>
        <v>0</v>
      </c>
      <c r="H27" s="95" t="s">
        <v>259</v>
      </c>
      <c r="I27" s="91">
        <f>SUM(I12:I22)</f>
        <v>0</v>
      </c>
      <c r="J27" s="96"/>
    </row>
    <row r="28" spans="1:10">
      <c r="A28" s="69" t="s">
        <v>260</v>
      </c>
      <c r="B28" s="61"/>
      <c r="C28" s="61"/>
      <c r="D28" s="84">
        <f>SUMIF('Baan-3 estimated'!E2:E119, "Total Operation Costs", 'Baan-3 estimated'!I2:I119)+SUMIF('Baan-3 estimated'!F2:F119,"Operation",'Baan-3 estimated'!I2:I119)</f>
        <v>12.466899999999999</v>
      </c>
      <c r="E28" s="57"/>
      <c r="F28" s="69" t="s">
        <v>260</v>
      </c>
      <c r="G28" s="61"/>
      <c r="H28" s="61"/>
      <c r="I28" s="84">
        <f>SUMIF('Baan-2 actual'!C2:C119,"| Operation",'Baan-2 actual'!N2:N119)/I4</f>
        <v>23.12179465056083</v>
      </c>
      <c r="J28" s="96"/>
    </row>
    <row r="29" spans="1:10">
      <c r="A29" s="93"/>
      <c r="B29" s="61"/>
      <c r="C29" s="95" t="s">
        <v>261</v>
      </c>
      <c r="D29" s="91">
        <f>D27+D28</f>
        <v>22.5609</v>
      </c>
      <c r="E29" s="57"/>
      <c r="F29" s="93"/>
      <c r="G29" s="61"/>
      <c r="H29" s="97" t="s">
        <v>261</v>
      </c>
      <c r="I29" s="91">
        <f>I27+I28</f>
        <v>23.12179465056083</v>
      </c>
      <c r="J29" s="96"/>
    </row>
    <row r="30" spans="1:10">
      <c r="A30" s="69" t="s">
        <v>262</v>
      </c>
      <c r="B30" s="61"/>
      <c r="C30" s="61"/>
      <c r="D30" s="129">
        <v>0.96</v>
      </c>
      <c r="E30" s="57"/>
      <c r="F30" s="69" t="s">
        <v>262</v>
      </c>
      <c r="G30" s="61"/>
      <c r="H30" s="61"/>
      <c r="I30" s="98"/>
      <c r="J30" s="57"/>
    </row>
    <row r="31" spans="1:10">
      <c r="A31" s="64" t="s">
        <v>263</v>
      </c>
      <c r="B31" s="78"/>
      <c r="C31" s="99" t="s">
        <v>275</v>
      </c>
      <c r="D31" s="100">
        <f>D29/D30</f>
        <v>23.500937500000003</v>
      </c>
      <c r="E31" s="57"/>
      <c r="F31" s="64" t="s">
        <v>263</v>
      </c>
      <c r="G31" s="78"/>
      <c r="H31" s="101" t="s">
        <v>276</v>
      </c>
      <c r="I31" s="102">
        <f>I29</f>
        <v>23.12179465056083</v>
      </c>
      <c r="J31" s="57"/>
    </row>
    <row r="32" spans="1:10">
      <c r="A32" s="103"/>
      <c r="B32" s="104"/>
      <c r="C32" s="105"/>
      <c r="D32" s="106"/>
      <c r="E32" s="107"/>
      <c r="F32" s="103"/>
      <c r="G32" s="104"/>
      <c r="H32" s="108"/>
      <c r="I32" s="106"/>
      <c r="J32" s="109"/>
    </row>
    <row r="33" spans="1:10">
      <c r="A33" s="64" t="s">
        <v>264</v>
      </c>
      <c r="B33" s="78"/>
      <c r="C33" s="110"/>
      <c r="D33" s="111">
        <f>D31+D9</f>
        <v>59.304337500000003</v>
      </c>
      <c r="E33" s="57"/>
      <c r="F33" s="64" t="s">
        <v>264</v>
      </c>
      <c r="G33" s="78"/>
      <c r="H33" s="112"/>
      <c r="I33" s="111">
        <f>I9+I31</f>
        <v>63.717006039689387</v>
      </c>
      <c r="J33" s="96"/>
    </row>
    <row r="34" spans="1:10">
      <c r="A34" s="113"/>
      <c r="B34" s="114"/>
      <c r="C34" s="115"/>
      <c r="D34" s="116"/>
      <c r="E34" s="55"/>
      <c r="F34" s="113"/>
      <c r="G34" s="114"/>
      <c r="H34" s="117"/>
      <c r="I34" s="118"/>
      <c r="J34" s="119"/>
    </row>
    <row r="35" spans="1:10">
      <c r="A35" s="113"/>
      <c r="B35" s="114"/>
      <c r="C35" s="115"/>
      <c r="D35" s="116"/>
      <c r="E35" s="55"/>
      <c r="F35" s="113"/>
      <c r="G35" s="114"/>
      <c r="H35" s="117"/>
      <c r="I35" s="118"/>
      <c r="J35" s="119"/>
    </row>
    <row r="36" spans="1:10">
      <c r="A36" s="113"/>
      <c r="B36" s="114"/>
      <c r="C36" s="115"/>
      <c r="D36" s="116"/>
      <c r="E36" s="55"/>
      <c r="F36" s="113"/>
      <c r="G36" s="114"/>
      <c r="H36" s="117"/>
      <c r="I36" s="118"/>
      <c r="J36" s="119"/>
    </row>
    <row r="37" spans="1:10">
      <c r="A37" s="120"/>
      <c r="B37" s="121"/>
      <c r="C37" s="121"/>
      <c r="D37" s="121"/>
      <c r="E37" s="57"/>
      <c r="F37" s="57"/>
      <c r="G37" s="57"/>
      <c r="H37" s="32"/>
      <c r="I37" s="57"/>
      <c r="J37" s="57"/>
    </row>
    <row r="38" spans="1:10" ht="15.75">
      <c r="A38" s="191" t="s">
        <v>265</v>
      </c>
      <c r="B38" s="191"/>
      <c r="C38" s="192" t="s">
        <v>266</v>
      </c>
      <c r="D38" s="193"/>
      <c r="E38" s="193"/>
      <c r="F38" s="193"/>
      <c r="G38" s="193"/>
      <c r="H38" s="193"/>
      <c r="I38" s="193"/>
      <c r="J38" s="194"/>
    </row>
    <row r="39" spans="1:10">
      <c r="A39" s="122" t="s">
        <v>267</v>
      </c>
      <c r="B39" s="123">
        <f>I9-D9</f>
        <v>4.7918113891285614</v>
      </c>
      <c r="C39" s="195"/>
      <c r="D39" s="196"/>
      <c r="E39" s="196"/>
      <c r="F39" s="196"/>
      <c r="G39" s="196"/>
      <c r="H39" s="196"/>
      <c r="I39" s="196"/>
      <c r="J39" s="196"/>
    </row>
    <row r="40" spans="1:10">
      <c r="A40" s="124" t="s">
        <v>268</v>
      </c>
      <c r="B40" s="125">
        <f>G27-B27</f>
        <v>-4.0085999999999995</v>
      </c>
      <c r="C40" s="197"/>
      <c r="D40" s="198"/>
      <c r="E40" s="198"/>
      <c r="F40" s="198"/>
      <c r="G40" s="198"/>
      <c r="H40" s="198"/>
      <c r="I40" s="198"/>
      <c r="J40" s="199"/>
    </row>
    <row r="41" spans="1:10">
      <c r="A41" s="124" t="s">
        <v>269</v>
      </c>
      <c r="B41" s="126">
        <f>I27-D27</f>
        <v>-10.094000000000001</v>
      </c>
      <c r="C41" s="186"/>
      <c r="D41" s="187"/>
      <c r="E41" s="187"/>
      <c r="F41" s="187"/>
      <c r="G41" s="187"/>
      <c r="H41" s="187"/>
      <c r="I41" s="187"/>
      <c r="J41" s="187"/>
    </row>
    <row r="42" spans="1:10">
      <c r="A42" s="124" t="s">
        <v>270</v>
      </c>
      <c r="B42" s="126">
        <f>I28-D28</f>
        <v>10.654894650560831</v>
      </c>
      <c r="C42" s="186"/>
      <c r="D42" s="187"/>
      <c r="E42" s="187"/>
      <c r="F42" s="187"/>
      <c r="G42" s="187"/>
      <c r="H42" s="187"/>
      <c r="I42" s="187"/>
      <c r="J42" s="187"/>
    </row>
    <row r="43" spans="1:10">
      <c r="A43" s="122" t="s">
        <v>271</v>
      </c>
      <c r="B43" s="127">
        <f>I31-D31</f>
        <v>-0.37914284943917309</v>
      </c>
      <c r="C43" s="186"/>
      <c r="D43" s="187"/>
      <c r="E43" s="187"/>
      <c r="F43" s="187"/>
      <c r="G43" s="187"/>
      <c r="H43" s="187"/>
      <c r="I43" s="187"/>
      <c r="J43" s="187"/>
    </row>
    <row r="44" spans="1:10">
      <c r="A44" s="122" t="s">
        <v>272</v>
      </c>
      <c r="B44" s="127">
        <f>I33-D33</f>
        <v>4.4126685396893848</v>
      </c>
      <c r="C44" s="188"/>
      <c r="D44" s="189"/>
      <c r="E44" s="189"/>
      <c r="F44" s="189"/>
      <c r="G44" s="189"/>
      <c r="H44" s="189"/>
      <c r="I44" s="189"/>
      <c r="J44" s="190"/>
    </row>
  </sheetData>
  <mergeCells count="10">
    <mergeCell ref="B1:D1"/>
    <mergeCell ref="G1:I1"/>
    <mergeCell ref="C43:J43"/>
    <mergeCell ref="C44:J44"/>
    <mergeCell ref="A38:B38"/>
    <mergeCell ref="C38:J38"/>
    <mergeCell ref="C39:J39"/>
    <mergeCell ref="C40:J40"/>
    <mergeCell ref="C41:J41"/>
    <mergeCell ref="C42:J4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I36"/>
  <sheetViews>
    <sheetView tabSelected="1" workbookViewId="0">
      <selection activeCell="C15" sqref="C15"/>
    </sheetView>
  </sheetViews>
  <sheetFormatPr baseColWidth="10" defaultRowHeight="15"/>
  <cols>
    <col min="1" max="1" width="35.7109375" bestFit="1" customWidth="1"/>
    <col min="2" max="2" width="8" customWidth="1"/>
    <col min="3" max="3" width="14.5703125" customWidth="1"/>
    <col min="4" max="4" width="8" customWidth="1"/>
    <col min="5" max="5" width="2.42578125" customWidth="1"/>
    <col min="6" max="6" width="32.7109375" bestFit="1" customWidth="1"/>
    <col min="7" max="7" width="8" customWidth="1"/>
    <col min="8" max="8" width="14.5703125" customWidth="1"/>
    <col min="9" max="9" width="8" customWidth="1"/>
  </cols>
  <sheetData>
    <row r="1" spans="1:9" ht="18">
      <c r="A1" s="58" t="s">
        <v>25</v>
      </c>
      <c r="B1" s="183" t="str">
        <f>'M911'!D14</f>
        <v xml:space="preserve"> 0RE001294 </v>
      </c>
      <c r="C1" s="184"/>
      <c r="D1" s="185"/>
      <c r="E1" s="59"/>
      <c r="F1" s="58" t="s">
        <v>251</v>
      </c>
      <c r="G1" s="183"/>
      <c r="H1" s="184"/>
      <c r="I1" s="185"/>
    </row>
    <row r="2" spans="1:9" ht="18">
      <c r="A2" s="60"/>
      <c r="B2" s="61"/>
      <c r="C2" s="61"/>
      <c r="D2" s="62" t="s">
        <v>252</v>
      </c>
      <c r="E2" s="57"/>
      <c r="F2" s="63"/>
      <c r="G2" s="61"/>
      <c r="H2" s="61"/>
      <c r="I2" s="62" t="s">
        <v>252</v>
      </c>
    </row>
    <row r="3" spans="1:9">
      <c r="A3" s="64" t="s">
        <v>40</v>
      </c>
      <c r="B3" s="61"/>
      <c r="C3" s="65"/>
      <c r="D3" s="66">
        <f>'M911'!AB14+'M911'!AC14</f>
        <v>64.439162500000009</v>
      </c>
      <c r="E3" s="67"/>
      <c r="F3" s="64" t="s">
        <v>39</v>
      </c>
      <c r="G3" s="61"/>
      <c r="H3" s="65"/>
      <c r="I3" s="66">
        <f>'M911'!Z14+'M911'!AA14</f>
        <v>69.401065719360574</v>
      </c>
    </row>
    <row r="4" spans="1:9">
      <c r="A4" s="69" t="s">
        <v>253</v>
      </c>
      <c r="B4" s="61"/>
      <c r="C4" s="61"/>
      <c r="D4" s="70">
        <f>'M911'!N14</f>
        <v>1000</v>
      </c>
      <c r="E4" s="57"/>
      <c r="F4" s="69" t="s">
        <v>277</v>
      </c>
      <c r="G4" s="61"/>
      <c r="H4" s="61"/>
      <c r="I4" s="70">
        <f>'M911'!Q14</f>
        <v>1126</v>
      </c>
    </row>
    <row r="5" spans="1:9">
      <c r="A5" s="69" t="s">
        <v>254</v>
      </c>
      <c r="B5" s="61"/>
      <c r="C5" s="61"/>
      <c r="D5" s="71">
        <f>'M911'!X17</f>
        <v>0</v>
      </c>
      <c r="E5" s="57"/>
      <c r="F5" s="69" t="s">
        <v>254</v>
      </c>
      <c r="G5" s="61"/>
      <c r="H5" s="61"/>
      <c r="I5" s="71">
        <f>'M911'!W17</f>
        <v>2.8472821397756688E-2</v>
      </c>
    </row>
    <row r="6" spans="1:9">
      <c r="A6" s="72"/>
      <c r="B6" s="73"/>
      <c r="C6" s="73"/>
      <c r="D6" s="73"/>
      <c r="E6" s="74"/>
      <c r="F6" s="72"/>
      <c r="G6" s="75"/>
      <c r="H6" s="76"/>
      <c r="I6" s="73"/>
    </row>
    <row r="7" spans="1:9">
      <c r="A7" s="77" t="s">
        <v>255</v>
      </c>
      <c r="B7" s="78"/>
      <c r="C7" s="78"/>
      <c r="D7" s="79">
        <f>SUMIF('Baan-3 estimated'!E121:E200,"Total Material C",'Baan-3 estimated'!I121:I200)</f>
        <v>33.991</v>
      </c>
      <c r="E7" s="57"/>
      <c r="F7" s="80" t="s">
        <v>255</v>
      </c>
      <c r="G7" s="81"/>
      <c r="H7" s="82"/>
      <c r="I7" s="79">
        <f>SUMIF('Baan-2 actual'!C121:C200,"| Material",'Baan-2 actual'!N121:N200)/I4</f>
        <v>37.694653641207815</v>
      </c>
    </row>
    <row r="8" spans="1:9">
      <c r="A8" s="77" t="s">
        <v>256</v>
      </c>
      <c r="B8" s="78"/>
      <c r="C8" s="78"/>
      <c r="D8" s="79">
        <f>SUMIF('Baan-3 estimated'!F121:F200,"Material C",'Baan-3 estimated'!I121:I200)</f>
        <v>2.8866000000000001</v>
      </c>
      <c r="E8" s="57"/>
      <c r="F8" s="80" t="s">
        <v>256</v>
      </c>
      <c r="G8" s="81"/>
      <c r="H8" s="82"/>
      <c r="I8" s="79">
        <f>SUMIF('Baan-2 actual'!C121:C200,"| Surch. on",'Baan-2 actual'!N121:N200)/I4</f>
        <v>3.7767406749555947</v>
      </c>
    </row>
    <row r="9" spans="1:9">
      <c r="A9" s="64" t="s">
        <v>257</v>
      </c>
      <c r="B9" s="61"/>
      <c r="C9" s="61"/>
      <c r="D9" s="66">
        <f>SUM(D7:D8)</f>
        <v>36.877600000000001</v>
      </c>
      <c r="E9" s="57"/>
      <c r="F9" s="64" t="s">
        <v>257</v>
      </c>
      <c r="G9" s="68"/>
      <c r="H9" s="84"/>
      <c r="I9" s="66">
        <f>SUM(I7:I8)</f>
        <v>41.471394316163412</v>
      </c>
    </row>
    <row r="10" spans="1:9">
      <c r="A10" s="56"/>
      <c r="B10" s="87"/>
      <c r="C10" s="88"/>
      <c r="D10" s="88"/>
      <c r="E10" s="74"/>
      <c r="F10" s="56"/>
      <c r="G10" s="87"/>
      <c r="H10" s="89"/>
      <c r="I10" s="88"/>
    </row>
    <row r="11" spans="1:9">
      <c r="A11" s="90" t="s">
        <v>258</v>
      </c>
      <c r="B11" s="62" t="s">
        <v>273</v>
      </c>
      <c r="C11" s="62" t="s">
        <v>274</v>
      </c>
      <c r="D11" s="62" t="s">
        <v>252</v>
      </c>
      <c r="E11" s="57"/>
      <c r="F11" s="90" t="s">
        <v>258</v>
      </c>
      <c r="G11" s="62" t="s">
        <v>273</v>
      </c>
      <c r="H11" s="62" t="s">
        <v>274</v>
      </c>
      <c r="I11" s="62" t="s">
        <v>252</v>
      </c>
    </row>
    <row r="12" spans="1:9">
      <c r="A12" s="130" t="str">
        <f t="array" ref="A12">IFERROR(INDEX('Baan-3 estimated'!$E$1:$E$200,SMALL(IF('Baan-3 estimated'!$D$120:$D$200=970,ROW('Baan-3 estimated'!$120:$200)),ROW(E1)),1),"")</f>
        <v xml:space="preserve">PBA  MOYENS YQ CONTR, RECETTE </v>
      </c>
      <c r="B12" s="130">
        <f t="array" ref="B12">IFERROR(INDEX('Baan-3 estimated'!$G$1:$G$200,SMALL(IF('Baan-3 estimated'!$D$120:$D$200=970,ROW('Baan-3 estimated'!$120:$200)),ROW(G1)),1),"")</f>
        <v>0.18720000000000001</v>
      </c>
      <c r="C12" s="128">
        <f>IFERROR((D12/B12)*60,"")</f>
        <v>151.08974358974359</v>
      </c>
      <c r="D12" s="142">
        <f t="array" ref="D12">IFERROR(INDEX('Baan-3 estimated'!$I$1:$I$200,SMALL(IF('Baan-3 estimated'!$D$120:$D$200=970,ROW('Baan-3 estimated'!$120:$200)),ROW(I1)),1),"")</f>
        <v>0.47139999999999999</v>
      </c>
      <c r="E12" s="57"/>
      <c r="F12" s="130" t="str">
        <f>A12</f>
        <v xml:space="preserve">PBA  MOYENS YQ CONTR, RECETTE </v>
      </c>
      <c r="G12" s="142" t="str">
        <f t="array" ref="G12">IFERROR(INDEX('Baan-2 actual'!$D$121:$D$200,SMALL(IF('Baan-2 actual'!$C$121:$C$200=Man Hours,ROW('Baan-2 actual'!$121:$200)),ROW(G1)),1),"")</f>
        <v/>
      </c>
      <c r="H12" s="91" t="str">
        <f>IFERROR((I12/G12*60),"")</f>
        <v/>
      </c>
      <c r="I12" s="142" t="str">
        <f t="array" ref="I12">IFERROR(INDEX('Baan-2 actual'!$N$121:$N$200,SMALL(IF('Baan-2 actual'!$A$121:$A$200=OPTP73,ROW('Baan-2 actual'!$121:$200)),ROW(G1)),1),"")</f>
        <v/>
      </c>
    </row>
    <row r="13" spans="1:9">
      <c r="A13" s="130" t="str">
        <f t="array" ref="A13">IFERROR(INDEX('Baan-3 estimated'!$E$1:$E$200,SMALL(IF('Baan-3 estimated'!$D$120:$D$200=970,ROW('Baan-3 estimated'!$120:$200)),ROW(E2)),1),"")</f>
        <v xml:space="preserve">PBA  MOYENS YQ CONTR, RECETTE </v>
      </c>
      <c r="B13" s="130">
        <f t="array" ref="B13">IFERROR(INDEX('Baan-3 estimated'!$G$1:$G$200,SMALL(IF('Baan-3 estimated'!$D$120:$D$200=970,ROW('Baan-3 estimated'!$120:$200)),ROW(G2)),1),"")</f>
        <v>0.91200000000000003</v>
      </c>
      <c r="C13" s="128">
        <f t="shared" ref="C13:C18" si="0">IFERROR((D13/B13)*60,"")</f>
        <v>151.0986842105263</v>
      </c>
      <c r="D13" s="142">
        <f t="array" ref="D13">IFERROR(INDEX('Baan-3 estimated'!$I$1:$I$200,SMALL(IF('Baan-3 estimated'!$D$120:$D$200=970,ROW('Baan-3 estimated'!$120:$200)),ROW(I2)),1),"")</f>
        <v>2.2967</v>
      </c>
      <c r="E13" s="57"/>
      <c r="F13" s="130" t="str">
        <f t="shared" ref="F13:F18" si="1">A13</f>
        <v xml:space="preserve">PBA  MOYENS YQ CONTR, RECETTE </v>
      </c>
      <c r="G13" s="142" t="str">
        <f t="array" ref="G13">IFERROR(INDEX('Baan-2 actual'!$D$121:$D$200,SMALL(IF('Baan-2 actual'!$C$121:$C$200=Man Hours,ROW('Baan-2 actual'!$121:$200)),ROW(G2)),1),"")</f>
        <v/>
      </c>
      <c r="H13" s="91" t="str">
        <f t="shared" ref="H13:H18" si="2">IFERROR((I13/G13*60),"")</f>
        <v/>
      </c>
      <c r="I13" s="142" t="str">
        <f t="array" ref="I13">IFERROR(INDEX('Baan-2 actual'!$N$121:$N$200,SMALL(IF('Baan-2 actual'!$A$121:$A$200=OPTP73,ROW('Baan-2 actual'!$121:$200)),ROW(G2)),1),"")</f>
        <v/>
      </c>
    </row>
    <row r="14" spans="1:9">
      <c r="A14" s="130" t="str">
        <f t="array" ref="A14">IFERROR(INDEX('Baan-3 estimated'!$E$1:$E$200,SMALL(IF('Baan-3 estimated'!$D$120:$D$200=970,ROW('Baan-3 estimated'!$120:$200)),ROW(E3)),1),"")</f>
        <v xml:space="preserve">PMT  FERMETURE/CTRL/CONDITIONNEMENT </v>
      </c>
      <c r="B14" s="130">
        <f t="array" ref="B14">IFERROR(INDEX('Baan-3 estimated'!$G$1:$G$200,SMALL(IF('Baan-3 estimated'!$D$120:$D$200=970,ROW('Baan-3 estimated'!$120:$200)),ROW(G3)),1),"")</f>
        <v>0.18</v>
      </c>
      <c r="C14" s="128">
        <f t="shared" si="0"/>
        <v>151.10000000000002</v>
      </c>
      <c r="D14" s="142">
        <f t="array" ref="D14">IFERROR(INDEX('Baan-3 estimated'!$I$1:$I$200,SMALL(IF('Baan-3 estimated'!$D$120:$D$200=970,ROW('Baan-3 estimated'!$120:$200)),ROW(I3)),1),"")</f>
        <v>0.45329999999999998</v>
      </c>
      <c r="E14" s="57"/>
      <c r="F14" s="130" t="str">
        <f t="shared" si="1"/>
        <v xml:space="preserve">PMT  FERMETURE/CTRL/CONDITIONNEMENT </v>
      </c>
      <c r="G14" s="142" t="str">
        <f t="array" ref="G14">IFERROR(INDEX('Baan-2 actual'!$D$121:$D$200,SMALL(IF('Baan-2 actual'!$C$121:$C$200=Man Hours,ROW('Baan-2 actual'!$121:$200)),ROW(G3)),1),"")</f>
        <v/>
      </c>
      <c r="H14" s="91" t="str">
        <f t="shared" si="2"/>
        <v/>
      </c>
      <c r="I14" s="142" t="str">
        <f t="array" ref="I14">IFERROR(INDEX('Baan-2 actual'!$N$121:$N$200,SMALL(IF('Baan-2 actual'!$A$121:$A$200=OPTP73,ROW('Baan-2 actual'!$121:$200)),ROW(G3)),1),"")</f>
        <v/>
      </c>
    </row>
    <row r="15" spans="1:9">
      <c r="A15" s="130" t="str">
        <f t="array" ref="A15">IFERROR(INDEX('Baan-3 estimated'!$E$1:$E$200,SMALL(IF('Baan-3 estimated'!$D$120:$D$200=970,ROW('Baan-3 estimated'!$120:$200)),ROW(E4)),1),"")</f>
        <v/>
      </c>
      <c r="B15" s="130" t="str">
        <f t="array" ref="B15">IFERROR(INDEX('Baan-3 estimated'!$G$1:$G$200,SMALL(IF('Baan-3 estimated'!$D$120:$D$200=970,ROW('Baan-3 estimated'!$120:$200)),ROW(G4)),1),"")</f>
        <v/>
      </c>
      <c r="C15" s="128" t="str">
        <f t="shared" si="0"/>
        <v/>
      </c>
      <c r="D15" s="142" t="str">
        <f t="array" ref="D15">IFERROR(INDEX('Baan-3 estimated'!$I$1:$I$200,SMALL(IF('Baan-3 estimated'!$D$120:$D$200=970,ROW('Baan-3 estimated'!$120:$200)),ROW(I4)),1),"")</f>
        <v/>
      </c>
      <c r="E15" s="57"/>
      <c r="F15" s="130" t="str">
        <f t="shared" si="1"/>
        <v/>
      </c>
      <c r="G15" s="142" t="str">
        <f t="array" ref="G15">IFERROR(INDEX('Baan-2 actual'!$D$121:$D$200,SMALL(IF('Baan-2 actual'!$C$121:$C$200=Man Hours,ROW('Baan-2 actual'!$121:$200)),ROW(G4)),1),"")</f>
        <v/>
      </c>
      <c r="H15" s="91" t="str">
        <f t="shared" si="2"/>
        <v/>
      </c>
      <c r="I15" s="142" t="str">
        <f t="array" ref="I15">IFERROR(INDEX('Baan-2 actual'!$N$121:$N$200,SMALL(IF('Baan-2 actual'!$A$121:$A$200=OPTP73,ROW('Baan-2 actual'!$121:$200)),ROW(G4)),1),"")</f>
        <v/>
      </c>
    </row>
    <row r="16" spans="1:9">
      <c r="A16" s="130" t="str">
        <f t="array" ref="A16">IFERROR(INDEX('Baan-3 estimated'!$E$1:$E$200,SMALL(IF('Baan-3 estimated'!$D$120:$D$200=970,ROW('Baan-3 estimated'!$120:$200)),ROW(E5)),1),"")</f>
        <v/>
      </c>
      <c r="B16" s="130" t="str">
        <f t="array" ref="B16">IFERROR(INDEX('Baan-3 estimated'!$G$1:$G$200,SMALL(IF('Baan-3 estimated'!$D$120:$D$200=970,ROW('Baan-3 estimated'!$120:$200)),ROW(G5)),1),"")</f>
        <v/>
      </c>
      <c r="C16" s="128" t="str">
        <f t="shared" si="0"/>
        <v/>
      </c>
      <c r="D16" s="142" t="str">
        <f t="array" ref="D16">IFERROR(INDEX('Baan-3 estimated'!$I$1:$I$200,SMALL(IF('Baan-3 estimated'!$D$120:$D$200=970,ROW('Baan-3 estimated'!$120:$200)),ROW(I5)),1),"")</f>
        <v/>
      </c>
      <c r="E16" s="57"/>
      <c r="F16" s="130" t="str">
        <f t="shared" si="1"/>
        <v/>
      </c>
      <c r="G16" s="142" t="str">
        <f t="array" ref="G16">IFERROR(INDEX('Baan-2 actual'!$D$121:$D$200,SMALL(IF('Baan-2 actual'!$C$121:$C$200=Man Hours,ROW('Baan-2 actual'!$121:$200)),ROW(G5)),1),"")</f>
        <v/>
      </c>
      <c r="H16" s="91" t="str">
        <f t="shared" si="2"/>
        <v/>
      </c>
      <c r="I16" s="142" t="str">
        <f t="array" ref="I16">IFERROR(INDEX('Baan-2 actual'!$N$121:$N$200,SMALL(IF('Baan-2 actual'!$A$121:$A$200=OPTP73,ROW('Baan-2 actual'!$121:$200)),ROW(G5)),1),"")</f>
        <v/>
      </c>
    </row>
    <row r="17" spans="1:9">
      <c r="A17" s="130" t="str">
        <f t="array" ref="A17">IFERROR(INDEX('Baan-3 estimated'!$E$1:$E$200,SMALL(IF('Baan-3 estimated'!$D$120:$D$200=970,ROW('Baan-3 estimated'!$120:$200)),ROW(E6)),1),"")</f>
        <v/>
      </c>
      <c r="B17" s="130" t="str">
        <f t="array" ref="B17">IFERROR(INDEX('Baan-3 estimated'!$G$1:$G$200,SMALL(IF('Baan-3 estimated'!$D$120:$D$200=970,ROW('Baan-3 estimated'!$120:$200)),ROW(G6)),1),"")</f>
        <v/>
      </c>
      <c r="C17" s="128" t="str">
        <f t="shared" si="0"/>
        <v/>
      </c>
      <c r="D17" s="142" t="str">
        <f t="array" ref="D17">IFERROR(INDEX('Baan-3 estimated'!$I$1:$I$200,SMALL(IF('Baan-3 estimated'!$D$120:$D$200=970,ROW('Baan-3 estimated'!$120:$200)),ROW(I6)),1),"")</f>
        <v/>
      </c>
      <c r="E17" s="57"/>
      <c r="F17" s="130" t="str">
        <f t="shared" si="1"/>
        <v/>
      </c>
      <c r="G17" s="142" t="str">
        <f t="array" ref="G17">IFERROR(INDEX('Baan-2 actual'!$D$121:$D$200,SMALL(IF('Baan-2 actual'!$C$121:$C$200=Man Hours,ROW('Baan-2 actual'!$121:$200)),ROW(G6)),1),"")</f>
        <v/>
      </c>
      <c r="H17" s="91" t="str">
        <f t="shared" si="2"/>
        <v/>
      </c>
      <c r="I17" s="142" t="str">
        <f t="array" ref="I17">IFERROR(INDEX('Baan-2 actual'!$N$121:$N$200,SMALL(IF('Baan-2 actual'!$A$121:$A$200=OPTP73,ROW('Baan-2 actual'!$121:$200)),ROW(G6)),1),"")</f>
        <v/>
      </c>
    </row>
    <row r="18" spans="1:9">
      <c r="A18" s="130" t="str">
        <f t="array" ref="A18">IFERROR(INDEX('Baan-3 estimated'!$E$1:$E$200,SMALL(IF('Baan-3 estimated'!$D$120:$D$200=970,ROW('Baan-3 estimated'!$120:$200)),ROW(E7)),1),"")</f>
        <v/>
      </c>
      <c r="B18" s="130" t="str">
        <f t="array" ref="B18">IFERROR(INDEX('Baan-3 estimated'!$G$1:$G$200,SMALL(IF('Baan-3 estimated'!$D$120:$D$200=970,ROW('Baan-3 estimated'!$120:$200)),ROW(G7)),1),"")</f>
        <v/>
      </c>
      <c r="C18" s="128" t="str">
        <f t="shared" si="0"/>
        <v/>
      </c>
      <c r="D18" s="142" t="str">
        <f t="array" ref="D18">IFERROR(INDEX('Baan-3 estimated'!$I$1:$I$200,SMALL(IF('Baan-3 estimated'!$D$120:$D$200=970,ROW('Baan-3 estimated'!$120:$200)),ROW(I7)),1),"")</f>
        <v/>
      </c>
      <c r="E18" s="92"/>
      <c r="F18" s="130" t="str">
        <f t="shared" si="1"/>
        <v/>
      </c>
      <c r="G18" s="142" t="str">
        <f t="array" ref="G18">IFERROR(INDEX('Baan-2 actual'!$D$121:$D$200,SMALL(IF('Baan-2 actual'!$C$121:$C$200=Man Hours,ROW('Baan-2 actual'!$121:$200)),ROW(G7)),1),"")</f>
        <v/>
      </c>
      <c r="H18" s="91" t="str">
        <f t="shared" si="2"/>
        <v/>
      </c>
      <c r="I18" s="142" t="str">
        <f t="array" ref="I18">IFERROR(INDEX('Baan-2 actual'!$N$121:$N$200,SMALL(IF('Baan-2 actual'!$A$121:$A$200=OPTP73,ROW('Baan-2 actual'!$121:$200)),ROW(G7)),1),"")</f>
        <v/>
      </c>
    </row>
    <row r="19" spans="1:9">
      <c r="A19" s="93"/>
      <c r="B19" s="84">
        <f>SUM(B12:B18)</f>
        <v>1.2791999999999999</v>
      </c>
      <c r="C19" s="95" t="s">
        <v>259</v>
      </c>
      <c r="D19" s="91">
        <f>SUM(D12:D18)</f>
        <v>3.2214</v>
      </c>
      <c r="E19" s="57"/>
      <c r="F19" s="93"/>
      <c r="G19" s="84">
        <f>SUM(G12:G14)</f>
        <v>0</v>
      </c>
      <c r="H19" s="95" t="s">
        <v>259</v>
      </c>
      <c r="I19" s="91">
        <f>SUM(I12:I14)</f>
        <v>0</v>
      </c>
    </row>
    <row r="20" spans="1:9">
      <c r="A20" s="69" t="s">
        <v>260</v>
      </c>
      <c r="B20" s="61"/>
      <c r="C20" s="61"/>
      <c r="D20" s="84">
        <f>SUMIF('Baan-3 estimated'!E121:E200, "Total Operation Costs", 'Baan-3 estimated'!I121:I200)+SUMIF('Baan-3 estimated'!F121:F200,"Operation",'Baan-3 estimated'!I121:I200)</f>
        <v>23.237699999999997</v>
      </c>
      <c r="E20" s="57"/>
      <c r="F20" s="69" t="s">
        <v>260</v>
      </c>
      <c r="G20" s="61"/>
      <c r="H20" s="61"/>
      <c r="I20" s="84">
        <f>SUMIF('Baan-2 actual'!C121:C200,"| Operation",'Baan-2 actual'!N121:N200)/I4</f>
        <v>27.929671403197158</v>
      </c>
    </row>
    <row r="21" spans="1:9">
      <c r="A21" s="93"/>
      <c r="B21" s="61"/>
      <c r="C21" s="95" t="s">
        <v>261</v>
      </c>
      <c r="D21" s="91">
        <f>D19+D20</f>
        <v>26.459099999999996</v>
      </c>
      <c r="E21" s="57"/>
      <c r="F21" s="93"/>
      <c r="G21" s="61"/>
      <c r="H21" s="97" t="s">
        <v>261</v>
      </c>
      <c r="I21" s="91">
        <f>I19+I20</f>
        <v>27.929671403197158</v>
      </c>
    </row>
    <row r="22" spans="1:9">
      <c r="A22" s="69" t="s">
        <v>262</v>
      </c>
      <c r="B22" s="61"/>
      <c r="C22" s="61"/>
      <c r="D22" s="129">
        <v>0.96</v>
      </c>
      <c r="E22" s="57"/>
      <c r="F22" s="69" t="s">
        <v>262</v>
      </c>
      <c r="G22" s="61"/>
      <c r="H22" s="61"/>
      <c r="I22" s="98"/>
    </row>
    <row r="23" spans="1:9">
      <c r="A23" s="64" t="s">
        <v>263</v>
      </c>
      <c r="B23" s="78"/>
      <c r="C23" s="99" t="s">
        <v>275</v>
      </c>
      <c r="D23" s="100">
        <f>D21/D22</f>
        <v>27.561562499999997</v>
      </c>
      <c r="E23" s="57"/>
      <c r="F23" s="64" t="s">
        <v>263</v>
      </c>
      <c r="G23" s="78"/>
      <c r="H23" s="101" t="s">
        <v>276</v>
      </c>
      <c r="I23" s="102">
        <f>I21</f>
        <v>27.929671403197158</v>
      </c>
    </row>
    <row r="24" spans="1:9">
      <c r="A24" s="103"/>
      <c r="B24" s="104"/>
      <c r="C24" s="105"/>
      <c r="D24" s="106"/>
      <c r="E24" s="107"/>
      <c r="F24" s="103"/>
      <c r="G24" s="104"/>
      <c r="H24" s="108"/>
      <c r="I24" s="106"/>
    </row>
    <row r="25" spans="1:9">
      <c r="A25" s="64" t="s">
        <v>264</v>
      </c>
      <c r="B25" s="78"/>
      <c r="C25" s="110"/>
      <c r="D25" s="111">
        <f>D23+D9</f>
        <v>64.439162499999995</v>
      </c>
      <c r="E25" s="57"/>
      <c r="F25" s="64" t="s">
        <v>264</v>
      </c>
      <c r="G25" s="78"/>
      <c r="H25" s="112"/>
      <c r="I25" s="111">
        <f>I9+I23</f>
        <v>69.401065719360574</v>
      </c>
    </row>
    <row r="26" spans="1:9">
      <c r="A26" s="113"/>
      <c r="B26" s="114"/>
      <c r="C26" s="115"/>
      <c r="D26" s="116"/>
      <c r="E26" s="55"/>
      <c r="F26" s="113"/>
      <c r="G26" s="114"/>
      <c r="H26" s="117"/>
      <c r="I26" s="118"/>
    </row>
    <row r="27" spans="1:9">
      <c r="A27" s="113"/>
      <c r="B27" s="114"/>
      <c r="C27" s="115"/>
      <c r="D27" s="116"/>
      <c r="E27" s="55"/>
      <c r="F27" s="113"/>
      <c r="G27" s="114"/>
      <c r="H27" s="117"/>
      <c r="I27" s="118"/>
    </row>
    <row r="28" spans="1:9">
      <c r="A28" s="113"/>
      <c r="B28" s="114"/>
      <c r="C28" s="115"/>
      <c r="D28" s="116"/>
      <c r="E28" s="55"/>
      <c r="F28" s="113"/>
      <c r="G28" s="114"/>
      <c r="H28" s="117"/>
      <c r="I28" s="118"/>
    </row>
    <row r="29" spans="1:9">
      <c r="A29" s="120"/>
      <c r="B29" s="121"/>
      <c r="C29" s="121"/>
      <c r="D29" s="121"/>
      <c r="E29" s="57"/>
      <c r="F29" s="57"/>
      <c r="G29" s="57"/>
      <c r="H29" s="32"/>
      <c r="I29" s="57"/>
    </row>
    <row r="30" spans="1:9" ht="15.75">
      <c r="A30" s="191" t="s">
        <v>265</v>
      </c>
      <c r="B30" s="191"/>
      <c r="C30" s="200" t="s">
        <v>266</v>
      </c>
      <c r="D30" s="201"/>
      <c r="E30" s="201"/>
      <c r="F30" s="201"/>
      <c r="G30" s="201"/>
      <c r="H30" s="201"/>
      <c r="I30" s="201"/>
    </row>
    <row r="31" spans="1:9">
      <c r="A31" s="122" t="s">
        <v>267</v>
      </c>
      <c r="B31" s="123">
        <f>I9-D9</f>
        <v>4.5937943161634109</v>
      </c>
      <c r="C31" s="195"/>
      <c r="D31" s="196"/>
      <c r="E31" s="196"/>
      <c r="F31" s="196"/>
      <c r="G31" s="196"/>
      <c r="H31" s="196"/>
      <c r="I31" s="196"/>
    </row>
    <row r="32" spans="1:9">
      <c r="A32" s="124" t="s">
        <v>268</v>
      </c>
      <c r="B32" s="125">
        <f>G19-B19</f>
        <v>-1.2791999999999999</v>
      </c>
      <c r="C32" s="197"/>
      <c r="D32" s="198"/>
      <c r="E32" s="198"/>
      <c r="F32" s="198"/>
      <c r="G32" s="198"/>
      <c r="H32" s="198"/>
      <c r="I32" s="198"/>
    </row>
    <row r="33" spans="1:9">
      <c r="A33" s="124" t="s">
        <v>269</v>
      </c>
      <c r="B33" s="126">
        <f>I19-D19</f>
        <v>-3.2214</v>
      </c>
      <c r="C33" s="186"/>
      <c r="D33" s="187"/>
      <c r="E33" s="187"/>
      <c r="F33" s="187"/>
      <c r="G33" s="187"/>
      <c r="H33" s="187"/>
      <c r="I33" s="187"/>
    </row>
    <row r="34" spans="1:9">
      <c r="A34" s="124" t="s">
        <v>270</v>
      </c>
      <c r="B34" s="126">
        <f>I20-D20</f>
        <v>4.6919714031971615</v>
      </c>
      <c r="C34" s="186"/>
      <c r="D34" s="187"/>
      <c r="E34" s="187"/>
      <c r="F34" s="187"/>
      <c r="G34" s="187"/>
      <c r="H34" s="187"/>
      <c r="I34" s="187"/>
    </row>
    <row r="35" spans="1:9">
      <c r="A35" s="122" t="s">
        <v>271</v>
      </c>
      <c r="B35" s="127">
        <f>I23-D23</f>
        <v>0.36810890319716094</v>
      </c>
      <c r="C35" s="186"/>
      <c r="D35" s="187"/>
      <c r="E35" s="187"/>
      <c r="F35" s="187"/>
      <c r="G35" s="187"/>
      <c r="H35" s="187"/>
      <c r="I35" s="187"/>
    </row>
    <row r="36" spans="1:9">
      <c r="A36" s="122" t="s">
        <v>272</v>
      </c>
      <c r="B36" s="127">
        <f>I25-D25</f>
        <v>4.961903219360579</v>
      </c>
      <c r="C36" s="188"/>
      <c r="D36" s="189"/>
      <c r="E36" s="189"/>
      <c r="F36" s="189"/>
      <c r="G36" s="189"/>
      <c r="H36" s="189"/>
      <c r="I36" s="189"/>
    </row>
  </sheetData>
  <mergeCells count="10">
    <mergeCell ref="B1:D1"/>
    <mergeCell ref="G1:I1"/>
    <mergeCell ref="C35:I35"/>
    <mergeCell ref="C36:I36"/>
    <mergeCell ref="A30:B30"/>
    <mergeCell ref="C30:I30"/>
    <mergeCell ref="C31:I31"/>
    <mergeCell ref="C32:I32"/>
    <mergeCell ref="C33:I33"/>
    <mergeCell ref="C34:I3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C41"/>
  <sheetViews>
    <sheetView workbookViewId="0">
      <selection activeCell="F34" sqref="F34"/>
    </sheetView>
  </sheetViews>
  <sheetFormatPr baseColWidth="10" defaultRowHeight="15"/>
  <sheetData>
    <row r="1" spans="1:19" s="51" customFormat="1" ht="21.75" thickBot="1">
      <c r="A1" s="141" t="s">
        <v>284</v>
      </c>
    </row>
    <row r="2" spans="1:19">
      <c r="A2" t="s">
        <v>48</v>
      </c>
    </row>
    <row r="5" spans="1:19">
      <c r="A5" t="s">
        <v>49</v>
      </c>
    </row>
    <row r="6" spans="1:19">
      <c r="A6" t="s">
        <v>50</v>
      </c>
    </row>
    <row r="7" spans="1:19">
      <c r="A7" t="s">
        <v>51</v>
      </c>
    </row>
    <row r="8" spans="1:19">
      <c r="A8" t="s">
        <v>52</v>
      </c>
    </row>
    <row r="9" spans="1:19">
      <c r="A9" t="s">
        <v>53</v>
      </c>
    </row>
    <row r="10" spans="1:19">
      <c r="A10" t="s">
        <v>54</v>
      </c>
    </row>
    <row r="11" spans="1:19">
      <c r="A11" t="s">
        <v>55</v>
      </c>
    </row>
    <row r="13" spans="1:19">
      <c r="A13" t="s">
        <v>56</v>
      </c>
    </row>
    <row r="14" spans="1:19">
      <c r="A14" t="s">
        <v>5</v>
      </c>
      <c r="B14" t="s">
        <v>6</v>
      </c>
      <c r="C14" t="s">
        <v>60</v>
      </c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t="s">
        <v>66</v>
      </c>
      <c r="J14" t="s">
        <v>67</v>
      </c>
      <c r="K14" t="s">
        <v>68</v>
      </c>
      <c r="L14" t="s">
        <v>69</v>
      </c>
      <c r="M14" t="s">
        <v>70</v>
      </c>
    </row>
    <row r="15" spans="1:19">
      <c r="A15" t="s">
        <v>71</v>
      </c>
      <c r="B15" t="s">
        <v>72</v>
      </c>
      <c r="C15" t="e">
        <f>-cateur</f>
        <v>#NAME?</v>
      </c>
      <c r="D15" t="s">
        <v>23</v>
      </c>
      <c r="E15" t="s">
        <v>73</v>
      </c>
      <c r="F15" t="s">
        <v>74</v>
      </c>
      <c r="G15" t="s">
        <v>75</v>
      </c>
      <c r="H15" t="s">
        <v>76</v>
      </c>
      <c r="I15" t="s">
        <v>77</v>
      </c>
      <c r="J15" t="s">
        <v>25</v>
      </c>
      <c r="K15" t="s">
        <v>78</v>
      </c>
      <c r="L15" t="s">
        <v>26</v>
      </c>
      <c r="M15" t="s">
        <v>27</v>
      </c>
      <c r="N15" t="s">
        <v>28</v>
      </c>
      <c r="O15" t="s">
        <v>29</v>
      </c>
      <c r="P15" t="s">
        <v>30</v>
      </c>
      <c r="Q15" t="s">
        <v>31</v>
      </c>
      <c r="R15" t="s">
        <v>32</v>
      </c>
      <c r="S15" t="s">
        <v>33</v>
      </c>
    </row>
    <row r="16" spans="1:19">
      <c r="A16" t="s">
        <v>57</v>
      </c>
      <c r="G16" s="49"/>
    </row>
    <row r="17" spans="1:29" ht="15.75" thickBot="1">
      <c r="A17" t="s">
        <v>79</v>
      </c>
      <c r="B17">
        <v>97</v>
      </c>
      <c r="C17" t="s">
        <v>80</v>
      </c>
      <c r="D17" t="s">
        <v>81</v>
      </c>
      <c r="E17">
        <v>1066384100</v>
      </c>
      <c r="G17" s="49" t="s">
        <v>82</v>
      </c>
      <c r="H17" t="s">
        <v>83</v>
      </c>
      <c r="I17">
        <v>73848</v>
      </c>
      <c r="J17">
        <v>67524</v>
      </c>
      <c r="K17">
        <v>-6323</v>
      </c>
      <c r="L17">
        <v>1554</v>
      </c>
      <c r="M17">
        <v>0</v>
      </c>
      <c r="N17">
        <v>1000</v>
      </c>
      <c r="O17">
        <v>1230</v>
      </c>
      <c r="P17">
        <v>61</v>
      </c>
      <c r="Q17">
        <v>1159</v>
      </c>
      <c r="R17">
        <v>90.1</v>
      </c>
      <c r="S17">
        <v>89.8</v>
      </c>
    </row>
    <row r="18" spans="1:29" s="51" customFormat="1" ht="21" customHeight="1" thickBot="1">
      <c r="A18" s="141" t="s">
        <v>285</v>
      </c>
      <c r="G18" s="52"/>
    </row>
    <row r="19" spans="1:29">
      <c r="A19" t="s">
        <v>58</v>
      </c>
    </row>
    <row r="22" spans="1:29">
      <c r="A22" t="s">
        <v>59</v>
      </c>
    </row>
    <row r="23" spans="1:29">
      <c r="A23" t="s">
        <v>50</v>
      </c>
    </row>
    <row r="24" spans="1:29">
      <c r="A24" t="s">
        <v>51</v>
      </c>
    </row>
    <row r="25" spans="1:29">
      <c r="A25" t="s">
        <v>52</v>
      </c>
    </row>
    <row r="26" spans="1:29">
      <c r="A26" t="s">
        <v>53</v>
      </c>
    </row>
    <row r="27" spans="1:29" ht="18.75">
      <c r="A27" t="s">
        <v>54</v>
      </c>
      <c r="AC27" s="53"/>
    </row>
    <row r="28" spans="1:29">
      <c r="A28" t="s">
        <v>55</v>
      </c>
    </row>
    <row r="30" spans="1:29">
      <c r="A30" t="s">
        <v>56</v>
      </c>
    </row>
    <row r="31" spans="1:29">
      <c r="A31" t="s">
        <v>5</v>
      </c>
      <c r="B31" t="s">
        <v>6</v>
      </c>
      <c r="C31" t="s">
        <v>60</v>
      </c>
      <c r="D31" t="s">
        <v>61</v>
      </c>
      <c r="E31" t="s">
        <v>62</v>
      </c>
      <c r="F31" t="s">
        <v>63</v>
      </c>
      <c r="G31" t="s">
        <v>64</v>
      </c>
      <c r="H31" t="s">
        <v>65</v>
      </c>
      <c r="I31" t="s">
        <v>66</v>
      </c>
      <c r="J31" t="s">
        <v>67</v>
      </c>
      <c r="K31" t="s">
        <v>68</v>
      </c>
      <c r="L31" t="s">
        <v>69</v>
      </c>
      <c r="M31" t="s">
        <v>70</v>
      </c>
    </row>
    <row r="32" spans="1:29">
      <c r="A32" t="s">
        <v>71</v>
      </c>
      <c r="B32" t="s">
        <v>72</v>
      </c>
      <c r="C32" t="e">
        <f>-cateur</f>
        <v>#NAME?</v>
      </c>
      <c r="D32" t="s">
        <v>23</v>
      </c>
      <c r="E32" t="s">
        <v>73</v>
      </c>
      <c r="F32" t="s">
        <v>74</v>
      </c>
      <c r="G32" t="s">
        <v>75</v>
      </c>
      <c r="H32" t="s">
        <v>76</v>
      </c>
      <c r="I32" t="s">
        <v>77</v>
      </c>
      <c r="J32" t="s">
        <v>25</v>
      </c>
      <c r="K32" t="s">
        <v>78</v>
      </c>
      <c r="L32" t="s">
        <v>26</v>
      </c>
      <c r="M32" t="s">
        <v>27</v>
      </c>
      <c r="N32" t="s">
        <v>28</v>
      </c>
      <c r="O32" t="s">
        <v>29</v>
      </c>
      <c r="P32" t="s">
        <v>30</v>
      </c>
      <c r="Q32" t="s">
        <v>31</v>
      </c>
      <c r="R32" t="s">
        <v>32</v>
      </c>
      <c r="S32" t="s">
        <v>33</v>
      </c>
    </row>
    <row r="33" spans="1:29">
      <c r="A33" t="s">
        <v>57</v>
      </c>
    </row>
    <row r="34" spans="1:29">
      <c r="A34" t="s">
        <v>79</v>
      </c>
      <c r="B34">
        <v>97</v>
      </c>
      <c r="C34" t="s">
        <v>84</v>
      </c>
      <c r="D34" t="s">
        <v>85</v>
      </c>
      <c r="E34">
        <v>9258160200</v>
      </c>
      <c r="G34" s="49">
        <v>41643</v>
      </c>
      <c r="H34" t="s">
        <v>83</v>
      </c>
      <c r="I34">
        <v>78145</v>
      </c>
      <c r="J34">
        <v>71323</v>
      </c>
      <c r="K34">
        <v>-6822</v>
      </c>
      <c r="L34">
        <v>2141</v>
      </c>
      <c r="M34">
        <v>0</v>
      </c>
      <c r="N34">
        <v>1000</v>
      </c>
      <c r="O34">
        <v>1200</v>
      </c>
      <c r="P34">
        <v>33</v>
      </c>
      <c r="Q34">
        <v>1126</v>
      </c>
      <c r="R34">
        <v>29.9</v>
      </c>
      <c r="S34">
        <v>27.6</v>
      </c>
    </row>
    <row r="35" spans="1:29" ht="18.75">
      <c r="AC35" s="53"/>
    </row>
    <row r="41" spans="1:29">
      <c r="AC41" s="5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N160"/>
  <sheetViews>
    <sheetView workbookViewId="0">
      <selection activeCell="B153" sqref="B153"/>
    </sheetView>
  </sheetViews>
  <sheetFormatPr baseColWidth="10" defaultRowHeight="15"/>
  <cols>
    <col min="4" max="4" width="11" bestFit="1" customWidth="1"/>
    <col min="5" max="5" width="7.28515625" bestFit="1" customWidth="1"/>
    <col min="6" max="6" width="7.140625" bestFit="1" customWidth="1"/>
    <col min="7" max="7" width="5" bestFit="1" customWidth="1"/>
    <col min="8" max="8" width="9.42578125" bestFit="1" customWidth="1"/>
    <col min="9" max="9" width="10" bestFit="1" customWidth="1"/>
    <col min="12" max="12" width="4.140625" bestFit="1" customWidth="1"/>
    <col min="13" max="13" width="6" bestFit="1" customWidth="1"/>
  </cols>
  <sheetData>
    <row r="1" spans="1:14" s="51" customFormat="1" ht="21.75" thickBot="1">
      <c r="A1" s="141" t="s">
        <v>286</v>
      </c>
    </row>
    <row r="2" spans="1:14">
      <c r="A2" t="s">
        <v>87</v>
      </c>
      <c r="B2" t="s">
        <v>88</v>
      </c>
      <c r="C2" t="s">
        <v>89</v>
      </c>
      <c r="D2" t="s">
        <v>387</v>
      </c>
      <c r="E2" t="s">
        <v>388</v>
      </c>
      <c r="F2" t="s">
        <v>90</v>
      </c>
      <c r="L2" t="s">
        <v>91</v>
      </c>
      <c r="M2" t="s">
        <v>92</v>
      </c>
      <c r="N2" t="s">
        <v>93</v>
      </c>
    </row>
    <row r="4" spans="1:14">
      <c r="A4" t="s">
        <v>95</v>
      </c>
      <c r="B4" t="s">
        <v>96</v>
      </c>
      <c r="C4" t="s">
        <v>97</v>
      </c>
      <c r="D4" t="s">
        <v>290</v>
      </c>
      <c r="E4" t="s">
        <v>389</v>
      </c>
      <c r="F4" t="s">
        <v>99</v>
      </c>
      <c r="G4" t="s">
        <v>100</v>
      </c>
      <c r="H4" t="s">
        <v>101</v>
      </c>
      <c r="I4" t="s">
        <v>102</v>
      </c>
      <c r="J4" t="s">
        <v>103</v>
      </c>
      <c r="K4" t="s">
        <v>102</v>
      </c>
      <c r="L4" t="s">
        <v>100</v>
      </c>
      <c r="M4" t="s">
        <v>100</v>
      </c>
      <c r="N4" t="s">
        <v>104</v>
      </c>
    </row>
    <row r="5" spans="1:14">
      <c r="A5" t="s">
        <v>105</v>
      </c>
      <c r="B5" t="s">
        <v>106</v>
      </c>
      <c r="E5" t="s">
        <v>107</v>
      </c>
      <c r="F5" t="s">
        <v>108</v>
      </c>
      <c r="G5" t="s">
        <v>109</v>
      </c>
      <c r="H5" t="s">
        <v>110</v>
      </c>
      <c r="I5">
        <v>1230</v>
      </c>
      <c r="J5">
        <v>0</v>
      </c>
      <c r="K5" t="s">
        <v>111</v>
      </c>
    </row>
    <row r="6" spans="1:14">
      <c r="A6" t="s">
        <v>112</v>
      </c>
      <c r="B6" t="s">
        <v>113</v>
      </c>
      <c r="E6" t="s">
        <v>107</v>
      </c>
      <c r="F6" t="s">
        <v>108</v>
      </c>
      <c r="G6" t="s">
        <v>114</v>
      </c>
      <c r="H6" t="s">
        <v>115</v>
      </c>
      <c r="I6">
        <v>1159</v>
      </c>
      <c r="J6">
        <v>0</v>
      </c>
      <c r="K6" t="s">
        <v>111</v>
      </c>
    </row>
    <row r="7" spans="1:14">
      <c r="E7" t="s">
        <v>107</v>
      </c>
      <c r="F7" t="s">
        <v>108</v>
      </c>
      <c r="G7" t="s">
        <v>116</v>
      </c>
      <c r="H7" t="s">
        <v>117</v>
      </c>
      <c r="I7">
        <v>61</v>
      </c>
      <c r="J7">
        <v>0</v>
      </c>
      <c r="K7" t="s">
        <v>111</v>
      </c>
    </row>
    <row r="8" spans="1:14">
      <c r="A8" t="s">
        <v>118</v>
      </c>
      <c r="B8" t="s">
        <v>119</v>
      </c>
    </row>
    <row r="9" spans="1:14">
      <c r="A9" t="s">
        <v>95</v>
      </c>
      <c r="B9" t="s">
        <v>96</v>
      </c>
      <c r="C9" t="s">
        <v>97</v>
      </c>
      <c r="D9" t="s">
        <v>290</v>
      </c>
      <c r="E9" t="s">
        <v>389</v>
      </c>
      <c r="F9" t="s">
        <v>99</v>
      </c>
      <c r="G9" t="s">
        <v>100</v>
      </c>
      <c r="H9" t="s">
        <v>101</v>
      </c>
      <c r="I9" t="s">
        <v>102</v>
      </c>
      <c r="J9" t="s">
        <v>103</v>
      </c>
      <c r="K9" t="s">
        <v>102</v>
      </c>
      <c r="L9" t="s">
        <v>100</v>
      </c>
      <c r="M9" t="s">
        <v>100</v>
      </c>
      <c r="N9" t="s">
        <v>104</v>
      </c>
    </row>
    <row r="10" spans="1:14">
      <c r="A10" t="s">
        <v>120</v>
      </c>
      <c r="B10" t="s">
        <v>121</v>
      </c>
      <c r="C10" t="s">
        <v>122</v>
      </c>
      <c r="D10" t="s">
        <v>123</v>
      </c>
      <c r="J10" t="s">
        <v>124</v>
      </c>
      <c r="K10" t="s">
        <v>125</v>
      </c>
      <c r="L10" t="s">
        <v>124</v>
      </c>
      <c r="N10" t="s">
        <v>126</v>
      </c>
    </row>
    <row r="11" spans="1:14">
      <c r="B11" t="s">
        <v>124</v>
      </c>
      <c r="C11" t="s">
        <v>124</v>
      </c>
      <c r="J11" t="s">
        <v>124</v>
      </c>
      <c r="L11" t="s">
        <v>124</v>
      </c>
    </row>
    <row r="12" spans="1:14">
      <c r="A12" t="s">
        <v>95</v>
      </c>
      <c r="B12" t="s">
        <v>127</v>
      </c>
      <c r="C12" t="s">
        <v>128</v>
      </c>
      <c r="D12" t="s">
        <v>290</v>
      </c>
      <c r="E12" t="s">
        <v>389</v>
      </c>
      <c r="F12" t="s">
        <v>99</v>
      </c>
      <c r="G12" t="s">
        <v>100</v>
      </c>
      <c r="H12" t="s">
        <v>101</v>
      </c>
      <c r="I12" t="s">
        <v>102</v>
      </c>
      <c r="J12" t="s">
        <v>129</v>
      </c>
      <c r="K12" t="s">
        <v>102</v>
      </c>
      <c r="L12" t="s">
        <v>130</v>
      </c>
      <c r="M12" t="s">
        <v>100</v>
      </c>
      <c r="N12" t="s">
        <v>104</v>
      </c>
    </row>
    <row r="13" spans="1:14">
      <c r="A13" t="s">
        <v>86</v>
      </c>
    </row>
    <row r="15" spans="1:14">
      <c r="A15" t="s">
        <v>131</v>
      </c>
      <c r="B15">
        <v>10387949000</v>
      </c>
      <c r="D15" t="s">
        <v>390</v>
      </c>
      <c r="E15" t="s">
        <v>391</v>
      </c>
      <c r="I15" t="s">
        <v>132</v>
      </c>
      <c r="J15" t="s">
        <v>94</v>
      </c>
      <c r="K15" t="s">
        <v>133</v>
      </c>
      <c r="L15">
        <v>97</v>
      </c>
      <c r="M15" t="s">
        <v>134</v>
      </c>
    </row>
    <row r="16" spans="1:14">
      <c r="A16" t="s">
        <v>118</v>
      </c>
      <c r="B16" t="s">
        <v>135</v>
      </c>
      <c r="C16" t="s">
        <v>136</v>
      </c>
      <c r="I16" t="s">
        <v>137</v>
      </c>
      <c r="J16" t="s">
        <v>138</v>
      </c>
      <c r="K16" t="s">
        <v>139</v>
      </c>
      <c r="L16" t="s">
        <v>140</v>
      </c>
      <c r="N16">
        <v>1320</v>
      </c>
    </row>
    <row r="17" spans="1:14">
      <c r="A17" t="s">
        <v>141</v>
      </c>
      <c r="B17" t="s">
        <v>142</v>
      </c>
      <c r="C17" t="s">
        <v>143</v>
      </c>
      <c r="D17" t="s">
        <v>144</v>
      </c>
      <c r="J17" t="s">
        <v>124</v>
      </c>
      <c r="K17" t="s">
        <v>145</v>
      </c>
      <c r="L17" t="s">
        <v>124</v>
      </c>
      <c r="M17" s="132"/>
      <c r="N17">
        <v>0.91</v>
      </c>
    </row>
    <row r="18" spans="1:14">
      <c r="A18" t="s">
        <v>146</v>
      </c>
      <c r="B18" t="s">
        <v>147</v>
      </c>
      <c r="C18" t="s">
        <v>148</v>
      </c>
      <c r="D18" t="s">
        <v>144</v>
      </c>
      <c r="J18" t="s">
        <v>124</v>
      </c>
      <c r="K18" t="s">
        <v>145</v>
      </c>
      <c r="L18" t="s">
        <v>124</v>
      </c>
      <c r="N18">
        <v>144</v>
      </c>
    </row>
    <row r="19" spans="1:14">
      <c r="A19" t="s">
        <v>149</v>
      </c>
      <c r="B19" t="s">
        <v>150</v>
      </c>
      <c r="C19" t="s">
        <v>151</v>
      </c>
      <c r="D19" t="s">
        <v>392</v>
      </c>
      <c r="E19" t="s">
        <v>144</v>
      </c>
      <c r="J19" t="s">
        <v>124</v>
      </c>
      <c r="K19" t="s">
        <v>145</v>
      </c>
      <c r="L19" t="s">
        <v>124</v>
      </c>
      <c r="N19">
        <v>0.09</v>
      </c>
    </row>
    <row r="20" spans="1:14">
      <c r="A20" t="s">
        <v>131</v>
      </c>
      <c r="B20">
        <v>10445240000</v>
      </c>
      <c r="D20" t="s">
        <v>393</v>
      </c>
      <c r="E20" t="s">
        <v>394</v>
      </c>
      <c r="H20">
        <v>0</v>
      </c>
      <c r="I20" t="s">
        <v>132</v>
      </c>
      <c r="J20" t="s">
        <v>94</v>
      </c>
      <c r="K20" t="s">
        <v>133</v>
      </c>
      <c r="L20">
        <v>97</v>
      </c>
      <c r="M20" t="s">
        <v>134</v>
      </c>
    </row>
    <row r="21" spans="1:14">
      <c r="A21" t="s">
        <v>118</v>
      </c>
      <c r="B21" t="s">
        <v>153</v>
      </c>
      <c r="C21" t="s">
        <v>136</v>
      </c>
      <c r="I21" t="s">
        <v>137</v>
      </c>
      <c r="J21" t="s">
        <v>138</v>
      </c>
      <c r="K21" t="s">
        <v>139</v>
      </c>
      <c r="L21" t="s">
        <v>140</v>
      </c>
      <c r="N21">
        <v>1227</v>
      </c>
    </row>
    <row r="22" spans="1:14">
      <c r="A22" t="s">
        <v>141</v>
      </c>
      <c r="B22" t="s">
        <v>142</v>
      </c>
      <c r="C22" t="s">
        <v>143</v>
      </c>
      <c r="D22" t="s">
        <v>144</v>
      </c>
      <c r="J22" t="s">
        <v>124</v>
      </c>
      <c r="K22" t="s">
        <v>145</v>
      </c>
      <c r="L22" t="s">
        <v>124</v>
      </c>
      <c r="N22">
        <v>14.54</v>
      </c>
    </row>
    <row r="23" spans="1:14">
      <c r="A23" t="s">
        <v>146</v>
      </c>
      <c r="B23" t="s">
        <v>147</v>
      </c>
      <c r="C23" t="s">
        <v>148</v>
      </c>
      <c r="D23" t="s">
        <v>144</v>
      </c>
      <c r="J23" t="s">
        <v>124</v>
      </c>
      <c r="K23" t="s">
        <v>145</v>
      </c>
      <c r="L23" t="s">
        <v>124</v>
      </c>
      <c r="N23">
        <v>916.5</v>
      </c>
    </row>
    <row r="24" spans="1:14">
      <c r="A24" t="s">
        <v>149</v>
      </c>
      <c r="B24" t="s">
        <v>150</v>
      </c>
      <c r="C24" t="s">
        <v>151</v>
      </c>
      <c r="D24" t="s">
        <v>392</v>
      </c>
      <c r="E24" t="s">
        <v>144</v>
      </c>
      <c r="J24" t="s">
        <v>124</v>
      </c>
      <c r="K24" t="s">
        <v>145</v>
      </c>
      <c r="L24" t="s">
        <v>124</v>
      </c>
      <c r="N24">
        <v>11.8</v>
      </c>
    </row>
    <row r="25" spans="1:14">
      <c r="A25" t="s">
        <v>131</v>
      </c>
      <c r="B25">
        <v>10638048000</v>
      </c>
      <c r="D25" t="s">
        <v>395</v>
      </c>
      <c r="E25" t="s">
        <v>396</v>
      </c>
      <c r="I25" t="s">
        <v>132</v>
      </c>
      <c r="J25" t="s">
        <v>94</v>
      </c>
      <c r="K25" t="s">
        <v>133</v>
      </c>
      <c r="L25">
        <v>97</v>
      </c>
      <c r="M25" t="s">
        <v>134</v>
      </c>
    </row>
    <row r="26" spans="1:14">
      <c r="A26" t="s">
        <v>118</v>
      </c>
      <c r="B26" t="s">
        <v>154</v>
      </c>
      <c r="C26" t="s">
        <v>136</v>
      </c>
      <c r="I26" t="s">
        <v>137</v>
      </c>
      <c r="J26" t="s">
        <v>138</v>
      </c>
      <c r="K26" t="s">
        <v>139</v>
      </c>
      <c r="L26" t="s">
        <v>155</v>
      </c>
      <c r="N26">
        <v>0.17</v>
      </c>
    </row>
    <row r="27" spans="1:14">
      <c r="A27" t="s">
        <v>141</v>
      </c>
      <c r="B27" t="s">
        <v>142</v>
      </c>
      <c r="C27" t="s">
        <v>143</v>
      </c>
      <c r="D27" t="s">
        <v>144</v>
      </c>
      <c r="J27" t="s">
        <v>124</v>
      </c>
      <c r="K27" t="s">
        <v>145</v>
      </c>
      <c r="L27" t="s">
        <v>124</v>
      </c>
      <c r="N27">
        <v>41.5</v>
      </c>
    </row>
    <row r="28" spans="1:14">
      <c r="A28" t="s">
        <v>146</v>
      </c>
      <c r="B28" t="s">
        <v>147</v>
      </c>
      <c r="C28" t="s">
        <v>148</v>
      </c>
      <c r="D28" t="s">
        <v>144</v>
      </c>
      <c r="J28" t="s">
        <v>124</v>
      </c>
      <c r="K28" t="s">
        <v>145</v>
      </c>
      <c r="L28" t="s">
        <v>124</v>
      </c>
      <c r="N28">
        <v>2307.0100000000002</v>
      </c>
    </row>
    <row r="29" spans="1:14">
      <c r="A29" t="s">
        <v>149</v>
      </c>
      <c r="B29" t="s">
        <v>150</v>
      </c>
      <c r="C29" t="s">
        <v>151</v>
      </c>
      <c r="D29" t="s">
        <v>392</v>
      </c>
      <c r="E29" t="s">
        <v>144</v>
      </c>
      <c r="J29" t="s">
        <v>124</v>
      </c>
      <c r="K29" t="s">
        <v>145</v>
      </c>
      <c r="L29" t="s">
        <v>124</v>
      </c>
      <c r="N29">
        <v>4.03</v>
      </c>
    </row>
    <row r="30" spans="1:14">
      <c r="A30" t="s">
        <v>131</v>
      </c>
      <c r="B30">
        <v>10663842000</v>
      </c>
      <c r="D30" t="s">
        <v>397</v>
      </c>
      <c r="E30" t="s">
        <v>398</v>
      </c>
      <c r="I30" t="s">
        <v>156</v>
      </c>
      <c r="J30" t="s">
        <v>94</v>
      </c>
      <c r="K30" t="s">
        <v>133</v>
      </c>
      <c r="L30">
        <v>97</v>
      </c>
      <c r="M30" t="s">
        <v>134</v>
      </c>
    </row>
    <row r="31" spans="1:14">
      <c r="A31" t="s">
        <v>118</v>
      </c>
      <c r="B31" t="s">
        <v>157</v>
      </c>
      <c r="C31" t="s">
        <v>136</v>
      </c>
      <c r="I31" t="s">
        <v>137</v>
      </c>
      <c r="J31" t="s">
        <v>138</v>
      </c>
      <c r="K31" t="s">
        <v>139</v>
      </c>
      <c r="L31" t="s">
        <v>140</v>
      </c>
      <c r="N31">
        <v>1240</v>
      </c>
    </row>
    <row r="32" spans="1:14">
      <c r="A32" t="s">
        <v>141</v>
      </c>
      <c r="B32" t="s">
        <v>142</v>
      </c>
      <c r="C32" t="s">
        <v>143</v>
      </c>
      <c r="D32" t="s">
        <v>144</v>
      </c>
      <c r="J32" t="s">
        <v>124</v>
      </c>
      <c r="K32" t="s">
        <v>145</v>
      </c>
      <c r="L32" t="s">
        <v>124</v>
      </c>
      <c r="N32">
        <v>40192.559999999998</v>
      </c>
    </row>
    <row r="33" spans="1:14">
      <c r="A33" t="s">
        <v>146</v>
      </c>
      <c r="B33" t="s">
        <v>147</v>
      </c>
      <c r="C33" t="s">
        <v>148</v>
      </c>
      <c r="D33" t="s">
        <v>144</v>
      </c>
      <c r="J33" t="s">
        <v>124</v>
      </c>
      <c r="K33" t="s">
        <v>145</v>
      </c>
      <c r="L33" t="s">
        <v>124</v>
      </c>
      <c r="N33">
        <v>9861.85</v>
      </c>
    </row>
    <row r="34" spans="1:14">
      <c r="A34" t="s">
        <v>149</v>
      </c>
      <c r="B34" t="s">
        <v>150</v>
      </c>
      <c r="C34" t="s">
        <v>151</v>
      </c>
      <c r="D34" t="s">
        <v>392</v>
      </c>
      <c r="E34" t="s">
        <v>144</v>
      </c>
      <c r="J34" t="s">
        <v>124</v>
      </c>
      <c r="K34" t="s">
        <v>145</v>
      </c>
      <c r="L34" t="s">
        <v>124</v>
      </c>
      <c r="N34">
        <v>4021.2</v>
      </c>
    </row>
    <row r="35" spans="1:14">
      <c r="A35" t="s">
        <v>131</v>
      </c>
      <c r="B35">
        <v>10671744000</v>
      </c>
      <c r="D35" t="s">
        <v>399</v>
      </c>
      <c r="E35" t="s">
        <v>400</v>
      </c>
      <c r="I35" t="s">
        <v>132</v>
      </c>
      <c r="J35" t="s">
        <v>94</v>
      </c>
      <c r="K35" t="s">
        <v>133</v>
      </c>
      <c r="L35">
        <v>97</v>
      </c>
      <c r="M35" t="s">
        <v>134</v>
      </c>
    </row>
    <row r="36" spans="1:14">
      <c r="A36" t="s">
        <v>118</v>
      </c>
      <c r="B36" t="s">
        <v>158</v>
      </c>
      <c r="C36" t="s">
        <v>136</v>
      </c>
      <c r="I36" t="s">
        <v>137</v>
      </c>
      <c r="J36" t="s">
        <v>138</v>
      </c>
      <c r="K36" t="s">
        <v>139</v>
      </c>
      <c r="L36" t="s">
        <v>140</v>
      </c>
      <c r="N36">
        <v>1250</v>
      </c>
    </row>
    <row r="37" spans="1:14">
      <c r="A37" t="s">
        <v>159</v>
      </c>
      <c r="B37" t="s">
        <v>160</v>
      </c>
      <c r="C37" t="s">
        <v>143</v>
      </c>
      <c r="D37" t="s">
        <v>144</v>
      </c>
      <c r="J37" t="s">
        <v>124</v>
      </c>
      <c r="K37" t="s">
        <v>145</v>
      </c>
      <c r="L37" t="s">
        <v>124</v>
      </c>
      <c r="N37">
        <v>1712.5</v>
      </c>
    </row>
    <row r="38" spans="1:14">
      <c r="A38" t="s">
        <v>161</v>
      </c>
      <c r="B38" t="s">
        <v>162</v>
      </c>
      <c r="C38" t="s">
        <v>151</v>
      </c>
      <c r="D38" t="s">
        <v>392</v>
      </c>
      <c r="E38" t="s">
        <v>144</v>
      </c>
      <c r="J38" t="s">
        <v>124</v>
      </c>
      <c r="K38" t="s">
        <v>145</v>
      </c>
      <c r="L38" t="s">
        <v>124</v>
      </c>
      <c r="N38">
        <v>162.75</v>
      </c>
    </row>
    <row r="39" spans="1:14">
      <c r="A39" t="s">
        <v>131</v>
      </c>
      <c r="B39">
        <v>10681556000</v>
      </c>
      <c r="D39" t="s">
        <v>390</v>
      </c>
      <c r="E39" t="s">
        <v>391</v>
      </c>
      <c r="I39" t="s">
        <v>132</v>
      </c>
      <c r="J39" t="s">
        <v>94</v>
      </c>
      <c r="K39" t="s">
        <v>133</v>
      </c>
      <c r="L39">
        <v>97</v>
      </c>
      <c r="M39" t="s">
        <v>134</v>
      </c>
    </row>
    <row r="40" spans="1:14">
      <c r="A40" t="s">
        <v>118</v>
      </c>
      <c r="B40" t="s">
        <v>163</v>
      </c>
      <c r="C40" t="s">
        <v>136</v>
      </c>
      <c r="I40" t="s">
        <v>137</v>
      </c>
      <c r="J40" t="s">
        <v>138</v>
      </c>
      <c r="K40" t="s">
        <v>139</v>
      </c>
      <c r="L40" t="s">
        <v>140</v>
      </c>
      <c r="N40">
        <v>1240</v>
      </c>
    </row>
    <row r="41" spans="1:14">
      <c r="A41" t="s">
        <v>159</v>
      </c>
      <c r="B41" t="s">
        <v>160</v>
      </c>
      <c r="C41" t="s">
        <v>143</v>
      </c>
      <c r="D41" t="s">
        <v>144</v>
      </c>
      <c r="J41" t="s">
        <v>124</v>
      </c>
      <c r="K41" t="s">
        <v>145</v>
      </c>
      <c r="L41" t="s">
        <v>124</v>
      </c>
      <c r="N41">
        <v>810.95</v>
      </c>
    </row>
    <row r="42" spans="1:14">
      <c r="A42" t="s">
        <v>161</v>
      </c>
      <c r="B42" t="s">
        <v>162</v>
      </c>
      <c r="C42" t="s">
        <v>151</v>
      </c>
      <c r="D42" t="s">
        <v>392</v>
      </c>
      <c r="E42" t="s">
        <v>144</v>
      </c>
      <c r="J42" t="s">
        <v>124</v>
      </c>
      <c r="K42" t="s">
        <v>145</v>
      </c>
      <c r="L42" t="s">
        <v>124</v>
      </c>
      <c r="N42">
        <v>77.02</v>
      </c>
    </row>
    <row r="43" spans="1:14">
      <c r="M43" t="s">
        <v>164</v>
      </c>
      <c r="N43" t="s">
        <v>104</v>
      </c>
    </row>
    <row r="44" spans="1:14">
      <c r="B44" t="s">
        <v>165</v>
      </c>
      <c r="K44" t="s">
        <v>145</v>
      </c>
      <c r="L44" t="s">
        <v>124</v>
      </c>
      <c r="N44">
        <v>60279.21</v>
      </c>
    </row>
    <row r="45" spans="1:14">
      <c r="M45" t="s">
        <v>164</v>
      </c>
      <c r="N45" t="s">
        <v>104</v>
      </c>
    </row>
    <row r="47" spans="1:14">
      <c r="A47" t="s">
        <v>166</v>
      </c>
      <c r="B47" t="s">
        <v>167</v>
      </c>
    </row>
    <row r="49" spans="1:14">
      <c r="A49" t="s">
        <v>168</v>
      </c>
      <c r="B49" t="s">
        <v>169</v>
      </c>
      <c r="C49" t="s">
        <v>170</v>
      </c>
      <c r="D49" t="s">
        <v>173</v>
      </c>
      <c r="E49" t="s">
        <v>401</v>
      </c>
      <c r="F49" t="s">
        <v>171</v>
      </c>
      <c r="G49" t="s">
        <v>172</v>
      </c>
      <c r="H49" t="s">
        <v>173</v>
      </c>
    </row>
    <row r="50" spans="1:14">
      <c r="A50" t="s">
        <v>174</v>
      </c>
      <c r="C50" t="s">
        <v>148</v>
      </c>
      <c r="D50" t="s">
        <v>144</v>
      </c>
      <c r="J50" t="s">
        <v>124</v>
      </c>
      <c r="K50" t="s">
        <v>145</v>
      </c>
      <c r="L50" t="s">
        <v>124</v>
      </c>
      <c r="N50">
        <v>293.13</v>
      </c>
    </row>
    <row r="51" spans="1:14">
      <c r="A51" t="s">
        <v>168</v>
      </c>
      <c r="B51" t="s">
        <v>175</v>
      </c>
      <c r="C51" t="s">
        <v>170</v>
      </c>
      <c r="D51" t="s">
        <v>176</v>
      </c>
      <c r="E51" t="s">
        <v>401</v>
      </c>
      <c r="F51" t="s">
        <v>171</v>
      </c>
      <c r="G51" t="s">
        <v>172</v>
      </c>
      <c r="H51" t="s">
        <v>176</v>
      </c>
    </row>
    <row r="52" spans="1:14">
      <c r="A52" t="s">
        <v>174</v>
      </c>
      <c r="C52" t="s">
        <v>148</v>
      </c>
      <c r="D52" t="s">
        <v>144</v>
      </c>
      <c r="J52" t="s">
        <v>124</v>
      </c>
      <c r="K52" t="s">
        <v>145</v>
      </c>
      <c r="L52" t="s">
        <v>124</v>
      </c>
      <c r="N52">
        <v>302.2</v>
      </c>
    </row>
    <row r="53" spans="1:14">
      <c r="A53" t="s">
        <v>168</v>
      </c>
      <c r="B53" t="s">
        <v>177</v>
      </c>
      <c r="C53" t="s">
        <v>170</v>
      </c>
      <c r="D53" t="s">
        <v>178</v>
      </c>
      <c r="E53" t="s">
        <v>401</v>
      </c>
      <c r="F53" t="s">
        <v>171</v>
      </c>
      <c r="G53" t="s">
        <v>172</v>
      </c>
      <c r="H53" t="s">
        <v>178</v>
      </c>
    </row>
    <row r="54" spans="1:14">
      <c r="A54" t="s">
        <v>174</v>
      </c>
      <c r="C54" t="s">
        <v>148</v>
      </c>
      <c r="D54" t="s">
        <v>144</v>
      </c>
      <c r="J54" t="s">
        <v>124</v>
      </c>
      <c r="K54" t="s">
        <v>145</v>
      </c>
      <c r="L54" t="s">
        <v>124</v>
      </c>
      <c r="N54">
        <v>1669.66</v>
      </c>
    </row>
    <row r="55" spans="1:14">
      <c r="A55" t="s">
        <v>168</v>
      </c>
      <c r="B55" t="s">
        <v>179</v>
      </c>
      <c r="C55" t="s">
        <v>170</v>
      </c>
      <c r="D55" t="s">
        <v>180</v>
      </c>
      <c r="E55" t="s">
        <v>401</v>
      </c>
      <c r="F55" t="s">
        <v>171</v>
      </c>
      <c r="G55" t="s">
        <v>172</v>
      </c>
      <c r="H55" t="s">
        <v>180</v>
      </c>
    </row>
    <row r="56" spans="1:14">
      <c r="A56" t="s">
        <v>174</v>
      </c>
      <c r="C56" t="s">
        <v>148</v>
      </c>
      <c r="D56" t="s">
        <v>144</v>
      </c>
      <c r="J56" t="s">
        <v>124</v>
      </c>
      <c r="K56" t="s">
        <v>145</v>
      </c>
      <c r="L56" t="s">
        <v>124</v>
      </c>
      <c r="N56">
        <v>2076.12</v>
      </c>
    </row>
    <row r="57" spans="1:14">
      <c r="A57" t="s">
        <v>168</v>
      </c>
      <c r="B57" t="s">
        <v>181</v>
      </c>
      <c r="C57" t="s">
        <v>170</v>
      </c>
      <c r="D57" t="s">
        <v>182</v>
      </c>
      <c r="E57" t="s">
        <v>401</v>
      </c>
      <c r="F57" t="s">
        <v>171</v>
      </c>
      <c r="G57" t="s">
        <v>172</v>
      </c>
      <c r="H57" t="s">
        <v>182</v>
      </c>
    </row>
    <row r="58" spans="1:14">
      <c r="A58" t="s">
        <v>174</v>
      </c>
      <c r="C58" t="s">
        <v>148</v>
      </c>
      <c r="D58" t="s">
        <v>144</v>
      </c>
      <c r="J58" t="s">
        <v>124</v>
      </c>
      <c r="K58" t="s">
        <v>145</v>
      </c>
      <c r="L58" t="s">
        <v>124</v>
      </c>
      <c r="N58">
        <v>2227.2199999999998</v>
      </c>
    </row>
    <row r="59" spans="1:14">
      <c r="A59" t="s">
        <v>168</v>
      </c>
      <c r="B59" t="s">
        <v>183</v>
      </c>
      <c r="C59" t="s">
        <v>170</v>
      </c>
      <c r="D59" t="s">
        <v>402</v>
      </c>
      <c r="E59" t="s">
        <v>401</v>
      </c>
      <c r="F59" t="s">
        <v>171</v>
      </c>
      <c r="G59" t="s">
        <v>172</v>
      </c>
      <c r="H59" t="s">
        <v>184</v>
      </c>
    </row>
    <row r="60" spans="1:14">
      <c r="A60" t="s">
        <v>174</v>
      </c>
      <c r="C60" t="s">
        <v>148</v>
      </c>
      <c r="D60" t="s">
        <v>144</v>
      </c>
      <c r="J60" t="s">
        <v>124</v>
      </c>
      <c r="K60" t="s">
        <v>145</v>
      </c>
      <c r="L60" t="s">
        <v>124</v>
      </c>
      <c r="N60">
        <v>622.53</v>
      </c>
    </row>
    <row r="61" spans="1:14">
      <c r="A61" t="s">
        <v>168</v>
      </c>
      <c r="B61" t="s">
        <v>185</v>
      </c>
      <c r="C61" t="s">
        <v>170</v>
      </c>
      <c r="D61" t="s">
        <v>403</v>
      </c>
      <c r="E61" t="s">
        <v>401</v>
      </c>
      <c r="F61" t="s">
        <v>171</v>
      </c>
      <c r="G61" t="s">
        <v>172</v>
      </c>
      <c r="H61" t="s">
        <v>186</v>
      </c>
    </row>
    <row r="62" spans="1:14">
      <c r="A62" t="s">
        <v>174</v>
      </c>
      <c r="C62" t="s">
        <v>148</v>
      </c>
      <c r="D62" t="s">
        <v>144</v>
      </c>
      <c r="J62" t="s">
        <v>124</v>
      </c>
      <c r="K62" t="s">
        <v>145</v>
      </c>
      <c r="L62" t="s">
        <v>124</v>
      </c>
      <c r="N62">
        <v>1993.01</v>
      </c>
    </row>
    <row r="63" spans="1:14">
      <c r="A63" t="s">
        <v>168</v>
      </c>
      <c r="B63" t="s">
        <v>187</v>
      </c>
      <c r="C63" t="s">
        <v>170</v>
      </c>
      <c r="D63" t="s">
        <v>188</v>
      </c>
      <c r="E63" t="s">
        <v>401</v>
      </c>
      <c r="F63" t="s">
        <v>171</v>
      </c>
      <c r="G63" t="s">
        <v>172</v>
      </c>
      <c r="H63" t="s">
        <v>188</v>
      </c>
    </row>
    <row r="64" spans="1:14">
      <c r="A64" t="s">
        <v>174</v>
      </c>
      <c r="C64" t="s">
        <v>148</v>
      </c>
      <c r="D64" t="s">
        <v>144</v>
      </c>
      <c r="J64" t="s">
        <v>124</v>
      </c>
      <c r="K64" t="s">
        <v>145</v>
      </c>
      <c r="L64" t="s">
        <v>124</v>
      </c>
      <c r="N64">
        <v>1572.95</v>
      </c>
    </row>
    <row r="65" spans="1:14">
      <c r="A65" t="s">
        <v>168</v>
      </c>
      <c r="B65" t="s">
        <v>189</v>
      </c>
      <c r="C65" t="s">
        <v>170</v>
      </c>
      <c r="D65" t="s">
        <v>190</v>
      </c>
      <c r="E65" t="s">
        <v>401</v>
      </c>
      <c r="F65" t="s">
        <v>171</v>
      </c>
      <c r="G65" t="s">
        <v>172</v>
      </c>
      <c r="H65" t="s">
        <v>190</v>
      </c>
    </row>
    <row r="66" spans="1:14">
      <c r="A66" t="s">
        <v>174</v>
      </c>
      <c r="C66" t="s">
        <v>148</v>
      </c>
      <c r="D66" t="s">
        <v>144</v>
      </c>
      <c r="J66" t="s">
        <v>124</v>
      </c>
      <c r="K66" t="s">
        <v>145</v>
      </c>
      <c r="L66" t="s">
        <v>124</v>
      </c>
      <c r="N66">
        <v>2811.98</v>
      </c>
    </row>
    <row r="67" spans="1:14">
      <c r="M67" t="s">
        <v>164</v>
      </c>
      <c r="N67" t="s">
        <v>104</v>
      </c>
    </row>
    <row r="68" spans="1:14">
      <c r="B68" t="s">
        <v>191</v>
      </c>
      <c r="K68" t="s">
        <v>145</v>
      </c>
      <c r="L68" t="s">
        <v>124</v>
      </c>
      <c r="N68">
        <v>13568.8</v>
      </c>
    </row>
    <row r="69" spans="1:14">
      <c r="M69" t="s">
        <v>164</v>
      </c>
      <c r="N69" t="s">
        <v>104</v>
      </c>
    </row>
    <row r="71" spans="1:14">
      <c r="M71" t="s">
        <v>164</v>
      </c>
      <c r="N71" t="s">
        <v>104</v>
      </c>
    </row>
    <row r="72" spans="1:14">
      <c r="B72" t="s">
        <v>192</v>
      </c>
      <c r="K72" t="s">
        <v>145</v>
      </c>
      <c r="L72" t="s">
        <v>124</v>
      </c>
      <c r="N72">
        <v>73848.009999999995</v>
      </c>
    </row>
    <row r="73" spans="1:14">
      <c r="M73" t="s">
        <v>164</v>
      </c>
      <c r="N73" t="s">
        <v>104</v>
      </c>
    </row>
    <row r="119" spans="1:14" ht="15.75" thickBot="1"/>
    <row r="120" spans="1:14" s="51" customFormat="1" ht="21.75" thickBot="1">
      <c r="A120" s="141" t="s">
        <v>285</v>
      </c>
    </row>
    <row r="121" spans="1:14">
      <c r="A121" t="s">
        <v>87</v>
      </c>
      <c r="B121" t="s">
        <v>193</v>
      </c>
      <c r="C121" t="s">
        <v>89</v>
      </c>
      <c r="D121" t="s">
        <v>387</v>
      </c>
      <c r="E121" t="s">
        <v>388</v>
      </c>
      <c r="F121" t="s">
        <v>90</v>
      </c>
      <c r="L121" t="s">
        <v>91</v>
      </c>
      <c r="M121" t="s">
        <v>92</v>
      </c>
      <c r="N121" t="s">
        <v>93</v>
      </c>
    </row>
    <row r="123" spans="1:14">
      <c r="A123" t="s">
        <v>95</v>
      </c>
      <c r="B123" t="s">
        <v>96</v>
      </c>
      <c r="C123" t="s">
        <v>97</v>
      </c>
      <c r="D123" t="s">
        <v>290</v>
      </c>
      <c r="E123" t="s">
        <v>389</v>
      </c>
      <c r="F123" t="s">
        <v>99</v>
      </c>
      <c r="G123" t="s">
        <v>100</v>
      </c>
      <c r="H123" t="s">
        <v>101</v>
      </c>
      <c r="I123" t="s">
        <v>102</v>
      </c>
      <c r="J123" t="s">
        <v>103</v>
      </c>
      <c r="K123" t="s">
        <v>102</v>
      </c>
      <c r="L123" t="s">
        <v>100</v>
      </c>
      <c r="M123" t="s">
        <v>100</v>
      </c>
      <c r="N123" t="s">
        <v>104</v>
      </c>
    </row>
    <row r="124" spans="1:14">
      <c r="A124" t="s">
        <v>105</v>
      </c>
      <c r="B124" t="s">
        <v>194</v>
      </c>
      <c r="E124" t="s">
        <v>107</v>
      </c>
      <c r="F124" t="s">
        <v>108</v>
      </c>
      <c r="G124" t="s">
        <v>109</v>
      </c>
      <c r="H124" t="s">
        <v>110</v>
      </c>
      <c r="I124">
        <v>1200</v>
      </c>
      <c r="J124">
        <v>0</v>
      </c>
      <c r="K124" t="s">
        <v>111</v>
      </c>
    </row>
    <row r="125" spans="1:14">
      <c r="A125" t="s">
        <v>112</v>
      </c>
      <c r="B125" t="s">
        <v>195</v>
      </c>
      <c r="E125" t="s">
        <v>107</v>
      </c>
      <c r="F125" t="s">
        <v>108</v>
      </c>
      <c r="G125" t="s">
        <v>114</v>
      </c>
      <c r="H125" t="s">
        <v>115</v>
      </c>
      <c r="I125">
        <v>1126</v>
      </c>
      <c r="J125">
        <v>0</v>
      </c>
      <c r="K125" t="s">
        <v>111</v>
      </c>
    </row>
    <row r="126" spans="1:14">
      <c r="E126" t="s">
        <v>107</v>
      </c>
      <c r="F126" t="s">
        <v>108</v>
      </c>
      <c r="G126" t="s">
        <v>116</v>
      </c>
      <c r="H126" t="s">
        <v>117</v>
      </c>
      <c r="I126">
        <v>33</v>
      </c>
      <c r="J126">
        <v>0</v>
      </c>
      <c r="K126" t="s">
        <v>111</v>
      </c>
    </row>
    <row r="127" spans="1:14">
      <c r="A127" t="s">
        <v>118</v>
      </c>
      <c r="B127" t="s">
        <v>196</v>
      </c>
    </row>
    <row r="128" spans="1:14">
      <c r="A128" t="s">
        <v>95</v>
      </c>
      <c r="B128" t="s">
        <v>96</v>
      </c>
      <c r="C128" t="s">
        <v>97</v>
      </c>
      <c r="D128" t="s">
        <v>290</v>
      </c>
      <c r="E128" t="s">
        <v>389</v>
      </c>
      <c r="F128" t="s">
        <v>99</v>
      </c>
      <c r="G128" t="s">
        <v>100</v>
      </c>
      <c r="H128" t="s">
        <v>101</v>
      </c>
      <c r="I128" t="s">
        <v>102</v>
      </c>
      <c r="J128" t="s">
        <v>103</v>
      </c>
      <c r="K128" t="s">
        <v>102</v>
      </c>
      <c r="L128" t="s">
        <v>100</v>
      </c>
      <c r="M128" t="s">
        <v>100</v>
      </c>
      <c r="N128" t="s">
        <v>104</v>
      </c>
    </row>
    <row r="129" spans="1:14">
      <c r="A129" t="s">
        <v>120</v>
      </c>
      <c r="B129" t="s">
        <v>121</v>
      </c>
      <c r="C129" t="s">
        <v>122</v>
      </c>
      <c r="D129" t="s">
        <v>123</v>
      </c>
      <c r="J129" t="s">
        <v>124</v>
      </c>
      <c r="K129" t="s">
        <v>125</v>
      </c>
      <c r="L129" t="s">
        <v>124</v>
      </c>
      <c r="N129" t="s">
        <v>126</v>
      </c>
    </row>
    <row r="130" spans="1:14">
      <c r="B130" t="s">
        <v>124</v>
      </c>
      <c r="C130" t="s">
        <v>124</v>
      </c>
      <c r="J130" t="s">
        <v>124</v>
      </c>
      <c r="L130" t="s">
        <v>124</v>
      </c>
    </row>
    <row r="131" spans="1:14">
      <c r="A131" t="s">
        <v>95</v>
      </c>
      <c r="B131" t="s">
        <v>127</v>
      </c>
      <c r="C131" t="s">
        <v>128</v>
      </c>
      <c r="D131" t="s">
        <v>290</v>
      </c>
      <c r="E131" t="s">
        <v>389</v>
      </c>
      <c r="F131" t="s">
        <v>99</v>
      </c>
      <c r="G131" t="s">
        <v>100</v>
      </c>
      <c r="H131" t="s">
        <v>101</v>
      </c>
      <c r="I131" t="s">
        <v>102</v>
      </c>
      <c r="J131" t="s">
        <v>129</v>
      </c>
      <c r="K131" t="s">
        <v>102</v>
      </c>
      <c r="L131" t="s">
        <v>130</v>
      </c>
      <c r="M131" t="s">
        <v>100</v>
      </c>
      <c r="N131" t="s">
        <v>104</v>
      </c>
    </row>
    <row r="132" spans="1:14">
      <c r="A132" t="s">
        <v>86</v>
      </c>
    </row>
    <row r="134" spans="1:14">
      <c r="A134" t="s">
        <v>131</v>
      </c>
      <c r="B134">
        <v>10663841000</v>
      </c>
      <c r="D134" t="s">
        <v>404</v>
      </c>
      <c r="E134" t="s">
        <v>405</v>
      </c>
      <c r="I134" t="s">
        <v>132</v>
      </c>
      <c r="J134" t="s">
        <v>94</v>
      </c>
      <c r="K134" t="s">
        <v>133</v>
      </c>
      <c r="L134">
        <v>97</v>
      </c>
      <c r="M134" t="s">
        <v>197</v>
      </c>
    </row>
    <row r="135" spans="1:14">
      <c r="A135" t="s">
        <v>118</v>
      </c>
      <c r="B135" t="s">
        <v>198</v>
      </c>
      <c r="C135" t="s">
        <v>199</v>
      </c>
      <c r="I135" t="s">
        <v>137</v>
      </c>
      <c r="J135" t="s">
        <v>138</v>
      </c>
      <c r="K135" t="s">
        <v>139</v>
      </c>
      <c r="L135" t="s">
        <v>140</v>
      </c>
      <c r="N135">
        <v>1159</v>
      </c>
    </row>
    <row r="136" spans="1:14">
      <c r="A136" t="s">
        <v>141</v>
      </c>
      <c r="B136" t="s">
        <v>142</v>
      </c>
      <c r="C136" t="s">
        <v>143</v>
      </c>
      <c r="D136" t="s">
        <v>144</v>
      </c>
      <c r="J136" t="s">
        <v>124</v>
      </c>
      <c r="K136" t="s">
        <v>145</v>
      </c>
      <c r="L136" t="s">
        <v>124</v>
      </c>
      <c r="N136">
        <v>42440.639999999999</v>
      </c>
    </row>
    <row r="137" spans="1:14">
      <c r="A137" t="s">
        <v>146</v>
      </c>
      <c r="B137" t="s">
        <v>147</v>
      </c>
      <c r="C137" t="s">
        <v>148</v>
      </c>
      <c r="D137" t="s">
        <v>144</v>
      </c>
      <c r="J137" t="s">
        <v>124</v>
      </c>
      <c r="K137" t="s">
        <v>145</v>
      </c>
      <c r="L137" t="s">
        <v>124</v>
      </c>
      <c r="N137">
        <v>27043.49</v>
      </c>
    </row>
    <row r="138" spans="1:14">
      <c r="A138" t="s">
        <v>149</v>
      </c>
      <c r="B138" t="s">
        <v>150</v>
      </c>
      <c r="C138" t="s">
        <v>151</v>
      </c>
      <c r="D138" t="s">
        <v>392</v>
      </c>
      <c r="E138" t="s">
        <v>144</v>
      </c>
      <c r="J138" t="s">
        <v>124</v>
      </c>
      <c r="K138" t="s">
        <v>145</v>
      </c>
      <c r="L138" t="s">
        <v>124</v>
      </c>
      <c r="N138">
        <v>4252.45</v>
      </c>
    </row>
    <row r="139" spans="1:14">
      <c r="A139" t="s">
        <v>131</v>
      </c>
      <c r="B139">
        <v>92554292000</v>
      </c>
      <c r="D139" t="s">
        <v>406</v>
      </c>
      <c r="E139" t="s">
        <v>407</v>
      </c>
      <c r="I139" t="s">
        <v>200</v>
      </c>
      <c r="J139" t="s">
        <v>94</v>
      </c>
      <c r="K139" t="s">
        <v>133</v>
      </c>
      <c r="L139">
        <v>97</v>
      </c>
      <c r="M139" t="s">
        <v>197</v>
      </c>
    </row>
    <row r="140" spans="1:14">
      <c r="A140" t="s">
        <v>118</v>
      </c>
      <c r="B140" t="s">
        <v>201</v>
      </c>
      <c r="C140" t="s">
        <v>199</v>
      </c>
      <c r="I140" t="s">
        <v>137</v>
      </c>
      <c r="J140" t="s">
        <v>138</v>
      </c>
      <c r="K140" t="s">
        <v>139</v>
      </c>
      <c r="L140" t="s">
        <v>155</v>
      </c>
      <c r="N140">
        <v>0.12</v>
      </c>
    </row>
    <row r="141" spans="1:14">
      <c r="A141" t="s">
        <v>141</v>
      </c>
      <c r="B141" t="s">
        <v>142</v>
      </c>
      <c r="C141" t="s">
        <v>143</v>
      </c>
      <c r="D141" t="s">
        <v>144</v>
      </c>
      <c r="J141" t="s">
        <v>124</v>
      </c>
      <c r="K141" t="s">
        <v>145</v>
      </c>
      <c r="L141" t="s">
        <v>124</v>
      </c>
      <c r="N141">
        <v>3.54</v>
      </c>
    </row>
    <row r="142" spans="1:14">
      <c r="A142" t="s">
        <v>146</v>
      </c>
      <c r="B142" t="s">
        <v>147</v>
      </c>
      <c r="C142" t="s">
        <v>148</v>
      </c>
      <c r="D142" t="s">
        <v>144</v>
      </c>
      <c r="J142" t="s">
        <v>124</v>
      </c>
      <c r="K142" t="s">
        <v>145</v>
      </c>
      <c r="L142" t="s">
        <v>124</v>
      </c>
      <c r="N142">
        <v>234.96</v>
      </c>
    </row>
    <row r="143" spans="1:14">
      <c r="A143" t="s">
        <v>149</v>
      </c>
      <c r="B143" t="s">
        <v>150</v>
      </c>
      <c r="C143" t="s">
        <v>151</v>
      </c>
      <c r="D143" t="s">
        <v>392</v>
      </c>
      <c r="E143" t="s">
        <v>144</v>
      </c>
      <c r="J143" t="s">
        <v>124</v>
      </c>
      <c r="K143" t="s">
        <v>145</v>
      </c>
      <c r="L143" t="s">
        <v>124</v>
      </c>
      <c r="N143">
        <v>0.16</v>
      </c>
    </row>
    <row r="144" spans="1:14">
      <c r="M144" t="s">
        <v>164</v>
      </c>
      <c r="N144" t="s">
        <v>104</v>
      </c>
    </row>
    <row r="145" spans="1:14">
      <c r="B145" t="s">
        <v>165</v>
      </c>
      <c r="K145" t="s">
        <v>145</v>
      </c>
      <c r="L145" t="s">
        <v>124</v>
      </c>
      <c r="N145">
        <v>73975.240000000005</v>
      </c>
    </row>
    <row r="146" spans="1:14">
      <c r="M146" t="s">
        <v>164</v>
      </c>
      <c r="N146" t="s">
        <v>104</v>
      </c>
    </row>
    <row r="148" spans="1:14">
      <c r="A148" t="s">
        <v>166</v>
      </c>
      <c r="B148" t="s">
        <v>167</v>
      </c>
    </row>
    <row r="150" spans="1:14">
      <c r="A150" t="s">
        <v>168</v>
      </c>
      <c r="B150" t="s">
        <v>202</v>
      </c>
      <c r="C150" t="s">
        <v>170</v>
      </c>
      <c r="D150" t="s">
        <v>408</v>
      </c>
      <c r="E150" t="s">
        <v>401</v>
      </c>
      <c r="F150" t="s">
        <v>171</v>
      </c>
      <c r="G150" t="s">
        <v>172</v>
      </c>
      <c r="H150" t="s">
        <v>184</v>
      </c>
    </row>
    <row r="151" spans="1:14">
      <c r="A151" t="s">
        <v>174</v>
      </c>
      <c r="C151" t="s">
        <v>148</v>
      </c>
      <c r="D151" t="s">
        <v>144</v>
      </c>
      <c r="J151" t="s">
        <v>124</v>
      </c>
      <c r="K151" t="s">
        <v>145</v>
      </c>
      <c r="L151" t="s">
        <v>124</v>
      </c>
      <c r="N151">
        <v>216.07</v>
      </c>
    </row>
    <row r="152" spans="1:14">
      <c r="A152" t="s">
        <v>168</v>
      </c>
      <c r="B152" t="s">
        <v>203</v>
      </c>
      <c r="C152" t="s">
        <v>170</v>
      </c>
      <c r="D152" t="s">
        <v>409</v>
      </c>
      <c r="E152" t="s">
        <v>401</v>
      </c>
      <c r="F152" t="s">
        <v>171</v>
      </c>
      <c r="G152" t="s">
        <v>172</v>
      </c>
      <c r="H152" t="s">
        <v>184</v>
      </c>
    </row>
    <row r="153" spans="1:14">
      <c r="A153" t="s">
        <v>174</v>
      </c>
      <c r="C153" t="s">
        <v>148</v>
      </c>
      <c r="D153" t="s">
        <v>144</v>
      </c>
      <c r="J153" t="s">
        <v>124</v>
      </c>
      <c r="K153" t="s">
        <v>145</v>
      </c>
      <c r="L153" t="s">
        <v>124</v>
      </c>
      <c r="N153">
        <v>3954.29</v>
      </c>
    </row>
    <row r="154" spans="1:14">
      <c r="M154" t="s">
        <v>164</v>
      </c>
      <c r="N154" t="s">
        <v>104</v>
      </c>
    </row>
    <row r="155" spans="1:14">
      <c r="B155" t="s">
        <v>191</v>
      </c>
      <c r="K155" t="s">
        <v>145</v>
      </c>
      <c r="L155" t="s">
        <v>124</v>
      </c>
      <c r="N155">
        <v>4170.3599999999997</v>
      </c>
    </row>
    <row r="156" spans="1:14">
      <c r="M156" t="s">
        <v>164</v>
      </c>
      <c r="N156" t="s">
        <v>104</v>
      </c>
    </row>
    <row r="158" spans="1:14">
      <c r="M158" t="s">
        <v>164</v>
      </c>
      <c r="N158" t="s">
        <v>104</v>
      </c>
    </row>
    <row r="159" spans="1:14">
      <c r="B159" t="s">
        <v>192</v>
      </c>
      <c r="K159" t="s">
        <v>145</v>
      </c>
      <c r="L159" t="s">
        <v>124</v>
      </c>
      <c r="N159">
        <v>78145.600000000006</v>
      </c>
    </row>
    <row r="160" spans="1:14">
      <c r="M160" t="s">
        <v>164</v>
      </c>
      <c r="N160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I177"/>
  <sheetViews>
    <sheetView topLeftCell="A147" workbookViewId="0">
      <selection activeCell="D155" sqref="D155"/>
    </sheetView>
  </sheetViews>
  <sheetFormatPr baseColWidth="10" defaultRowHeight="15"/>
  <cols>
    <col min="1" max="1" width="25" customWidth="1"/>
    <col min="2" max="2" width="7.42578125" customWidth="1"/>
    <col min="3" max="3" width="14.7109375" bestFit="1" customWidth="1"/>
    <col min="4" max="4" width="4.85546875" bestFit="1" customWidth="1"/>
    <col min="5" max="5" width="34.7109375" customWidth="1"/>
  </cols>
  <sheetData>
    <row r="1" spans="1:9" s="51" customFormat="1" ht="21.75" thickBot="1">
      <c r="A1" s="141" t="s">
        <v>286</v>
      </c>
    </row>
    <row r="2" spans="1:9">
      <c r="A2" t="s">
        <v>227</v>
      </c>
      <c r="B2" t="s">
        <v>228</v>
      </c>
      <c r="D2" t="s">
        <v>287</v>
      </c>
      <c r="E2" t="s">
        <v>288</v>
      </c>
      <c r="H2" t="s">
        <v>216</v>
      </c>
      <c r="I2">
        <v>1</v>
      </c>
    </row>
    <row r="4" spans="1:9">
      <c r="A4" t="s">
        <v>229</v>
      </c>
      <c r="B4" t="s">
        <v>104</v>
      </c>
      <c r="C4" t="s">
        <v>98</v>
      </c>
      <c r="D4" t="s">
        <v>100</v>
      </c>
      <c r="E4" t="s">
        <v>289</v>
      </c>
      <c r="F4" t="s">
        <v>290</v>
      </c>
      <c r="G4" t="s">
        <v>217</v>
      </c>
      <c r="H4" t="s">
        <v>217</v>
      </c>
      <c r="I4" t="s">
        <v>102</v>
      </c>
    </row>
    <row r="5" spans="1:9">
      <c r="A5" t="s">
        <v>230</v>
      </c>
      <c r="B5">
        <v>10663</v>
      </c>
      <c r="C5">
        <v>841000</v>
      </c>
      <c r="F5" t="s">
        <v>291</v>
      </c>
      <c r="G5" t="s">
        <v>292</v>
      </c>
      <c r="H5" t="s">
        <v>172</v>
      </c>
      <c r="I5">
        <v>59.211300000000001</v>
      </c>
    </row>
    <row r="6" spans="1:9">
      <c r="A6" t="s">
        <v>231</v>
      </c>
      <c r="B6" t="s">
        <v>232</v>
      </c>
      <c r="C6" t="s">
        <v>293</v>
      </c>
      <c r="E6" t="s">
        <v>294</v>
      </c>
      <c r="F6" t="s">
        <v>295</v>
      </c>
      <c r="G6" t="s">
        <v>296</v>
      </c>
      <c r="H6" t="s">
        <v>172</v>
      </c>
      <c r="I6">
        <v>35.803400000000003</v>
      </c>
    </row>
    <row r="7" spans="1:9">
      <c r="A7" t="s">
        <v>233</v>
      </c>
      <c r="B7">
        <v>2500</v>
      </c>
      <c r="C7" t="s">
        <v>140</v>
      </c>
      <c r="E7" t="s">
        <v>297</v>
      </c>
      <c r="F7" t="s">
        <v>298</v>
      </c>
      <c r="G7" t="s">
        <v>218</v>
      </c>
      <c r="H7" t="s">
        <v>172</v>
      </c>
      <c r="I7">
        <v>23.407900000000001</v>
      </c>
    </row>
    <row r="8" spans="1:9">
      <c r="A8" t="s">
        <v>204</v>
      </c>
    </row>
    <row r="9" spans="1:9">
      <c r="A9" t="s">
        <v>205</v>
      </c>
    </row>
    <row r="10" spans="1:9">
      <c r="A10" t="s">
        <v>229</v>
      </c>
      <c r="B10" t="s">
        <v>104</v>
      </c>
      <c r="C10" t="s">
        <v>98</v>
      </c>
      <c r="D10" t="s">
        <v>100</v>
      </c>
      <c r="E10" t="s">
        <v>289</v>
      </c>
      <c r="F10" t="s">
        <v>290</v>
      </c>
      <c r="G10" t="s">
        <v>217</v>
      </c>
      <c r="H10" t="s">
        <v>217</v>
      </c>
      <c r="I10" t="s">
        <v>102</v>
      </c>
    </row>
    <row r="11" spans="1:9">
      <c r="A11" t="s">
        <v>152</v>
      </c>
    </row>
    <row r="12" spans="1:9">
      <c r="A12" t="s">
        <v>229</v>
      </c>
      <c r="B12" t="s">
        <v>104</v>
      </c>
      <c r="C12" t="s">
        <v>98</v>
      </c>
      <c r="D12" t="s">
        <v>100</v>
      </c>
      <c r="E12" t="s">
        <v>289</v>
      </c>
      <c r="F12" t="s">
        <v>290</v>
      </c>
      <c r="G12" t="s">
        <v>217</v>
      </c>
      <c r="H12" t="s">
        <v>217</v>
      </c>
      <c r="I12" t="s">
        <v>102</v>
      </c>
    </row>
    <row r="13" spans="1:9">
      <c r="A13" t="s">
        <v>314</v>
      </c>
      <c r="E13" t="s">
        <v>315</v>
      </c>
      <c r="F13" t="s">
        <v>139</v>
      </c>
      <c r="G13" t="s">
        <v>378</v>
      </c>
      <c r="I13" t="s">
        <v>126</v>
      </c>
    </row>
    <row r="14" spans="1:9">
      <c r="E14" t="s">
        <v>316</v>
      </c>
      <c r="G14" t="s">
        <v>317</v>
      </c>
    </row>
    <row r="15" spans="1:9">
      <c r="A15" t="s">
        <v>234</v>
      </c>
      <c r="B15" t="s">
        <v>104</v>
      </c>
      <c r="C15" t="s">
        <v>98</v>
      </c>
      <c r="D15" t="s">
        <v>100</v>
      </c>
      <c r="E15" t="s">
        <v>299</v>
      </c>
      <c r="F15" t="s">
        <v>290</v>
      </c>
      <c r="G15" t="s">
        <v>219</v>
      </c>
      <c r="H15" t="s">
        <v>219</v>
      </c>
      <c r="I15" t="s">
        <v>102</v>
      </c>
    </row>
    <row r="16" spans="1:9">
      <c r="A16" t="s">
        <v>318</v>
      </c>
      <c r="B16">
        <v>9000</v>
      </c>
      <c r="E16" t="s">
        <v>410</v>
      </c>
      <c r="F16">
        <v>1.02</v>
      </c>
      <c r="G16" t="s">
        <v>319</v>
      </c>
      <c r="I16">
        <v>0.65920000000000001</v>
      </c>
    </row>
    <row r="17" spans="1:9">
      <c r="A17" t="s">
        <v>320</v>
      </c>
      <c r="B17">
        <v>6000</v>
      </c>
      <c r="E17" t="s">
        <v>411</v>
      </c>
      <c r="F17">
        <v>1.02</v>
      </c>
      <c r="G17" t="s">
        <v>319</v>
      </c>
      <c r="I17">
        <v>0.74039999999999995</v>
      </c>
    </row>
    <row r="18" spans="1:9">
      <c r="A18" t="s">
        <v>321</v>
      </c>
      <c r="B18">
        <v>4000</v>
      </c>
      <c r="E18" t="s">
        <v>412</v>
      </c>
      <c r="F18">
        <v>1.02</v>
      </c>
      <c r="G18" t="s">
        <v>319</v>
      </c>
      <c r="I18">
        <v>0.40689999999999998</v>
      </c>
    </row>
    <row r="19" spans="1:9">
      <c r="A19" t="s">
        <v>322</v>
      </c>
      <c r="B19">
        <v>0</v>
      </c>
      <c r="E19" t="s">
        <v>413</v>
      </c>
      <c r="F19">
        <v>1.02</v>
      </c>
      <c r="G19" t="s">
        <v>319</v>
      </c>
      <c r="I19">
        <v>1.3455999999999999</v>
      </c>
    </row>
    <row r="20" spans="1:9">
      <c r="A20" t="s">
        <v>323</v>
      </c>
      <c r="B20">
        <v>4000</v>
      </c>
      <c r="E20" t="s">
        <v>414</v>
      </c>
      <c r="F20">
        <v>1.02</v>
      </c>
      <c r="G20" t="s">
        <v>319</v>
      </c>
      <c r="I20">
        <v>1.5302</v>
      </c>
    </row>
    <row r="21" spans="1:9">
      <c r="A21" t="s">
        <v>324</v>
      </c>
      <c r="B21">
        <v>2000</v>
      </c>
      <c r="E21" t="s">
        <v>415</v>
      </c>
      <c r="F21">
        <v>1.04</v>
      </c>
      <c r="G21" t="s">
        <v>319</v>
      </c>
      <c r="I21">
        <v>41.811999999999998</v>
      </c>
    </row>
    <row r="22" spans="1:9">
      <c r="A22" t="s">
        <v>325</v>
      </c>
      <c r="B22">
        <v>1000</v>
      </c>
      <c r="E22" t="s">
        <v>416</v>
      </c>
      <c r="F22">
        <v>1E-3</v>
      </c>
      <c r="G22" t="s">
        <v>319</v>
      </c>
      <c r="I22">
        <v>0</v>
      </c>
    </row>
    <row r="23" spans="1:9">
      <c r="A23" t="s">
        <v>326</v>
      </c>
      <c r="B23">
        <v>8000</v>
      </c>
      <c r="E23" t="s">
        <v>417</v>
      </c>
      <c r="F23">
        <v>1E-4</v>
      </c>
      <c r="G23" t="s">
        <v>327</v>
      </c>
      <c r="I23">
        <v>1.7728999999999999</v>
      </c>
    </row>
    <row r="24" spans="1:9">
      <c r="A24" t="s">
        <v>328</v>
      </c>
      <c r="B24">
        <v>6000</v>
      </c>
      <c r="E24" t="s">
        <v>418</v>
      </c>
      <c r="F24">
        <v>6.8999999999999999E-3</v>
      </c>
      <c r="G24" t="s">
        <v>329</v>
      </c>
      <c r="I24">
        <v>1E-3</v>
      </c>
    </row>
    <row r="25" spans="1:9">
      <c r="A25" t="s">
        <v>330</v>
      </c>
      <c r="B25">
        <v>8000</v>
      </c>
      <c r="E25" t="s">
        <v>419</v>
      </c>
      <c r="F25">
        <v>5.5E-2</v>
      </c>
      <c r="G25" t="s">
        <v>329</v>
      </c>
      <c r="I25">
        <v>0</v>
      </c>
    </row>
    <row r="26" spans="1:9">
      <c r="A26" t="s">
        <v>331</v>
      </c>
      <c r="B26">
        <v>0</v>
      </c>
      <c r="E26" t="s">
        <v>420</v>
      </c>
      <c r="F26">
        <v>2.75E-2</v>
      </c>
      <c r="G26" t="s">
        <v>329</v>
      </c>
      <c r="I26">
        <v>2.0999999999999999E-3</v>
      </c>
    </row>
    <row r="27" spans="1:9">
      <c r="E27" t="s">
        <v>206</v>
      </c>
      <c r="I27">
        <v>32.898099999999999</v>
      </c>
    </row>
    <row r="28" spans="1:9">
      <c r="E28" t="s">
        <v>207</v>
      </c>
      <c r="I28">
        <v>12.2723</v>
      </c>
    </row>
    <row r="29" spans="1:9">
      <c r="E29" t="s">
        <v>208</v>
      </c>
      <c r="I29">
        <v>2.9053</v>
      </c>
    </row>
    <row r="30" spans="1:9">
      <c r="E30" t="s">
        <v>209</v>
      </c>
      <c r="I30">
        <v>0.1946</v>
      </c>
    </row>
    <row r="32" spans="1:9">
      <c r="H32" t="s">
        <v>99</v>
      </c>
      <c r="I32" t="s">
        <v>101</v>
      </c>
    </row>
    <row r="33" spans="1:9">
      <c r="E33" t="s">
        <v>210</v>
      </c>
      <c r="I33" s="144" t="s">
        <v>211</v>
      </c>
    </row>
    <row r="37" spans="1:9">
      <c r="A37" t="s">
        <v>235</v>
      </c>
      <c r="B37" t="s">
        <v>104</v>
      </c>
      <c r="C37" t="s">
        <v>98</v>
      </c>
      <c r="D37" t="s">
        <v>100</v>
      </c>
      <c r="E37" t="s">
        <v>289</v>
      </c>
      <c r="F37" t="s">
        <v>290</v>
      </c>
      <c r="G37" t="s">
        <v>217</v>
      </c>
      <c r="H37" t="s">
        <v>220</v>
      </c>
    </row>
    <row r="38" spans="1:9">
      <c r="A38" t="s">
        <v>332</v>
      </c>
    </row>
    <row r="39" spans="1:9">
      <c r="A39" t="s">
        <v>333</v>
      </c>
      <c r="B39" t="s">
        <v>104</v>
      </c>
      <c r="C39" t="s">
        <v>98</v>
      </c>
      <c r="D39" t="s">
        <v>100</v>
      </c>
      <c r="E39" t="s">
        <v>289</v>
      </c>
      <c r="F39" t="s">
        <v>290</v>
      </c>
      <c r="G39" t="s">
        <v>217</v>
      </c>
    </row>
    <row r="40" spans="1:9">
      <c r="A40" t="s">
        <v>334</v>
      </c>
      <c r="B40" t="s">
        <v>236</v>
      </c>
      <c r="D40" t="s">
        <v>300</v>
      </c>
      <c r="E40" t="s">
        <v>335</v>
      </c>
      <c r="F40" t="s">
        <v>301</v>
      </c>
      <c r="G40" t="s">
        <v>302</v>
      </c>
    </row>
    <row r="41" spans="1:9">
      <c r="A41" t="s">
        <v>336</v>
      </c>
      <c r="D41" t="s">
        <v>303</v>
      </c>
      <c r="E41" t="s">
        <v>337</v>
      </c>
      <c r="G41" t="s">
        <v>221</v>
      </c>
    </row>
    <row r="42" spans="1:9">
      <c r="A42" t="s">
        <v>338</v>
      </c>
      <c r="B42" t="s">
        <v>104</v>
      </c>
      <c r="C42" t="s">
        <v>304</v>
      </c>
      <c r="D42" t="s">
        <v>100</v>
      </c>
      <c r="E42" t="s">
        <v>305</v>
      </c>
      <c r="F42" t="s">
        <v>290</v>
      </c>
      <c r="G42" t="s">
        <v>217</v>
      </c>
    </row>
    <row r="43" spans="1:9">
      <c r="A43" t="s">
        <v>339</v>
      </c>
      <c r="B43" t="s">
        <v>237</v>
      </c>
      <c r="C43" t="s">
        <v>340</v>
      </c>
      <c r="D43">
        <v>970</v>
      </c>
      <c r="E43" t="s">
        <v>421</v>
      </c>
      <c r="G43">
        <v>2.4E-2</v>
      </c>
      <c r="I43">
        <v>6.0400000000000002E-2</v>
      </c>
    </row>
    <row r="44" spans="1:9">
      <c r="A44" t="s">
        <v>341</v>
      </c>
      <c r="B44" t="s">
        <v>238</v>
      </c>
      <c r="D44">
        <v>970</v>
      </c>
      <c r="E44" t="s">
        <v>342</v>
      </c>
      <c r="G44">
        <v>4.0000000000000002E-4</v>
      </c>
      <c r="I44">
        <v>0</v>
      </c>
    </row>
    <row r="45" spans="1:9">
      <c r="A45" t="s">
        <v>343</v>
      </c>
      <c r="B45" t="s">
        <v>239</v>
      </c>
      <c r="C45" t="s">
        <v>379</v>
      </c>
      <c r="D45">
        <v>970</v>
      </c>
      <c r="E45" t="s">
        <v>422</v>
      </c>
      <c r="G45">
        <v>4.8000000000000001E-2</v>
      </c>
      <c r="I45">
        <v>0.12089999999999999</v>
      </c>
    </row>
    <row r="46" spans="1:9">
      <c r="A46" t="s">
        <v>344</v>
      </c>
      <c r="B46" t="s">
        <v>240</v>
      </c>
      <c r="C46" t="s">
        <v>345</v>
      </c>
      <c r="D46">
        <v>970</v>
      </c>
      <c r="E46" t="s">
        <v>423</v>
      </c>
      <c r="G46">
        <v>0.36599999999999999</v>
      </c>
      <c r="I46">
        <v>0.92169999999999996</v>
      </c>
    </row>
    <row r="47" spans="1:9">
      <c r="A47" t="s">
        <v>346</v>
      </c>
      <c r="B47" t="s">
        <v>241</v>
      </c>
      <c r="C47" t="s">
        <v>347</v>
      </c>
      <c r="D47">
        <v>970</v>
      </c>
      <c r="E47" t="s">
        <v>424</v>
      </c>
      <c r="G47">
        <v>0.67200000000000004</v>
      </c>
      <c r="I47">
        <v>1.6922999999999999</v>
      </c>
    </row>
    <row r="48" spans="1:9">
      <c r="A48" t="s">
        <v>348</v>
      </c>
      <c r="B48" t="s">
        <v>242</v>
      </c>
      <c r="D48">
        <v>970</v>
      </c>
      <c r="E48" t="s">
        <v>425</v>
      </c>
      <c r="G48">
        <v>0.37440000000000001</v>
      </c>
      <c r="I48">
        <v>0.94289999999999996</v>
      </c>
    </row>
    <row r="49" spans="1:9">
      <c r="A49" t="s">
        <v>349</v>
      </c>
      <c r="B49" t="s">
        <v>243</v>
      </c>
      <c r="C49" t="s">
        <v>350</v>
      </c>
      <c r="D49">
        <v>970</v>
      </c>
      <c r="E49" t="s">
        <v>426</v>
      </c>
      <c r="G49">
        <v>0.13980000000000001</v>
      </c>
      <c r="I49">
        <v>0.35210000000000002</v>
      </c>
    </row>
    <row r="50" spans="1:9">
      <c r="A50" t="s">
        <v>351</v>
      </c>
      <c r="B50" t="s">
        <v>244</v>
      </c>
      <c r="C50" t="s">
        <v>352</v>
      </c>
      <c r="D50">
        <v>970</v>
      </c>
      <c r="E50" t="s">
        <v>425</v>
      </c>
      <c r="G50">
        <v>0.876</v>
      </c>
      <c r="I50">
        <v>2.2061000000000002</v>
      </c>
    </row>
    <row r="51" spans="1:9">
      <c r="A51" t="s">
        <v>353</v>
      </c>
      <c r="B51" t="s">
        <v>245</v>
      </c>
      <c r="C51" t="s">
        <v>354</v>
      </c>
      <c r="D51">
        <v>970</v>
      </c>
      <c r="E51" t="s">
        <v>355</v>
      </c>
      <c r="G51">
        <v>0.50800000000000001</v>
      </c>
      <c r="I51">
        <v>1.2793000000000001</v>
      </c>
    </row>
    <row r="52" spans="1:9">
      <c r="A52" t="s">
        <v>356</v>
      </c>
      <c r="B52" t="s">
        <v>380</v>
      </c>
      <c r="C52" t="s">
        <v>381</v>
      </c>
      <c r="D52">
        <v>970</v>
      </c>
      <c r="E52" t="s">
        <v>422</v>
      </c>
      <c r="G52">
        <v>1</v>
      </c>
      <c r="I52">
        <v>2.5183</v>
      </c>
    </row>
    <row r="53" spans="1:9">
      <c r="A53" t="s">
        <v>333</v>
      </c>
      <c r="B53" t="s">
        <v>104</v>
      </c>
      <c r="C53" t="s">
        <v>98</v>
      </c>
      <c r="D53" t="s">
        <v>100</v>
      </c>
      <c r="E53" t="s">
        <v>289</v>
      </c>
      <c r="F53" t="s">
        <v>290</v>
      </c>
      <c r="G53" t="s">
        <v>217</v>
      </c>
      <c r="H53" t="s">
        <v>99</v>
      </c>
      <c r="I53" t="s">
        <v>101</v>
      </c>
    </row>
    <row r="54" spans="1:9">
      <c r="A54" t="s">
        <v>357</v>
      </c>
      <c r="I54" s="144" t="s">
        <v>212</v>
      </c>
    </row>
    <row r="55" spans="1:9">
      <c r="A55" t="s">
        <v>235</v>
      </c>
      <c r="B55" t="s">
        <v>104</v>
      </c>
      <c r="C55" t="s">
        <v>98</v>
      </c>
      <c r="D55" t="s">
        <v>100</v>
      </c>
      <c r="E55" t="s">
        <v>289</v>
      </c>
      <c r="F55" t="s">
        <v>290</v>
      </c>
      <c r="G55" t="s">
        <v>217</v>
      </c>
      <c r="H55" t="s">
        <v>220</v>
      </c>
    </row>
    <row r="56" spans="1:9">
      <c r="A56" t="s">
        <v>235</v>
      </c>
      <c r="B56" t="s">
        <v>104</v>
      </c>
      <c r="C56" t="s">
        <v>98</v>
      </c>
      <c r="D56" t="s">
        <v>100</v>
      </c>
      <c r="E56" t="s">
        <v>289</v>
      </c>
      <c r="F56" t="s">
        <v>290</v>
      </c>
      <c r="G56" t="s">
        <v>217</v>
      </c>
      <c r="H56" t="s">
        <v>220</v>
      </c>
    </row>
    <row r="57" spans="1:9">
      <c r="A57" t="s">
        <v>358</v>
      </c>
    </row>
    <row r="58" spans="1:9">
      <c r="A58" t="s">
        <v>333</v>
      </c>
      <c r="B58" t="s">
        <v>104</v>
      </c>
      <c r="C58" t="s">
        <v>98</v>
      </c>
      <c r="D58" t="s">
        <v>100</v>
      </c>
      <c r="E58" t="s">
        <v>289</v>
      </c>
      <c r="F58" t="s">
        <v>290</v>
      </c>
      <c r="G58" t="s">
        <v>217</v>
      </c>
    </row>
    <row r="59" spans="1:9">
      <c r="A59" t="s">
        <v>359</v>
      </c>
      <c r="B59" t="s">
        <v>360</v>
      </c>
      <c r="C59" t="s">
        <v>361</v>
      </c>
      <c r="D59" t="s">
        <v>382</v>
      </c>
      <c r="E59" t="s">
        <v>362</v>
      </c>
      <c r="F59" t="s">
        <v>363</v>
      </c>
      <c r="G59" t="s">
        <v>306</v>
      </c>
    </row>
    <row r="60" spans="1:9">
      <c r="A60" t="s">
        <v>364</v>
      </c>
      <c r="D60" t="s">
        <v>383</v>
      </c>
      <c r="E60" t="s">
        <v>74</v>
      </c>
      <c r="F60" t="s">
        <v>365</v>
      </c>
      <c r="G60" t="s">
        <v>307</v>
      </c>
    </row>
    <row r="61" spans="1:9">
      <c r="A61" t="s">
        <v>366</v>
      </c>
      <c r="B61" t="s">
        <v>246</v>
      </c>
      <c r="C61" t="s">
        <v>308</v>
      </c>
      <c r="D61" t="s">
        <v>100</v>
      </c>
      <c r="E61" t="s">
        <v>309</v>
      </c>
      <c r="F61" t="s">
        <v>310</v>
      </c>
      <c r="G61" t="s">
        <v>217</v>
      </c>
    </row>
    <row r="62" spans="1:9">
      <c r="A62" t="s">
        <v>367</v>
      </c>
      <c r="D62">
        <v>10</v>
      </c>
      <c r="E62" t="s">
        <v>384</v>
      </c>
      <c r="G62">
        <v>0</v>
      </c>
      <c r="I62">
        <v>0</v>
      </c>
    </row>
    <row r="63" spans="1:9">
      <c r="A63" t="s">
        <v>368</v>
      </c>
      <c r="D63">
        <v>10</v>
      </c>
      <c r="E63" t="s">
        <v>385</v>
      </c>
      <c r="G63">
        <v>0</v>
      </c>
      <c r="I63">
        <v>0</v>
      </c>
    </row>
    <row r="64" spans="1:9">
      <c r="A64" t="s">
        <v>368</v>
      </c>
      <c r="D64">
        <v>20</v>
      </c>
      <c r="E64" t="s">
        <v>386</v>
      </c>
      <c r="G64">
        <v>0</v>
      </c>
      <c r="I64">
        <v>0</v>
      </c>
    </row>
    <row r="65" spans="1:9">
      <c r="A65" t="s">
        <v>333</v>
      </c>
      <c r="B65" t="s">
        <v>104</v>
      </c>
      <c r="C65" t="s">
        <v>98</v>
      </c>
      <c r="D65" t="s">
        <v>100</v>
      </c>
      <c r="E65" t="s">
        <v>289</v>
      </c>
      <c r="F65" t="s">
        <v>290</v>
      </c>
      <c r="G65" t="s">
        <v>217</v>
      </c>
      <c r="H65" t="s">
        <v>99</v>
      </c>
      <c r="I65" t="s">
        <v>101</v>
      </c>
    </row>
    <row r="66" spans="1:9">
      <c r="A66" t="s">
        <v>369</v>
      </c>
      <c r="B66" t="s">
        <v>247</v>
      </c>
      <c r="I66" s="144" t="s">
        <v>213</v>
      </c>
    </row>
    <row r="67" spans="1:9">
      <c r="A67" t="s">
        <v>235</v>
      </c>
      <c r="B67" t="s">
        <v>104</v>
      </c>
      <c r="C67" t="s">
        <v>98</v>
      </c>
      <c r="D67" t="s">
        <v>100</v>
      </c>
      <c r="E67" t="s">
        <v>289</v>
      </c>
      <c r="F67" t="s">
        <v>290</v>
      </c>
      <c r="G67" t="s">
        <v>217</v>
      </c>
      <c r="H67" t="s">
        <v>220</v>
      </c>
    </row>
    <row r="68" spans="1:9">
      <c r="E68" t="s">
        <v>222</v>
      </c>
      <c r="F68" t="s">
        <v>223</v>
      </c>
      <c r="I68">
        <v>32.898099999999999</v>
      </c>
    </row>
    <row r="69" spans="1:9">
      <c r="E69" t="s">
        <v>224</v>
      </c>
      <c r="F69" t="s">
        <v>144</v>
      </c>
      <c r="I69">
        <v>22.366299999999999</v>
      </c>
    </row>
    <row r="70" spans="1:9">
      <c r="E70" t="s">
        <v>225</v>
      </c>
      <c r="F70" t="s">
        <v>311</v>
      </c>
      <c r="G70" t="s">
        <v>223</v>
      </c>
      <c r="I70">
        <v>2.9053</v>
      </c>
    </row>
    <row r="71" spans="1:9">
      <c r="E71" t="s">
        <v>225</v>
      </c>
      <c r="F71" t="s">
        <v>168</v>
      </c>
      <c r="G71" t="s">
        <v>144</v>
      </c>
      <c r="I71">
        <v>0.1946</v>
      </c>
    </row>
    <row r="72" spans="1:9">
      <c r="E72" t="s">
        <v>226</v>
      </c>
      <c r="F72" t="s">
        <v>218</v>
      </c>
      <c r="I72">
        <v>0</v>
      </c>
    </row>
    <row r="73" spans="1:9">
      <c r="H73" t="s">
        <v>99</v>
      </c>
      <c r="I73" t="s">
        <v>101</v>
      </c>
    </row>
    <row r="74" spans="1:9">
      <c r="E74" t="s">
        <v>210</v>
      </c>
      <c r="F74" t="s">
        <v>312</v>
      </c>
      <c r="G74" t="s">
        <v>313</v>
      </c>
      <c r="I74">
        <v>58.3643</v>
      </c>
    </row>
    <row r="119" spans="1:9" ht="15.75" thickBot="1"/>
    <row r="120" spans="1:9" s="51" customFormat="1" ht="21.75" thickBot="1">
      <c r="A120" s="141" t="s">
        <v>285</v>
      </c>
    </row>
    <row r="121" spans="1:9">
      <c r="A121" t="s">
        <v>227</v>
      </c>
      <c r="B121" t="s">
        <v>228</v>
      </c>
      <c r="D121" t="s">
        <v>287</v>
      </c>
      <c r="E121" t="s">
        <v>288</v>
      </c>
      <c r="H121" t="s">
        <v>216</v>
      </c>
      <c r="I121">
        <v>1</v>
      </c>
    </row>
    <row r="123" spans="1:9">
      <c r="A123" t="s">
        <v>229</v>
      </c>
      <c r="B123" t="s">
        <v>104</v>
      </c>
      <c r="C123" t="s">
        <v>98</v>
      </c>
      <c r="D123" t="s">
        <v>100</v>
      </c>
      <c r="E123" t="s">
        <v>289</v>
      </c>
      <c r="F123" t="s">
        <v>290</v>
      </c>
      <c r="G123" t="s">
        <v>217</v>
      </c>
      <c r="H123" t="s">
        <v>217</v>
      </c>
      <c r="I123" t="s">
        <v>102</v>
      </c>
    </row>
    <row r="124" spans="1:9">
      <c r="A124" t="s">
        <v>230</v>
      </c>
      <c r="B124">
        <v>92581</v>
      </c>
      <c r="C124">
        <v>602000</v>
      </c>
      <c r="F124" t="s">
        <v>291</v>
      </c>
      <c r="G124" t="s">
        <v>292</v>
      </c>
      <c r="H124" t="s">
        <v>172</v>
      </c>
      <c r="I124">
        <v>64.343500000000006</v>
      </c>
    </row>
    <row r="125" spans="1:9">
      <c r="A125" t="s">
        <v>231</v>
      </c>
      <c r="B125" t="s">
        <v>232</v>
      </c>
      <c r="C125" t="s">
        <v>293</v>
      </c>
      <c r="E125" t="s">
        <v>294</v>
      </c>
      <c r="F125" t="s">
        <v>295</v>
      </c>
      <c r="G125" t="s">
        <v>296</v>
      </c>
      <c r="H125" t="s">
        <v>172</v>
      </c>
      <c r="I125">
        <v>36.877600000000001</v>
      </c>
    </row>
    <row r="126" spans="1:9">
      <c r="A126" t="s">
        <v>233</v>
      </c>
      <c r="B126">
        <v>2500</v>
      </c>
      <c r="C126" t="s">
        <v>140</v>
      </c>
      <c r="E126" t="s">
        <v>297</v>
      </c>
      <c r="F126" t="s">
        <v>298</v>
      </c>
      <c r="G126" t="s">
        <v>218</v>
      </c>
      <c r="H126" t="s">
        <v>172</v>
      </c>
      <c r="I126">
        <v>27.465900000000001</v>
      </c>
    </row>
    <row r="127" spans="1:9">
      <c r="A127" t="s">
        <v>204</v>
      </c>
    </row>
    <row r="128" spans="1:9">
      <c r="A128" t="s">
        <v>205</v>
      </c>
    </row>
    <row r="129" spans="1:9">
      <c r="A129" t="s">
        <v>229</v>
      </c>
      <c r="B129" t="s">
        <v>104</v>
      </c>
      <c r="C129" t="s">
        <v>98</v>
      </c>
      <c r="D129" t="s">
        <v>100</v>
      </c>
      <c r="E129" t="s">
        <v>289</v>
      </c>
      <c r="F129" t="s">
        <v>290</v>
      </c>
      <c r="G129" t="s">
        <v>217</v>
      </c>
      <c r="H129" t="s">
        <v>217</v>
      </c>
      <c r="I129" t="s">
        <v>102</v>
      </c>
    </row>
    <row r="130" spans="1:9">
      <c r="A130" t="s">
        <v>152</v>
      </c>
    </row>
    <row r="131" spans="1:9">
      <c r="A131" t="s">
        <v>229</v>
      </c>
      <c r="B131" t="s">
        <v>104</v>
      </c>
      <c r="C131" t="s">
        <v>98</v>
      </c>
      <c r="D131" t="s">
        <v>100</v>
      </c>
      <c r="E131" t="s">
        <v>289</v>
      </c>
      <c r="F131" t="s">
        <v>290</v>
      </c>
      <c r="G131" t="s">
        <v>217</v>
      </c>
      <c r="H131" t="s">
        <v>217</v>
      </c>
      <c r="I131" t="s">
        <v>102</v>
      </c>
    </row>
    <row r="132" spans="1:9">
      <c r="A132" t="s">
        <v>314</v>
      </c>
      <c r="E132" t="s">
        <v>315</v>
      </c>
      <c r="F132" t="s">
        <v>139</v>
      </c>
      <c r="G132" t="s">
        <v>378</v>
      </c>
      <c r="I132" t="s">
        <v>126</v>
      </c>
    </row>
    <row r="133" spans="1:9">
      <c r="E133" t="s">
        <v>316</v>
      </c>
      <c r="G133" t="s">
        <v>317</v>
      </c>
    </row>
    <row r="134" spans="1:9">
      <c r="A134" t="s">
        <v>234</v>
      </c>
      <c r="B134" t="s">
        <v>104</v>
      </c>
      <c r="C134" t="s">
        <v>98</v>
      </c>
      <c r="D134" t="s">
        <v>100</v>
      </c>
      <c r="E134" t="s">
        <v>299</v>
      </c>
      <c r="F134" t="s">
        <v>290</v>
      </c>
      <c r="G134" t="s">
        <v>219</v>
      </c>
      <c r="H134" t="s">
        <v>219</v>
      </c>
      <c r="I134" t="s">
        <v>102</v>
      </c>
    </row>
    <row r="135" spans="1:9">
      <c r="A135" t="s">
        <v>370</v>
      </c>
      <c r="B135">
        <v>1000</v>
      </c>
      <c r="E135" t="s">
        <v>428</v>
      </c>
      <c r="F135">
        <v>1.03</v>
      </c>
      <c r="G135" t="s">
        <v>319</v>
      </c>
      <c r="I135">
        <v>60.115200000000002</v>
      </c>
    </row>
    <row r="136" spans="1:9">
      <c r="A136" t="s">
        <v>371</v>
      </c>
      <c r="B136">
        <v>4000</v>
      </c>
      <c r="E136" t="s">
        <v>427</v>
      </c>
      <c r="F136">
        <v>2.9999999999999997E-4</v>
      </c>
      <c r="G136" t="s">
        <v>319</v>
      </c>
      <c r="I136">
        <v>1E-4</v>
      </c>
    </row>
    <row r="137" spans="1:9">
      <c r="E137" t="s">
        <v>206</v>
      </c>
      <c r="I137">
        <v>33.991</v>
      </c>
    </row>
    <row r="138" spans="1:9">
      <c r="E138" t="s">
        <v>207</v>
      </c>
      <c r="I138">
        <v>23.037299999999998</v>
      </c>
    </row>
    <row r="139" spans="1:9">
      <c r="E139" t="s">
        <v>208</v>
      </c>
      <c r="I139">
        <v>2.8866000000000001</v>
      </c>
    </row>
    <row r="140" spans="1:9">
      <c r="E140" t="s">
        <v>209</v>
      </c>
      <c r="I140">
        <v>0.20039999999999999</v>
      </c>
    </row>
    <row r="142" spans="1:9">
      <c r="H142" t="s">
        <v>99</v>
      </c>
      <c r="I142" t="s">
        <v>101</v>
      </c>
    </row>
    <row r="143" spans="1:9">
      <c r="E143" t="s">
        <v>210</v>
      </c>
      <c r="I143" t="s">
        <v>214</v>
      </c>
    </row>
    <row r="147" spans="1:9">
      <c r="A147" t="s">
        <v>235</v>
      </c>
      <c r="B147" t="s">
        <v>104</v>
      </c>
      <c r="C147" t="s">
        <v>98</v>
      </c>
      <c r="D147" t="s">
        <v>100</v>
      </c>
      <c r="E147" t="s">
        <v>289</v>
      </c>
      <c r="F147" t="s">
        <v>290</v>
      </c>
      <c r="G147" t="s">
        <v>217</v>
      </c>
      <c r="H147" t="s">
        <v>220</v>
      </c>
    </row>
    <row r="148" spans="1:9">
      <c r="A148" t="s">
        <v>332</v>
      </c>
    </row>
    <row r="149" spans="1:9">
      <c r="A149" t="s">
        <v>333</v>
      </c>
      <c r="B149" t="s">
        <v>104</v>
      </c>
      <c r="C149" t="s">
        <v>98</v>
      </c>
      <c r="D149" t="s">
        <v>100</v>
      </c>
      <c r="E149" t="s">
        <v>289</v>
      </c>
      <c r="F149" t="s">
        <v>290</v>
      </c>
      <c r="G149" t="s">
        <v>217</v>
      </c>
    </row>
    <row r="150" spans="1:9">
      <c r="A150" t="s">
        <v>334</v>
      </c>
      <c r="B150" t="s">
        <v>236</v>
      </c>
      <c r="D150" t="s">
        <v>300</v>
      </c>
      <c r="E150" t="s">
        <v>335</v>
      </c>
      <c r="F150" t="s">
        <v>301</v>
      </c>
      <c r="G150" t="s">
        <v>302</v>
      </c>
    </row>
    <row r="151" spans="1:9">
      <c r="A151" t="s">
        <v>336</v>
      </c>
      <c r="D151" t="s">
        <v>303</v>
      </c>
      <c r="E151" t="s">
        <v>337</v>
      </c>
      <c r="G151" t="s">
        <v>221</v>
      </c>
    </row>
    <row r="152" spans="1:9">
      <c r="A152" t="s">
        <v>338</v>
      </c>
      <c r="B152" t="s">
        <v>104</v>
      </c>
      <c r="C152" t="s">
        <v>304</v>
      </c>
      <c r="D152" t="s">
        <v>100</v>
      </c>
      <c r="E152" t="s">
        <v>305</v>
      </c>
      <c r="F152" t="s">
        <v>290</v>
      </c>
      <c r="G152" t="s">
        <v>217</v>
      </c>
    </row>
    <row r="153" spans="1:9">
      <c r="A153" t="s">
        <v>372</v>
      </c>
      <c r="B153" t="s">
        <v>248</v>
      </c>
      <c r="D153">
        <v>970</v>
      </c>
      <c r="E153" t="s">
        <v>429</v>
      </c>
      <c r="G153">
        <v>0.18720000000000001</v>
      </c>
      <c r="I153">
        <v>0.47139999999999999</v>
      </c>
    </row>
    <row r="154" spans="1:9">
      <c r="A154" t="s">
        <v>373</v>
      </c>
      <c r="B154" t="s">
        <v>249</v>
      </c>
      <c r="C154" t="s">
        <v>374</v>
      </c>
      <c r="D154">
        <v>970</v>
      </c>
      <c r="E154" t="s">
        <v>429</v>
      </c>
      <c r="G154">
        <v>0.91200000000000003</v>
      </c>
      <c r="I154">
        <v>2.2967</v>
      </c>
    </row>
    <row r="155" spans="1:9">
      <c r="A155" t="s">
        <v>375</v>
      </c>
      <c r="B155" t="s">
        <v>250</v>
      </c>
      <c r="C155" t="s">
        <v>376</v>
      </c>
      <c r="D155">
        <v>970</v>
      </c>
      <c r="E155" t="s">
        <v>377</v>
      </c>
      <c r="G155">
        <v>0.18</v>
      </c>
      <c r="I155">
        <v>0.45329999999999998</v>
      </c>
    </row>
    <row r="156" spans="1:9">
      <c r="A156" t="s">
        <v>333</v>
      </c>
      <c r="B156" t="s">
        <v>104</v>
      </c>
      <c r="C156" t="s">
        <v>98</v>
      </c>
      <c r="E156" t="s">
        <v>289</v>
      </c>
      <c r="F156" t="s">
        <v>290</v>
      </c>
      <c r="G156" t="s">
        <v>217</v>
      </c>
      <c r="H156" t="s">
        <v>99</v>
      </c>
      <c r="I156" t="s">
        <v>101</v>
      </c>
    </row>
    <row r="157" spans="1:9">
      <c r="A157" t="s">
        <v>357</v>
      </c>
      <c r="I157" t="s">
        <v>215</v>
      </c>
    </row>
    <row r="158" spans="1:9">
      <c r="A158" t="s">
        <v>235</v>
      </c>
      <c r="B158" t="s">
        <v>104</v>
      </c>
      <c r="C158" t="s">
        <v>98</v>
      </c>
      <c r="D158" t="s">
        <v>100</v>
      </c>
      <c r="E158" t="s">
        <v>289</v>
      </c>
      <c r="F158" t="s">
        <v>290</v>
      </c>
      <c r="G158" t="s">
        <v>217</v>
      </c>
      <c r="H158" t="s">
        <v>220</v>
      </c>
    </row>
    <row r="159" spans="1:9">
      <c r="A159" t="s">
        <v>235</v>
      </c>
      <c r="B159" t="s">
        <v>104</v>
      </c>
      <c r="C159" t="s">
        <v>98</v>
      </c>
      <c r="D159" t="s">
        <v>100</v>
      </c>
      <c r="E159" t="s">
        <v>289</v>
      </c>
      <c r="F159" t="s">
        <v>290</v>
      </c>
      <c r="G159" t="s">
        <v>217</v>
      </c>
      <c r="H159" t="s">
        <v>220</v>
      </c>
    </row>
    <row r="160" spans="1:9">
      <c r="A160" t="s">
        <v>358</v>
      </c>
    </row>
    <row r="161" spans="1:9">
      <c r="A161" t="s">
        <v>333</v>
      </c>
      <c r="B161" t="s">
        <v>104</v>
      </c>
      <c r="C161" t="s">
        <v>98</v>
      </c>
      <c r="D161" t="s">
        <v>100</v>
      </c>
      <c r="E161" t="s">
        <v>289</v>
      </c>
      <c r="F161" t="s">
        <v>290</v>
      </c>
      <c r="G161" t="s">
        <v>217</v>
      </c>
    </row>
    <row r="162" spans="1:9">
      <c r="A162" t="s">
        <v>359</v>
      </c>
      <c r="B162" t="s">
        <v>360</v>
      </c>
      <c r="C162" t="s">
        <v>361</v>
      </c>
      <c r="D162" t="s">
        <v>382</v>
      </c>
      <c r="E162" t="s">
        <v>362</v>
      </c>
      <c r="F162" t="s">
        <v>363</v>
      </c>
      <c r="G162" t="s">
        <v>306</v>
      </c>
    </row>
    <row r="163" spans="1:9">
      <c r="A163" t="s">
        <v>364</v>
      </c>
      <c r="D163" t="s">
        <v>383</v>
      </c>
      <c r="E163" t="s">
        <v>74</v>
      </c>
      <c r="F163" t="s">
        <v>365</v>
      </c>
      <c r="G163" t="s">
        <v>307</v>
      </c>
    </row>
    <row r="164" spans="1:9">
      <c r="A164" t="s">
        <v>366</v>
      </c>
      <c r="B164" t="s">
        <v>246</v>
      </c>
      <c r="C164" t="s">
        <v>308</v>
      </c>
      <c r="D164" t="s">
        <v>100</v>
      </c>
      <c r="E164" t="s">
        <v>309</v>
      </c>
      <c r="F164" t="s">
        <v>310</v>
      </c>
      <c r="G164" t="s">
        <v>217</v>
      </c>
    </row>
    <row r="165" spans="1:9">
      <c r="A165" t="s">
        <v>367</v>
      </c>
      <c r="D165">
        <v>10</v>
      </c>
      <c r="E165" t="s">
        <v>384</v>
      </c>
      <c r="G165">
        <v>0</v>
      </c>
      <c r="I165">
        <v>0</v>
      </c>
    </row>
    <row r="166" spans="1:9">
      <c r="A166" t="s">
        <v>368</v>
      </c>
      <c r="D166">
        <v>10</v>
      </c>
      <c r="E166" t="s">
        <v>385</v>
      </c>
      <c r="G166">
        <v>0</v>
      </c>
      <c r="I166">
        <v>0</v>
      </c>
    </row>
    <row r="167" spans="1:9">
      <c r="A167" t="s">
        <v>368</v>
      </c>
      <c r="D167">
        <v>20</v>
      </c>
      <c r="E167" t="s">
        <v>386</v>
      </c>
      <c r="G167">
        <v>0</v>
      </c>
      <c r="I167">
        <v>0</v>
      </c>
    </row>
    <row r="168" spans="1:9">
      <c r="A168" t="s">
        <v>333</v>
      </c>
      <c r="B168" t="s">
        <v>104</v>
      </c>
      <c r="C168" t="s">
        <v>98</v>
      </c>
      <c r="D168" t="s">
        <v>100</v>
      </c>
      <c r="E168" t="s">
        <v>289</v>
      </c>
      <c r="F168" t="s">
        <v>290</v>
      </c>
      <c r="G168" t="s">
        <v>217</v>
      </c>
      <c r="H168" t="s">
        <v>99</v>
      </c>
      <c r="I168" t="s">
        <v>101</v>
      </c>
    </row>
    <row r="169" spans="1:9">
      <c r="A169" t="s">
        <v>369</v>
      </c>
      <c r="B169" t="s">
        <v>247</v>
      </c>
      <c r="I169" t="s">
        <v>213</v>
      </c>
    </row>
    <row r="170" spans="1:9">
      <c r="A170" t="s">
        <v>235</v>
      </c>
      <c r="B170" t="s">
        <v>104</v>
      </c>
      <c r="C170" t="s">
        <v>98</v>
      </c>
      <c r="D170" t="s">
        <v>100</v>
      </c>
      <c r="E170" t="s">
        <v>289</v>
      </c>
      <c r="F170" t="s">
        <v>290</v>
      </c>
      <c r="G170" t="s">
        <v>217</v>
      </c>
      <c r="H170" t="s">
        <v>220</v>
      </c>
    </row>
    <row r="171" spans="1:9">
      <c r="E171" t="s">
        <v>222</v>
      </c>
      <c r="F171" t="s">
        <v>223</v>
      </c>
      <c r="I171">
        <v>33.991</v>
      </c>
    </row>
    <row r="172" spans="1:9">
      <c r="E172" t="s">
        <v>224</v>
      </c>
      <c r="F172" t="s">
        <v>144</v>
      </c>
      <c r="I172">
        <v>26.258700000000001</v>
      </c>
    </row>
    <row r="173" spans="1:9">
      <c r="E173" t="s">
        <v>225</v>
      </c>
      <c r="F173" t="s">
        <v>311</v>
      </c>
      <c r="G173" t="s">
        <v>223</v>
      </c>
      <c r="I173">
        <v>2.8866000000000001</v>
      </c>
    </row>
    <row r="174" spans="1:9">
      <c r="E174" t="s">
        <v>225</v>
      </c>
      <c r="F174" t="s">
        <v>168</v>
      </c>
      <c r="G174" t="s">
        <v>144</v>
      </c>
      <c r="I174">
        <v>0.20039999999999999</v>
      </c>
    </row>
    <row r="175" spans="1:9">
      <c r="E175" t="s">
        <v>226</v>
      </c>
      <c r="F175" t="s">
        <v>218</v>
      </c>
      <c r="I175">
        <v>0</v>
      </c>
    </row>
    <row r="176" spans="1:9">
      <c r="H176" t="s">
        <v>99</v>
      </c>
      <c r="I176" t="s">
        <v>101</v>
      </c>
    </row>
    <row r="177" spans="5:9">
      <c r="E177" t="s">
        <v>210</v>
      </c>
      <c r="F177" t="s">
        <v>312</v>
      </c>
      <c r="G177" t="s">
        <v>313</v>
      </c>
      <c r="I177">
        <v>63.3367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M911</vt:lpstr>
      <vt:lpstr>S-R 0SE</vt:lpstr>
      <vt:lpstr>S-R 0RE</vt:lpstr>
      <vt:lpstr>Baan-1 synthese</vt:lpstr>
      <vt:lpstr>Baan-2 actual</vt:lpstr>
      <vt:lpstr>Baan-3 estimated</vt:lpstr>
    </vt:vector>
  </TitlesOfParts>
  <Company>Nexter 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u9250159</dc:creator>
  <cp:lastModifiedBy>STEPHANE</cp:lastModifiedBy>
  <dcterms:created xsi:type="dcterms:W3CDTF">2014-05-13T09:38:28Z</dcterms:created>
  <dcterms:modified xsi:type="dcterms:W3CDTF">2014-06-16T19:16:59Z</dcterms:modified>
</cp:coreProperties>
</file>