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slicers/slicer1.xml" ContentType="application/vnd.ms-excel.slicer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 Leroy\Desktop\"/>
    </mc:Choice>
  </mc:AlternateContent>
  <xr:revisionPtr revIDLastSave="0" documentId="13_ncr:1_{C03FBDCC-AD3C-49FB-A2E7-50B990F5A12C}" xr6:coauthVersionLast="37" xr6:coauthVersionMax="37" xr10:uidLastSave="{00000000-0000-0000-0000-000000000000}"/>
  <bookViews>
    <workbookView xWindow="0" yWindow="0" windowWidth="20490" windowHeight="8130" tabRatio="821" activeTab="3" xr2:uid="{4A7443EB-A015-4811-A19A-BD4EC311FF9F}"/>
  </bookViews>
  <sheets>
    <sheet name="Theme" sheetId="16" r:id="rId1"/>
    <sheet name="Images" sheetId="18" r:id="rId2"/>
    <sheet name="Employé" sheetId="7" r:id="rId3"/>
    <sheet name="Fiche" sheetId="13" r:id="rId4"/>
    <sheet name="Accueil" sheetId="17" r:id="rId5"/>
  </sheets>
  <definedNames>
    <definedName name="Image">OFFSET(Images!$B$1,MATCH(Fiche!$E$2,Liste,0)-1,0)</definedName>
    <definedName name="Liste">OFFSET(Images!$A$1,0,0,COUNTA(Images!$A:$A)-1,)</definedName>
    <definedName name="nom">Tableau6[Nom affiche]</definedName>
    <definedName name="NomFormetEval">Tableau1[Formateur et Evaluateur]</definedName>
    <definedName name="Segment_an">#N/A</definedName>
    <definedName name="Segment_mois">#N/A</definedName>
    <definedName name="Segment_Qui1">#N/A</definedName>
    <definedName name="Segment_Quoi1">#N/A</definedName>
  </definedNames>
  <calcPr calcId="179021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6"/>
        <x14:slicerCache r:id="rId7"/>
        <x14:slicerCache r:id="rId8"/>
        <x14:slicerCache r:id="rId9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2" i="16" l="1" a="1"/>
  <c r="D2" i="16"/>
  <c r="D3" i="16" a="1"/>
  <c r="D3" i="16"/>
  <c r="D4" i="16" a="1"/>
  <c r="D4" i="16"/>
  <c r="D5" i="16" a="1"/>
  <c r="D5" i="16"/>
  <c r="D6" i="16" a="1"/>
  <c r="D6" i="16"/>
  <c r="D7" i="16" a="1"/>
  <c r="D7" i="16"/>
  <c r="D8" i="16" a="1"/>
  <c r="D8" i="16"/>
  <c r="D9" i="16" a="1"/>
  <c r="D9" i="16"/>
  <c r="D10" i="16" a="1"/>
  <c r="D10" i="16"/>
  <c r="D11" i="16" a="1"/>
  <c r="D11" i="16"/>
  <c r="D12" i="16" a="1"/>
  <c r="D12" i="16"/>
  <c r="D13" i="16" a="1"/>
  <c r="D13" i="16"/>
  <c r="D14" i="16" a="1"/>
  <c r="D14" i="16"/>
  <c r="D15" i="16" a="1"/>
  <c r="D15" i="16"/>
  <c r="A15" i="18" l="1" a="1"/>
  <c r="A15" i="18" s="1"/>
  <c r="A16" i="18" a="1"/>
  <c r="A16" i="18" s="1"/>
  <c r="A17" i="18" a="1"/>
  <c r="A17" i="18" s="1"/>
  <c r="A18" i="18" a="1"/>
  <c r="A18" i="18" s="1"/>
  <c r="B21" i="13" l="1"/>
  <c r="C21" i="13"/>
  <c r="J4" i="7" a="1"/>
  <c r="J4" i="7" s="1"/>
  <c r="J5" i="7" a="1"/>
  <c r="J5" i="7" s="1"/>
  <c r="J6" i="7" a="1"/>
  <c r="J6" i="7" s="1"/>
  <c r="J7" i="7" a="1"/>
  <c r="J7" i="7" s="1"/>
  <c r="J8" i="7" a="1"/>
  <c r="J8" i="7" s="1"/>
  <c r="J9" i="7" a="1"/>
  <c r="J9" i="7" s="1"/>
  <c r="J10" i="7" a="1"/>
  <c r="J10" i="7" s="1"/>
  <c r="J11" i="7" a="1"/>
  <c r="J11" i="7" s="1"/>
  <c r="J12" i="7" a="1"/>
  <c r="J12" i="7" s="1"/>
  <c r="J13" i="7" a="1"/>
  <c r="J13" i="7" s="1"/>
  <c r="J14" i="7" a="1"/>
  <c r="J14" i="7" s="1"/>
  <c r="J15" i="7" a="1"/>
  <c r="J15" i="7" s="1"/>
  <c r="J16" i="7" a="1"/>
  <c r="J16" i="7" s="1"/>
  <c r="J17" i="7" a="1"/>
  <c r="J17" i="7" s="1"/>
  <c r="M4" i="7" a="1"/>
  <c r="M4" i="7" s="1"/>
  <c r="M5" i="7" a="1"/>
  <c r="M5" i="7" s="1"/>
  <c r="M6" i="7" a="1"/>
  <c r="M6" i="7" s="1"/>
  <c r="M7" i="7" a="1"/>
  <c r="M7" i="7" s="1"/>
  <c r="M8" i="7" a="1"/>
  <c r="M8" i="7" s="1"/>
  <c r="M9" i="7" a="1"/>
  <c r="M9" i="7" s="1"/>
  <c r="M10" i="7" a="1"/>
  <c r="M10" i="7" s="1"/>
  <c r="M11" i="7" a="1"/>
  <c r="M11" i="7" s="1"/>
  <c r="M12" i="7" a="1"/>
  <c r="M12" i="7" s="1"/>
  <c r="M13" i="7" a="1"/>
  <c r="M13" i="7" s="1"/>
  <c r="M14" i="7" a="1"/>
  <c r="M14" i="7" s="1"/>
  <c r="M15" i="7" a="1"/>
  <c r="M15" i="7" s="1"/>
  <c r="M16" i="7" a="1"/>
  <c r="M16" i="7" s="1"/>
  <c r="M17" i="7" a="1"/>
  <c r="M17" i="7" s="1"/>
  <c r="P4" i="7" a="1"/>
  <c r="P4" i="7" s="1"/>
  <c r="P5" i="7" a="1"/>
  <c r="P5" i="7" s="1"/>
  <c r="P6" i="7" a="1"/>
  <c r="P6" i="7" s="1"/>
  <c r="P7" i="7" a="1"/>
  <c r="P7" i="7" s="1"/>
  <c r="P8" i="7" a="1"/>
  <c r="P8" i="7" s="1"/>
  <c r="P9" i="7" a="1"/>
  <c r="P9" i="7" s="1"/>
  <c r="P10" i="7" a="1"/>
  <c r="P10" i="7" s="1"/>
  <c r="P11" i="7" a="1"/>
  <c r="P11" i="7" s="1"/>
  <c r="P12" i="7" a="1"/>
  <c r="P12" i="7" s="1"/>
  <c r="P13" i="7" a="1"/>
  <c r="P13" i="7" s="1"/>
  <c r="P14" i="7" a="1"/>
  <c r="P14" i="7" s="1"/>
  <c r="P15" i="7" a="1"/>
  <c r="P15" i="7" s="1"/>
  <c r="P16" i="7" a="1"/>
  <c r="P16" i="7" s="1"/>
  <c r="P17" i="7" a="1"/>
  <c r="P17" i="7" s="1"/>
  <c r="AB4" i="7" a="1"/>
  <c r="AB4" i="7" s="1"/>
  <c r="AB5" i="7" a="1"/>
  <c r="AB5" i="7" s="1"/>
  <c r="AB6" i="7" a="1"/>
  <c r="AB6" i="7" s="1"/>
  <c r="AB7" i="7" a="1"/>
  <c r="AB7" i="7" s="1"/>
  <c r="AB8" i="7" a="1"/>
  <c r="AB8" i="7" s="1"/>
  <c r="AB9" i="7" a="1"/>
  <c r="AB9" i="7" s="1"/>
  <c r="AB10" i="7" a="1"/>
  <c r="AB10" i="7" s="1"/>
  <c r="AB11" i="7" a="1"/>
  <c r="AB11" i="7" s="1"/>
  <c r="AB12" i="7" a="1"/>
  <c r="AB12" i="7" s="1"/>
  <c r="AB13" i="7" a="1"/>
  <c r="AB13" i="7" s="1"/>
  <c r="AB14" i="7" a="1"/>
  <c r="AB14" i="7" s="1"/>
  <c r="AB15" i="7" a="1"/>
  <c r="AB15" i="7" s="1"/>
  <c r="AB16" i="7" a="1"/>
  <c r="AB16" i="7" s="1"/>
  <c r="AB17" i="7" a="1"/>
  <c r="AB17" i="7" s="1"/>
  <c r="BC4" i="7" a="1"/>
  <c r="BC4" i="7" s="1"/>
  <c r="BC5" i="7" a="1"/>
  <c r="BC5" i="7" s="1"/>
  <c r="BC6" i="7" a="1"/>
  <c r="BC6" i="7" s="1"/>
  <c r="BC7" i="7" a="1"/>
  <c r="BC7" i="7" s="1"/>
  <c r="BC8" i="7" a="1"/>
  <c r="BC8" i="7" s="1"/>
  <c r="BC9" i="7" a="1"/>
  <c r="BC9" i="7" s="1"/>
  <c r="BC10" i="7" a="1"/>
  <c r="BC10" i="7" s="1"/>
  <c r="BC11" i="7" a="1"/>
  <c r="BC11" i="7" s="1"/>
  <c r="BC12" i="7" a="1"/>
  <c r="BC12" i="7" s="1"/>
  <c r="BC13" i="7" a="1"/>
  <c r="BC13" i="7" s="1"/>
  <c r="BC14" i="7" a="1"/>
  <c r="BC14" i="7" s="1"/>
  <c r="BC15" i="7" a="1"/>
  <c r="BC15" i="7" s="1"/>
  <c r="BC16" i="7" a="1"/>
  <c r="BC16" i="7" s="1"/>
  <c r="BC17" i="7" a="1"/>
  <c r="BC17" i="7" s="1"/>
  <c r="BF4" i="7" a="1"/>
  <c r="BF4" i="7" s="1"/>
  <c r="BF5" i="7" a="1"/>
  <c r="BF5" i="7" s="1"/>
  <c r="BF6" i="7" a="1"/>
  <c r="BF6" i="7" s="1"/>
  <c r="BF7" i="7" a="1"/>
  <c r="BF7" i="7" s="1"/>
  <c r="BF8" i="7" a="1"/>
  <c r="BF8" i="7" s="1"/>
  <c r="BF9" i="7" a="1"/>
  <c r="BF9" i="7" s="1"/>
  <c r="BF10" i="7" a="1"/>
  <c r="BF10" i="7" s="1"/>
  <c r="BF11" i="7" a="1"/>
  <c r="BF11" i="7" s="1"/>
  <c r="BF12" i="7" a="1"/>
  <c r="BF12" i="7" s="1"/>
  <c r="BF13" i="7" a="1"/>
  <c r="BF13" i="7" s="1"/>
  <c r="BF14" i="7" a="1"/>
  <c r="BF14" i="7" s="1"/>
  <c r="BF15" i="7" a="1"/>
  <c r="BF15" i="7" s="1"/>
  <c r="BF16" i="7" a="1"/>
  <c r="BF16" i="7" s="1"/>
  <c r="BF17" i="7" a="1"/>
  <c r="BF17" i="7" s="1"/>
  <c r="B20" i="13"/>
  <c r="C20" i="13"/>
  <c r="B19" i="13" l="1"/>
  <c r="C19" i="13"/>
  <c r="B18" i="13"/>
  <c r="C18" i="13"/>
  <c r="B17" i="13"/>
  <c r="C17" i="13"/>
  <c r="H12" i="13" l="1"/>
  <c r="F1" i="16" l="1"/>
  <c r="G4" i="7"/>
  <c r="G5" i="7"/>
  <c r="G6" i="7"/>
  <c r="G7" i="7"/>
  <c r="G8" i="7"/>
  <c r="G9" i="7"/>
  <c r="G10" i="7"/>
  <c r="G11" i="7"/>
  <c r="G12" i="7"/>
  <c r="G13" i="7"/>
  <c r="G14" i="7"/>
  <c r="G15" i="7"/>
  <c r="G16" i="7"/>
  <c r="G17" i="7"/>
  <c r="L15" i="7" l="1" a="1"/>
  <c r="L15" i="7" s="1"/>
  <c r="L11" i="7" a="1"/>
  <c r="L11" i="7" s="1"/>
  <c r="L5" i="7" a="1"/>
  <c r="L5" i="7" s="1"/>
  <c r="L17" i="7" a="1"/>
  <c r="L17" i="7" s="1"/>
  <c r="L13" i="7" a="1"/>
  <c r="L13" i="7" s="1"/>
  <c r="L9" i="7" a="1"/>
  <c r="L9" i="7" s="1"/>
  <c r="L7" i="7" a="1"/>
  <c r="L7" i="7" s="1"/>
  <c r="L16" i="7" a="1"/>
  <c r="L16" i="7" s="1"/>
  <c r="L14" i="7" a="1"/>
  <c r="L14" i="7" s="1"/>
  <c r="L12" i="7" a="1"/>
  <c r="L12" i="7" s="1"/>
  <c r="L10" i="7" a="1"/>
  <c r="L10" i="7" s="1"/>
  <c r="L8" i="7" a="1"/>
  <c r="L8" i="7" s="1"/>
  <c r="L6" i="7" a="1"/>
  <c r="L6" i="7" s="1"/>
  <c r="L4" i="7" a="1"/>
  <c r="L4" i="7" s="1"/>
  <c r="E2" i="13" l="1" a="1"/>
  <c r="E2" i="13" s="1"/>
  <c r="B17" i="7"/>
  <c r="C17" i="7"/>
  <c r="S17" i="7" a="1"/>
  <c r="S17" i="7" s="1"/>
  <c r="V17" i="7" a="1"/>
  <c r="V17" i="7" s="1"/>
  <c r="Y17" i="7" a="1"/>
  <c r="Y17" i="7" s="1"/>
  <c r="AE17" i="7" a="1"/>
  <c r="AE17" i="7" s="1"/>
  <c r="AH17" i="7" a="1"/>
  <c r="AH17" i="7" s="1"/>
  <c r="AJ17" i="7" s="1"/>
  <c r="AK17" i="7" a="1"/>
  <c r="AK17" i="7" s="1"/>
  <c r="AN17" i="7" a="1"/>
  <c r="AN17" i="7" s="1"/>
  <c r="AQ17" i="7"/>
  <c r="AT17" i="7" a="1"/>
  <c r="AT17" i="7" s="1"/>
  <c r="AW17" i="7" a="1"/>
  <c r="AW17" i="7" s="1"/>
  <c r="AZ17" i="7" a="1"/>
  <c r="AZ17" i="7" s="1"/>
  <c r="B16" i="7"/>
  <c r="C16" i="7"/>
  <c r="S16" i="7" a="1"/>
  <c r="S16" i="7" s="1"/>
  <c r="V16" i="7" a="1"/>
  <c r="V16" i="7" s="1"/>
  <c r="Y16" i="7" a="1"/>
  <c r="Y16" i="7" s="1"/>
  <c r="AE16" i="7" a="1"/>
  <c r="AE16" i="7" s="1"/>
  <c r="AH16" i="7" a="1"/>
  <c r="AH16" i="7" s="1"/>
  <c r="AJ16" i="7" s="1"/>
  <c r="AK16" i="7" a="1"/>
  <c r="AK16" i="7" s="1"/>
  <c r="AN16" i="7" a="1"/>
  <c r="AN16" i="7" s="1"/>
  <c r="AQ16" i="7"/>
  <c r="AT16" i="7" a="1"/>
  <c r="AT16" i="7" s="1"/>
  <c r="AW16" i="7" a="1"/>
  <c r="AW16" i="7" s="1"/>
  <c r="AZ16" i="7" a="1"/>
  <c r="AZ16" i="7" s="1"/>
  <c r="B15" i="7"/>
  <c r="C15" i="7"/>
  <c r="S15" i="7" a="1"/>
  <c r="S15" i="7" s="1"/>
  <c r="V15" i="7" a="1"/>
  <c r="V15" i="7" s="1"/>
  <c r="Y15" i="7" a="1"/>
  <c r="Y15" i="7" s="1"/>
  <c r="AE15" i="7" a="1"/>
  <c r="AE15" i="7" s="1"/>
  <c r="AH15" i="7" a="1"/>
  <c r="AH15" i="7" s="1"/>
  <c r="AJ15" i="7" s="1"/>
  <c r="AK15" i="7" a="1"/>
  <c r="AK15" i="7" s="1"/>
  <c r="AN15" i="7" a="1"/>
  <c r="AN15" i="7" s="1"/>
  <c r="AQ15" i="7"/>
  <c r="AT15" i="7" a="1"/>
  <c r="AT15" i="7" s="1"/>
  <c r="AW15" i="7" a="1"/>
  <c r="AW15" i="7" s="1"/>
  <c r="AZ15" i="7" a="1"/>
  <c r="AZ15" i="7" s="1"/>
  <c r="B14" i="7"/>
  <c r="C14" i="7"/>
  <c r="S14" i="7" a="1"/>
  <c r="S14" i="7" s="1"/>
  <c r="Y14" i="7" a="1"/>
  <c r="Y14" i="7" s="1"/>
  <c r="AE14" i="7" a="1"/>
  <c r="AE14" i="7" s="1"/>
  <c r="AK14" i="7" a="1"/>
  <c r="AK14" i="7" s="1"/>
  <c r="AQ14" i="7"/>
  <c r="AW14" i="7" a="1"/>
  <c r="AW14" i="7" s="1"/>
  <c r="E5" i="13" l="1"/>
  <c r="AG14" i="7"/>
  <c r="AY15" i="7"/>
  <c r="AS15" i="7"/>
  <c r="AG15" i="7"/>
  <c r="AY14" i="7"/>
  <c r="AM14" i="7"/>
  <c r="AA14" i="7"/>
  <c r="O14" i="7"/>
  <c r="BH15" i="7"/>
  <c r="BB15" i="7"/>
  <c r="AV15" i="7"/>
  <c r="AP15" i="7"/>
  <c r="AD15" i="7"/>
  <c r="X15" i="7"/>
  <c r="R15" i="7"/>
  <c r="BH16" i="7"/>
  <c r="BB16" i="7"/>
  <c r="AV16" i="7"/>
  <c r="AP16" i="7"/>
  <c r="AD16" i="7"/>
  <c r="X16" i="7"/>
  <c r="R16" i="7"/>
  <c r="BH17" i="7"/>
  <c r="BB17" i="7"/>
  <c r="AV17" i="7"/>
  <c r="AP17" i="7"/>
  <c r="AD17" i="7"/>
  <c r="X17" i="7"/>
  <c r="R17" i="7"/>
  <c r="BE14" i="7"/>
  <c r="AS14" i="7"/>
  <c r="U14" i="7"/>
  <c r="BE15" i="7"/>
  <c r="AM15" i="7"/>
  <c r="AA15" i="7"/>
  <c r="U15" i="7"/>
  <c r="O15" i="7"/>
  <c r="BE16" i="7"/>
  <c r="AY16" i="7"/>
  <c r="AS16" i="7"/>
  <c r="AM16" i="7"/>
  <c r="AG16" i="7"/>
  <c r="AA16" i="7"/>
  <c r="U16" i="7"/>
  <c r="O16" i="7"/>
  <c r="BE17" i="7"/>
  <c r="AY17" i="7"/>
  <c r="AS17" i="7"/>
  <c r="AM17" i="7"/>
  <c r="AG17" i="7"/>
  <c r="AA17" i="7"/>
  <c r="U17" i="7"/>
  <c r="O17" i="7"/>
  <c r="D7" i="13" a="1"/>
  <c r="D7" i="13" s="1"/>
  <c r="D10" i="13" a="1"/>
  <c r="D10" i="13" s="1"/>
  <c r="D9" i="13" a="1"/>
  <c r="D9" i="13" s="1"/>
  <c r="D8" i="13" a="1"/>
  <c r="D8" i="13" s="1"/>
  <c r="AZ14" i="7" a="1"/>
  <c r="AZ14" i="7" s="1"/>
  <c r="AT14" i="7" a="1"/>
  <c r="AT14" i="7" s="1"/>
  <c r="AN14" i="7" a="1"/>
  <c r="AN14" i="7" s="1"/>
  <c r="AH14" i="7" a="1"/>
  <c r="AH14" i="7" s="1"/>
  <c r="AJ14" i="7" s="1"/>
  <c r="V14" i="7" a="1"/>
  <c r="V14" i="7" s="1"/>
  <c r="AZ4" i="7" a="1"/>
  <c r="AZ4" i="7" s="1"/>
  <c r="AZ5" i="7" a="1"/>
  <c r="AZ5" i="7" s="1"/>
  <c r="AZ6" i="7" a="1"/>
  <c r="AZ6" i="7" s="1"/>
  <c r="AZ7" i="7" a="1"/>
  <c r="AZ7" i="7" s="1"/>
  <c r="AW4" i="7" a="1"/>
  <c r="AW4" i="7" s="1"/>
  <c r="AW5" i="7" a="1"/>
  <c r="AW5" i="7" s="1"/>
  <c r="AW6" i="7" a="1"/>
  <c r="AW6" i="7" s="1"/>
  <c r="AW7" i="7" a="1"/>
  <c r="AW7" i="7" s="1"/>
  <c r="AT4" i="7" a="1"/>
  <c r="AT4" i="7" s="1"/>
  <c r="AT5" i="7" a="1"/>
  <c r="AT5" i="7" s="1"/>
  <c r="AT6" i="7" a="1"/>
  <c r="AT6" i="7" s="1"/>
  <c r="AT7" i="7" a="1"/>
  <c r="AT7" i="7" s="1"/>
  <c r="AN4" i="7" a="1"/>
  <c r="AN4" i="7" s="1"/>
  <c r="AN5" i="7" a="1"/>
  <c r="AN5" i="7" s="1"/>
  <c r="AN6" i="7" a="1"/>
  <c r="AN6" i="7" s="1"/>
  <c r="AN7" i="7" a="1"/>
  <c r="AN7" i="7" s="1"/>
  <c r="AQ4" i="7"/>
  <c r="AQ5" i="7"/>
  <c r="AQ6" i="7"/>
  <c r="AQ7" i="7"/>
  <c r="AK4" i="7" a="1"/>
  <c r="AK4" i="7" s="1"/>
  <c r="AK5" i="7" a="1"/>
  <c r="AK5" i="7" s="1"/>
  <c r="AK6" i="7" a="1"/>
  <c r="AK6" i="7" s="1"/>
  <c r="AK7" i="7" a="1"/>
  <c r="AK7" i="7" s="1"/>
  <c r="AH4" i="7" a="1"/>
  <c r="AH4" i="7" s="1"/>
  <c r="AJ4" i="7" s="1"/>
  <c r="AH5" i="7" a="1"/>
  <c r="AH5" i="7" s="1"/>
  <c r="AJ5" i="7" s="1"/>
  <c r="AH6" i="7" a="1"/>
  <c r="AH6" i="7" s="1"/>
  <c r="AJ6" i="7" s="1"/>
  <c r="AH7" i="7" a="1"/>
  <c r="AH7" i="7" s="1"/>
  <c r="AJ7" i="7" s="1"/>
  <c r="AE4" i="7" a="1"/>
  <c r="AE4" i="7" s="1"/>
  <c r="AE5" i="7" a="1"/>
  <c r="AE5" i="7" s="1"/>
  <c r="AE6" i="7" a="1"/>
  <c r="AE6" i="7" s="1"/>
  <c r="AE7" i="7" a="1"/>
  <c r="AE7" i="7" s="1"/>
  <c r="Y4" i="7" a="1"/>
  <c r="Y4" i="7" s="1"/>
  <c r="Y5" i="7" a="1"/>
  <c r="Y5" i="7" s="1"/>
  <c r="Y6" i="7" a="1"/>
  <c r="Y6" i="7" s="1"/>
  <c r="Y7" i="7" a="1"/>
  <c r="Y7" i="7" s="1"/>
  <c r="V4" i="7" a="1"/>
  <c r="V4" i="7" s="1"/>
  <c r="V5" i="7" a="1"/>
  <c r="V5" i="7" s="1"/>
  <c r="V6" i="7" a="1"/>
  <c r="V6" i="7" s="1"/>
  <c r="V7" i="7" a="1"/>
  <c r="V7" i="7" s="1"/>
  <c r="S4" i="7" a="1"/>
  <c r="S4" i="7" s="1"/>
  <c r="S5" i="7" a="1"/>
  <c r="S5" i="7" s="1"/>
  <c r="S6" i="7" a="1"/>
  <c r="S6" i="7" s="1"/>
  <c r="S7" i="7" a="1"/>
  <c r="S7" i="7" s="1"/>
  <c r="B13" i="7"/>
  <c r="C13" i="7"/>
  <c r="C14" i="13"/>
  <c r="C15" i="13"/>
  <c r="C16" i="13"/>
  <c r="B14" i="13"/>
  <c r="B15" i="13"/>
  <c r="B16" i="13"/>
  <c r="U6" i="7" l="1"/>
  <c r="X6" i="7"/>
  <c r="X4" i="7"/>
  <c r="AA6" i="7"/>
  <c r="AA4" i="7"/>
  <c r="AD6" i="7"/>
  <c r="AD4" i="7"/>
  <c r="AG6" i="7"/>
  <c r="AG4" i="7"/>
  <c r="AM4" i="7"/>
  <c r="R14" i="7"/>
  <c r="AD14" i="7"/>
  <c r="AP14" i="7"/>
  <c r="BB14" i="7"/>
  <c r="U4" i="7"/>
  <c r="BE13" i="7"/>
  <c r="U7" i="7"/>
  <c r="U5" i="7"/>
  <c r="X7" i="7"/>
  <c r="X5" i="7"/>
  <c r="AA7" i="7"/>
  <c r="AA5" i="7"/>
  <c r="AD7" i="7"/>
  <c r="AD5" i="7"/>
  <c r="AG7" i="7"/>
  <c r="AG5" i="7"/>
  <c r="X14" i="7"/>
  <c r="AV14" i="7"/>
  <c r="BH14" i="7"/>
  <c r="V13" i="7" a="1"/>
  <c r="V13" i="7" s="1"/>
  <c r="AH13" i="7" a="1"/>
  <c r="AH13" i="7" s="1"/>
  <c r="AJ13" i="7" s="1"/>
  <c r="AQ13" i="7"/>
  <c r="AT13" i="7" a="1"/>
  <c r="AT13" i="7" s="1"/>
  <c r="AZ13" i="7" a="1"/>
  <c r="AZ13" i="7" s="1"/>
  <c r="S13" i="7" a="1"/>
  <c r="S13" i="7" s="1"/>
  <c r="Y13" i="7" a="1"/>
  <c r="Y13" i="7" s="1"/>
  <c r="AE13" i="7" a="1"/>
  <c r="AE13" i="7" s="1"/>
  <c r="AK13" i="7" a="1"/>
  <c r="AK13" i="7" s="1"/>
  <c r="AN13" i="7" a="1"/>
  <c r="AN13" i="7" s="1"/>
  <c r="AW13" i="7" a="1"/>
  <c r="AW13" i="7" s="1"/>
  <c r="AY13" i="7" l="1"/>
  <c r="AM13" i="7"/>
  <c r="AA13" i="7"/>
  <c r="BH13" i="7"/>
  <c r="AV13" i="7"/>
  <c r="X13" i="7"/>
  <c r="AP13" i="7"/>
  <c r="AG13" i="7"/>
  <c r="U13" i="7"/>
  <c r="O13" i="7"/>
  <c r="BB13" i="7"/>
  <c r="AS13" i="7"/>
  <c r="AD13" i="7"/>
  <c r="R13" i="7"/>
  <c r="F12" i="13"/>
  <c r="B12" i="7" l="1"/>
  <c r="C12" i="7"/>
  <c r="B11" i="7"/>
  <c r="C11" i="7"/>
  <c r="B10" i="7"/>
  <c r="C10" i="7"/>
  <c r="BE4" i="7"/>
  <c r="BE5" i="7"/>
  <c r="BE6" i="7"/>
  <c r="BE7" i="7"/>
  <c r="AZ12" i="7" l="1" a="1"/>
  <c r="AZ12" i="7" s="1"/>
  <c r="AW12" i="7" a="1"/>
  <c r="AW12" i="7" s="1"/>
  <c r="AT12" i="7" a="1"/>
  <c r="AT12" i="7" s="1"/>
  <c r="AN12" i="7" a="1"/>
  <c r="AN12" i="7" s="1"/>
  <c r="AQ12" i="7"/>
  <c r="AK12" i="7" a="1"/>
  <c r="AK12" i="7" s="1"/>
  <c r="AH12" i="7" a="1"/>
  <c r="AH12" i="7" s="1"/>
  <c r="AJ12" i="7" s="1"/>
  <c r="AE12" i="7" a="1"/>
  <c r="AE12" i="7" s="1"/>
  <c r="Y12" i="7" a="1"/>
  <c r="Y12" i="7" s="1"/>
  <c r="V12" i="7" a="1"/>
  <c r="V12" i="7" s="1"/>
  <c r="S12" i="7" a="1"/>
  <c r="S12" i="7" s="1"/>
  <c r="AW11" i="7" a="1"/>
  <c r="AW11" i="7" s="1"/>
  <c r="AN11" i="7" a="1"/>
  <c r="AN11" i="7" s="1"/>
  <c r="AK11" i="7" a="1"/>
  <c r="AK11" i="7" s="1"/>
  <c r="AE11" i="7" a="1"/>
  <c r="AE11" i="7" s="1"/>
  <c r="Y11" i="7" a="1"/>
  <c r="Y11" i="7" s="1"/>
  <c r="S11" i="7" a="1"/>
  <c r="S11" i="7" s="1"/>
  <c r="AZ11" i="7" a="1"/>
  <c r="AZ11" i="7" s="1"/>
  <c r="AT11" i="7" a="1"/>
  <c r="AT11" i="7" s="1"/>
  <c r="AQ11" i="7"/>
  <c r="AH11" i="7" a="1"/>
  <c r="AH11" i="7" s="1"/>
  <c r="AJ11" i="7" s="1"/>
  <c r="V11" i="7" a="1"/>
  <c r="V11" i="7" s="1"/>
  <c r="AZ10" i="7" a="1"/>
  <c r="AZ10" i="7" s="1"/>
  <c r="AW10" i="7" a="1"/>
  <c r="AW10" i="7" s="1"/>
  <c r="AT10" i="7" a="1"/>
  <c r="AT10" i="7" s="1"/>
  <c r="AN10" i="7" a="1"/>
  <c r="AN10" i="7" s="1"/>
  <c r="AQ10" i="7"/>
  <c r="AK10" i="7" a="1"/>
  <c r="AK10" i="7" s="1"/>
  <c r="AH10" i="7" a="1"/>
  <c r="AH10" i="7" s="1"/>
  <c r="AJ10" i="7" s="1"/>
  <c r="AE10" i="7" a="1"/>
  <c r="AE10" i="7" s="1"/>
  <c r="Y10" i="7" a="1"/>
  <c r="Y10" i="7" s="1"/>
  <c r="V10" i="7" a="1"/>
  <c r="V10" i="7" s="1"/>
  <c r="S10" i="7" a="1"/>
  <c r="S10" i="7" s="1"/>
  <c r="AS4" i="7"/>
  <c r="AS5" i="7"/>
  <c r="AS6" i="7"/>
  <c r="AS7" i="7"/>
  <c r="AP4" i="7"/>
  <c r="AP5" i="7"/>
  <c r="AP6" i="7"/>
  <c r="AP7" i="7"/>
  <c r="B9" i="7"/>
  <c r="C9" i="7"/>
  <c r="B4" i="7"/>
  <c r="B5" i="7"/>
  <c r="B6" i="7"/>
  <c r="B7" i="7"/>
  <c r="B8" i="7"/>
  <c r="C4" i="7"/>
  <c r="C5" i="7"/>
  <c r="C6" i="7"/>
  <c r="C7" i="7"/>
  <c r="C8" i="7"/>
  <c r="R11" i="7" l="1"/>
  <c r="AD11" i="7"/>
  <c r="AS11" i="7"/>
  <c r="BB11" i="7"/>
  <c r="O11" i="7"/>
  <c r="U11" i="7"/>
  <c r="AG11" i="7"/>
  <c r="AP11" i="7"/>
  <c r="BE11" i="7"/>
  <c r="X11" i="7"/>
  <c r="AV11" i="7"/>
  <c r="BH11" i="7"/>
  <c r="AA11" i="7"/>
  <c r="AM11" i="7"/>
  <c r="AY11" i="7"/>
  <c r="U10" i="7"/>
  <c r="AA10" i="7"/>
  <c r="AG10" i="7"/>
  <c r="AM10" i="7"/>
  <c r="AP10" i="7"/>
  <c r="AY10" i="7"/>
  <c r="BE10" i="7"/>
  <c r="U12" i="7"/>
  <c r="AA12" i="7"/>
  <c r="AG12" i="7"/>
  <c r="AM12" i="7"/>
  <c r="AP12" i="7"/>
  <c r="AY12" i="7"/>
  <c r="BE12" i="7"/>
  <c r="O10" i="7"/>
  <c r="R10" i="7"/>
  <c r="X10" i="7"/>
  <c r="AD10" i="7"/>
  <c r="AS10" i="7"/>
  <c r="AV10" i="7"/>
  <c r="BB10" i="7"/>
  <c r="BH10" i="7"/>
  <c r="O12" i="7"/>
  <c r="R12" i="7"/>
  <c r="X12" i="7"/>
  <c r="AD12" i="7"/>
  <c r="AS12" i="7"/>
  <c r="AV12" i="7"/>
  <c r="BB12" i="7"/>
  <c r="BH12" i="7"/>
  <c r="AW9" i="7" a="1"/>
  <c r="AW9" i="7" s="1"/>
  <c r="AN9" i="7" a="1"/>
  <c r="AN9" i="7" s="1"/>
  <c r="AK9" i="7" a="1"/>
  <c r="AK9" i="7" s="1"/>
  <c r="AE9" i="7" a="1"/>
  <c r="AE9" i="7" s="1"/>
  <c r="Y9" i="7" a="1"/>
  <c r="Y9" i="7" s="1"/>
  <c r="S9" i="7" a="1"/>
  <c r="S9" i="7" s="1"/>
  <c r="AZ9" i="7" a="1"/>
  <c r="AZ9" i="7" s="1"/>
  <c r="AT9" i="7" a="1"/>
  <c r="AT9" i="7" s="1"/>
  <c r="AQ9" i="7"/>
  <c r="AH9" i="7" a="1"/>
  <c r="AH9" i="7" s="1"/>
  <c r="AJ9" i="7" s="1"/>
  <c r="V9" i="7" a="1"/>
  <c r="V9" i="7" s="1"/>
  <c r="AZ8" i="7" a="1"/>
  <c r="AZ8" i="7" s="1"/>
  <c r="AW8" i="7" a="1"/>
  <c r="AW8" i="7" s="1"/>
  <c r="AT8" i="7" a="1"/>
  <c r="AT8" i="7" s="1"/>
  <c r="AN8" i="7" a="1"/>
  <c r="AN8" i="7" s="1"/>
  <c r="AQ8" i="7"/>
  <c r="AK8" i="7" a="1"/>
  <c r="AK8" i="7" s="1"/>
  <c r="AH8" i="7" a="1"/>
  <c r="AH8" i="7" s="1"/>
  <c r="AJ8" i="7" s="1"/>
  <c r="AE8" i="7" a="1"/>
  <c r="AE8" i="7" s="1"/>
  <c r="Y8" i="7" a="1"/>
  <c r="Y8" i="7" s="1"/>
  <c r="V8" i="7" a="1"/>
  <c r="V8" i="7" s="1"/>
  <c r="S8" i="7" a="1"/>
  <c r="S8" i="7" s="1"/>
  <c r="BH4" i="7"/>
  <c r="BH5" i="7"/>
  <c r="BH6" i="7"/>
  <c r="BH7" i="7"/>
  <c r="AA8" i="7" l="1"/>
  <c r="AG8" i="7"/>
  <c r="AM8" i="7"/>
  <c r="AP8" i="7"/>
  <c r="AY8" i="7"/>
  <c r="BE8" i="7"/>
  <c r="O9" i="7"/>
  <c r="X9" i="7"/>
  <c r="J10" i="13" a="1"/>
  <c r="J10" i="13" s="1"/>
  <c r="AV9" i="7"/>
  <c r="BH9" i="7"/>
  <c r="U9" i="7"/>
  <c r="AG9" i="7"/>
  <c r="AP9" i="7"/>
  <c r="BE9" i="7"/>
  <c r="U8" i="7"/>
  <c r="O8" i="7"/>
  <c r="R8" i="7"/>
  <c r="X8" i="7"/>
  <c r="AD8" i="7"/>
  <c r="AS8" i="7"/>
  <c r="AV8" i="7"/>
  <c r="BB8" i="7"/>
  <c r="BH8" i="7"/>
  <c r="R9" i="7"/>
  <c r="AD9" i="7"/>
  <c r="AS9" i="7"/>
  <c r="BB9" i="7"/>
  <c r="AA9" i="7"/>
  <c r="AM9" i="7"/>
  <c r="AY9" i="7"/>
  <c r="J6" i="13" a="1"/>
  <c r="J6" i="13" s="1"/>
  <c r="AM5" i="7"/>
  <c r="AM6" i="7"/>
  <c r="AM7" i="7"/>
  <c r="AV5" i="7"/>
  <c r="AV6" i="7"/>
  <c r="AV7" i="7"/>
  <c r="AY5" i="7"/>
  <c r="AY6" i="7"/>
  <c r="AY7" i="7"/>
  <c r="BB5" i="7"/>
  <c r="BB6" i="7"/>
  <c r="BB7" i="7"/>
  <c r="R5" i="7"/>
  <c r="R6" i="7"/>
  <c r="R7" i="7"/>
  <c r="O5" i="7"/>
  <c r="O6" i="7"/>
  <c r="O7" i="7"/>
  <c r="BB4" i="7"/>
  <c r="AY4" i="7"/>
  <c r="AV4" i="7"/>
  <c r="J8" i="13" l="1" a="1"/>
  <c r="J8" i="13" s="1"/>
  <c r="J9" i="13" a="1"/>
  <c r="J9" i="13" s="1"/>
  <c r="J4" i="13" a="1"/>
  <c r="J4" i="13" s="1"/>
  <c r="J5" i="13" a="1"/>
  <c r="J5" i="13" s="1"/>
  <c r="G4" i="13" a="1"/>
  <c r="G4" i="13" s="1"/>
  <c r="J2" i="13" a="1"/>
  <c r="J2" i="13" s="1"/>
  <c r="J7" i="13" a="1"/>
  <c r="J7" i="13" s="1"/>
  <c r="J3" i="13" a="1"/>
  <c r="J3" i="13" s="1"/>
  <c r="G9" i="13" a="1"/>
  <c r="G9" i="13" s="1"/>
  <c r="G10" i="13" a="1"/>
  <c r="G10" i="13" s="1"/>
  <c r="O4" i="7"/>
  <c r="R4" i="7"/>
  <c r="E4" i="13" l="1"/>
  <c r="G8" i="13" a="1"/>
  <c r="G8" i="13" s="1"/>
  <c r="G7" i="13" a="1"/>
  <c r="G7" i="13" s="1"/>
  <c r="G6" i="13" l="1" a="1"/>
  <c r="G6" i="13" s="1"/>
</calcChain>
</file>

<file path=xl/sharedStrings.xml><?xml version="1.0" encoding="utf-8"?>
<sst xmlns="http://schemas.openxmlformats.org/spreadsheetml/2006/main" count="285" uniqueCount="204">
  <si>
    <t>Aire de mouvement</t>
  </si>
  <si>
    <t>Véhicules</t>
  </si>
  <si>
    <t>CO²</t>
  </si>
  <si>
    <t>Date</t>
  </si>
  <si>
    <t>LEROY France</t>
  </si>
  <si>
    <t>Initiale CM</t>
  </si>
  <si>
    <t>âge</t>
  </si>
  <si>
    <t>LEROY</t>
  </si>
  <si>
    <t>France</t>
  </si>
  <si>
    <t>Actif</t>
  </si>
  <si>
    <t>TRAVAIL</t>
  </si>
  <si>
    <t>MEDICALE</t>
  </si>
  <si>
    <t>période trv</t>
  </si>
  <si>
    <t>période méd</t>
  </si>
  <si>
    <t>période per</t>
  </si>
  <si>
    <t>dernière visite trv</t>
  </si>
  <si>
    <t>prochaine visite trv</t>
  </si>
  <si>
    <t>dernière visite méd</t>
  </si>
  <si>
    <t>prochaine visite méd</t>
  </si>
  <si>
    <t>dernière visite per</t>
  </si>
  <si>
    <t>prochaine visite per</t>
  </si>
  <si>
    <t>SCHWEITZER</t>
  </si>
  <si>
    <t>Jean-Michel</t>
  </si>
  <si>
    <t>Qui</t>
  </si>
  <si>
    <t>Quoi</t>
  </si>
  <si>
    <t>BENAZET</t>
  </si>
  <si>
    <t>ZARAGOZA</t>
  </si>
  <si>
    <t>Didier</t>
  </si>
  <si>
    <t>SANTOS</t>
  </si>
  <si>
    <t>Jean-François</t>
  </si>
  <si>
    <t>NAVARRO</t>
  </si>
  <si>
    <t>Christophe</t>
  </si>
  <si>
    <t>AUDIE</t>
  </si>
  <si>
    <t>Anthony</t>
  </si>
  <si>
    <t>DISTEFANO</t>
  </si>
  <si>
    <t>Alexis</t>
  </si>
  <si>
    <t>Jean-Sébastien</t>
  </si>
  <si>
    <t>Nom affiche</t>
  </si>
  <si>
    <t>Nom</t>
  </si>
  <si>
    <t>Prénom</t>
  </si>
  <si>
    <t>Date de naissance</t>
  </si>
  <si>
    <t>Jean-René</t>
  </si>
  <si>
    <t>AIRE DE MOUVEMENT</t>
  </si>
  <si>
    <t>ENSEMBLE DE L'AERODROME</t>
  </si>
  <si>
    <t>ABORDS DE L'AERODROME</t>
  </si>
  <si>
    <t>dernière visite mvt</t>
  </si>
  <si>
    <t>prochaine visite mvt</t>
  </si>
  <si>
    <t>dernière visite za</t>
  </si>
  <si>
    <t>prochaine visite za</t>
  </si>
  <si>
    <t>dernière visite zva</t>
  </si>
  <si>
    <t>prochaine visite zva</t>
  </si>
  <si>
    <t>EQUIPEMENTS</t>
  </si>
  <si>
    <t>dernière visite pou</t>
  </si>
  <si>
    <t>prochaine visite pou</t>
  </si>
  <si>
    <t>POUDRE FEUX DE METAUX</t>
  </si>
  <si>
    <t>dernière visite mét</t>
  </si>
  <si>
    <t>prochaine visite mét</t>
  </si>
  <si>
    <t>CO2</t>
  </si>
  <si>
    <t>dernière visite co²</t>
  </si>
  <si>
    <t>prochaine visite co²</t>
  </si>
  <si>
    <t>POUDRE ET EAU PULVE</t>
  </si>
  <si>
    <t>Status</t>
  </si>
  <si>
    <t>PERMIS PL</t>
  </si>
  <si>
    <t>en année</t>
  </si>
  <si>
    <t>en jour</t>
  </si>
  <si>
    <t>en mois</t>
  </si>
  <si>
    <t>BADGE ROUGE</t>
  </si>
  <si>
    <t>SURETE</t>
  </si>
  <si>
    <t>CIRCULATION PISTE</t>
  </si>
  <si>
    <t>période mvt</t>
  </si>
  <si>
    <t>période za</t>
  </si>
  <si>
    <t>période zva</t>
  </si>
  <si>
    <t>période pou</t>
  </si>
  <si>
    <t>période mét</t>
  </si>
  <si>
    <t>période co²</t>
  </si>
  <si>
    <t>période rpa</t>
  </si>
  <si>
    <t>prochaine visite rpa</t>
  </si>
  <si>
    <t>dernière visite bad</t>
  </si>
  <si>
    <t>période bad</t>
  </si>
  <si>
    <t>prochaine visite bad</t>
  </si>
  <si>
    <t>dernière visite sur</t>
  </si>
  <si>
    <t>période sur</t>
  </si>
  <si>
    <t>prochaine visite sur</t>
  </si>
  <si>
    <t>dernière visite pis</t>
  </si>
  <si>
    <t>période pis</t>
  </si>
  <si>
    <t>prochaine visite pis</t>
  </si>
  <si>
    <t>dernière visite ari</t>
  </si>
  <si>
    <t>période ari</t>
  </si>
  <si>
    <t>prochaine visite ari</t>
  </si>
  <si>
    <t>Visite médicale</t>
  </si>
  <si>
    <t>Visite du travail</t>
  </si>
  <si>
    <t>Nom abrégé</t>
  </si>
  <si>
    <t>Zone Aérodrome</t>
  </si>
  <si>
    <t>Zone Voisine Aérodrome</t>
  </si>
  <si>
    <t>dernière visite epi</t>
  </si>
  <si>
    <t>période epi</t>
  </si>
  <si>
    <t>prochaine visite epi</t>
  </si>
  <si>
    <t>EQUIPEMENT</t>
  </si>
  <si>
    <t>dernière visite véh</t>
  </si>
  <si>
    <t>période véh</t>
  </si>
  <si>
    <t>prochaine visite véh</t>
  </si>
  <si>
    <t>Recyclage sûreté</t>
  </si>
  <si>
    <t>RECYCLAGE</t>
  </si>
  <si>
    <t>dernière visite ! !</t>
  </si>
  <si>
    <t>période ! !</t>
  </si>
  <si>
    <t>prochaine visite ! !</t>
  </si>
  <si>
    <t>dernière visite rpa</t>
  </si>
  <si>
    <t>an</t>
  </si>
  <si>
    <t>mois</t>
  </si>
  <si>
    <t>Détail</t>
  </si>
  <si>
    <t>Durée</t>
  </si>
  <si>
    <t>Formateur</t>
  </si>
  <si>
    <t>Evaluateur</t>
  </si>
  <si>
    <t>Initiale PA</t>
  </si>
  <si>
    <t>Badge</t>
  </si>
  <si>
    <t>Pompier Aéroport</t>
  </si>
  <si>
    <t>Chef de Manœuvre</t>
  </si>
  <si>
    <t>Visite poids lourd</t>
  </si>
  <si>
    <t>Sapeur-Pompier</t>
  </si>
  <si>
    <t>Permis piste</t>
  </si>
  <si>
    <t>Zone aérodrome</t>
  </si>
  <si>
    <t>Zone voisine d'aéridrome</t>
  </si>
  <si>
    <t>EPI</t>
  </si>
  <si>
    <t>ARI</t>
  </si>
  <si>
    <t>Poudre métaux</t>
  </si>
  <si>
    <t>Initiale SP</t>
  </si>
  <si>
    <t>Initiale RSSLIA</t>
  </si>
  <si>
    <t>Sûreté</t>
  </si>
  <si>
    <t>Circulation piste</t>
  </si>
  <si>
    <t>Poudre et eau pulvé</t>
  </si>
  <si>
    <t>FERRARA</t>
  </si>
  <si>
    <t>Julien</t>
  </si>
  <si>
    <t>Rec SSLIA</t>
  </si>
  <si>
    <t>AFONSO</t>
  </si>
  <si>
    <t>Xavier</t>
  </si>
  <si>
    <t>BALLESTER</t>
  </si>
  <si>
    <t>DESMYTER</t>
  </si>
  <si>
    <t>Damien</t>
  </si>
  <si>
    <t>NAJJARI</t>
  </si>
  <si>
    <t>Mohamed</t>
  </si>
  <si>
    <t>Recyclage sslia</t>
  </si>
  <si>
    <t>Responsable sslia</t>
  </si>
  <si>
    <t>date entrée</t>
  </si>
  <si>
    <t>ii</t>
  </si>
  <si>
    <t>Prochaine visite</t>
  </si>
  <si>
    <t>Poudre et eau pulvérisée</t>
  </si>
  <si>
    <t>THEMES</t>
  </si>
  <si>
    <t>Vis Médicale</t>
  </si>
  <si>
    <t>Vis Travail</t>
  </si>
  <si>
    <t>Médecin du travail</t>
  </si>
  <si>
    <t>DGAC</t>
  </si>
  <si>
    <t>SDIS</t>
  </si>
  <si>
    <t>Vis Permis Lourd</t>
  </si>
  <si>
    <t>Formation Sapeur-Pompier</t>
  </si>
  <si>
    <t>Sect Nord</t>
  </si>
  <si>
    <t>Sect Sud</t>
  </si>
  <si>
    <t>Sect Est</t>
  </si>
  <si>
    <t>Sous-Themes</t>
  </si>
  <si>
    <t>Aires de manœuvre + trafic</t>
  </si>
  <si>
    <t>Sect Ouest</t>
  </si>
  <si>
    <t>Sect Nord Est</t>
  </si>
  <si>
    <t>Sect Sud Est</t>
  </si>
  <si>
    <t>Sect Sud Ouest</t>
  </si>
  <si>
    <t>Sect Nord Ouest</t>
  </si>
  <si>
    <t>Recyclage sslia PA ou CM</t>
  </si>
  <si>
    <t>Renouvellement badge</t>
  </si>
  <si>
    <t>Renouvellement permis piste</t>
  </si>
  <si>
    <t>E.P.I</t>
  </si>
  <si>
    <t>Vérification des E.P.I</t>
  </si>
  <si>
    <t>A.R.I</t>
  </si>
  <si>
    <t>Connaissance de l'A.R.I</t>
  </si>
  <si>
    <t>Percussion + vérification sécu 2</t>
  </si>
  <si>
    <t>Percussion + vérification sécu 3</t>
  </si>
  <si>
    <t>Véhicules et embarcations</t>
  </si>
  <si>
    <t>Connaissance + essais sécu 2</t>
  </si>
  <si>
    <t>Connaissance + essais sécu 3</t>
  </si>
  <si>
    <t>Formation Pompier Arérodrome</t>
  </si>
  <si>
    <t>Formation Chef de manœuvre</t>
  </si>
  <si>
    <t>Formation Responsable de service</t>
  </si>
  <si>
    <t>Médecin privé</t>
  </si>
  <si>
    <t>Formateur et Evaluateur</t>
  </si>
  <si>
    <t>DISTEFANO Alexis</t>
  </si>
  <si>
    <t>1200 m seuil 09</t>
  </si>
  <si>
    <t>1200 m seuil 27</t>
  </si>
  <si>
    <t>IFOSE</t>
  </si>
  <si>
    <t>ZARAGOZA Didier</t>
  </si>
  <si>
    <t/>
  </si>
  <si>
    <t>RECYCLAGE CM OU PA</t>
  </si>
  <si>
    <t>Vis Permis PL</t>
  </si>
  <si>
    <t>AFONSO Julien</t>
  </si>
  <si>
    <t>Agde</t>
  </si>
  <si>
    <t>BENAZET Jean-René</t>
  </si>
  <si>
    <t>SANTOS Jean-François</t>
  </si>
  <si>
    <t>Zone domaniale</t>
  </si>
  <si>
    <t>FORMATION OBLIGATOIRE</t>
  </si>
  <si>
    <t>NAVARRO Christophe</t>
  </si>
  <si>
    <t>AUDIE Anthony</t>
  </si>
  <si>
    <t>SCHWEITZER Jean-Michel</t>
  </si>
  <si>
    <t>LEROY Jean-Sébastien</t>
  </si>
  <si>
    <t>FERRARA Julien</t>
  </si>
  <si>
    <t>BALLESTER Xavier</t>
  </si>
  <si>
    <t>DESMYTER Damien</t>
  </si>
  <si>
    <t>NAJJARI Mohamed</t>
  </si>
  <si>
    <t>H = 2 / L = 1,8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</si>
</sst>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dd/mm/yyyy;;"/>
    <numFmt numFmtId="165" formatCode="[h]:mm"/>
  </numFmts>
  <fonts count="11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</font>
    <font>
      <b/>
      <sz val="10"/>
      <color theme="0"/>
      <name val="Times New Roman"/>
      <family val="1"/>
    </font>
    <font>
      <b/>
      <sz val="10"/>
      <color theme="1"/>
      <name val="Times New Roman"/>
      <family val="1"/>
    </font>
    <font>
      <sz val="9"/>
      <color theme="1"/>
      <name val="Times New Roman"/>
      <family val="1"/>
    </font>
    <font>
      <b/>
      <sz val="11"/>
      <color theme="1"/>
      <name val="Times New Roman"/>
      <family val="1"/>
    </font>
    <font>
      <i/>
      <sz val="8"/>
      <color rgb="FFC00000"/>
      <name val="Times New Roman"/>
      <family val="1"/>
    </font>
    <font>
      <b/>
      <sz val="10"/>
      <color theme="4"/>
      <name val="Times New Roman"/>
      <family val="1"/>
    </font>
    <font>
      <b/>
      <sz val="10"/>
      <color theme="4"/>
      <name val="Wingdings 3"/>
      <family val="1"/>
      <charset val="2"/>
    </font>
    <font>
      <b/>
      <sz val="8"/>
      <color theme="1"/>
      <name val="Verdana"/>
      <family val="2"/>
    </font>
    <font>
      <sz val="36"/>
      <color theme="1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/>
        <bgColor indexed="64"/>
      </patternFill>
    </fill>
  </fills>
  <borders count="11">
    <border>
      <left/>
      <right/>
      <top/>
      <bottom/>
      <diagonal/>
    </border>
    <border>
      <left style="thin">
        <color theme="0" tint="-4.9989318521683403E-2"/>
      </left>
      <right/>
      <top/>
      <bottom/>
      <diagonal/>
    </border>
    <border>
      <left/>
      <right style="thin">
        <color theme="0" tint="-4.9989318521683403E-2"/>
      </right>
      <top/>
      <bottom/>
      <diagonal/>
    </border>
    <border>
      <left style="double">
        <color theme="1" tint="0.499984740745262"/>
      </left>
      <right/>
      <top style="double">
        <color theme="1" tint="0.499984740745262"/>
      </top>
      <bottom/>
      <diagonal/>
    </border>
    <border>
      <left/>
      <right/>
      <top style="double">
        <color theme="1" tint="0.499984740745262"/>
      </top>
      <bottom/>
      <diagonal/>
    </border>
    <border>
      <left/>
      <right style="double">
        <color theme="1" tint="0.499984740745262"/>
      </right>
      <top style="double">
        <color theme="1" tint="0.499984740745262"/>
      </top>
      <bottom/>
      <diagonal/>
    </border>
    <border>
      <left style="double">
        <color theme="1" tint="0.499984740745262"/>
      </left>
      <right/>
      <top/>
      <bottom/>
      <diagonal/>
    </border>
    <border>
      <left/>
      <right style="double">
        <color theme="1" tint="0.499984740745262"/>
      </right>
      <top/>
      <bottom/>
      <diagonal/>
    </border>
    <border>
      <left style="double">
        <color theme="1" tint="0.499984740745262"/>
      </left>
      <right/>
      <top/>
      <bottom style="double">
        <color theme="1" tint="0.499984740745262"/>
      </bottom>
      <diagonal/>
    </border>
    <border>
      <left/>
      <right/>
      <top/>
      <bottom style="double">
        <color theme="1" tint="0.499984740745262"/>
      </bottom>
      <diagonal/>
    </border>
    <border>
      <left/>
      <right style="double">
        <color theme="1" tint="0.499984740745262"/>
      </right>
      <top/>
      <bottom style="double">
        <color theme="1" tint="0.499984740745262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/>
    <xf numFmtId="0" fontId="1" fillId="0" borderId="0" xfId="0" applyNumberFormat="1" applyFont="1"/>
    <xf numFmtId="14" fontId="1" fillId="0" borderId="0" xfId="0" quotePrefix="1" applyNumberFormat="1" applyFont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1" fillId="7" borderId="0" xfId="0" applyFont="1" applyFill="1"/>
    <xf numFmtId="0" fontId="9" fillId="6" borderId="0" xfId="0" applyFont="1" applyFill="1" applyAlignment="1">
      <alignment horizontal="center" vertical="center"/>
    </xf>
    <xf numFmtId="0" fontId="10" fillId="7" borderId="0" xfId="0" applyFont="1" applyFill="1" applyAlignment="1">
      <alignment vertical="center"/>
    </xf>
    <xf numFmtId="0" fontId="1" fillId="0" borderId="0" xfId="0" applyFont="1" applyAlignment="1" applyProtection="1">
      <alignment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14" fontId="1" fillId="0" borderId="0" xfId="0" applyNumberFormat="1" applyFont="1" applyAlignment="1" applyProtection="1">
      <alignment horizontal="center" vertical="center"/>
      <protection locked="0"/>
    </xf>
    <xf numFmtId="0" fontId="1" fillId="0" borderId="0" xfId="0" applyNumberFormat="1" applyFont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/>
    </xf>
    <xf numFmtId="0" fontId="4" fillId="0" borderId="0" xfId="0" applyFont="1" applyAlignment="1" applyProtection="1"/>
    <xf numFmtId="14" fontId="4" fillId="0" borderId="0" xfId="0" applyNumberFormat="1" applyFont="1" applyAlignment="1" applyProtection="1">
      <alignment horizontal="center"/>
    </xf>
    <xf numFmtId="0" fontId="1" fillId="0" borderId="0" xfId="0" applyFont="1" applyAlignment="1" applyProtection="1">
      <alignment horizontal="center" vertical="center"/>
    </xf>
    <xf numFmtId="0" fontId="1" fillId="0" borderId="0" xfId="0" applyFont="1" applyAlignment="1" applyProtection="1">
      <alignment vertical="center"/>
    </xf>
    <xf numFmtId="0" fontId="3" fillId="0" borderId="0" xfId="0" applyFont="1" applyAlignment="1" applyProtection="1">
      <alignment horizontal="center" vertical="center" wrapText="1"/>
    </xf>
    <xf numFmtId="14" fontId="3" fillId="0" borderId="0" xfId="0" applyNumberFormat="1" applyFont="1" applyAlignment="1" applyProtection="1">
      <alignment horizontal="center" vertical="center" wrapText="1"/>
    </xf>
    <xf numFmtId="0" fontId="1" fillId="0" borderId="0" xfId="0" applyFont="1" applyProtection="1">
      <protection locked="0"/>
    </xf>
    <xf numFmtId="0" fontId="1" fillId="0" borderId="3" xfId="0" applyFont="1" applyBorder="1" applyProtection="1"/>
    <xf numFmtId="0" fontId="1" fillId="0" borderId="4" xfId="0" applyFont="1" applyBorder="1" applyProtection="1"/>
    <xf numFmtId="0" fontId="1" fillId="0" borderId="4" xfId="0" applyFont="1" applyBorder="1" applyAlignment="1" applyProtection="1">
      <alignment horizontal="center" vertical="center"/>
    </xf>
    <xf numFmtId="0" fontId="1" fillId="0" borderId="5" xfId="0" applyFont="1" applyBorder="1" applyProtection="1"/>
    <xf numFmtId="0" fontId="1" fillId="0" borderId="6" xfId="0" applyFont="1" applyBorder="1" applyProtection="1"/>
    <xf numFmtId="0" fontId="1" fillId="0" borderId="0" xfId="0" applyFont="1" applyBorder="1" applyProtection="1"/>
    <xf numFmtId="0" fontId="5" fillId="0" borderId="0" xfId="0" applyFont="1" applyProtection="1"/>
    <xf numFmtId="0" fontId="1" fillId="0" borderId="0" xfId="0" applyFont="1" applyProtection="1"/>
    <xf numFmtId="0" fontId="7" fillId="0" borderId="0" xfId="0" applyFont="1" applyProtection="1"/>
    <xf numFmtId="0" fontId="1" fillId="0" borderId="0" xfId="0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right"/>
    </xf>
    <xf numFmtId="164" fontId="4" fillId="0" borderId="0" xfId="0" quotePrefix="1" applyNumberFormat="1" applyFont="1" applyBorder="1" applyAlignment="1" applyProtection="1">
      <alignment horizontal="left" indent="1"/>
    </xf>
    <xf numFmtId="0" fontId="1" fillId="0" borderId="7" xfId="0" applyFont="1" applyBorder="1" applyProtection="1"/>
    <xf numFmtId="0" fontId="8" fillId="0" borderId="0" xfId="0" applyFont="1" applyAlignment="1" applyProtection="1">
      <alignment horizontal="left" indent="3"/>
    </xf>
    <xf numFmtId="0" fontId="3" fillId="0" borderId="0" xfId="0" applyNumberFormat="1" applyFont="1" applyBorder="1" applyAlignment="1" applyProtection="1">
      <alignment horizontal="left"/>
    </xf>
    <xf numFmtId="14" fontId="3" fillId="0" borderId="0" xfId="0" quotePrefix="1" applyNumberFormat="1" applyFont="1" applyBorder="1" applyAlignment="1" applyProtection="1">
      <alignment horizontal="left"/>
    </xf>
    <xf numFmtId="164" fontId="4" fillId="0" borderId="0" xfId="0" applyNumberFormat="1" applyFont="1" applyProtection="1"/>
    <xf numFmtId="14" fontId="3" fillId="0" borderId="0" xfId="0" quotePrefix="1" applyNumberFormat="1" applyFont="1" applyBorder="1" applyAlignment="1" applyProtection="1">
      <alignment horizontal="left" indent="1"/>
    </xf>
    <xf numFmtId="164" fontId="4" fillId="0" borderId="0" xfId="0" applyNumberFormat="1" applyFont="1" applyBorder="1" applyProtection="1"/>
    <xf numFmtId="0" fontId="1" fillId="0" borderId="0" xfId="0" applyFont="1" applyBorder="1" applyAlignment="1" applyProtection="1"/>
    <xf numFmtId="0" fontId="1" fillId="0" borderId="8" xfId="0" applyFont="1" applyBorder="1" applyProtection="1"/>
    <xf numFmtId="0" fontId="1" fillId="0" borderId="9" xfId="0" applyFont="1" applyBorder="1" applyProtection="1"/>
    <xf numFmtId="0" fontId="1" fillId="0" borderId="9" xfId="0" applyFont="1" applyBorder="1" applyAlignment="1" applyProtection="1">
      <alignment horizontal="center" vertical="center"/>
    </xf>
    <xf numFmtId="0" fontId="1" fillId="0" borderId="10" xfId="0" applyFont="1" applyBorder="1" applyProtection="1"/>
    <xf numFmtId="0" fontId="6" fillId="0" borderId="0" xfId="0" applyFont="1" applyProtection="1"/>
    <xf numFmtId="165" fontId="6" fillId="0" borderId="0" xfId="0" applyNumberFormat="1" applyFont="1" applyAlignment="1" applyProtection="1">
      <alignment horizontal="center"/>
    </xf>
    <xf numFmtId="0" fontId="3" fillId="0" borderId="0" xfId="0" applyFon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2" fillId="4" borderId="0" xfId="0" applyFont="1" applyFill="1" applyAlignment="1" applyProtection="1">
      <alignment horizontal="center" vertical="center"/>
    </xf>
    <xf numFmtId="0" fontId="2" fillId="4" borderId="2" xfId="0" applyFont="1" applyFill="1" applyBorder="1" applyAlignment="1" applyProtection="1">
      <alignment horizontal="center" vertical="center"/>
    </xf>
    <xf numFmtId="0" fontId="2" fillId="4" borderId="1" xfId="0" applyFont="1" applyFill="1" applyBorder="1" applyAlignment="1" applyProtection="1">
      <alignment horizontal="center" vertical="center"/>
    </xf>
    <xf numFmtId="0" fontId="2" fillId="4" borderId="0" xfId="0" applyFont="1" applyFill="1" applyBorder="1" applyAlignment="1" applyProtection="1">
      <alignment horizontal="center" vertical="center"/>
    </xf>
    <xf numFmtId="0" fontId="2" fillId="2" borderId="0" xfId="0" applyFont="1" applyFill="1" applyAlignment="1" applyProtection="1">
      <alignment horizontal="center" vertical="center"/>
    </xf>
    <xf numFmtId="0" fontId="2" fillId="3" borderId="0" xfId="0" applyFont="1" applyFill="1" applyAlignment="1" applyProtection="1">
      <alignment horizontal="center" vertical="center"/>
    </xf>
    <xf numFmtId="0" fontId="2" fillId="5" borderId="0" xfId="0" applyFont="1" applyFill="1" applyAlignment="1" applyProtection="1">
      <alignment horizontal="center" vertical="center"/>
    </xf>
  </cellXfs>
  <cellStyles count="1">
    <cellStyle name="Normal" xfId="0" builtinId="0"/>
  </cellStyles>
  <dxfs count="8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family val="2"/>
        <scheme val="none"/>
      </font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color theme="1"/>
      </font>
      <border diagonalUp="0" diagonalDown="0">
        <left/>
        <right/>
        <top/>
        <bottom/>
        <vertical/>
        <horizontal/>
      </border>
    </dxf>
  </dxfs>
  <tableStyles count="1" defaultTableStyle="TableStyleMedium2" defaultPivotStyle="PivotStyleLight16">
    <tableStyle name="SlicerStyleLight1 2" pivot="0" table="0" count="10" xr9:uid="{D561D94F-A217-4490-80F4-5C0D4CA5FE06}">
      <tableStyleElement type="wholeTable" dxfId="80"/>
      <tableStyleElement type="headerRow" dxfId="79"/>
    </tableStyle>
  </tableStyles>
  <colors>
    <mruColors>
      <color rgb="FFFF5050"/>
      <color rgb="FFCCFFCC"/>
    </mruColors>
  </colors>
  <extLst>
    <ext xmlns:x14="http://schemas.microsoft.com/office/spreadsheetml/2009/9/main" uri="{46F421CA-312F-682f-3DD2-61675219B42D}">
      <x14:dxfs count="8"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4" tint="0.79998168889431442"/>
              <bgColor theme="4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SlicerStyleLight1 2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3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7/relationships/slicerCache" Target="slicerCaches/slicerCache4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jpeg"/><Relationship Id="rId3" Type="http://schemas.openxmlformats.org/officeDocument/2006/relationships/image" Target="../media/image3.jpeg"/><Relationship Id="rId7" Type="http://schemas.openxmlformats.org/officeDocument/2006/relationships/image" Target="../media/image7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6" Type="http://schemas.openxmlformats.org/officeDocument/2006/relationships/image" Target="../media/image6.jpeg"/><Relationship Id="rId11" Type="http://schemas.openxmlformats.org/officeDocument/2006/relationships/image" Target="../media/image11.jpeg"/><Relationship Id="rId5" Type="http://schemas.openxmlformats.org/officeDocument/2006/relationships/image" Target="../media/image5.jpeg"/><Relationship Id="rId10" Type="http://schemas.openxmlformats.org/officeDocument/2006/relationships/image" Target="../media/image10.jpeg"/><Relationship Id="rId4" Type="http://schemas.openxmlformats.org/officeDocument/2006/relationships/image" Target="../media/image4.jpeg"/><Relationship Id="rId9" Type="http://schemas.openxmlformats.org/officeDocument/2006/relationships/image" Target="../media/image9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2.emf"/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Fiche!A14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19077</xdr:colOff>
      <xdr:row>0</xdr:row>
      <xdr:rowOff>9</xdr:rowOff>
    </xdr:from>
    <xdr:to>
      <xdr:col>1</xdr:col>
      <xdr:colOff>667077</xdr:colOff>
      <xdr:row>0</xdr:row>
      <xdr:rowOff>720009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E16F9F2C-AE87-4059-B3EF-93444C0077C9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81177" y="9"/>
          <a:ext cx="648000" cy="720000"/>
        </a:xfrm>
        <a:prstGeom prst="rect">
          <a:avLst/>
        </a:prstGeom>
      </xdr:spPr>
    </xdr:pic>
    <xdr:clientData/>
  </xdr:twoCellAnchor>
  <xdr:twoCellAnchor editAs="oneCell">
    <xdr:from>
      <xdr:col>1</xdr:col>
      <xdr:colOff>19078</xdr:colOff>
      <xdr:row>1</xdr:row>
      <xdr:rowOff>9</xdr:rowOff>
    </xdr:from>
    <xdr:to>
      <xdr:col>1</xdr:col>
      <xdr:colOff>667078</xdr:colOff>
      <xdr:row>1</xdr:row>
      <xdr:rowOff>720009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37D31013-C779-4BE7-9DEA-F840023D471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81178" y="723909"/>
          <a:ext cx="648000" cy="720000"/>
        </a:xfrm>
        <a:prstGeom prst="rect">
          <a:avLst/>
        </a:prstGeom>
      </xdr:spPr>
    </xdr:pic>
    <xdr:clientData/>
  </xdr:twoCellAnchor>
  <xdr:twoCellAnchor editAs="oneCell">
    <xdr:from>
      <xdr:col>1</xdr:col>
      <xdr:colOff>19078</xdr:colOff>
      <xdr:row>2</xdr:row>
      <xdr:rowOff>9</xdr:rowOff>
    </xdr:from>
    <xdr:to>
      <xdr:col>1</xdr:col>
      <xdr:colOff>667078</xdr:colOff>
      <xdr:row>2</xdr:row>
      <xdr:rowOff>720009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44684C87-0977-4957-A6B5-78A55A628AC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81178" y="1447809"/>
          <a:ext cx="648000" cy="720000"/>
        </a:xfrm>
        <a:prstGeom prst="rect">
          <a:avLst/>
        </a:prstGeom>
      </xdr:spPr>
    </xdr:pic>
    <xdr:clientData/>
  </xdr:twoCellAnchor>
  <xdr:twoCellAnchor editAs="oneCell">
    <xdr:from>
      <xdr:col>1</xdr:col>
      <xdr:colOff>19077</xdr:colOff>
      <xdr:row>3</xdr:row>
      <xdr:rowOff>5390</xdr:rowOff>
    </xdr:from>
    <xdr:to>
      <xdr:col>1</xdr:col>
      <xdr:colOff>667077</xdr:colOff>
      <xdr:row>4</xdr:row>
      <xdr:rowOff>1490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CF23C6E7-4AF7-4020-B8DD-76C812CCA0AA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81177" y="2177090"/>
          <a:ext cx="648000" cy="720000"/>
        </a:xfrm>
        <a:prstGeom prst="rect">
          <a:avLst/>
        </a:prstGeom>
      </xdr:spPr>
    </xdr:pic>
    <xdr:clientData/>
  </xdr:twoCellAnchor>
  <xdr:twoCellAnchor editAs="oneCell">
    <xdr:from>
      <xdr:col>1</xdr:col>
      <xdr:colOff>19069</xdr:colOff>
      <xdr:row>4</xdr:row>
      <xdr:rowOff>9534</xdr:rowOff>
    </xdr:from>
    <xdr:to>
      <xdr:col>1</xdr:col>
      <xdr:colOff>667069</xdr:colOff>
      <xdr:row>5</xdr:row>
      <xdr:rowOff>5634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28C3E563-2C84-4F52-9FC9-20757291CE8A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81169" y="2905134"/>
          <a:ext cx="648000" cy="720000"/>
        </a:xfrm>
        <a:prstGeom prst="rect">
          <a:avLst/>
        </a:prstGeom>
      </xdr:spPr>
    </xdr:pic>
    <xdr:clientData/>
  </xdr:twoCellAnchor>
  <xdr:twoCellAnchor editAs="oneCell">
    <xdr:from>
      <xdr:col>1</xdr:col>
      <xdr:colOff>19079</xdr:colOff>
      <xdr:row>5</xdr:row>
      <xdr:rowOff>9534</xdr:rowOff>
    </xdr:from>
    <xdr:to>
      <xdr:col>1</xdr:col>
      <xdr:colOff>667079</xdr:colOff>
      <xdr:row>6</xdr:row>
      <xdr:rowOff>5634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2D33F01D-83CE-4BE0-BB1D-DBB3F5B81031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81179" y="3629034"/>
          <a:ext cx="648000" cy="720000"/>
        </a:xfrm>
        <a:prstGeom prst="rect">
          <a:avLst/>
        </a:prstGeom>
      </xdr:spPr>
    </xdr:pic>
    <xdr:clientData/>
  </xdr:twoCellAnchor>
  <xdr:twoCellAnchor editAs="oneCell">
    <xdr:from>
      <xdr:col>1</xdr:col>
      <xdr:colOff>19079</xdr:colOff>
      <xdr:row>7</xdr:row>
      <xdr:rowOff>9534</xdr:rowOff>
    </xdr:from>
    <xdr:to>
      <xdr:col>1</xdr:col>
      <xdr:colOff>667079</xdr:colOff>
      <xdr:row>8</xdr:row>
      <xdr:rowOff>5634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EF37CAB3-C6E5-438C-9F42-11E71B91BD09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81179" y="5076834"/>
          <a:ext cx="648000" cy="720000"/>
        </a:xfrm>
        <a:prstGeom prst="rect">
          <a:avLst/>
        </a:prstGeom>
      </xdr:spPr>
    </xdr:pic>
    <xdr:clientData/>
  </xdr:twoCellAnchor>
  <xdr:twoCellAnchor editAs="oneCell">
    <xdr:from>
      <xdr:col>1</xdr:col>
      <xdr:colOff>19079</xdr:colOff>
      <xdr:row>9</xdr:row>
      <xdr:rowOff>9534</xdr:rowOff>
    </xdr:from>
    <xdr:to>
      <xdr:col>1</xdr:col>
      <xdr:colOff>667079</xdr:colOff>
      <xdr:row>10</xdr:row>
      <xdr:rowOff>5634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id="{388685D4-FD70-4463-9304-BBA11DDB4BA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81179" y="6524634"/>
          <a:ext cx="648000" cy="720000"/>
        </a:xfrm>
        <a:prstGeom prst="rect">
          <a:avLst/>
        </a:prstGeom>
      </xdr:spPr>
    </xdr:pic>
    <xdr:clientData/>
  </xdr:twoCellAnchor>
  <xdr:twoCellAnchor editAs="oneCell">
    <xdr:from>
      <xdr:col>1</xdr:col>
      <xdr:colOff>19078</xdr:colOff>
      <xdr:row>10</xdr:row>
      <xdr:rowOff>19059</xdr:rowOff>
    </xdr:from>
    <xdr:to>
      <xdr:col>1</xdr:col>
      <xdr:colOff>667078</xdr:colOff>
      <xdr:row>11</xdr:row>
      <xdr:rowOff>15159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id="{032E10D0-80D5-4D71-938E-1BD2AF0D3A4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81178" y="7258059"/>
          <a:ext cx="648000" cy="720000"/>
        </a:xfrm>
        <a:prstGeom prst="rect">
          <a:avLst/>
        </a:prstGeom>
      </xdr:spPr>
    </xdr:pic>
    <xdr:clientData/>
  </xdr:twoCellAnchor>
  <xdr:twoCellAnchor editAs="oneCell">
    <xdr:from>
      <xdr:col>1</xdr:col>
      <xdr:colOff>14601</xdr:colOff>
      <xdr:row>8</xdr:row>
      <xdr:rowOff>9534</xdr:rowOff>
    </xdr:from>
    <xdr:to>
      <xdr:col>1</xdr:col>
      <xdr:colOff>662601</xdr:colOff>
      <xdr:row>9</xdr:row>
      <xdr:rowOff>5634</xdr:rowOff>
    </xdr:to>
    <xdr:pic>
      <xdr:nvPicPr>
        <xdr:cNvPr id="21" name="Image 20">
          <a:extLst>
            <a:ext uri="{FF2B5EF4-FFF2-40B4-BE49-F238E27FC236}">
              <a16:creationId xmlns:a16="http://schemas.microsoft.com/office/drawing/2014/main" id="{A5E2BB34-F73E-481A-8404-5A4D159873C7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76701" y="5800734"/>
          <a:ext cx="648000" cy="720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648000</xdr:colOff>
      <xdr:row>6</xdr:row>
      <xdr:rowOff>720000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B003A652-F28C-499F-ACA8-E6F442C49151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62100" y="4343400"/>
          <a:ext cx="648000" cy="7200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609600</xdr:colOff>
      <xdr:row>0</xdr:row>
      <xdr:rowOff>1</xdr:rowOff>
    </xdr:from>
    <xdr:to>
      <xdr:col>16</xdr:col>
      <xdr:colOff>152400</xdr:colOff>
      <xdr:row>5</xdr:row>
      <xdr:rowOff>61801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6" name="an">
              <a:extLst>
                <a:ext uri="{FF2B5EF4-FFF2-40B4-BE49-F238E27FC236}">
                  <a16:creationId xmlns:a16="http://schemas.microsoft.com/office/drawing/2014/main" id="{00000000-0008-0000-0200-000006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391775" y="1"/>
              <a:ext cx="18288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11</xdr:col>
      <xdr:colOff>114300</xdr:colOff>
      <xdr:row>0</xdr:row>
      <xdr:rowOff>0</xdr:rowOff>
    </xdr:from>
    <xdr:to>
      <xdr:col>13</xdr:col>
      <xdr:colOff>570300</xdr:colOff>
      <xdr:row>5</xdr:row>
      <xdr:rowOff>61800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7" name="mois">
              <a:extLst>
                <a:ext uri="{FF2B5EF4-FFF2-40B4-BE49-F238E27FC236}">
                  <a16:creationId xmlns:a16="http://schemas.microsoft.com/office/drawing/2014/main" id="{00000000-0008-0000-0200-000007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372475" y="0"/>
              <a:ext cx="19800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11</xdr:col>
      <xdr:colOff>114300</xdr:colOff>
      <xdr:row>5</xdr:row>
      <xdr:rowOff>114300</xdr:rowOff>
    </xdr:from>
    <xdr:to>
      <xdr:col>13</xdr:col>
      <xdr:colOff>570300</xdr:colOff>
      <xdr:row>12</xdr:row>
      <xdr:rowOff>142875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8" name="Qui 1">
              <a:extLst>
                <a:ext uri="{FF2B5EF4-FFF2-40B4-BE49-F238E27FC236}">
                  <a16:creationId xmlns:a16="http://schemas.microsoft.com/office/drawing/2014/main" id="{00000000-0008-0000-0200-000008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Qui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372475" y="952500"/>
              <a:ext cx="1980000" cy="11811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13</xdr:col>
      <xdr:colOff>609600</xdr:colOff>
      <xdr:row>5</xdr:row>
      <xdr:rowOff>114300</xdr:rowOff>
    </xdr:from>
    <xdr:to>
      <xdr:col>16</xdr:col>
      <xdr:colOff>152400</xdr:colOff>
      <xdr:row>12</xdr:row>
      <xdr:rowOff>142875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9" name="Quoi 1">
              <a:extLst>
                <a:ext uri="{FF2B5EF4-FFF2-40B4-BE49-F238E27FC236}">
                  <a16:creationId xmlns:a16="http://schemas.microsoft.com/office/drawing/2014/main" id="{00000000-0008-0000-0200-000009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Quoi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391775" y="952500"/>
              <a:ext cx="1828800" cy="11811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oneCellAnchor>
    <xdr:from>
      <xdr:col>0</xdr:col>
      <xdr:colOff>0</xdr:colOff>
      <xdr:row>0</xdr:row>
      <xdr:rowOff>0</xdr:rowOff>
    </xdr:from>
    <xdr:ext cx="8267700" cy="2143125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93CC5DCA-D3A6-4978-BFFE-61021E62A932}"/>
            </a:ext>
          </a:extLst>
        </xdr:cNvPr>
        <xdr:cNvSpPr txBox="1"/>
      </xdr:nvSpPr>
      <xdr:spPr>
        <a:xfrm>
          <a:off x="0" y="0"/>
          <a:ext cx="8267700" cy="214312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>
              <a:solidFill>
                <a:schemeClr val="bg1">
                  <a:lumMod val="85000"/>
                </a:schemeClr>
              </a:solidFill>
            </a:rPr>
            <a:t>.</a:t>
          </a:r>
        </a:p>
      </xdr:txBody>
    </xdr:sp>
    <xdr:clientData/>
  </xdr:oneCellAnchor>
  <xdr:twoCellAnchor editAs="absolute">
    <xdr:from>
      <xdr:col>9</xdr:col>
      <xdr:colOff>914400</xdr:colOff>
      <xdr:row>0</xdr:row>
      <xdr:rowOff>85725</xdr:rowOff>
    </xdr:from>
    <xdr:to>
      <xdr:col>10</xdr:col>
      <xdr:colOff>47925</xdr:colOff>
      <xdr:row>1</xdr:row>
      <xdr:rowOff>130275</xdr:rowOff>
    </xdr:to>
    <xdr:sp macro="" textlink="">
      <xdr:nvSpPr>
        <xdr:cNvPr id="11" name="Rectangle : coins arrondis 10">
          <a:hlinkClick xmlns:r="http://schemas.openxmlformats.org/officeDocument/2006/relationships" r:id="rId1" tooltip="Retour"/>
          <a:extLst>
            <a:ext uri="{FF2B5EF4-FFF2-40B4-BE49-F238E27FC236}">
              <a16:creationId xmlns:a16="http://schemas.microsoft.com/office/drawing/2014/main" id="{30469390-F5F8-4A17-B716-BA7D8508F589}"/>
            </a:ext>
          </a:extLst>
        </xdr:cNvPr>
        <xdr:cNvSpPr/>
      </xdr:nvSpPr>
      <xdr:spPr>
        <a:xfrm>
          <a:off x="7543800" y="85725"/>
          <a:ext cx="648000" cy="216000"/>
        </a:xfrm>
        <a:prstGeom prst="roundRect">
          <a:avLst/>
        </a:prstGeom>
        <a:gradFill flip="none" rotWithShape="1">
          <a:gsLst>
            <a:gs pos="70000">
              <a:schemeClr val="tx1">
                <a:lumMod val="75000"/>
                <a:lumOff val="25000"/>
              </a:schemeClr>
            </a:gs>
            <a:gs pos="100000">
              <a:schemeClr val="accent2">
                <a:lumMod val="20000"/>
                <a:lumOff val="80000"/>
              </a:schemeClr>
            </a:gs>
          </a:gsLst>
          <a:path path="shape">
            <a:fillToRect l="50000" t="50000" r="50000" b="50000"/>
          </a:path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/>
            <a:t>Retour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</xdr:row>
          <xdr:rowOff>0</xdr:rowOff>
        </xdr:from>
        <xdr:to>
          <xdr:col>4</xdr:col>
          <xdr:colOff>300</xdr:colOff>
          <xdr:row>5</xdr:row>
          <xdr:rowOff>53250</xdr:rowOff>
        </xdr:to>
        <xdr:pic>
          <xdr:nvPicPr>
            <xdr:cNvPr id="10" name="FRANCE" descr="Sans titre">
              <a:extLst>
                <a:ext uri="{FF2B5EF4-FFF2-40B4-BE49-F238E27FC236}">
                  <a16:creationId xmlns:a16="http://schemas.microsoft.com/office/drawing/2014/main" id="{31C1E603-F810-4155-A357-618706B4EB10}"/>
                </a:ext>
              </a:extLst>
            </xdr:cNvPr>
            <xdr:cNvPicPr>
              <a:picLocks noChangeArrowheads="1"/>
              <a:extLst>
                <a:ext uri="{84589F7E-364E-4C9E-8A38-B11213B215E9}">
                  <a14:cameraTool cellRange="Image" spid="_x0000_s3098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114300" y="171450"/>
              <a:ext cx="648000" cy="72000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31751</xdr:colOff>
      <xdr:row>3</xdr:row>
      <xdr:rowOff>31750</xdr:rowOff>
    </xdr:from>
    <xdr:to>
      <xdr:col>5</xdr:col>
      <xdr:colOff>57584</xdr:colOff>
      <xdr:row>4</xdr:row>
      <xdr:rowOff>129250</xdr:rowOff>
    </xdr:to>
    <xdr:sp macro="" textlink="">
      <xdr:nvSpPr>
        <xdr:cNvPr id="10" name="Rectangle : coins arrondis 9">
          <a:hlinkClick xmlns:r="http://schemas.openxmlformats.org/officeDocument/2006/relationships" r:id="rId1" tooltip="Fiche individuelle"/>
          <a:extLst>
            <a:ext uri="{FF2B5EF4-FFF2-40B4-BE49-F238E27FC236}">
              <a16:creationId xmlns:a16="http://schemas.microsoft.com/office/drawing/2014/main" id="{B7062D23-F23E-474B-A4F6-93F342BA983F}"/>
            </a:ext>
          </a:extLst>
        </xdr:cNvPr>
        <xdr:cNvSpPr/>
      </xdr:nvSpPr>
      <xdr:spPr>
        <a:xfrm>
          <a:off x="1889126" y="1174750"/>
          <a:ext cx="940233" cy="288000"/>
        </a:xfrm>
        <a:prstGeom prst="roundRect">
          <a:avLst/>
        </a:prstGeom>
        <a:gradFill flip="none" rotWithShape="1">
          <a:gsLst>
            <a:gs pos="45000">
              <a:schemeClr val="tx1">
                <a:lumMod val="75000"/>
                <a:lumOff val="25000"/>
              </a:schemeClr>
            </a:gs>
            <a:gs pos="100000">
              <a:schemeClr val="accent1"/>
            </a:gs>
          </a:gsLst>
          <a:path path="shape">
            <a:fillToRect l="50000" t="50000" r="50000" b="50000"/>
          </a:path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Fiche</a:t>
          </a:r>
        </a:p>
      </xdr:txBody>
    </xdr:sp>
    <xdr:clientData/>
  </xdr:twoCellAnchor>
  <xdr:twoCellAnchor>
    <xdr:from>
      <xdr:col>2</xdr:col>
      <xdr:colOff>42333</xdr:colOff>
      <xdr:row>3</xdr:row>
      <xdr:rowOff>31751</xdr:rowOff>
    </xdr:from>
    <xdr:to>
      <xdr:col>3</xdr:col>
      <xdr:colOff>68167</xdr:colOff>
      <xdr:row>4</xdr:row>
      <xdr:rowOff>129251</xdr:rowOff>
    </xdr:to>
    <xdr:sp macro="[0]!Bouton1_Cliquer" textlink="">
      <xdr:nvSpPr>
        <xdr:cNvPr id="16" name="Rectangle : coins arrondis 15">
          <a:extLst>
            <a:ext uri="{FF2B5EF4-FFF2-40B4-BE49-F238E27FC236}">
              <a16:creationId xmlns:a16="http://schemas.microsoft.com/office/drawing/2014/main" id="{D5B7E276-4232-48C1-AADF-C422243507FE}"/>
            </a:ext>
          </a:extLst>
        </xdr:cNvPr>
        <xdr:cNvSpPr/>
      </xdr:nvSpPr>
      <xdr:spPr>
        <a:xfrm>
          <a:off x="604308" y="1174751"/>
          <a:ext cx="940234" cy="288000"/>
        </a:xfrm>
        <a:prstGeom prst="roundRect">
          <a:avLst/>
        </a:prstGeom>
        <a:gradFill flip="none" rotWithShape="1">
          <a:gsLst>
            <a:gs pos="45000">
              <a:schemeClr val="tx1">
                <a:lumMod val="75000"/>
                <a:lumOff val="25000"/>
              </a:schemeClr>
            </a:gs>
            <a:gs pos="100000">
              <a:schemeClr val="accent1"/>
            </a:gs>
          </a:gsLst>
          <a:path path="shape">
            <a:fillToRect l="50000" t="50000" r="50000" b="50000"/>
          </a:path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Formulaire</a:t>
          </a:r>
        </a:p>
      </xdr:txBody>
    </xdr:sp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" xr10:uid="{57DAB063-058B-46F6-A2CF-7465AEE476F7}" sourceName="an">
  <extLst>
    <x:ext xmlns:x15="http://schemas.microsoft.com/office/spreadsheetml/2010/11/main" uri="{2F2917AC-EB37-4324-AD4E-5DD8C200BD13}">
      <x15:tableSlicerCache tableId="4" column="1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08073443-556F-4121-91EC-C0D941C07A0A}" sourceName="mois">
  <extLst>
    <x:ext xmlns:x15="http://schemas.microsoft.com/office/spreadsheetml/2010/11/main" uri="{2F2917AC-EB37-4324-AD4E-5DD8C200BD13}">
      <x15:tableSlicerCache tableId="4" column="2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Qui1" xr10:uid="{D2661DB9-BFDF-44A7-BC61-A51270EA4B61}" sourceName="Qui">
  <extLst>
    <x:ext xmlns:x15="http://schemas.microsoft.com/office/spreadsheetml/2010/11/main" uri="{2F2917AC-EB37-4324-AD4E-5DD8C200BD13}">
      <x15:tableSlicerCache tableId="4" column="4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Quoi1" xr10:uid="{91273F1A-6935-4B60-9A55-C6537D3CE477}" sourceName="Quoi">
  <extLst>
    <x:ext xmlns:x15="http://schemas.microsoft.com/office/spreadsheetml/2010/11/main" uri="{2F2917AC-EB37-4324-AD4E-5DD8C200BD13}">
      <x15:tableSlicerCache tableId="4" column="5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" xr10:uid="{B6275015-A5A5-4BB7-BB0A-5A50A2D5801F}" cache="Segment_an" caption="an" columnCount="3" style="SlicerStyleLight1 2" rowHeight="241300"/>
  <slicer name="mois" xr10:uid="{B1507973-8B5C-4C42-9512-43D1486C0BAE}" cache="Segment_mois" caption="mois" columnCount="2" style="SlicerStyleLight1 2" rowHeight="241300"/>
  <slicer name="Qui 1" xr10:uid="{6A0FEB12-878A-4C8B-BBA5-ED37BDFA39B0}" cache="Segment_Qui1" caption="Qui" startItem="1" style="SlicerStyleLight1 2" rowHeight="241300"/>
  <slicer name="Quoi 1" xr10:uid="{95DABCCA-80DA-49E1-A634-643B4097EA3F}" cache="Segment_Quoi1" caption="Quoi" style="SlicerStyleLight1 2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7C575BD-1277-47C4-93BD-F7CA82C45781}" name="Tableau1" displayName="Tableau1" ref="D1:D15" totalsRowShown="0" headerRowDxfId="78" dataDxfId="77">
  <autoFilter ref="D1:D15" xr:uid="{EF43E3EE-84B2-4E82-BA12-4215CE799FF5}">
    <filterColumn colId="0" hiddenButton="1"/>
  </autoFilter>
  <tableColumns count="1">
    <tableColumn id="1" xr3:uid="{44C5E1DD-824F-4B6D-AA43-BE37664DC250}" name="Formateur et Evaluateur" dataDxfId="76">
      <calculatedColumnFormula array="1">IFERROR(INDEX(Tableau6[Nom affiche],SMALL(IF((Tableau6[Nom affiche]&lt;&gt;"")*(Tableau6[Status]="Actif"),ROW(Tableau6[Nom affiche])-MIN(ROW(Employé!$B$4))+1,""),ROWS(D$2:D2))),"")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059C873-04F6-4C0F-BBE2-B055C69E65E4}" name="Tableau2" displayName="Tableau2" ref="A1:B36" totalsRowShown="0" headerRowDxfId="75" dataDxfId="74">
  <autoFilter ref="A1:B36" xr:uid="{D21CCF52-45CD-48B8-8E83-AB7E4C411ACB}"/>
  <tableColumns count="2">
    <tableColumn id="1" xr3:uid="{1D1285CC-6493-40D5-83F5-3DBCF2474516}" name="THEMES" dataDxfId="73"/>
    <tableColumn id="2" xr3:uid="{E76159CA-D884-4E8B-9C0E-586022D6C30F}" name="Sous-Themes" dataDxfId="72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A17ED9F-DDBA-4584-807C-463747CA93E3}" name="Tableau6" displayName="Tableau6" ref="B3:BH17" totalsRowShown="0" headerRowDxfId="71" dataDxfId="70">
  <autoFilter ref="B3:BH17" xr:uid="{B8FF3922-679E-4B99-981E-409E275EA94B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  <filterColumn colId="39" hiddenButton="1"/>
    <filterColumn colId="40" hiddenButton="1"/>
    <filterColumn colId="41" hiddenButton="1"/>
    <filterColumn colId="42" hiddenButton="1"/>
    <filterColumn colId="43" hiddenButton="1"/>
    <filterColumn colId="44" hiddenButton="1"/>
    <filterColumn colId="45" hiddenButton="1"/>
    <filterColumn colId="46" hiddenButton="1"/>
    <filterColumn colId="47" hiddenButton="1"/>
    <filterColumn colId="48" hiddenButton="1"/>
    <filterColumn colId="49" hiddenButton="1"/>
    <filterColumn colId="50" hiddenButton="1"/>
    <filterColumn colId="51" hiddenButton="1"/>
    <filterColumn colId="52" hiddenButton="1"/>
    <filterColumn colId="53" hiddenButton="1"/>
    <filterColumn colId="54" hiddenButton="1"/>
    <filterColumn colId="55" hiddenButton="1"/>
    <filterColumn colId="56" hiddenButton="1"/>
    <filterColumn colId="57" hiddenButton="1"/>
    <filterColumn colId="58" hiddenButton="1"/>
  </autoFilter>
  <tableColumns count="59">
    <tableColumn id="1" xr3:uid="{B715B223-6C7D-4E54-9205-8031E4F3F51D}" name="Nom affiche" dataDxfId="69">
      <calculatedColumnFormula>D4&amp;" "&amp;E4</calculatedColumnFormula>
    </tableColumn>
    <tableColumn id="59" xr3:uid="{76795126-E9FA-44CB-8716-4E29E378EBE4}" name="Nom abrégé" dataDxfId="68">
      <calculatedColumnFormula>D4&amp;" "&amp;MID(E4,1,2)</calculatedColumnFormula>
    </tableColumn>
    <tableColumn id="2" xr3:uid="{EA2BB6E0-47BF-49D1-8023-8EEF67425E03}" name="Nom" dataDxfId="67"/>
    <tableColumn id="3" xr3:uid="{CAE7AE13-2AFC-4299-A50B-158321C01E1B}" name="Prénom" dataDxfId="66"/>
    <tableColumn id="4" xr3:uid="{9B67A895-39EA-4561-B29B-33CD32E3841F}" name="Date de naissance" dataDxfId="65"/>
    <tableColumn id="5" xr3:uid="{882106D4-AD28-4718-B71C-0A5068A471FE}" name="âge" dataDxfId="64">
      <calculatedColumnFormula>IF(F4="","",DATEDIF(F4,TODAY(),"y"))</calculatedColumnFormula>
    </tableColumn>
    <tableColumn id="6" xr3:uid="{E5E6AA9E-882C-4494-B154-1B89D0466D06}" name="date entrée" dataDxfId="63"/>
    <tableColumn id="7" xr3:uid="{60D9A1A9-498B-4C8B-AADD-3CAB2981CC28}" name="Status" dataDxfId="62"/>
    <tableColumn id="8" xr3:uid="{A8F3536A-C114-41C8-8742-7B197CC6373E}" name="dernière visite trv" dataDxfId="61">
      <calculatedColumnFormula array="1">MAX(IF((Tableau4[Qui]=Tableau6[[#This Row],[Nom affiche]])*(Tableau4[Quoi]="Vis Travail"),Tableau4[Date],""))</calculatedColumnFormula>
    </tableColumn>
    <tableColumn id="9" xr3:uid="{ADC05496-FA51-42C4-B271-BC5B4102823E}" name="période trv" dataDxfId="60"/>
    <tableColumn id="10" xr3:uid="{DF268DDD-24F2-45D9-BB7A-2DCC2A7188E4}" name="prochaine visite trv" dataDxfId="59">
      <calculatedColumnFormula array="1">IF(G4&lt;18,H4,IF(J4="",EDATE(H4,3),DATE(YEAR(J4)+K4,MONTH(J4),DAY(J4))))</calculatedColumnFormula>
    </tableColumn>
    <tableColumn id="11" xr3:uid="{509BE7F8-CB7E-4C00-A19C-58E375F84ED9}" name="dernière visite méd" dataDxfId="58">
      <calculatedColumnFormula array="1">MAX(IF((Tableau4[Qui]=Tableau6[[#This Row],[Nom affiche]])*(Tableau4[Quoi]="Vis Médicale"),Tableau4[Date],""))</calculatedColumnFormula>
    </tableColumn>
    <tableColumn id="12" xr3:uid="{620314ED-F0D8-4CBF-A909-AA6EBB4AA677}" name="période méd" dataDxfId="57"/>
    <tableColumn id="13" xr3:uid="{EB1DF352-32CF-42DF-8F44-50CEB1CD11F2}" name="prochaine visite méd" dataDxfId="56">
      <calculatedColumnFormula>DATE(YEAR(M4)+N4,MONTH(M4),DAY(M4))</calculatedColumnFormula>
    </tableColumn>
    <tableColumn id="14" xr3:uid="{972E81DB-D1D0-4CCF-BF54-BB894394DE94}" name="dernière visite per" dataDxfId="55">
      <calculatedColumnFormula array="1">MAX(IF((Tableau4[Qui]=Tableau6[[#This Row],[Nom affiche]])*(Tableau4[Quoi]="Vis Permis PL"),Tableau4[Date],""))</calculatedColumnFormula>
    </tableColumn>
    <tableColumn id="15" xr3:uid="{0CD5C99B-E377-4360-AAC8-3956FC41E4F0}" name="période per" dataDxfId="54"/>
    <tableColumn id="16" xr3:uid="{579EB5FF-84C0-472E-8010-C338C4E70EB7}" name="prochaine visite per" dataDxfId="53">
      <calculatedColumnFormula>DATE(YEAR(P4)+Q4,MONTH(P4),DAY(P4))</calculatedColumnFormula>
    </tableColumn>
    <tableColumn id="17" xr3:uid="{6D0A94B2-A293-401D-84EB-6E6051CC6062}" name="dernière visite mvt" dataDxfId="52">
      <calculatedColumnFormula array="1">MAX(IF((Tableau4[Qui]=Tableau6[[#This Row],[Nom affiche]])*(Tableau4[Quoi]="Aire de mouvement"),Tableau4[Date],""))</calculatedColumnFormula>
    </tableColumn>
    <tableColumn id="18" xr3:uid="{41781FE9-9B10-4C2E-86CB-D0353F3CB186}" name="période mvt" dataDxfId="51"/>
    <tableColumn id="19" xr3:uid="{91776F11-CA1D-453C-A9BB-A32C7DEC0ECA}" name="prochaine visite mvt" dataDxfId="50">
      <calculatedColumnFormula>DATE(YEAR(S4),MONTH(S4),DAY(S4)+T4)</calculatedColumnFormula>
    </tableColumn>
    <tableColumn id="20" xr3:uid="{6B8C1F62-FF28-4410-8620-4EEF4DB9918E}" name="dernière visite za" dataDxfId="49">
      <calculatedColumnFormula array="1">MAX(IF((Tableau4[Qui]=Tableau6[[#This Row],[Nom affiche]])*(Tableau4[Quoi]="Zone Aérodrome"),Tableau4[Date],""))</calculatedColumnFormula>
    </tableColumn>
    <tableColumn id="21" xr3:uid="{EEEF42F7-463C-435F-B8DF-809023FAF0A4}" name="période za" dataDxfId="48"/>
    <tableColumn id="22" xr3:uid="{1E43FE07-FB75-4FB7-BE0C-6AD4CC26FE7A}" name="prochaine visite za" dataDxfId="47">
      <calculatedColumnFormula>DATE(YEAR(V4),MONTH(V4)+W4,DAY(V4))</calculatedColumnFormula>
    </tableColumn>
    <tableColumn id="23" xr3:uid="{B9C59547-00B4-4303-9AEB-2EA93010FC04}" name="dernière visite zva" dataDxfId="46">
      <calculatedColumnFormula array="1">MAX(IF((Tableau4[Qui]=Tableau6[[#This Row],[Nom affiche]])*(Tableau4[Quoi]="Zone Voisine Aérodrome"),Tableau4[Date],""))</calculatedColumnFormula>
    </tableColumn>
    <tableColumn id="24" xr3:uid="{2E3F0C2F-DE49-4951-BE1B-4566EA8058EA}" name="période zva" dataDxfId="45"/>
    <tableColumn id="25" xr3:uid="{9B1D6C59-26EA-4EA4-902B-DF1054CF763D}" name="prochaine visite zva" dataDxfId="44">
      <calculatedColumnFormula>DATE(YEAR(Y4),MONTH(Y4)+Z4,DAY(Y4))</calculatedColumnFormula>
    </tableColumn>
    <tableColumn id="26" xr3:uid="{A7624455-BC8D-40EE-8E76-ADCDD512B41F}" name="dernière visite epi" dataDxfId="43">
      <calculatedColumnFormula array="1">MAX(IF((Tableau4[Qui]=Tableau6[[#This Row],[Nom affiche]])*(Tableau4[Quoi]="E.P.I"),Tableau4[Date],""))</calculatedColumnFormula>
    </tableColumn>
    <tableColumn id="27" xr3:uid="{422D6A26-44EB-41BE-A8D1-0EBD42A4F863}" name="période epi" dataDxfId="42"/>
    <tableColumn id="28" xr3:uid="{5810C088-9832-4838-B1D4-A8A273796796}" name="prochaine visite epi" dataDxfId="41">
      <calculatedColumnFormula>DATE(YEAR(AB4),MONTH(AB4)+AC4,DAY(AB4))</calculatedColumnFormula>
    </tableColumn>
    <tableColumn id="29" xr3:uid="{8EB44799-2840-44FF-8DD9-9A6FC58DFFC9}" name="dernière visite pou" dataDxfId="40">
      <calculatedColumnFormula array="1">MAX(IF((Tableau4[Qui]=Tableau6[[#This Row],[Nom affiche]])*(Tableau4[Quoi]="Poudre et eau pulvé"),Tableau4[Date],""))</calculatedColumnFormula>
    </tableColumn>
    <tableColumn id="30" xr3:uid="{57E9951F-7A15-4773-A06A-E82239666D86}" name="période pou" dataDxfId="39"/>
    <tableColumn id="31" xr3:uid="{45B92CA2-5045-4C43-97B7-EDF657DBB634}" name="prochaine visite pou" dataDxfId="38">
      <calculatedColumnFormula>DATE(YEAR(AE4)+AF4,MONTH(AE4),DAY(AE4))</calculatedColumnFormula>
    </tableColumn>
    <tableColumn id="32" xr3:uid="{80CC531B-7C2A-4098-8561-6DCD9F0F911A}" name="dernière visite mét" dataDxfId="37">
      <calculatedColumnFormula array="1">MAX(IF((Tableau4[Qui]=Tableau6[[#This Row],[Nom affiche]])*(Tableau4[Quoi]="Poudre métaux"),Tableau4[Date],""))</calculatedColumnFormula>
    </tableColumn>
    <tableColumn id="33" xr3:uid="{8E32EDAB-00D8-450F-B48E-B0978ADFC775}" name="période mét" dataDxfId="36"/>
    <tableColumn id="34" xr3:uid="{C3C5AA44-0159-461A-982B-6F1A05A18791}" name="prochaine visite mét" dataDxfId="35">
      <calculatedColumnFormula>DATE(YEAR(AH4)+AI4,MONTH(AH4),DAY(AH4))</calculatedColumnFormula>
    </tableColumn>
    <tableColumn id="35" xr3:uid="{519FCFAE-D005-49E2-A93C-E49C034E998F}" name="dernière visite co²" dataDxfId="34">
      <calculatedColumnFormula array="1">MAX(IF((Tableau4[Qui]=Tableau6[[#This Row],[Nom affiche]])*(Tableau4[Quoi]="CO²"),Tableau4[Date],""))</calculatedColumnFormula>
    </tableColumn>
    <tableColumn id="36" xr3:uid="{0FE1F405-54AF-43C8-B851-3DAADA2C0D7A}" name="période co²" dataDxfId="33"/>
    <tableColumn id="37" xr3:uid="{96829FC5-53E1-4944-A4CA-95B8BE2B4956}" name="prochaine visite co²" dataDxfId="32">
      <calculatedColumnFormula>DATE(YEAR(AK4)+AL4,MONTH(AK4),DAY(AK4))</calculatedColumnFormula>
    </tableColumn>
    <tableColumn id="38" xr3:uid="{EE2B3607-A61C-4B7F-905F-493A71FD62D8}" name="dernière visite rpa" dataDxfId="31">
      <calculatedColumnFormula array="1">MAX(IF((Tableau4[Qui]=Tableau6[[#This Row],[Nom affiche]])*(Tableau4[Quoi]="Rec SSLIA"),Tableau4[Date],""))</calculatedColumnFormula>
    </tableColumn>
    <tableColumn id="39" xr3:uid="{7E0267FB-DF4B-426D-9698-EAA4FDADCE22}" name="période rpa" dataDxfId="30"/>
    <tableColumn id="40" xr3:uid="{835E81C0-D5E8-4D23-B320-93A0A2796D1E}" name="prochaine visite rpa" dataDxfId="29">
      <calculatedColumnFormula>IF(AN4="","",DATE(YEAR(AN4)+AO4,MONTH(AN4),DAY(AN4)))</calculatedColumnFormula>
    </tableColumn>
    <tableColumn id="41" xr3:uid="{1BACB155-9348-4007-A1E4-05690FACF739}" name="dernière visite ! !" dataDxfId="28">
      <calculatedColumnFormula>MAX(IF((Tableau4[Qui]=Tableau6[[#This Row],[Nom affiche]])*(Tableau4[Quoi]="Rec pompier aérodrome"),Tableau4[Date],""))</calculatedColumnFormula>
    </tableColumn>
    <tableColumn id="42" xr3:uid="{B61FA7B7-3CC8-496D-99F9-8284D5692848}" name="période ! !" dataDxfId="27"/>
    <tableColumn id="43" xr3:uid="{992EA326-35BD-484B-84E2-74E96C17AE1A}" name="prochaine visite ! !" dataDxfId="26">
      <calculatedColumnFormula>IF(AQ4="","",DATE(YEAR(AQ4)+AR4,MONTH(AQ4),DAY(AQ4)))</calculatedColumnFormula>
    </tableColumn>
    <tableColumn id="44" xr3:uid="{EB8E1E8B-7575-4D7B-9D32-C53981FBD3E2}" name="dernière visite bad" dataDxfId="25">
      <calculatedColumnFormula array="1">MAX(IF((Tableau4[Qui]=Tableau6[[#This Row],[Nom affiche]])*(Tableau4[Quoi]="Badge"),Tableau4[Date],""))</calculatedColumnFormula>
    </tableColumn>
    <tableColumn id="45" xr3:uid="{37D218F3-7C1F-467E-9BF9-B07FC58F5509}" name="période bad" dataDxfId="24"/>
    <tableColumn id="46" xr3:uid="{88A7846B-9FA7-4BB2-83FF-7889D5AB8FBA}" name="prochaine visite bad" dataDxfId="23">
      <calculatedColumnFormula>DATE(YEAR(AT4)+AU4,MONTH(AT4),DAY(AT4))</calculatedColumnFormula>
    </tableColumn>
    <tableColumn id="47" xr3:uid="{3D52E79F-847F-4099-9607-6E73AB197D13}" name="dernière visite sur" dataDxfId="22">
      <calculatedColumnFormula array="1">MAX(IF((Tableau4[Qui]=Tableau6[[#This Row],[Nom affiche]])*(Tableau4[Quoi]="Sûreté"),Tableau4[Date],""))</calculatedColumnFormula>
    </tableColumn>
    <tableColumn id="48" xr3:uid="{3E63F7F7-78A9-411A-B1E6-F1D8A2CF2B17}" name="période sur" dataDxfId="21"/>
    <tableColumn id="49" xr3:uid="{457116C4-745C-4E25-B017-ACDA39E5C9AA}" name="prochaine visite sur" dataDxfId="20">
      <calculatedColumnFormula>DATE(YEAR(AW4)+AX4,MONTH(AW4),DAY(AW4))</calculatedColumnFormula>
    </tableColumn>
    <tableColumn id="50" xr3:uid="{48D23F24-D7B4-4EE9-AC0D-653E1CB443BB}" name="dernière visite pis" dataDxfId="19">
      <calculatedColumnFormula array="1">MAX(IF((Tableau4[Qui]=Tableau6[[#This Row],[Nom affiche]])*(Tableau4[Quoi]="Circulation piste"),Tableau4[Date],""))</calculatedColumnFormula>
    </tableColumn>
    <tableColumn id="51" xr3:uid="{81CB9070-F1CC-4D75-8146-9BB924B96AAE}" name="période pis" dataDxfId="18"/>
    <tableColumn id="52" xr3:uid="{4BE7FB59-0048-4E00-85CB-DC2052233957}" name="prochaine visite pis" dataDxfId="17">
      <calculatedColumnFormula>DATE(YEAR(AZ4)+BA4,MONTH(AZ4),DAY(AZ4))</calculatedColumnFormula>
    </tableColumn>
    <tableColumn id="53" xr3:uid="{36C57465-D1EE-4BED-8FDD-718C7F67528E}" name="dernière visite véh" dataDxfId="16">
      <calculatedColumnFormula array="1">MAX(IF((Tableau4[Qui]=Tableau6[[#This Row],[Nom affiche]])*(Tableau4[Quoi]="Véhicules et embarcations"),Tableau4[Date],""))</calculatedColumnFormula>
    </tableColumn>
    <tableColumn id="54" xr3:uid="{38A177E2-B140-4745-AA4F-A5D42C21F4CA}" name="période véh" dataDxfId="15"/>
    <tableColumn id="55" xr3:uid="{2CB15AD3-2376-4DF0-BFFB-E2FCE6497636}" name="prochaine visite véh" dataDxfId="14">
      <calculatedColumnFormula>DATE(YEAR(BC4),MONTH(BC4),DAY(BC4)+BD4)</calculatedColumnFormula>
    </tableColumn>
    <tableColumn id="56" xr3:uid="{7D0D0699-9A20-48A8-A1BC-E1856DFE1A95}" name="dernière visite ari" dataDxfId="13">
      <calculatedColumnFormula array="1">MAX(IF((Tableau4[Qui]=Tableau6[[#This Row],[Nom affiche]])*(Tableau4[Quoi]="A.R.I"),Tableau4[Date],""))</calculatedColumnFormula>
    </tableColumn>
    <tableColumn id="57" xr3:uid="{9BACD4F8-443E-448D-BB77-AEF00F7DB222}" name="période ari" dataDxfId="12"/>
    <tableColumn id="58" xr3:uid="{FEC4A6BB-892E-4BC4-A260-935910232CCA}" name="prochaine visite ari" dataDxfId="11">
      <calculatedColumnFormula>DATE(YEAR(BF4),MONTH(BF4)+BG4,DAY(BF4))</calculatedColumnFormula>
    </tableColumn>
  </tableColumns>
  <tableStyleInfo name="TableStyleMedium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EB934AF-9454-46F5-8722-EC3DA0352E52}" name="Tableau4" displayName="Tableau4" ref="B13:J21" totalsRowShown="0" headerRowDxfId="10" dataDxfId="9">
  <autoFilter ref="B13:J21" xr:uid="{358925E0-E9AA-413B-920C-0E216DF156B9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7820FA72-2E63-459C-99FA-002363A8395A}" name="an" dataDxfId="8">
      <calculatedColumnFormula>YEAR(Tableau4[[#This Row],[Date]])</calculatedColumnFormula>
    </tableColumn>
    <tableColumn id="2" xr3:uid="{E2D12CEA-8CC6-48C5-9F8B-A7C25AC0AA78}" name="mois" dataDxfId="7">
      <calculatedColumnFormula>TEXT(Tableau4[[#This Row],[Date]],"mmmm")</calculatedColumnFormula>
    </tableColumn>
    <tableColumn id="3" xr3:uid="{DAA62B48-C27F-4967-8AA2-82C5DA53264C}" name="Date" dataDxfId="6"/>
    <tableColumn id="4" xr3:uid="{A81959A0-CDF0-4B82-A505-F89C30A11059}" name="Qui" dataDxfId="5"/>
    <tableColumn id="5" xr3:uid="{67FB8197-E83C-4154-BBF4-642D52E4783C}" name="Quoi" dataDxfId="4"/>
    <tableColumn id="6" xr3:uid="{9967D497-F389-41B2-89AD-5DE1B10D7277}" name="Détail" dataDxfId="3"/>
    <tableColumn id="7" xr3:uid="{7ECC42A8-AFBF-407E-8338-0F103CA1510A}" name="Durée" dataDxfId="2"/>
    <tableColumn id="8" xr3:uid="{576AC32D-7FF9-43DB-B6E6-ECD65AAD7323}" name="Formateur" dataDxfId="1"/>
    <tableColumn id="9" xr3:uid="{4EAEC76F-D02A-40B6-A482-1AFFF6E805D1}" name="Evaluateur" dataDxfId="0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microsoft.com/office/2007/relationships/slicer" Target="../slicers/slicer1.xml"/><Relationship Id="rId4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DBA2B5-D169-4A3B-95DC-40D21E965BD9}">
  <sheetPr codeName="Feuil1"/>
  <dimension ref="A1:F36"/>
  <sheetViews>
    <sheetView showGridLines="0" workbookViewId="0">
      <pane ySplit="1" topLeftCell="A2" activePane="bottomLeft" state="frozen"/>
      <selection pane="bottomLeft"/>
    </sheetView>
  </sheetViews>
  <sheetFormatPr baseColWidth="10" defaultRowHeight="12.75" x14ac:dyDescent="0.2"/>
  <cols>
    <col min="1" max="1" width="23.42578125" style="5" bestFit="1" customWidth="1"/>
    <col min="2" max="2" width="27.5703125" style="5" bestFit="1" customWidth="1"/>
    <col min="3" max="3" width="17.5703125" style="5" customWidth="1"/>
    <col min="4" max="4" width="22.28515625" style="5" bestFit="1" customWidth="1"/>
    <col min="5" max="16384" width="11.42578125" style="5"/>
  </cols>
  <sheetData>
    <row r="1" spans="1:6" ht="21.75" customHeight="1" x14ac:dyDescent="0.2">
      <c r="A1" s="10" t="s">
        <v>146</v>
      </c>
      <c r="B1" s="10" t="s">
        <v>157</v>
      </c>
      <c r="D1" s="8" t="s">
        <v>180</v>
      </c>
      <c r="F1" s="5">
        <f>SUBTOTAL(3,Tableau1[Formateur et Evaluateur])</f>
        <v>14</v>
      </c>
    </row>
    <row r="2" spans="1:6" x14ac:dyDescent="0.2">
      <c r="A2" s="5" t="s">
        <v>147</v>
      </c>
      <c r="B2" s="5" t="s">
        <v>151</v>
      </c>
      <c r="D2" s="5" t="str">
        <f t="array" ref="D2">IFERROR(INDEX(Tableau6[Nom affiche],SMALL(IF((Tableau6[Nom affiche]&lt;&gt;"")*(Tableau6[Status]="Actif"),ROW(Tableau6[Nom affiche])-MIN(ROW(Employé!$B$4))+1,""),ROWS(D$2:D2))),"")</f>
        <v>BENAZET Jean-René</v>
      </c>
    </row>
    <row r="3" spans="1:6" x14ac:dyDescent="0.2">
      <c r="A3" s="5" t="s">
        <v>147</v>
      </c>
      <c r="B3" s="5" t="s">
        <v>150</v>
      </c>
      <c r="D3" s="5" t="str">
        <f t="array" ref="D3">IFERROR(INDEX(Tableau6[Nom affiche],SMALL(IF((Tableau6[Nom affiche]&lt;&gt;"")*(Tableau6[Status]="Actif"),ROW(Tableau6[Nom affiche])-MIN(ROW(Employé!$B$4))+1,""),ROWS(D$2:D3))),"")</f>
        <v>ZARAGOZA Didier</v>
      </c>
    </row>
    <row r="4" spans="1:6" x14ac:dyDescent="0.2">
      <c r="A4" s="5" t="s">
        <v>148</v>
      </c>
      <c r="B4" s="5" t="s">
        <v>149</v>
      </c>
      <c r="D4" s="5" t="str">
        <f t="array" ref="D4">IFERROR(INDEX(Tableau6[Nom affiche],SMALL(IF((Tableau6[Nom affiche]&lt;&gt;"")*(Tableau6[Status]="Actif"),ROW(Tableau6[Nom affiche])-MIN(ROW(Employé!$B$4))+1,""),ROWS(D$2:D4))),"")</f>
        <v>SANTOS Jean-François</v>
      </c>
    </row>
    <row r="5" spans="1:6" x14ac:dyDescent="0.2">
      <c r="A5" s="5" t="s">
        <v>188</v>
      </c>
      <c r="B5" s="5" t="s">
        <v>151</v>
      </c>
      <c r="D5" s="5" t="str">
        <f t="array" ref="D5">IFERROR(INDEX(Tableau6[Nom affiche],SMALL(IF((Tableau6[Nom affiche]&lt;&gt;"")*(Tableau6[Status]="Actif"),ROW(Tableau6[Nom affiche])-MIN(ROW(Employé!$B$4))+1,""),ROWS(D$2:D5))),"")</f>
        <v>NAVARRO Christophe</v>
      </c>
    </row>
    <row r="6" spans="1:6" x14ac:dyDescent="0.2">
      <c r="A6" s="5" t="s">
        <v>0</v>
      </c>
      <c r="B6" s="5" t="s">
        <v>158</v>
      </c>
      <c r="D6" s="5" t="str">
        <f t="array" ref="D6">IFERROR(INDEX(Tableau6[Nom affiche],SMALL(IF((Tableau6[Nom affiche]&lt;&gt;"")*(Tableau6[Status]="Actif"),ROW(Tableau6[Nom affiche])-MIN(ROW(Employé!$B$4))+1,""),ROWS(D$2:D6))),"")</f>
        <v>AUDIE Anthony</v>
      </c>
    </row>
    <row r="7" spans="1:6" x14ac:dyDescent="0.2">
      <c r="A7" s="5" t="s">
        <v>92</v>
      </c>
      <c r="B7" s="5" t="s">
        <v>193</v>
      </c>
      <c r="D7" s="5" t="str">
        <f t="array" ref="D7">IFERROR(INDEX(Tableau6[Nom affiche],SMALL(IF((Tableau6[Nom affiche]&lt;&gt;"")*(Tableau6[Status]="Actif"),ROW(Tableau6[Nom affiche])-MIN(ROW(Employé!$B$4))+1,""),ROWS(D$2:D7))),"")</f>
        <v>DISTEFANO Alexis</v>
      </c>
    </row>
    <row r="8" spans="1:6" x14ac:dyDescent="0.2">
      <c r="A8" s="5" t="s">
        <v>92</v>
      </c>
      <c r="B8" s="5" t="s">
        <v>182</v>
      </c>
      <c r="D8" s="5" t="str">
        <f t="array" ref="D8">IFERROR(INDEX(Tableau6[Nom affiche],SMALL(IF((Tableau6[Nom affiche]&lt;&gt;"")*(Tableau6[Status]="Actif"),ROW(Tableau6[Nom affiche])-MIN(ROW(Employé!$B$4))+1,""),ROWS(D$2:D8))),"")</f>
        <v>SCHWEITZER Jean-Michel</v>
      </c>
    </row>
    <row r="9" spans="1:6" x14ac:dyDescent="0.2">
      <c r="A9" s="5" t="s">
        <v>92</v>
      </c>
      <c r="B9" s="5" t="s">
        <v>183</v>
      </c>
      <c r="D9" s="5" t="str">
        <f t="array" ref="D9">IFERROR(INDEX(Tableau6[Nom affiche],SMALL(IF((Tableau6[Nom affiche]&lt;&gt;"")*(Tableau6[Status]="Actif"),ROW(Tableau6[Nom affiche])-MIN(ROW(Employé!$B$4))+1,""),ROWS(D$2:D9))),"")</f>
        <v>AFONSO Julien</v>
      </c>
    </row>
    <row r="10" spans="1:6" x14ac:dyDescent="0.2">
      <c r="A10" s="5" t="s">
        <v>93</v>
      </c>
      <c r="B10" s="5" t="s">
        <v>154</v>
      </c>
      <c r="D10" s="5" t="str">
        <f t="array" ref="D10">IFERROR(INDEX(Tableau6[Nom affiche],SMALL(IF((Tableau6[Nom affiche]&lt;&gt;"")*(Tableau6[Status]="Actif"),ROW(Tableau6[Nom affiche])-MIN(ROW(Employé!$B$4))+1,""),ROWS(D$2:D10))),"")</f>
        <v>LEROY France</v>
      </c>
    </row>
    <row r="11" spans="1:6" x14ac:dyDescent="0.2">
      <c r="A11" s="5" t="s">
        <v>93</v>
      </c>
      <c r="B11" s="5" t="s">
        <v>156</v>
      </c>
      <c r="D11" s="5" t="str">
        <f t="array" ref="D11">IFERROR(INDEX(Tableau6[Nom affiche],SMALL(IF((Tableau6[Nom affiche]&lt;&gt;"")*(Tableau6[Status]="Actif"),ROW(Tableau6[Nom affiche])-MIN(ROW(Employé!$B$4))+1,""),ROWS(D$2:D11))),"")</f>
        <v>LEROY Jean-Sébastien</v>
      </c>
    </row>
    <row r="12" spans="1:6" x14ac:dyDescent="0.2">
      <c r="A12" s="5" t="s">
        <v>93</v>
      </c>
      <c r="B12" s="5" t="s">
        <v>155</v>
      </c>
      <c r="D12" s="5" t="str">
        <f t="array" ref="D12">IFERROR(INDEX(Tableau6[Nom affiche],SMALL(IF((Tableau6[Nom affiche]&lt;&gt;"")*(Tableau6[Status]="Actif"),ROW(Tableau6[Nom affiche])-MIN(ROW(Employé!$B$4))+1,""),ROWS(D$2:D12))),"")</f>
        <v>FERRARA Julien</v>
      </c>
    </row>
    <row r="13" spans="1:6" x14ac:dyDescent="0.2">
      <c r="A13" s="5" t="s">
        <v>93</v>
      </c>
      <c r="B13" s="5" t="s">
        <v>159</v>
      </c>
      <c r="D13" s="5" t="str">
        <f t="array" ref="D13">IFERROR(INDEX(Tableau6[Nom affiche],SMALL(IF((Tableau6[Nom affiche]&lt;&gt;"")*(Tableau6[Status]="Actif"),ROW(Tableau6[Nom affiche])-MIN(ROW(Employé!$B$4))+1,""),ROWS(D$2:D13))),"")</f>
        <v>BALLESTER Xavier</v>
      </c>
    </row>
    <row r="14" spans="1:6" x14ac:dyDescent="0.2">
      <c r="A14" s="5" t="s">
        <v>93</v>
      </c>
      <c r="B14" s="5" t="s">
        <v>160</v>
      </c>
      <c r="D14" s="5" t="str">
        <f t="array" ref="D14">IFERROR(INDEX(Tableau6[Nom affiche],SMALL(IF((Tableau6[Nom affiche]&lt;&gt;"")*(Tableau6[Status]="Actif"),ROW(Tableau6[Nom affiche])-MIN(ROW(Employé!$B$4))+1,""),ROWS(D$2:D14))),"")</f>
        <v>DESMYTER Damien</v>
      </c>
    </row>
    <row r="15" spans="1:6" x14ac:dyDescent="0.2">
      <c r="A15" s="5" t="s">
        <v>93</v>
      </c>
      <c r="B15" s="5" t="s">
        <v>161</v>
      </c>
      <c r="D15" s="5" t="str">
        <f t="array" ref="D15">IFERROR(INDEX(Tableau6[Nom affiche],SMALL(IF((Tableau6[Nom affiche]&lt;&gt;"")*(Tableau6[Status]="Actif"),ROW(Tableau6[Nom affiche])-MIN(ROW(Employé!$B$4))+1,""),ROWS(D$2:D15))),"")</f>
        <v>NAJJARI Mohamed</v>
      </c>
    </row>
    <row r="16" spans="1:6" x14ac:dyDescent="0.2">
      <c r="A16" s="5" t="s">
        <v>93</v>
      </c>
      <c r="B16" s="5" t="s">
        <v>162</v>
      </c>
    </row>
    <row r="17" spans="1:2" x14ac:dyDescent="0.2">
      <c r="A17" s="5" t="s">
        <v>93</v>
      </c>
      <c r="B17" s="5" t="s">
        <v>163</v>
      </c>
    </row>
    <row r="18" spans="1:2" x14ac:dyDescent="0.2">
      <c r="A18" s="5" t="s">
        <v>132</v>
      </c>
      <c r="B18" s="5" t="s">
        <v>164</v>
      </c>
    </row>
    <row r="19" spans="1:2" x14ac:dyDescent="0.2">
      <c r="A19" s="5" t="s">
        <v>127</v>
      </c>
      <c r="B19" s="5" t="s">
        <v>101</v>
      </c>
    </row>
    <row r="20" spans="1:2" x14ac:dyDescent="0.2">
      <c r="A20" s="5" t="s">
        <v>114</v>
      </c>
      <c r="B20" s="5" t="s">
        <v>165</v>
      </c>
    </row>
    <row r="21" spans="1:2" x14ac:dyDescent="0.2">
      <c r="A21" s="5" t="s">
        <v>128</v>
      </c>
      <c r="B21" s="5" t="s">
        <v>166</v>
      </c>
    </row>
    <row r="22" spans="1:2" x14ac:dyDescent="0.2">
      <c r="A22" s="5" t="s">
        <v>167</v>
      </c>
      <c r="B22" s="5" t="s">
        <v>168</v>
      </c>
    </row>
    <row r="23" spans="1:2" x14ac:dyDescent="0.2">
      <c r="A23" s="5" t="s">
        <v>169</v>
      </c>
      <c r="B23" s="5" t="s">
        <v>170</v>
      </c>
    </row>
    <row r="24" spans="1:2" x14ac:dyDescent="0.2">
      <c r="A24" s="5" t="s">
        <v>129</v>
      </c>
      <c r="B24" s="5" t="s">
        <v>171</v>
      </c>
    </row>
    <row r="25" spans="1:2" x14ac:dyDescent="0.2">
      <c r="A25" s="5" t="s">
        <v>129</v>
      </c>
      <c r="B25" s="5" t="s">
        <v>172</v>
      </c>
    </row>
    <row r="26" spans="1:2" x14ac:dyDescent="0.2">
      <c r="A26" s="5" t="s">
        <v>2</v>
      </c>
      <c r="B26" s="5" t="s">
        <v>171</v>
      </c>
    </row>
    <row r="27" spans="1:2" x14ac:dyDescent="0.2">
      <c r="A27" s="5" t="s">
        <v>2</v>
      </c>
      <c r="B27" s="5" t="s">
        <v>171</v>
      </c>
    </row>
    <row r="28" spans="1:2" x14ac:dyDescent="0.2">
      <c r="A28" s="5" t="s">
        <v>124</v>
      </c>
      <c r="B28" s="5" t="s">
        <v>171</v>
      </c>
    </row>
    <row r="29" spans="1:2" x14ac:dyDescent="0.2">
      <c r="A29" s="5" t="s">
        <v>124</v>
      </c>
      <c r="B29" s="5" t="s">
        <v>172</v>
      </c>
    </row>
    <row r="30" spans="1:2" x14ac:dyDescent="0.2">
      <c r="A30" s="5" t="s">
        <v>173</v>
      </c>
      <c r="B30" s="5" t="s">
        <v>174</v>
      </c>
    </row>
    <row r="31" spans="1:2" x14ac:dyDescent="0.2">
      <c r="A31" s="5" t="s">
        <v>173</v>
      </c>
      <c r="B31" s="5" t="s">
        <v>175</v>
      </c>
    </row>
    <row r="32" spans="1:2" x14ac:dyDescent="0.2">
      <c r="A32" s="5" t="s">
        <v>125</v>
      </c>
      <c r="B32" s="5" t="s">
        <v>153</v>
      </c>
    </row>
    <row r="33" spans="1:2" x14ac:dyDescent="0.2">
      <c r="A33" s="5" t="s">
        <v>113</v>
      </c>
      <c r="B33" s="5" t="s">
        <v>176</v>
      </c>
    </row>
    <row r="34" spans="1:2" x14ac:dyDescent="0.2">
      <c r="A34" s="5" t="s">
        <v>5</v>
      </c>
      <c r="B34" s="5" t="s">
        <v>177</v>
      </c>
    </row>
    <row r="35" spans="1:2" x14ac:dyDescent="0.2">
      <c r="A35" s="5" t="s">
        <v>126</v>
      </c>
      <c r="B35" s="5" t="s">
        <v>178</v>
      </c>
    </row>
    <row r="36" spans="1:2" x14ac:dyDescent="0.2">
      <c r="A36" s="5" t="s">
        <v>152</v>
      </c>
      <c r="B36" s="5" t="s">
        <v>179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628ED5-DE75-4362-BD6E-A747971268F2}">
  <sheetPr codeName="Feuil11"/>
  <dimension ref="A1:E18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25"/>
  <cols>
    <col min="1" max="1" width="23.42578125" bestFit="1" customWidth="1"/>
    <col min="2" max="2" width="10.140625" style="51" customWidth="1"/>
  </cols>
  <sheetData>
    <row r="1" spans="1:5" ht="57" customHeight="1" x14ac:dyDescent="0.25">
      <c r="A1" t="s">
        <v>191</v>
      </c>
      <c r="E1" t="s">
        <v>203</v>
      </c>
    </row>
    <row r="2" spans="1:5" ht="57" customHeight="1" x14ac:dyDescent="0.25">
      <c r="A2" t="s">
        <v>185</v>
      </c>
    </row>
    <row r="3" spans="1:5" ht="57" customHeight="1" x14ac:dyDescent="0.25">
      <c r="A3" t="s">
        <v>192</v>
      </c>
    </row>
    <row r="4" spans="1:5" ht="57" customHeight="1" x14ac:dyDescent="0.25">
      <c r="A4" t="s">
        <v>195</v>
      </c>
    </row>
    <row r="5" spans="1:5" ht="57" customHeight="1" x14ac:dyDescent="0.25">
      <c r="A5" t="s">
        <v>196</v>
      </c>
    </row>
    <row r="6" spans="1:5" ht="57" customHeight="1" x14ac:dyDescent="0.25">
      <c r="A6" t="s">
        <v>181</v>
      </c>
    </row>
    <row r="7" spans="1:5" ht="57" customHeight="1" x14ac:dyDescent="0.25">
      <c r="A7" t="s">
        <v>197</v>
      </c>
    </row>
    <row r="8" spans="1:5" ht="57" customHeight="1" x14ac:dyDescent="0.25">
      <c r="A8" t="s">
        <v>189</v>
      </c>
    </row>
    <row r="9" spans="1:5" ht="57" customHeight="1" x14ac:dyDescent="0.25">
      <c r="A9" t="s">
        <v>4</v>
      </c>
    </row>
    <row r="10" spans="1:5" ht="57" customHeight="1" x14ac:dyDescent="0.25">
      <c r="A10" t="s">
        <v>198</v>
      </c>
    </row>
    <row r="11" spans="1:5" ht="57" customHeight="1" x14ac:dyDescent="0.25">
      <c r="A11" t="s">
        <v>199</v>
      </c>
    </row>
    <row r="12" spans="1:5" ht="57" customHeight="1" x14ac:dyDescent="0.25">
      <c r="A12" t="s">
        <v>200</v>
      </c>
    </row>
    <row r="13" spans="1:5" ht="57" customHeight="1" x14ac:dyDescent="0.25">
      <c r="A13" t="s">
        <v>201</v>
      </c>
    </row>
    <row r="14" spans="1:5" ht="57" customHeight="1" x14ac:dyDescent="0.25">
      <c r="A14" t="s">
        <v>202</v>
      </c>
    </row>
    <row r="15" spans="1:5" x14ac:dyDescent="0.25">
      <c r="A15" t="str">
        <f t="array" ref="A15">IFERROR(INDEX(Tableau6[Nom affiche],SMALL(IF((Tableau6[Nom affiche]&lt;&gt;"")*(Tableau6[Status]="Actif"),ROW(Tableau6[Nom affiche])-MIN(ROW(Employé!$B$4))+1,""),ROWS(D$2:D16))),"")</f>
        <v/>
      </c>
    </row>
    <row r="16" spans="1:5" x14ac:dyDescent="0.25">
      <c r="A16" t="str">
        <f t="array" ref="A16">IFERROR(INDEX(Tableau6[Nom affiche],SMALL(IF((Tableau6[Nom affiche]&lt;&gt;"")*(Tableau6[Status]="Actif"),ROW(Tableau6[Nom affiche])-MIN(ROW(Employé!$B$4))+1,""),ROWS(D$2:D17))),"")</f>
        <v/>
      </c>
    </row>
    <row r="17" spans="1:1" x14ac:dyDescent="0.25">
      <c r="A17" t="str">
        <f t="array" ref="A17">IFERROR(INDEX(Tableau6[Nom affiche],SMALL(IF((Tableau6[Nom affiche]&lt;&gt;"")*(Tableau6[Status]="Actif"),ROW(Tableau6[Nom affiche])-MIN(ROW(Employé!$B$4))+1,""),ROWS(D$2:D18))),"")</f>
        <v/>
      </c>
    </row>
    <row r="18" spans="1:1" x14ac:dyDescent="0.25">
      <c r="A18" t="str">
        <f t="array" ref="A18">IFERROR(INDEX(Tableau6[Nom affiche],SMALL(IF((Tableau6[Nom affiche]&lt;&gt;"")*(Tableau6[Status]="Actif"),ROW(Tableau6[Nom affiche])-MIN(ROW(Employé!$B$4))+1,""),ROWS(D$2:D19))),"")</f>
        <v/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94AB62-0EF2-4A95-8B5B-FD2054B08ED1}">
  <sheetPr codeName="Feuil3"/>
  <dimension ref="B1:BH17"/>
  <sheetViews>
    <sheetView showGridLines="0" workbookViewId="0">
      <pane xSplit="5" ySplit="3" topLeftCell="F4" activePane="bottomRight" state="frozen"/>
      <selection pane="topRight" activeCell="F1" sqref="F1"/>
      <selection pane="bottomLeft" activeCell="A4" sqref="A4"/>
      <selection pane="bottomRight"/>
    </sheetView>
  </sheetViews>
  <sheetFormatPr baseColWidth="10" defaultRowHeight="12.75" x14ac:dyDescent="0.25"/>
  <cols>
    <col min="1" max="1" width="2.7109375" style="1" customWidth="1"/>
    <col min="2" max="2" width="22.28515625" style="1" bestFit="1" customWidth="1"/>
    <col min="3" max="3" width="14.28515625" style="1" bestFit="1" customWidth="1"/>
    <col min="4" max="4" width="12.28515625" style="12" bestFit="1" customWidth="1"/>
    <col min="5" max="5" width="12.42578125" style="12" bestFit="1" customWidth="1"/>
    <col min="6" max="6" width="9.7109375" style="13" customWidth="1"/>
    <col min="7" max="7" width="5.85546875" style="1" customWidth="1"/>
    <col min="8" max="8" width="9.7109375" style="13" customWidth="1"/>
    <col min="9" max="9" width="8.7109375" style="13" customWidth="1"/>
    <col min="10" max="10" width="9.7109375" style="1" customWidth="1"/>
    <col min="11" max="11" width="6.7109375" style="13" customWidth="1"/>
    <col min="12" max="12" width="9.7109375" style="2" customWidth="1"/>
    <col min="13" max="13" width="9.7109375" style="1" customWidth="1"/>
    <col min="14" max="14" width="6.7109375" style="13" customWidth="1"/>
    <col min="15" max="15" width="9.7109375" style="2" customWidth="1"/>
    <col min="16" max="16" width="9.7109375" style="1" customWidth="1"/>
    <col min="17" max="17" width="6.7109375" style="13" customWidth="1"/>
    <col min="18" max="18" width="9.7109375" style="2" customWidth="1"/>
    <col min="19" max="19" width="9.7109375" style="1" customWidth="1"/>
    <col min="20" max="20" width="6.7109375" style="13" customWidth="1"/>
    <col min="21" max="22" width="9.7109375" style="1" customWidth="1"/>
    <col min="23" max="23" width="6.7109375" style="13" customWidth="1"/>
    <col min="24" max="25" width="9.7109375" style="1" customWidth="1"/>
    <col min="26" max="26" width="6.7109375" style="13" customWidth="1"/>
    <col min="27" max="28" width="9.7109375" style="1" customWidth="1"/>
    <col min="29" max="29" width="6.7109375" style="13" customWidth="1"/>
    <col min="30" max="31" width="9.7109375" style="1" customWidth="1"/>
    <col min="32" max="32" width="6.7109375" style="13" customWidth="1"/>
    <col min="33" max="34" width="9.7109375" style="1" customWidth="1"/>
    <col min="35" max="35" width="6.7109375" style="13" customWidth="1"/>
    <col min="36" max="37" width="9.7109375" style="1" customWidth="1"/>
    <col min="38" max="38" width="6.7109375" style="13" customWidth="1"/>
    <col min="39" max="39" width="9.7109375" style="2" customWidth="1"/>
    <col min="40" max="40" width="9.7109375" style="1" customWidth="1"/>
    <col min="41" max="41" width="6.7109375" style="13" customWidth="1"/>
    <col min="42" max="42" width="9.7109375" style="2" customWidth="1"/>
    <col min="43" max="43" width="9.7109375" style="1" customWidth="1"/>
    <col min="44" max="44" width="6.7109375" style="13" customWidth="1"/>
    <col min="45" max="45" width="9.7109375" style="2" customWidth="1"/>
    <col min="46" max="46" width="9.7109375" style="1" customWidth="1"/>
    <col min="47" max="47" width="6.7109375" style="13" customWidth="1"/>
    <col min="48" max="48" width="9.7109375" style="2" customWidth="1"/>
    <col min="49" max="49" width="9.7109375" style="1" customWidth="1"/>
    <col min="50" max="50" width="6.7109375" style="13" customWidth="1"/>
    <col min="51" max="51" width="9.7109375" style="2" customWidth="1"/>
    <col min="52" max="52" width="9.7109375" style="1" customWidth="1"/>
    <col min="53" max="53" width="6.7109375" style="13" customWidth="1"/>
    <col min="54" max="54" width="9.7109375" style="2" customWidth="1"/>
    <col min="55" max="55" width="9.7109375" style="1" customWidth="1"/>
    <col min="56" max="56" width="6.7109375" style="13" customWidth="1"/>
    <col min="57" max="58" width="9.7109375" style="1" customWidth="1"/>
    <col min="59" max="59" width="6.7109375" style="13" customWidth="1"/>
    <col min="60" max="60" width="9.7109375" style="1" customWidth="1"/>
    <col min="61" max="16384" width="11.42578125" style="1"/>
  </cols>
  <sheetData>
    <row r="1" spans="2:60" s="16" customFormat="1" ht="15.75" customHeight="1" x14ac:dyDescent="0.2">
      <c r="D1" s="17"/>
      <c r="E1" s="17"/>
      <c r="K1" s="16" t="s">
        <v>63</v>
      </c>
      <c r="L1" s="18"/>
      <c r="N1" s="16" t="s">
        <v>63</v>
      </c>
      <c r="O1" s="18"/>
      <c r="Q1" s="16" t="s">
        <v>63</v>
      </c>
      <c r="R1" s="18"/>
      <c r="T1" s="16" t="s">
        <v>64</v>
      </c>
      <c r="W1" s="16" t="s">
        <v>65</v>
      </c>
      <c r="Z1" s="16" t="s">
        <v>65</v>
      </c>
      <c r="AC1" s="16" t="s">
        <v>65</v>
      </c>
      <c r="AF1" s="16" t="s">
        <v>63</v>
      </c>
      <c r="AI1" s="16" t="s">
        <v>63</v>
      </c>
      <c r="AL1" s="16" t="s">
        <v>63</v>
      </c>
      <c r="AM1" s="18"/>
      <c r="AO1" s="16" t="s">
        <v>63</v>
      </c>
      <c r="AP1" s="18"/>
      <c r="AR1" s="16" t="s">
        <v>63</v>
      </c>
      <c r="AS1" s="18"/>
      <c r="AU1" s="16" t="s">
        <v>63</v>
      </c>
      <c r="AV1" s="18"/>
      <c r="AX1" s="16" t="s">
        <v>63</v>
      </c>
      <c r="AY1" s="18"/>
      <c r="BA1" s="16" t="s">
        <v>63</v>
      </c>
      <c r="BB1" s="18"/>
      <c r="BD1" s="16" t="s">
        <v>64</v>
      </c>
      <c r="BG1" s="16" t="s">
        <v>65</v>
      </c>
    </row>
    <row r="2" spans="2:60" s="19" customFormat="1" x14ac:dyDescent="0.25">
      <c r="D2" s="20"/>
      <c r="E2" s="20"/>
      <c r="J2" s="52" t="s">
        <v>10</v>
      </c>
      <c r="K2" s="52"/>
      <c r="L2" s="53"/>
      <c r="M2" s="54" t="s">
        <v>11</v>
      </c>
      <c r="N2" s="55"/>
      <c r="O2" s="53"/>
      <c r="P2" s="54" t="s">
        <v>62</v>
      </c>
      <c r="Q2" s="52"/>
      <c r="R2" s="52"/>
      <c r="S2" s="56" t="s">
        <v>42</v>
      </c>
      <c r="T2" s="56"/>
      <c r="U2" s="56"/>
      <c r="V2" s="56" t="s">
        <v>43</v>
      </c>
      <c r="W2" s="56"/>
      <c r="X2" s="56"/>
      <c r="Y2" s="56" t="s">
        <v>44</v>
      </c>
      <c r="Z2" s="56"/>
      <c r="AA2" s="56"/>
      <c r="AB2" s="57" t="s">
        <v>51</v>
      </c>
      <c r="AC2" s="57"/>
      <c r="AD2" s="57"/>
      <c r="AE2" s="57" t="s">
        <v>60</v>
      </c>
      <c r="AF2" s="57"/>
      <c r="AG2" s="57"/>
      <c r="AH2" s="57" t="s">
        <v>54</v>
      </c>
      <c r="AI2" s="57"/>
      <c r="AJ2" s="57"/>
      <c r="AK2" s="57" t="s">
        <v>57</v>
      </c>
      <c r="AL2" s="57"/>
      <c r="AM2" s="57"/>
      <c r="AN2" s="58" t="s">
        <v>187</v>
      </c>
      <c r="AO2" s="58"/>
      <c r="AP2" s="58"/>
      <c r="AQ2" s="58" t="s">
        <v>102</v>
      </c>
      <c r="AR2" s="58"/>
      <c r="AS2" s="58"/>
      <c r="AT2" s="58" t="s">
        <v>66</v>
      </c>
      <c r="AU2" s="58"/>
      <c r="AV2" s="58"/>
      <c r="AW2" s="58" t="s">
        <v>67</v>
      </c>
      <c r="AX2" s="58"/>
      <c r="AY2" s="58"/>
      <c r="AZ2" s="58" t="s">
        <v>68</v>
      </c>
      <c r="BA2" s="58"/>
      <c r="BB2" s="58"/>
      <c r="BC2" s="57" t="s">
        <v>97</v>
      </c>
      <c r="BD2" s="57"/>
      <c r="BE2" s="57"/>
      <c r="BF2" s="57" t="s">
        <v>97</v>
      </c>
      <c r="BG2" s="57"/>
      <c r="BH2" s="57"/>
    </row>
    <row r="3" spans="2:60" s="21" customFormat="1" ht="25.5" x14ac:dyDescent="0.25">
      <c r="B3" s="21" t="s">
        <v>37</v>
      </c>
      <c r="C3" s="21" t="s">
        <v>91</v>
      </c>
      <c r="D3" s="21" t="s">
        <v>38</v>
      </c>
      <c r="E3" s="21" t="s">
        <v>39</v>
      </c>
      <c r="F3" s="21" t="s">
        <v>40</v>
      </c>
      <c r="G3" s="21" t="s">
        <v>6</v>
      </c>
      <c r="H3" s="21" t="s">
        <v>142</v>
      </c>
      <c r="I3" s="21" t="s">
        <v>61</v>
      </c>
      <c r="J3" s="21" t="s">
        <v>15</v>
      </c>
      <c r="K3" s="21" t="s">
        <v>12</v>
      </c>
      <c r="L3" s="22" t="s">
        <v>16</v>
      </c>
      <c r="M3" s="21" t="s">
        <v>17</v>
      </c>
      <c r="N3" s="21" t="s">
        <v>13</v>
      </c>
      <c r="O3" s="22" t="s">
        <v>18</v>
      </c>
      <c r="P3" s="21" t="s">
        <v>19</v>
      </c>
      <c r="Q3" s="21" t="s">
        <v>14</v>
      </c>
      <c r="R3" s="22" t="s">
        <v>20</v>
      </c>
      <c r="S3" s="21" t="s">
        <v>45</v>
      </c>
      <c r="T3" s="21" t="s">
        <v>69</v>
      </c>
      <c r="U3" s="21" t="s">
        <v>46</v>
      </c>
      <c r="V3" s="21" t="s">
        <v>47</v>
      </c>
      <c r="W3" s="21" t="s">
        <v>70</v>
      </c>
      <c r="X3" s="21" t="s">
        <v>48</v>
      </c>
      <c r="Y3" s="21" t="s">
        <v>49</v>
      </c>
      <c r="Z3" s="21" t="s">
        <v>71</v>
      </c>
      <c r="AA3" s="21" t="s">
        <v>50</v>
      </c>
      <c r="AB3" s="21" t="s">
        <v>94</v>
      </c>
      <c r="AC3" s="21" t="s">
        <v>95</v>
      </c>
      <c r="AD3" s="21" t="s">
        <v>96</v>
      </c>
      <c r="AE3" s="21" t="s">
        <v>52</v>
      </c>
      <c r="AF3" s="21" t="s">
        <v>72</v>
      </c>
      <c r="AG3" s="21" t="s">
        <v>53</v>
      </c>
      <c r="AH3" s="21" t="s">
        <v>55</v>
      </c>
      <c r="AI3" s="21" t="s">
        <v>73</v>
      </c>
      <c r="AJ3" s="21" t="s">
        <v>56</v>
      </c>
      <c r="AK3" s="21" t="s">
        <v>58</v>
      </c>
      <c r="AL3" s="21" t="s">
        <v>74</v>
      </c>
      <c r="AM3" s="22" t="s">
        <v>59</v>
      </c>
      <c r="AN3" s="21" t="s">
        <v>106</v>
      </c>
      <c r="AO3" s="21" t="s">
        <v>75</v>
      </c>
      <c r="AP3" s="22" t="s">
        <v>76</v>
      </c>
      <c r="AQ3" s="21" t="s">
        <v>103</v>
      </c>
      <c r="AR3" s="21" t="s">
        <v>104</v>
      </c>
      <c r="AS3" s="22" t="s">
        <v>105</v>
      </c>
      <c r="AT3" s="21" t="s">
        <v>77</v>
      </c>
      <c r="AU3" s="21" t="s">
        <v>78</v>
      </c>
      <c r="AV3" s="22" t="s">
        <v>79</v>
      </c>
      <c r="AW3" s="21" t="s">
        <v>80</v>
      </c>
      <c r="AX3" s="21" t="s">
        <v>81</v>
      </c>
      <c r="AY3" s="22" t="s">
        <v>82</v>
      </c>
      <c r="AZ3" s="21" t="s">
        <v>83</v>
      </c>
      <c r="BA3" s="21" t="s">
        <v>84</v>
      </c>
      <c r="BB3" s="22" t="s">
        <v>85</v>
      </c>
      <c r="BC3" s="21" t="s">
        <v>98</v>
      </c>
      <c r="BD3" s="21" t="s">
        <v>99</v>
      </c>
      <c r="BE3" s="21" t="s">
        <v>100</v>
      </c>
      <c r="BF3" s="21" t="s">
        <v>86</v>
      </c>
      <c r="BG3" s="21" t="s">
        <v>87</v>
      </c>
      <c r="BH3" s="21" t="s">
        <v>88</v>
      </c>
    </row>
    <row r="4" spans="2:60" x14ac:dyDescent="0.25">
      <c r="B4" s="1" t="str">
        <f t="shared" ref="B4:B8" si="0">D4&amp;" "&amp;E4</f>
        <v>BENAZET Jean-René</v>
      </c>
      <c r="C4" s="1" t="str">
        <f t="shared" ref="C4:C8" si="1">D4&amp;" "&amp;MID(E4,1,2)</f>
        <v>BENAZET Je</v>
      </c>
      <c r="D4" s="12" t="s">
        <v>25</v>
      </c>
      <c r="E4" s="12" t="s">
        <v>41</v>
      </c>
      <c r="F4" s="14">
        <v>21804</v>
      </c>
      <c r="G4" s="1">
        <f t="shared" ref="G4:G17" ca="1" si="2">IF(F4="","",DATEDIF(F4,TODAY(),"y"))</f>
        <v>59</v>
      </c>
      <c r="H4" s="14">
        <v>32339</v>
      </c>
      <c r="I4" s="13" t="s">
        <v>9</v>
      </c>
      <c r="J4" s="7">
        <f t="array" ref="J4">MAX(IF((Tableau4[Qui]=Tableau6[[#This Row],[Nom affiche]])*(Tableau4[Quoi]="Vis Travail"),Tableau4[Date],""))</f>
        <v>0</v>
      </c>
      <c r="K4" s="13">
        <v>1</v>
      </c>
      <c r="L4" s="2">
        <f t="array" aca="1" ref="L4" ca="1">IF(G4&lt;18,H4,IF(J4="",EDATE(H4,3),DATE(YEAR(J4)+K4,MONTH(J4),DAY(J4))))</f>
        <v>366</v>
      </c>
      <c r="M4" s="2">
        <f t="array" ref="M4">MAX(IF((Tableau4[Qui]=Tableau6[[#This Row],[Nom affiche]])*(Tableau4[Quoi]="Vis Médicale"),Tableau4[Date],""))</f>
        <v>0</v>
      </c>
      <c r="N4" s="13">
        <v>1</v>
      </c>
      <c r="O4" s="2">
        <f>DATE(YEAR(M4)+N4,MONTH(M4),DAY(M4))</f>
        <v>366</v>
      </c>
      <c r="P4" s="2">
        <f t="array" ref="P4">MAX(IF((Tableau4[Qui]=Tableau6[[#This Row],[Nom affiche]])*(Tableau4[Quoi]="Vis Permis PL"),Tableau4[Date],""))</f>
        <v>0</v>
      </c>
      <c r="Q4" s="15">
        <v>5</v>
      </c>
      <c r="R4" s="2">
        <f>DATE(YEAR(P4)+Q4,MONTH(P4),DAY(P4))</f>
        <v>1827</v>
      </c>
      <c r="S4" s="2">
        <f t="array" ref="S4">MAX(IF((Tableau4[Qui]=Tableau6[[#This Row],[Nom affiche]])*(Tableau4[Quoi]="Aire de mouvement"),Tableau4[Date],""))</f>
        <v>0</v>
      </c>
      <c r="T4" s="15">
        <v>15</v>
      </c>
      <c r="U4" s="2">
        <f t="shared" ref="U4:U17" si="3">DATE(YEAR(S4),MONTH(S4),DAY(S4)+T4)</f>
        <v>15</v>
      </c>
      <c r="V4" s="2">
        <f t="array" ref="V4">MAX(IF((Tableau4[Qui]=Tableau6[[#This Row],[Nom affiche]])*(Tableau4[Quoi]="Zone Aérodrome"),Tableau4[Date],""))</f>
        <v>0</v>
      </c>
      <c r="W4" s="15">
        <v>1</v>
      </c>
      <c r="X4" s="2">
        <f t="shared" ref="X4:X17" si="4">DATE(YEAR(V4),MONTH(V4)+W4,DAY(V4))</f>
        <v>31</v>
      </c>
      <c r="Y4" s="2">
        <f t="array" ref="Y4">MAX(IF((Tableau4[Qui]=Tableau6[[#This Row],[Nom affiche]])*(Tableau4[Quoi]="Zone Voisine Aérodrome"),Tableau4[Date],""))</f>
        <v>0</v>
      </c>
      <c r="Z4" s="15">
        <v>3</v>
      </c>
      <c r="AA4" s="2">
        <f t="shared" ref="AA4:AA17" si="5">DATE(YEAR(Y4),MONTH(Y4)+Z4,DAY(Y4))</f>
        <v>91</v>
      </c>
      <c r="AB4" s="2">
        <f t="array" ref="AB4">MAX(IF((Tableau4[Qui]=Tableau6[[#This Row],[Nom affiche]])*(Tableau4[Quoi]="E.P.I"),Tableau4[Date],""))</f>
        <v>0</v>
      </c>
      <c r="AC4" s="15">
        <v>3</v>
      </c>
      <c r="AD4" s="2">
        <f t="shared" ref="AD4:AD17" si="6">DATE(YEAR(AB4),MONTH(AB4)+AC4,DAY(AB4))</f>
        <v>91</v>
      </c>
      <c r="AE4" s="2">
        <f t="array" ref="AE4">MAX(IF((Tableau4[Qui]=Tableau6[[#This Row],[Nom affiche]])*(Tableau4[Quoi]="Poudre et eau pulvé"),Tableau4[Date],""))</f>
        <v>0</v>
      </c>
      <c r="AF4" s="15">
        <v>1</v>
      </c>
      <c r="AG4" s="2">
        <f t="shared" ref="AG4:AG17" si="7">DATE(YEAR(AE4)+AF4,MONTH(AE4),DAY(AE4))</f>
        <v>366</v>
      </c>
      <c r="AH4" s="2">
        <f t="array" ref="AH4">MAX(IF((Tableau4[Qui]=Tableau6[[#This Row],[Nom affiche]])*(Tableau4[Quoi]="Poudre métaux"),Tableau4[Date],""))</f>
        <v>0</v>
      </c>
      <c r="AI4" s="15">
        <v>5</v>
      </c>
      <c r="AJ4" s="2">
        <f t="shared" ref="AJ4:AJ17" si="8">DATE(YEAR(AH4)+AI4,MONTH(AH4),DAY(AH4))</f>
        <v>1827</v>
      </c>
      <c r="AK4" s="2">
        <f t="array" ref="AK4">MAX(IF((Tableau4[Qui]=Tableau6[[#This Row],[Nom affiche]])*(Tableau4[Quoi]="CO²"),Tableau4[Date],""))</f>
        <v>0</v>
      </c>
      <c r="AL4" s="15">
        <v>1</v>
      </c>
      <c r="AM4" s="2">
        <f>DATE(YEAR(AK4)+AL4,MONTH(AK4),DAY(AK4))</f>
        <v>366</v>
      </c>
      <c r="AN4" s="2">
        <f t="array" ref="AN4">MAX(IF((Tableau4[Qui]=Tableau6[[#This Row],[Nom affiche]])*(Tableau4[Quoi]="Rec SSLIA"),Tableau4[Date],""))</f>
        <v>0</v>
      </c>
      <c r="AO4" s="15">
        <v>3</v>
      </c>
      <c r="AP4" s="2">
        <f t="shared" ref="AP4:AP9" si="9">IF(AN4="","",DATE(YEAR(AN4)+AO4,MONTH(AN4),DAY(AN4)))</f>
        <v>1096</v>
      </c>
      <c r="AQ4" s="2" t="e">
        <f>MAX(IF((Tableau4[Qui]=Tableau6[[#This Row],[Nom affiche]])*(Tableau4[Quoi]="Rec pompier aérodrome"),Tableau4[Date],""))</f>
        <v>#VALUE!</v>
      </c>
      <c r="AR4" s="15"/>
      <c r="AS4" s="2" t="e">
        <f t="shared" ref="AS4:AS9" si="10">IF(AQ4="","",DATE(YEAR(AQ4)+AR4,MONTH(AQ4),DAY(AQ4)))</f>
        <v>#VALUE!</v>
      </c>
      <c r="AT4" s="2">
        <f t="array" ref="AT4">MAX(IF((Tableau4[Qui]=Tableau6[[#This Row],[Nom affiche]])*(Tableau4[Quoi]="Badge"),Tableau4[Date],""))</f>
        <v>0</v>
      </c>
      <c r="AU4" s="15">
        <v>3</v>
      </c>
      <c r="AV4" s="2">
        <f>DATE(YEAR(AT4)+AU4,MONTH(AT4),DAY(AT4))</f>
        <v>1096</v>
      </c>
      <c r="AW4" s="2">
        <f t="array" ref="AW4">MAX(IF((Tableau4[Qui]=Tableau6[[#This Row],[Nom affiche]])*(Tableau4[Quoi]="Sûreté"),Tableau4[Date],""))</f>
        <v>0</v>
      </c>
      <c r="AX4" s="15">
        <v>3</v>
      </c>
      <c r="AY4" s="2">
        <f>DATE(YEAR(AW4)+AX4,MONTH(AW4),DAY(AW4))</f>
        <v>1096</v>
      </c>
      <c r="AZ4" s="2">
        <f t="array" ref="AZ4">MAX(IF((Tableau4[Qui]=Tableau6[[#This Row],[Nom affiche]])*(Tableau4[Quoi]="Circulation piste"),Tableau4[Date],""))</f>
        <v>0</v>
      </c>
      <c r="BA4" s="15">
        <v>3</v>
      </c>
      <c r="BB4" s="2">
        <f>DATE(YEAR(AZ4)+BA4,MONTH(AZ4),DAY(AZ4))</f>
        <v>1096</v>
      </c>
      <c r="BC4" s="2">
        <f t="array" ref="BC4">MAX(IF((Tableau4[Qui]=Tableau6[[#This Row],[Nom affiche]])*(Tableau4[Quoi]="Véhicules et embarcations"),Tableau4[Date],""))</f>
        <v>0</v>
      </c>
      <c r="BD4" s="15">
        <v>15</v>
      </c>
      <c r="BE4" s="2">
        <f t="shared" ref="BE4:BE9" si="11">DATE(YEAR(BC4),MONTH(BC4),DAY(BC4)+BD4)</f>
        <v>15</v>
      </c>
      <c r="BF4" s="2">
        <f t="array" ref="BF4">MAX(IF((Tableau4[Qui]=Tableau6[[#This Row],[Nom affiche]])*(Tableau4[Quoi]="A.R.I"),Tableau4[Date],""))</f>
        <v>0</v>
      </c>
      <c r="BG4" s="13">
        <v>3</v>
      </c>
      <c r="BH4" s="2">
        <f t="shared" ref="BH4:BH7" si="12">DATE(YEAR(BF4),MONTH(BF4)+BG4,DAY(BF4))</f>
        <v>91</v>
      </c>
    </row>
    <row r="5" spans="2:60" x14ac:dyDescent="0.25">
      <c r="B5" s="1" t="str">
        <f t="shared" si="0"/>
        <v>ZARAGOZA Didier</v>
      </c>
      <c r="C5" s="1" t="str">
        <f t="shared" si="1"/>
        <v>ZARAGOZA Di</v>
      </c>
      <c r="D5" s="12" t="s">
        <v>26</v>
      </c>
      <c r="E5" s="12" t="s">
        <v>27</v>
      </c>
      <c r="F5" s="14">
        <v>23743</v>
      </c>
      <c r="G5" s="1">
        <f t="shared" ca="1" si="2"/>
        <v>53</v>
      </c>
      <c r="I5" s="13" t="s">
        <v>9</v>
      </c>
      <c r="J5" s="2">
        <f t="array" ref="J5">MAX(IF((Tableau4[Qui]=Tableau6[[#This Row],[Nom affiche]])*(Tableau4[Quoi]="Vis Travail"),Tableau4[Date],""))</f>
        <v>0</v>
      </c>
      <c r="K5" s="13">
        <v>1</v>
      </c>
      <c r="L5" s="2">
        <f t="array" aca="1" ref="L5" ca="1">IF(G5&lt;18,H5,IF(J5="",EDATE(H5,3),DATE(YEAR(J5)+K5,MONTH(J5),DAY(J5))))</f>
        <v>366</v>
      </c>
      <c r="M5" s="2">
        <f t="array" ref="M5">MAX(IF((Tableau4[Qui]=Tableau6[[#This Row],[Nom affiche]])*(Tableau4[Quoi]="Vis Médicale"),Tableau4[Date],""))</f>
        <v>0</v>
      </c>
      <c r="N5" s="13">
        <v>1</v>
      </c>
      <c r="O5" s="2">
        <f t="shared" ref="O5:O7" si="13">DATE(YEAR(M5)+N5,MONTH(M5),DAY(M5))</f>
        <v>366</v>
      </c>
      <c r="P5" s="2">
        <f t="array" ref="P5">MAX(IF((Tableau4[Qui]=Tableau6[[#This Row],[Nom affiche]])*(Tableau4[Quoi]="Vis Permis PL"),Tableau4[Date],""))</f>
        <v>0</v>
      </c>
      <c r="Q5" s="13">
        <v>5</v>
      </c>
      <c r="R5" s="2">
        <f t="shared" ref="R5:R7" si="14">DATE(YEAR(P5)+Q5,MONTH(P5),DAY(P5))</f>
        <v>1827</v>
      </c>
      <c r="S5" s="2">
        <f t="array" ref="S5">MAX(IF((Tableau4[Qui]=Tableau6[[#This Row],[Nom affiche]])*(Tableau4[Quoi]="Aire de mouvement"),Tableau4[Date],""))</f>
        <v>0</v>
      </c>
      <c r="T5" s="13">
        <v>15</v>
      </c>
      <c r="U5" s="2">
        <f t="shared" si="3"/>
        <v>15</v>
      </c>
      <c r="V5" s="2">
        <f t="array" ref="V5">MAX(IF((Tableau4[Qui]=Tableau6[[#This Row],[Nom affiche]])*(Tableau4[Quoi]="Zone Aérodrome"),Tableau4[Date],""))</f>
        <v>0</v>
      </c>
      <c r="W5" s="13">
        <v>1</v>
      </c>
      <c r="X5" s="2">
        <f t="shared" si="4"/>
        <v>31</v>
      </c>
      <c r="Y5" s="2">
        <f t="array" ref="Y5">MAX(IF((Tableau4[Qui]=Tableau6[[#This Row],[Nom affiche]])*(Tableau4[Quoi]="Zone Voisine Aérodrome"),Tableau4[Date],""))</f>
        <v>0</v>
      </c>
      <c r="Z5" s="13">
        <v>3</v>
      </c>
      <c r="AA5" s="2">
        <f t="shared" si="5"/>
        <v>91</v>
      </c>
      <c r="AB5" s="2">
        <f t="array" ref="AB5">MAX(IF((Tableau4[Qui]=Tableau6[[#This Row],[Nom affiche]])*(Tableau4[Quoi]="E.P.I"),Tableau4[Date],""))</f>
        <v>0</v>
      </c>
      <c r="AC5" s="13">
        <v>3</v>
      </c>
      <c r="AD5" s="2">
        <f t="shared" si="6"/>
        <v>91</v>
      </c>
      <c r="AE5" s="2">
        <f t="array" ref="AE5">MAX(IF((Tableau4[Qui]=Tableau6[[#This Row],[Nom affiche]])*(Tableau4[Quoi]="Poudre et eau pulvé"),Tableau4[Date],""))</f>
        <v>0</v>
      </c>
      <c r="AF5" s="13">
        <v>1</v>
      </c>
      <c r="AG5" s="2">
        <f t="shared" si="7"/>
        <v>366</v>
      </c>
      <c r="AH5" s="2">
        <f t="array" ref="AH5">MAX(IF((Tableau4[Qui]=Tableau6[[#This Row],[Nom affiche]])*(Tableau4[Quoi]="Poudre métaux"),Tableau4[Date],""))</f>
        <v>0</v>
      </c>
      <c r="AI5" s="13">
        <v>5</v>
      </c>
      <c r="AJ5" s="2">
        <f t="shared" si="8"/>
        <v>1827</v>
      </c>
      <c r="AK5" s="2">
        <f t="array" ref="AK5">MAX(IF((Tableau4[Qui]=Tableau6[[#This Row],[Nom affiche]])*(Tableau4[Quoi]="CO²"),Tableau4[Date],""))</f>
        <v>0</v>
      </c>
      <c r="AL5" s="13">
        <v>1</v>
      </c>
      <c r="AM5" s="2">
        <f t="shared" ref="AM5:AM7" si="15">DATE(YEAR(AK5)+AL5,MONTH(AK5),DAY(AK5))</f>
        <v>366</v>
      </c>
      <c r="AN5" s="2">
        <f t="array" ref="AN5">MAX(IF((Tableau4[Qui]=Tableau6[[#This Row],[Nom affiche]])*(Tableau4[Quoi]="Rec SSLIA"),Tableau4[Date],""))</f>
        <v>0</v>
      </c>
      <c r="AO5" s="13">
        <v>3</v>
      </c>
      <c r="AP5" s="2">
        <f t="shared" si="9"/>
        <v>1096</v>
      </c>
      <c r="AQ5" s="2" t="e">
        <f>MAX(IF((Tableau4[Qui]=Tableau6[[#This Row],[Nom affiche]])*(Tableau4[Quoi]="Rec pompier aérodrome"),Tableau4[Date],""))</f>
        <v>#VALUE!</v>
      </c>
      <c r="AS5" s="2" t="e">
        <f t="shared" si="10"/>
        <v>#VALUE!</v>
      </c>
      <c r="AT5" s="2">
        <f t="array" ref="AT5">MAX(IF((Tableau4[Qui]=Tableau6[[#This Row],[Nom affiche]])*(Tableau4[Quoi]="Badge"),Tableau4[Date],""))</f>
        <v>0</v>
      </c>
      <c r="AU5" s="13">
        <v>3</v>
      </c>
      <c r="AV5" s="2">
        <f t="shared" ref="AV5:AV7" si="16">DATE(YEAR(AT5)+AU5,MONTH(AT5),DAY(AT5))</f>
        <v>1096</v>
      </c>
      <c r="AW5" s="2">
        <f t="array" ref="AW5">MAX(IF((Tableau4[Qui]=Tableau6[[#This Row],[Nom affiche]])*(Tableau4[Quoi]="Sûreté"),Tableau4[Date],""))</f>
        <v>0</v>
      </c>
      <c r="AX5" s="13">
        <v>3</v>
      </c>
      <c r="AY5" s="2">
        <f t="shared" ref="AY5:AY7" si="17">DATE(YEAR(AW5)+AX5,MONTH(AW5),DAY(AW5))</f>
        <v>1096</v>
      </c>
      <c r="AZ5" s="2">
        <f t="array" ref="AZ5">MAX(IF((Tableau4[Qui]=Tableau6[[#This Row],[Nom affiche]])*(Tableau4[Quoi]="Circulation piste"),Tableau4[Date],""))</f>
        <v>0</v>
      </c>
      <c r="BA5" s="13">
        <v>3</v>
      </c>
      <c r="BB5" s="2">
        <f t="shared" ref="BB5:BB7" si="18">DATE(YEAR(AZ5)+BA5,MONTH(AZ5),DAY(AZ5))</f>
        <v>1096</v>
      </c>
      <c r="BC5" s="2">
        <f t="array" ref="BC5">MAX(IF((Tableau4[Qui]=Tableau6[[#This Row],[Nom affiche]])*(Tableau4[Quoi]="Véhicules et embarcations"),Tableau4[Date],""))</f>
        <v>0</v>
      </c>
      <c r="BD5" s="13">
        <v>15</v>
      </c>
      <c r="BE5" s="2">
        <f t="shared" si="11"/>
        <v>15</v>
      </c>
      <c r="BF5" s="2">
        <f t="array" ref="BF5">MAX(IF((Tableau4[Qui]=Tableau6[[#This Row],[Nom affiche]])*(Tableau4[Quoi]="A.R.I"),Tableau4[Date],""))</f>
        <v>0</v>
      </c>
      <c r="BG5" s="13">
        <v>3</v>
      </c>
      <c r="BH5" s="2">
        <f t="shared" si="12"/>
        <v>91</v>
      </c>
    </row>
    <row r="6" spans="2:60" x14ac:dyDescent="0.25">
      <c r="B6" s="1" t="str">
        <f t="shared" si="0"/>
        <v>SANTOS Jean-François</v>
      </c>
      <c r="C6" s="1" t="str">
        <f t="shared" si="1"/>
        <v>SANTOS Je</v>
      </c>
      <c r="D6" s="12" t="s">
        <v>28</v>
      </c>
      <c r="E6" s="12" t="s">
        <v>29</v>
      </c>
      <c r="F6" s="14">
        <v>22519</v>
      </c>
      <c r="G6" s="1">
        <f t="shared" ca="1" si="2"/>
        <v>57</v>
      </c>
      <c r="H6" s="14"/>
      <c r="I6" s="13" t="s">
        <v>9</v>
      </c>
      <c r="J6" s="2">
        <f t="array" ref="J6">MAX(IF((Tableau4[Qui]=Tableau6[[#This Row],[Nom affiche]])*(Tableau4[Quoi]="Vis Travail"),Tableau4[Date],""))</f>
        <v>0</v>
      </c>
      <c r="K6" s="13">
        <v>1</v>
      </c>
      <c r="L6" s="2">
        <f t="array" aca="1" ref="L6" ca="1">IF(G6&lt;18,H6,IF(J6="",EDATE(H6,3),DATE(YEAR(J6)+K6,MONTH(J6),DAY(J6))))</f>
        <v>366</v>
      </c>
      <c r="M6" s="2">
        <f t="array" ref="M6">MAX(IF((Tableau4[Qui]=Tableau6[[#This Row],[Nom affiche]])*(Tableau4[Quoi]="Vis Médicale"),Tableau4[Date],""))</f>
        <v>0</v>
      </c>
      <c r="N6" s="13">
        <v>1</v>
      </c>
      <c r="O6" s="2">
        <f t="shared" si="13"/>
        <v>366</v>
      </c>
      <c r="P6" s="2">
        <f t="array" ref="P6">MAX(IF((Tableau4[Qui]=Tableau6[[#This Row],[Nom affiche]])*(Tableau4[Quoi]="Vis Permis PL"),Tableau4[Date],""))</f>
        <v>0</v>
      </c>
      <c r="Q6" s="13">
        <v>5</v>
      </c>
      <c r="R6" s="2">
        <f t="shared" si="14"/>
        <v>1827</v>
      </c>
      <c r="S6" s="2">
        <f t="array" ref="S6">MAX(IF((Tableau4[Qui]=Tableau6[[#This Row],[Nom affiche]])*(Tableau4[Quoi]="Aire de mouvement"),Tableau4[Date],""))</f>
        <v>0</v>
      </c>
      <c r="T6" s="13">
        <v>15</v>
      </c>
      <c r="U6" s="2">
        <f t="shared" si="3"/>
        <v>15</v>
      </c>
      <c r="V6" s="2">
        <f t="array" ref="V6">MAX(IF((Tableau4[Qui]=Tableau6[[#This Row],[Nom affiche]])*(Tableau4[Quoi]="Zone Aérodrome"),Tableau4[Date],""))</f>
        <v>0</v>
      </c>
      <c r="W6" s="13">
        <v>1</v>
      </c>
      <c r="X6" s="2">
        <f t="shared" si="4"/>
        <v>31</v>
      </c>
      <c r="Y6" s="2">
        <f t="array" ref="Y6">MAX(IF((Tableau4[Qui]=Tableau6[[#This Row],[Nom affiche]])*(Tableau4[Quoi]="Zone Voisine Aérodrome"),Tableau4[Date],""))</f>
        <v>0</v>
      </c>
      <c r="Z6" s="13">
        <v>3</v>
      </c>
      <c r="AA6" s="2">
        <f t="shared" si="5"/>
        <v>91</v>
      </c>
      <c r="AB6" s="2">
        <f t="array" ref="AB6">MAX(IF((Tableau4[Qui]=Tableau6[[#This Row],[Nom affiche]])*(Tableau4[Quoi]="E.P.I"),Tableau4[Date],""))</f>
        <v>0</v>
      </c>
      <c r="AC6" s="13">
        <v>3</v>
      </c>
      <c r="AD6" s="2">
        <f t="shared" si="6"/>
        <v>91</v>
      </c>
      <c r="AE6" s="2">
        <f t="array" ref="AE6">MAX(IF((Tableau4[Qui]=Tableau6[[#This Row],[Nom affiche]])*(Tableau4[Quoi]="Poudre et eau pulvé"),Tableau4[Date],""))</f>
        <v>0</v>
      </c>
      <c r="AF6" s="13">
        <v>1</v>
      </c>
      <c r="AG6" s="2">
        <f t="shared" si="7"/>
        <v>366</v>
      </c>
      <c r="AH6" s="2">
        <f t="array" ref="AH6">MAX(IF((Tableau4[Qui]=Tableau6[[#This Row],[Nom affiche]])*(Tableau4[Quoi]="Poudre métaux"),Tableau4[Date],""))</f>
        <v>0</v>
      </c>
      <c r="AI6" s="13">
        <v>5</v>
      </c>
      <c r="AJ6" s="2">
        <f t="shared" si="8"/>
        <v>1827</v>
      </c>
      <c r="AK6" s="2">
        <f t="array" ref="AK6">MAX(IF((Tableau4[Qui]=Tableau6[[#This Row],[Nom affiche]])*(Tableau4[Quoi]="CO²"),Tableau4[Date],""))</f>
        <v>0</v>
      </c>
      <c r="AL6" s="13">
        <v>1</v>
      </c>
      <c r="AM6" s="2">
        <f t="shared" si="15"/>
        <v>366</v>
      </c>
      <c r="AN6" s="2">
        <f t="array" ref="AN6">MAX(IF((Tableau4[Qui]=Tableau6[[#This Row],[Nom affiche]])*(Tableau4[Quoi]="Rec SSLIA"),Tableau4[Date],""))</f>
        <v>0</v>
      </c>
      <c r="AO6" s="13">
        <v>3</v>
      </c>
      <c r="AP6" s="2">
        <f t="shared" si="9"/>
        <v>1096</v>
      </c>
      <c r="AQ6" s="2" t="e">
        <f>MAX(IF((Tableau4[Qui]=Tableau6[[#This Row],[Nom affiche]])*(Tableau4[Quoi]="Rec pompier aérodrome"),Tableau4[Date],""))</f>
        <v>#VALUE!</v>
      </c>
      <c r="AS6" s="2" t="e">
        <f t="shared" si="10"/>
        <v>#VALUE!</v>
      </c>
      <c r="AT6" s="2">
        <f t="array" ref="AT6">MAX(IF((Tableau4[Qui]=Tableau6[[#This Row],[Nom affiche]])*(Tableau4[Quoi]="Badge"),Tableau4[Date],""))</f>
        <v>0</v>
      </c>
      <c r="AU6" s="13">
        <v>3</v>
      </c>
      <c r="AV6" s="2">
        <f t="shared" si="16"/>
        <v>1096</v>
      </c>
      <c r="AW6" s="2">
        <f t="array" ref="AW6">MAX(IF((Tableau4[Qui]=Tableau6[[#This Row],[Nom affiche]])*(Tableau4[Quoi]="Sûreté"),Tableau4[Date],""))</f>
        <v>0</v>
      </c>
      <c r="AX6" s="13">
        <v>3</v>
      </c>
      <c r="AY6" s="2">
        <f t="shared" si="17"/>
        <v>1096</v>
      </c>
      <c r="AZ6" s="2">
        <f t="array" ref="AZ6">MAX(IF((Tableau4[Qui]=Tableau6[[#This Row],[Nom affiche]])*(Tableau4[Quoi]="Circulation piste"),Tableau4[Date],""))</f>
        <v>0</v>
      </c>
      <c r="BA6" s="13">
        <v>3</v>
      </c>
      <c r="BB6" s="2">
        <f t="shared" si="18"/>
        <v>1096</v>
      </c>
      <c r="BC6" s="2">
        <f t="array" ref="BC6">MAX(IF((Tableau4[Qui]=Tableau6[[#This Row],[Nom affiche]])*(Tableau4[Quoi]="Véhicules et embarcations"),Tableau4[Date],""))</f>
        <v>0</v>
      </c>
      <c r="BD6" s="13">
        <v>15</v>
      </c>
      <c r="BE6" s="2">
        <f t="shared" si="11"/>
        <v>15</v>
      </c>
      <c r="BF6" s="2">
        <f t="array" ref="BF6">MAX(IF((Tableau4[Qui]=Tableau6[[#This Row],[Nom affiche]])*(Tableau4[Quoi]="A.R.I"),Tableau4[Date],""))</f>
        <v>43374</v>
      </c>
      <c r="BG6" s="13">
        <v>3</v>
      </c>
      <c r="BH6" s="2">
        <f t="shared" si="12"/>
        <v>43466</v>
      </c>
    </row>
    <row r="7" spans="2:60" x14ac:dyDescent="0.25">
      <c r="B7" s="1" t="str">
        <f t="shared" si="0"/>
        <v>NAVARRO Christophe</v>
      </c>
      <c r="C7" s="1" t="str">
        <f t="shared" si="1"/>
        <v>NAVARRO Ch</v>
      </c>
      <c r="D7" s="12" t="s">
        <v>30</v>
      </c>
      <c r="E7" s="12" t="s">
        <v>31</v>
      </c>
      <c r="F7" s="14">
        <v>26246</v>
      </c>
      <c r="G7" s="1">
        <f t="shared" ca="1" si="2"/>
        <v>46</v>
      </c>
      <c r="I7" s="13" t="s">
        <v>9</v>
      </c>
      <c r="J7" s="2">
        <f t="array" ref="J7">MAX(IF((Tableau4[Qui]=Tableau6[[#This Row],[Nom affiche]])*(Tableau4[Quoi]="Vis Travail"),Tableau4[Date],""))</f>
        <v>0</v>
      </c>
      <c r="K7" s="13">
        <v>1</v>
      </c>
      <c r="L7" s="2">
        <f t="array" aca="1" ref="L7" ca="1">IF(G7&lt;18,H7,IF(J7="",EDATE(H7,3),DATE(YEAR(J7)+K7,MONTH(J7),DAY(J7))))</f>
        <v>366</v>
      </c>
      <c r="M7" s="2">
        <f t="array" ref="M7">MAX(IF((Tableau4[Qui]=Tableau6[[#This Row],[Nom affiche]])*(Tableau4[Quoi]="Vis Médicale"),Tableau4[Date],""))</f>
        <v>0</v>
      </c>
      <c r="N7" s="13">
        <v>1</v>
      </c>
      <c r="O7" s="2">
        <f t="shared" si="13"/>
        <v>366</v>
      </c>
      <c r="P7" s="2">
        <f t="array" ref="P7">MAX(IF((Tableau4[Qui]=Tableau6[[#This Row],[Nom affiche]])*(Tableau4[Quoi]="Vis Permis PL"),Tableau4[Date],""))</f>
        <v>0</v>
      </c>
      <c r="Q7" s="13">
        <v>5</v>
      </c>
      <c r="R7" s="2">
        <f t="shared" si="14"/>
        <v>1827</v>
      </c>
      <c r="S7" s="2">
        <f t="array" ref="S7">MAX(IF((Tableau4[Qui]=Tableau6[[#This Row],[Nom affiche]])*(Tableau4[Quoi]="Aire de mouvement"),Tableau4[Date],""))</f>
        <v>0</v>
      </c>
      <c r="T7" s="13">
        <v>15</v>
      </c>
      <c r="U7" s="2">
        <f t="shared" si="3"/>
        <v>15</v>
      </c>
      <c r="V7" s="2">
        <f t="array" ref="V7">MAX(IF((Tableau4[Qui]=Tableau6[[#This Row],[Nom affiche]])*(Tableau4[Quoi]="Zone Aérodrome"),Tableau4[Date],""))</f>
        <v>0</v>
      </c>
      <c r="W7" s="13">
        <v>1</v>
      </c>
      <c r="X7" s="2">
        <f t="shared" si="4"/>
        <v>31</v>
      </c>
      <c r="Y7" s="2">
        <f t="array" ref="Y7">MAX(IF((Tableau4[Qui]=Tableau6[[#This Row],[Nom affiche]])*(Tableau4[Quoi]="Zone Voisine Aérodrome"),Tableau4[Date],""))</f>
        <v>0</v>
      </c>
      <c r="Z7" s="13">
        <v>3</v>
      </c>
      <c r="AA7" s="2">
        <f t="shared" si="5"/>
        <v>91</v>
      </c>
      <c r="AB7" s="2">
        <f t="array" ref="AB7">MAX(IF((Tableau4[Qui]=Tableau6[[#This Row],[Nom affiche]])*(Tableau4[Quoi]="E.P.I"),Tableau4[Date],""))</f>
        <v>0</v>
      </c>
      <c r="AC7" s="13">
        <v>3</v>
      </c>
      <c r="AD7" s="2">
        <f t="shared" si="6"/>
        <v>91</v>
      </c>
      <c r="AE7" s="2">
        <f t="array" ref="AE7">MAX(IF((Tableau4[Qui]=Tableau6[[#This Row],[Nom affiche]])*(Tableau4[Quoi]="Poudre et eau pulvé"),Tableau4[Date],""))</f>
        <v>0</v>
      </c>
      <c r="AF7" s="13">
        <v>1</v>
      </c>
      <c r="AG7" s="2">
        <f t="shared" si="7"/>
        <v>366</v>
      </c>
      <c r="AH7" s="2">
        <f t="array" ref="AH7">MAX(IF((Tableau4[Qui]=Tableau6[[#This Row],[Nom affiche]])*(Tableau4[Quoi]="Poudre métaux"),Tableau4[Date],""))</f>
        <v>0</v>
      </c>
      <c r="AI7" s="13">
        <v>5</v>
      </c>
      <c r="AJ7" s="2">
        <f t="shared" si="8"/>
        <v>1827</v>
      </c>
      <c r="AK7" s="2">
        <f t="array" ref="AK7">MAX(IF((Tableau4[Qui]=Tableau6[[#This Row],[Nom affiche]])*(Tableau4[Quoi]="CO²"),Tableau4[Date],""))</f>
        <v>0</v>
      </c>
      <c r="AL7" s="13">
        <v>1</v>
      </c>
      <c r="AM7" s="2">
        <f t="shared" si="15"/>
        <v>366</v>
      </c>
      <c r="AN7" s="2">
        <f t="array" ref="AN7">MAX(IF((Tableau4[Qui]=Tableau6[[#This Row],[Nom affiche]])*(Tableau4[Quoi]="Rec SSLIA"),Tableau4[Date],""))</f>
        <v>0</v>
      </c>
      <c r="AO7" s="13">
        <v>3</v>
      </c>
      <c r="AP7" s="2">
        <f t="shared" si="9"/>
        <v>1096</v>
      </c>
      <c r="AQ7" s="2" t="e">
        <f>MAX(IF((Tableau4[Qui]=Tableau6[[#This Row],[Nom affiche]])*(Tableau4[Quoi]="Rec pompier aérodrome"),Tableau4[Date],""))</f>
        <v>#VALUE!</v>
      </c>
      <c r="AS7" s="2" t="e">
        <f t="shared" si="10"/>
        <v>#VALUE!</v>
      </c>
      <c r="AT7" s="2">
        <f t="array" ref="AT7">MAX(IF((Tableau4[Qui]=Tableau6[[#This Row],[Nom affiche]])*(Tableau4[Quoi]="Badge"),Tableau4[Date],""))</f>
        <v>0</v>
      </c>
      <c r="AU7" s="13">
        <v>3</v>
      </c>
      <c r="AV7" s="2">
        <f t="shared" si="16"/>
        <v>1096</v>
      </c>
      <c r="AW7" s="2">
        <f t="array" ref="AW7">MAX(IF((Tableau4[Qui]=Tableau6[[#This Row],[Nom affiche]])*(Tableau4[Quoi]="Sûreté"),Tableau4[Date],""))</f>
        <v>0</v>
      </c>
      <c r="AX7" s="13">
        <v>3</v>
      </c>
      <c r="AY7" s="2">
        <f t="shared" si="17"/>
        <v>1096</v>
      </c>
      <c r="AZ7" s="2">
        <f t="array" ref="AZ7">MAX(IF((Tableau4[Qui]=Tableau6[[#This Row],[Nom affiche]])*(Tableau4[Quoi]="Circulation piste"),Tableau4[Date],""))</f>
        <v>0</v>
      </c>
      <c r="BA7" s="13">
        <v>3</v>
      </c>
      <c r="BB7" s="2">
        <f t="shared" si="18"/>
        <v>1096</v>
      </c>
      <c r="BC7" s="2">
        <f t="array" ref="BC7">MAX(IF((Tableau4[Qui]=Tableau6[[#This Row],[Nom affiche]])*(Tableau4[Quoi]="Véhicules et embarcations"),Tableau4[Date],""))</f>
        <v>0</v>
      </c>
      <c r="BD7" s="13">
        <v>15</v>
      </c>
      <c r="BE7" s="2">
        <f t="shared" si="11"/>
        <v>15</v>
      </c>
      <c r="BF7" s="2">
        <f t="array" ref="BF7">MAX(IF((Tableau4[Qui]=Tableau6[[#This Row],[Nom affiche]])*(Tableau4[Quoi]="A.R.I"),Tableau4[Date],""))</f>
        <v>0</v>
      </c>
      <c r="BG7" s="13">
        <v>3</v>
      </c>
      <c r="BH7" s="2">
        <f t="shared" si="12"/>
        <v>91</v>
      </c>
    </row>
    <row r="8" spans="2:60" x14ac:dyDescent="0.25">
      <c r="B8" s="1" t="str">
        <f t="shared" si="0"/>
        <v>AUDIE Anthony</v>
      </c>
      <c r="C8" s="1" t="str">
        <f t="shared" si="1"/>
        <v>AUDIE An</v>
      </c>
      <c r="D8" s="12" t="s">
        <v>32</v>
      </c>
      <c r="E8" s="12" t="s">
        <v>33</v>
      </c>
      <c r="F8" s="14">
        <v>30149</v>
      </c>
      <c r="G8" s="1">
        <f t="shared" ca="1" si="2"/>
        <v>36</v>
      </c>
      <c r="H8" s="14"/>
      <c r="I8" s="13" t="s">
        <v>9</v>
      </c>
      <c r="J8" s="2">
        <f t="array" ref="J8">MAX(IF((Tableau4[Qui]=Tableau6[[#This Row],[Nom affiche]])*(Tableau4[Quoi]="Vis Travail"),Tableau4[Date],""))</f>
        <v>0</v>
      </c>
      <c r="K8" s="13">
        <v>1</v>
      </c>
      <c r="L8" s="2">
        <f t="array" aca="1" ref="L8" ca="1">IF(G8&lt;18,H8,IF(J8="",EDATE(H8,3),DATE(YEAR(J8)+K8,MONTH(J8),DAY(J8))))</f>
        <v>366</v>
      </c>
      <c r="M8" s="2">
        <f t="array" ref="M8">MAX(IF((Tableau4[Qui]=Tableau6[[#This Row],[Nom affiche]])*(Tableau4[Quoi]="Vis Médicale"),Tableau4[Date],""))</f>
        <v>0</v>
      </c>
      <c r="N8" s="13">
        <v>1</v>
      </c>
      <c r="O8" s="2">
        <f t="shared" ref="O8:O17" si="19">DATE(YEAR(M8)+N8,MONTH(M8),DAY(M8))</f>
        <v>366</v>
      </c>
      <c r="P8" s="2">
        <f t="array" ref="P8">MAX(IF((Tableau4[Qui]=Tableau6[[#This Row],[Nom affiche]])*(Tableau4[Quoi]="Vis Permis PL"),Tableau4[Date],""))</f>
        <v>0</v>
      </c>
      <c r="Q8" s="13">
        <v>5</v>
      </c>
      <c r="R8" s="2">
        <f t="shared" ref="R8:R17" si="20">DATE(YEAR(P8)+Q8,MONTH(P8),DAY(P8))</f>
        <v>1827</v>
      </c>
      <c r="S8" s="2">
        <f t="array" ref="S8">MAX(IF((Tableau4[Qui]=Tableau6[[#This Row],[Nom affiche]])*(Tableau4[Quoi]="Aire de mouvement"),Tableau4[Date],""))</f>
        <v>0</v>
      </c>
      <c r="T8" s="13">
        <v>15</v>
      </c>
      <c r="U8" s="2">
        <f t="shared" si="3"/>
        <v>15</v>
      </c>
      <c r="V8" s="2">
        <f t="array" ref="V8">MAX(IF((Tableau4[Qui]=Tableau6[[#This Row],[Nom affiche]])*(Tableau4[Quoi]="Zone Aérodrome"),Tableau4[Date],""))</f>
        <v>0</v>
      </c>
      <c r="W8" s="13">
        <v>1</v>
      </c>
      <c r="X8" s="2">
        <f t="shared" si="4"/>
        <v>31</v>
      </c>
      <c r="Y8" s="2">
        <f t="array" ref="Y8">MAX(IF((Tableau4[Qui]=Tableau6[[#This Row],[Nom affiche]])*(Tableau4[Quoi]="Zone Voisine Aérodrome"),Tableau4[Date],""))</f>
        <v>0</v>
      </c>
      <c r="Z8" s="13">
        <v>3</v>
      </c>
      <c r="AA8" s="2">
        <f t="shared" si="5"/>
        <v>91</v>
      </c>
      <c r="AB8" s="2">
        <f t="array" ref="AB8">MAX(IF((Tableau4[Qui]=Tableau6[[#This Row],[Nom affiche]])*(Tableau4[Quoi]="E.P.I"),Tableau4[Date],""))</f>
        <v>0</v>
      </c>
      <c r="AC8" s="13">
        <v>3</v>
      </c>
      <c r="AD8" s="2">
        <f t="shared" si="6"/>
        <v>91</v>
      </c>
      <c r="AE8" s="2">
        <f t="array" ref="AE8">MAX(IF((Tableau4[Qui]=Tableau6[[#This Row],[Nom affiche]])*(Tableau4[Quoi]="Poudre et eau pulvé"),Tableau4[Date],""))</f>
        <v>0</v>
      </c>
      <c r="AF8" s="13">
        <v>1</v>
      </c>
      <c r="AG8" s="2">
        <f t="shared" si="7"/>
        <v>366</v>
      </c>
      <c r="AH8" s="2">
        <f t="array" ref="AH8">MAX(IF((Tableau4[Qui]=Tableau6[[#This Row],[Nom affiche]])*(Tableau4[Quoi]="Poudre métaux"),Tableau4[Date],""))</f>
        <v>0</v>
      </c>
      <c r="AI8" s="13">
        <v>5</v>
      </c>
      <c r="AJ8" s="2">
        <f t="shared" si="8"/>
        <v>1827</v>
      </c>
      <c r="AK8" s="2">
        <f t="array" ref="AK8">MAX(IF((Tableau4[Qui]=Tableau6[[#This Row],[Nom affiche]])*(Tableau4[Quoi]="CO²"),Tableau4[Date],""))</f>
        <v>0</v>
      </c>
      <c r="AL8" s="13">
        <v>1</v>
      </c>
      <c r="AM8" s="2">
        <f t="shared" ref="AM8:AM17" si="21">DATE(YEAR(AK8)+AL8,MONTH(AK8),DAY(AK8))</f>
        <v>366</v>
      </c>
      <c r="AN8" s="2">
        <f t="array" ref="AN8">MAX(IF((Tableau4[Qui]=Tableau6[[#This Row],[Nom affiche]])*(Tableau4[Quoi]="Rec SSLIA"),Tableau4[Date],""))</f>
        <v>0</v>
      </c>
      <c r="AO8" s="13">
        <v>3</v>
      </c>
      <c r="AP8" s="2">
        <f t="shared" si="9"/>
        <v>1096</v>
      </c>
      <c r="AQ8" s="2" t="e">
        <f>MAX(IF((Tableau4[Qui]=Tableau6[[#This Row],[Nom affiche]])*(Tableau4[Quoi]="Rec pompier aérodrome"),Tableau4[Date],""))</f>
        <v>#VALUE!</v>
      </c>
      <c r="AS8" s="2" t="e">
        <f t="shared" si="10"/>
        <v>#VALUE!</v>
      </c>
      <c r="AT8" s="2">
        <f t="array" ref="AT8">MAX(IF((Tableau4[Qui]=Tableau6[[#This Row],[Nom affiche]])*(Tableau4[Quoi]="Badge"),Tableau4[Date],""))</f>
        <v>0</v>
      </c>
      <c r="AU8" s="13">
        <v>3</v>
      </c>
      <c r="AV8" s="2">
        <f t="shared" ref="AV8:AV17" si="22">DATE(YEAR(AT8)+AU8,MONTH(AT8),DAY(AT8))</f>
        <v>1096</v>
      </c>
      <c r="AW8" s="2">
        <f t="array" ref="AW8">MAX(IF((Tableau4[Qui]=Tableau6[[#This Row],[Nom affiche]])*(Tableau4[Quoi]="Sûreté"),Tableau4[Date],""))</f>
        <v>0</v>
      </c>
      <c r="AX8" s="13">
        <v>3</v>
      </c>
      <c r="AY8" s="2">
        <f t="shared" ref="AY8:AY17" si="23">DATE(YEAR(AW8)+AX8,MONTH(AW8),DAY(AW8))</f>
        <v>1096</v>
      </c>
      <c r="AZ8" s="2">
        <f t="array" ref="AZ8">MAX(IF((Tableau4[Qui]=Tableau6[[#This Row],[Nom affiche]])*(Tableau4[Quoi]="Circulation piste"),Tableau4[Date],""))</f>
        <v>0</v>
      </c>
      <c r="BA8" s="13">
        <v>3</v>
      </c>
      <c r="BB8" s="2">
        <f t="shared" ref="BB8:BB17" si="24">DATE(YEAR(AZ8)+BA8,MONTH(AZ8),DAY(AZ8))</f>
        <v>1096</v>
      </c>
      <c r="BC8" s="2">
        <f t="array" ref="BC8">MAX(IF((Tableau4[Qui]=Tableau6[[#This Row],[Nom affiche]])*(Tableau4[Quoi]="Véhicules et embarcations"),Tableau4[Date],""))</f>
        <v>0</v>
      </c>
      <c r="BD8" s="13">
        <v>15</v>
      </c>
      <c r="BE8" s="2">
        <f t="shared" si="11"/>
        <v>15</v>
      </c>
      <c r="BF8" s="2">
        <f t="array" ref="BF8">MAX(IF((Tableau4[Qui]=Tableau6[[#This Row],[Nom affiche]])*(Tableau4[Quoi]="A.R.I"),Tableau4[Date],""))</f>
        <v>0</v>
      </c>
      <c r="BG8" s="13">
        <v>3</v>
      </c>
      <c r="BH8" s="2">
        <f t="shared" ref="BH8:BH17" si="25">DATE(YEAR(BF8),MONTH(BF8)+BG8,DAY(BF8))</f>
        <v>91</v>
      </c>
    </row>
    <row r="9" spans="2:60" x14ac:dyDescent="0.25">
      <c r="B9" s="3" t="str">
        <f t="shared" ref="B9:B17" si="26">D9&amp;" "&amp;E9</f>
        <v>DISTEFANO Alexis</v>
      </c>
      <c r="C9" s="3" t="str">
        <f t="shared" ref="C9:C17" si="27">D9&amp;" "&amp;MID(E9,1,2)</f>
        <v>DISTEFANO Al</v>
      </c>
      <c r="D9" s="12" t="s">
        <v>34</v>
      </c>
      <c r="E9" s="12" t="s">
        <v>35</v>
      </c>
      <c r="F9" s="14">
        <v>26392</v>
      </c>
      <c r="G9" s="1">
        <f t="shared" ca="1" si="2"/>
        <v>46</v>
      </c>
      <c r="H9" s="14"/>
      <c r="I9" s="13" t="s">
        <v>9</v>
      </c>
      <c r="J9" s="2">
        <f t="array" ref="J9">MAX(IF((Tableau4[Qui]=Tableau6[[#This Row],[Nom affiche]])*(Tableau4[Quoi]="Vis Travail"),Tableau4[Date],""))</f>
        <v>0</v>
      </c>
      <c r="K9" s="13">
        <v>1</v>
      </c>
      <c r="L9" s="2">
        <f t="array" aca="1" ref="L9" ca="1">IF(G9&lt;18,H9,IF(J9="",EDATE(H9,3),DATE(YEAR(J9)+K9,MONTH(J9),DAY(J9))))</f>
        <v>366</v>
      </c>
      <c r="M9" s="2">
        <f t="array" ref="M9">MAX(IF((Tableau4[Qui]=Tableau6[[#This Row],[Nom affiche]])*(Tableau4[Quoi]="Vis Médicale"),Tableau4[Date],""))</f>
        <v>38482</v>
      </c>
      <c r="N9" s="13">
        <v>1</v>
      </c>
      <c r="O9" s="2">
        <f t="shared" si="19"/>
        <v>38847</v>
      </c>
      <c r="P9" s="2">
        <f t="array" ref="P9">MAX(IF((Tableau4[Qui]=Tableau6[[#This Row],[Nom affiche]])*(Tableau4[Quoi]="Vis Permis PL"),Tableau4[Date],""))</f>
        <v>0</v>
      </c>
      <c r="Q9" s="13">
        <v>5</v>
      </c>
      <c r="R9" s="2">
        <f t="shared" si="20"/>
        <v>1827</v>
      </c>
      <c r="S9" s="2">
        <f t="array" ref="S9">MAX(IF((Tableau4[Qui]=Tableau6[[#This Row],[Nom affiche]])*(Tableau4[Quoi]="Aire de mouvement"),Tableau4[Date],""))</f>
        <v>0</v>
      </c>
      <c r="T9" s="13">
        <v>15</v>
      </c>
      <c r="U9" s="2">
        <f t="shared" si="3"/>
        <v>15</v>
      </c>
      <c r="V9" s="2">
        <f t="array" ref="V9">MAX(IF((Tableau4[Qui]=Tableau6[[#This Row],[Nom affiche]])*(Tableau4[Quoi]="Zone Aérodrome"),Tableau4[Date],""))</f>
        <v>0</v>
      </c>
      <c r="W9" s="13">
        <v>1</v>
      </c>
      <c r="X9" s="2">
        <f t="shared" si="4"/>
        <v>31</v>
      </c>
      <c r="Y9" s="2">
        <f t="array" ref="Y9">MAX(IF((Tableau4[Qui]=Tableau6[[#This Row],[Nom affiche]])*(Tableau4[Quoi]="Zone Voisine Aérodrome"),Tableau4[Date],""))</f>
        <v>0</v>
      </c>
      <c r="Z9" s="13">
        <v>3</v>
      </c>
      <c r="AA9" s="2">
        <f t="shared" si="5"/>
        <v>91</v>
      </c>
      <c r="AB9" s="2">
        <f t="array" ref="AB9">MAX(IF((Tableau4[Qui]=Tableau6[[#This Row],[Nom affiche]])*(Tableau4[Quoi]="E.P.I"),Tableau4[Date],""))</f>
        <v>0</v>
      </c>
      <c r="AC9" s="13">
        <v>3</v>
      </c>
      <c r="AD9" s="2">
        <f t="shared" si="6"/>
        <v>91</v>
      </c>
      <c r="AE9" s="2">
        <f t="array" ref="AE9">MAX(IF((Tableau4[Qui]=Tableau6[[#This Row],[Nom affiche]])*(Tableau4[Quoi]="Poudre et eau pulvé"),Tableau4[Date],""))</f>
        <v>0</v>
      </c>
      <c r="AF9" s="13">
        <v>1</v>
      </c>
      <c r="AG9" s="2">
        <f t="shared" si="7"/>
        <v>366</v>
      </c>
      <c r="AH9" s="2">
        <f t="array" ref="AH9">MAX(IF((Tableau4[Qui]=Tableau6[[#This Row],[Nom affiche]])*(Tableau4[Quoi]="Poudre métaux"),Tableau4[Date],""))</f>
        <v>0</v>
      </c>
      <c r="AI9" s="13">
        <v>5</v>
      </c>
      <c r="AJ9" s="2">
        <f t="shared" si="8"/>
        <v>1827</v>
      </c>
      <c r="AK9" s="2">
        <f t="array" ref="AK9">MAX(IF((Tableau4[Qui]=Tableau6[[#This Row],[Nom affiche]])*(Tableau4[Quoi]="CO²"),Tableau4[Date],""))</f>
        <v>0</v>
      </c>
      <c r="AL9" s="13">
        <v>1</v>
      </c>
      <c r="AM9" s="2">
        <f t="shared" si="21"/>
        <v>366</v>
      </c>
      <c r="AN9" s="2">
        <f t="array" ref="AN9">MAX(IF((Tableau4[Qui]=Tableau6[[#This Row],[Nom affiche]])*(Tableau4[Quoi]="Rec SSLIA"),Tableau4[Date],""))</f>
        <v>0</v>
      </c>
      <c r="AO9" s="13">
        <v>3</v>
      </c>
      <c r="AP9" s="2">
        <f t="shared" si="9"/>
        <v>1096</v>
      </c>
      <c r="AQ9" s="2" t="e">
        <f>MAX(IF((Tableau4[Qui]=Tableau6[[#This Row],[Nom affiche]])*(Tableau4[Quoi]="Rec pompier aérodrome"),Tableau4[Date],""))</f>
        <v>#VALUE!</v>
      </c>
      <c r="AS9" s="2" t="e">
        <f t="shared" si="10"/>
        <v>#VALUE!</v>
      </c>
      <c r="AT9" s="2">
        <f t="array" ref="AT9">MAX(IF((Tableau4[Qui]=Tableau6[[#This Row],[Nom affiche]])*(Tableau4[Quoi]="Badge"),Tableau4[Date],""))</f>
        <v>0</v>
      </c>
      <c r="AU9" s="13">
        <v>3</v>
      </c>
      <c r="AV9" s="2">
        <f t="shared" si="22"/>
        <v>1096</v>
      </c>
      <c r="AW9" s="2">
        <f t="array" ref="AW9">MAX(IF((Tableau4[Qui]=Tableau6[[#This Row],[Nom affiche]])*(Tableau4[Quoi]="Sûreté"),Tableau4[Date],""))</f>
        <v>0</v>
      </c>
      <c r="AX9" s="13">
        <v>3</v>
      </c>
      <c r="AY9" s="2">
        <f t="shared" si="23"/>
        <v>1096</v>
      </c>
      <c r="AZ9" s="2">
        <f t="array" ref="AZ9">MAX(IF((Tableau4[Qui]=Tableau6[[#This Row],[Nom affiche]])*(Tableau4[Quoi]="Circulation piste"),Tableau4[Date],""))</f>
        <v>0</v>
      </c>
      <c r="BA9" s="13">
        <v>3</v>
      </c>
      <c r="BB9" s="2">
        <f t="shared" si="24"/>
        <v>1096</v>
      </c>
      <c r="BC9" s="2">
        <f t="array" ref="BC9">MAX(IF((Tableau4[Qui]=Tableau6[[#This Row],[Nom affiche]])*(Tableau4[Quoi]="Véhicules et embarcations"),Tableau4[Date],""))</f>
        <v>0</v>
      </c>
      <c r="BD9" s="13">
        <v>15</v>
      </c>
      <c r="BE9" s="2">
        <f t="shared" si="11"/>
        <v>15</v>
      </c>
      <c r="BF9" s="2">
        <f t="array" ref="BF9">MAX(IF((Tableau4[Qui]=Tableau6[[#This Row],[Nom affiche]])*(Tableau4[Quoi]="A.R.I"),Tableau4[Date],""))</f>
        <v>0</v>
      </c>
      <c r="BG9" s="13">
        <v>3</v>
      </c>
      <c r="BH9" s="2">
        <f t="shared" si="25"/>
        <v>91</v>
      </c>
    </row>
    <row r="10" spans="2:60" x14ac:dyDescent="0.25">
      <c r="B10" s="3" t="str">
        <f t="shared" si="26"/>
        <v>SCHWEITZER Jean-Michel</v>
      </c>
      <c r="C10" s="3" t="str">
        <f t="shared" si="27"/>
        <v>SCHWEITZER Je</v>
      </c>
      <c r="D10" s="12" t="s">
        <v>21</v>
      </c>
      <c r="E10" s="12" t="s">
        <v>22</v>
      </c>
      <c r="F10" s="14">
        <v>26497</v>
      </c>
      <c r="G10" s="1">
        <f t="shared" ca="1" si="2"/>
        <v>46</v>
      </c>
      <c r="H10" s="14">
        <v>39532</v>
      </c>
      <c r="I10" s="13" t="s">
        <v>9</v>
      </c>
      <c r="J10" s="2">
        <f t="array" ref="J10">MAX(IF((Tableau4[Qui]=Tableau6[[#This Row],[Nom affiche]])*(Tableau4[Quoi]="Vis Travail"),Tableau4[Date],""))</f>
        <v>0</v>
      </c>
      <c r="K10" s="13">
        <v>1</v>
      </c>
      <c r="L10" s="2">
        <f t="array" aca="1" ref="L10" ca="1">IF(G10&lt;18,H10,IF(J10="",EDATE(H10,3),DATE(YEAR(J10)+K10,MONTH(J10),DAY(J10))))</f>
        <v>366</v>
      </c>
      <c r="M10" s="2">
        <f t="array" ref="M10">MAX(IF((Tableau4[Qui]=Tableau6[[#This Row],[Nom affiche]])*(Tableau4[Quoi]="Vis Médicale"),Tableau4[Date],""))</f>
        <v>0</v>
      </c>
      <c r="N10" s="13">
        <v>1</v>
      </c>
      <c r="O10" s="2">
        <f t="shared" si="19"/>
        <v>366</v>
      </c>
      <c r="P10" s="2">
        <f t="array" ref="P10">MAX(IF((Tableau4[Qui]=Tableau6[[#This Row],[Nom affiche]])*(Tableau4[Quoi]="Vis Permis PL"),Tableau4[Date],""))</f>
        <v>0</v>
      </c>
      <c r="Q10" s="13">
        <v>5</v>
      </c>
      <c r="R10" s="2">
        <f t="shared" si="20"/>
        <v>1827</v>
      </c>
      <c r="S10" s="2">
        <f t="array" ref="S10">MAX(IF((Tableau4[Qui]=Tableau6[[#This Row],[Nom affiche]])*(Tableau4[Quoi]="Aire de mouvement"),Tableau4[Date],""))</f>
        <v>0</v>
      </c>
      <c r="T10" s="13">
        <v>15</v>
      </c>
      <c r="U10" s="2">
        <f t="shared" si="3"/>
        <v>15</v>
      </c>
      <c r="V10" s="2">
        <f t="array" ref="V10">MAX(IF((Tableau4[Qui]=Tableau6[[#This Row],[Nom affiche]])*(Tableau4[Quoi]="Zone Aérodrome"),Tableau4[Date],""))</f>
        <v>0</v>
      </c>
      <c r="W10" s="13">
        <v>1</v>
      </c>
      <c r="X10" s="2">
        <f t="shared" si="4"/>
        <v>31</v>
      </c>
      <c r="Y10" s="2">
        <f t="array" ref="Y10">MAX(IF((Tableau4[Qui]=Tableau6[[#This Row],[Nom affiche]])*(Tableau4[Quoi]="Zone Voisine Aérodrome"),Tableau4[Date],""))</f>
        <v>0</v>
      </c>
      <c r="Z10" s="13">
        <v>3</v>
      </c>
      <c r="AA10" s="2">
        <f t="shared" si="5"/>
        <v>91</v>
      </c>
      <c r="AB10" s="2">
        <f t="array" ref="AB10">MAX(IF((Tableau4[Qui]=Tableau6[[#This Row],[Nom affiche]])*(Tableau4[Quoi]="E.P.I"),Tableau4[Date],""))</f>
        <v>0</v>
      </c>
      <c r="AC10" s="13">
        <v>3</v>
      </c>
      <c r="AD10" s="2">
        <f t="shared" si="6"/>
        <v>91</v>
      </c>
      <c r="AE10" s="2">
        <f t="array" ref="AE10">MAX(IF((Tableau4[Qui]=Tableau6[[#This Row],[Nom affiche]])*(Tableau4[Quoi]="Poudre et eau pulvé"),Tableau4[Date],""))</f>
        <v>0</v>
      </c>
      <c r="AF10" s="13">
        <v>1</v>
      </c>
      <c r="AG10" s="2">
        <f t="shared" si="7"/>
        <v>366</v>
      </c>
      <c r="AH10" s="2">
        <f t="array" ref="AH10">MAX(IF((Tableau4[Qui]=Tableau6[[#This Row],[Nom affiche]])*(Tableau4[Quoi]="Poudre métaux"),Tableau4[Date],""))</f>
        <v>0</v>
      </c>
      <c r="AI10" s="13">
        <v>5</v>
      </c>
      <c r="AJ10" s="2">
        <f t="shared" si="8"/>
        <v>1827</v>
      </c>
      <c r="AK10" s="2">
        <f t="array" ref="AK10">MAX(IF((Tableau4[Qui]=Tableau6[[#This Row],[Nom affiche]])*(Tableau4[Quoi]="CO²"),Tableau4[Date],""))</f>
        <v>0</v>
      </c>
      <c r="AL10" s="13">
        <v>1</v>
      </c>
      <c r="AM10" s="2">
        <f t="shared" si="21"/>
        <v>366</v>
      </c>
      <c r="AN10" s="2">
        <f t="array" ref="AN10">MAX(IF((Tableau4[Qui]=Tableau6[[#This Row],[Nom affiche]])*(Tableau4[Quoi]="Rec SSLIA"),Tableau4[Date],""))</f>
        <v>0</v>
      </c>
      <c r="AO10" s="13">
        <v>3</v>
      </c>
      <c r="AP10" s="2">
        <f t="shared" ref="AP10:AP17" si="28">IF(AN10="","",DATE(YEAR(AN10)+AO10,MONTH(AN10),DAY(AN10)))</f>
        <v>1096</v>
      </c>
      <c r="AQ10" s="2" t="e">
        <f>MAX(IF((Tableau4[Qui]=Tableau6[[#This Row],[Nom affiche]])*(Tableau4[Quoi]="Rec pompier aérodrome"),Tableau4[Date],""))</f>
        <v>#VALUE!</v>
      </c>
      <c r="AS10" s="2" t="e">
        <f t="shared" ref="AS10:AS17" si="29">IF(AQ10="","",DATE(YEAR(AQ10)+AR10,MONTH(AQ10),DAY(AQ10)))</f>
        <v>#VALUE!</v>
      </c>
      <c r="AT10" s="2">
        <f t="array" ref="AT10">MAX(IF((Tableau4[Qui]=Tableau6[[#This Row],[Nom affiche]])*(Tableau4[Quoi]="Badge"),Tableau4[Date],""))</f>
        <v>0</v>
      </c>
      <c r="AU10" s="13">
        <v>3</v>
      </c>
      <c r="AV10" s="2">
        <f t="shared" si="22"/>
        <v>1096</v>
      </c>
      <c r="AW10" s="2">
        <f t="array" ref="AW10">MAX(IF((Tableau4[Qui]=Tableau6[[#This Row],[Nom affiche]])*(Tableau4[Quoi]="Sûreté"),Tableau4[Date],""))</f>
        <v>0</v>
      </c>
      <c r="AX10" s="13">
        <v>3</v>
      </c>
      <c r="AY10" s="2">
        <f t="shared" si="23"/>
        <v>1096</v>
      </c>
      <c r="AZ10" s="2">
        <f t="array" ref="AZ10">MAX(IF((Tableau4[Qui]=Tableau6[[#This Row],[Nom affiche]])*(Tableau4[Quoi]="Circulation piste"),Tableau4[Date],""))</f>
        <v>0</v>
      </c>
      <c r="BA10" s="13">
        <v>3</v>
      </c>
      <c r="BB10" s="2">
        <f t="shared" si="24"/>
        <v>1096</v>
      </c>
      <c r="BC10" s="2">
        <f t="array" ref="BC10">MAX(IF((Tableau4[Qui]=Tableau6[[#This Row],[Nom affiche]])*(Tableau4[Quoi]="Véhicules et embarcations"),Tableau4[Date],""))</f>
        <v>0</v>
      </c>
      <c r="BD10" s="13">
        <v>15</v>
      </c>
      <c r="BE10" s="2">
        <f t="shared" ref="BE10:BE17" si="30">DATE(YEAR(BC10),MONTH(BC10),DAY(BC10)+BD10)</f>
        <v>15</v>
      </c>
      <c r="BF10" s="2">
        <f t="array" ref="BF10">MAX(IF((Tableau4[Qui]=Tableau6[[#This Row],[Nom affiche]])*(Tableau4[Quoi]="A.R.I"),Tableau4[Date],""))</f>
        <v>0</v>
      </c>
      <c r="BG10" s="13">
        <v>3</v>
      </c>
      <c r="BH10" s="2">
        <f t="shared" si="25"/>
        <v>91</v>
      </c>
    </row>
    <row r="11" spans="2:60" x14ac:dyDescent="0.25">
      <c r="B11" s="3" t="str">
        <f t="shared" si="26"/>
        <v>AFONSO Julien</v>
      </c>
      <c r="C11" s="3" t="str">
        <f t="shared" si="27"/>
        <v>AFONSO Ju</v>
      </c>
      <c r="D11" s="12" t="s">
        <v>133</v>
      </c>
      <c r="E11" s="12" t="s">
        <v>131</v>
      </c>
      <c r="F11" s="14">
        <v>29688</v>
      </c>
      <c r="G11" s="1">
        <f t="shared" ca="1" si="2"/>
        <v>37</v>
      </c>
      <c r="H11" s="14">
        <v>40515</v>
      </c>
      <c r="I11" s="13" t="s">
        <v>9</v>
      </c>
      <c r="J11" s="2">
        <f t="array" ref="J11">MAX(IF((Tableau4[Qui]=Tableau6[[#This Row],[Nom affiche]])*(Tableau4[Quoi]="Vis Travail"),Tableau4[Date],""))</f>
        <v>43351</v>
      </c>
      <c r="K11" s="13">
        <v>1</v>
      </c>
      <c r="L11" s="2">
        <f t="array" aca="1" ref="L11" ca="1">IF(G11&lt;18,H11,IF(J11="",EDATE(H11,3),DATE(YEAR(J11)+K11,MONTH(J11),DAY(J11))))</f>
        <v>43716</v>
      </c>
      <c r="M11" s="2">
        <f t="array" ref="M11">MAX(IF((Tableau4[Qui]=Tableau6[[#This Row],[Nom affiche]])*(Tableau4[Quoi]="Vis Médicale"),Tableau4[Date],""))</f>
        <v>0</v>
      </c>
      <c r="N11" s="13">
        <v>1</v>
      </c>
      <c r="O11" s="2">
        <f t="shared" si="19"/>
        <v>366</v>
      </c>
      <c r="P11" s="2">
        <f t="array" ref="P11">MAX(IF((Tableau4[Qui]=Tableau6[[#This Row],[Nom affiche]])*(Tableau4[Quoi]="Vis Permis PL"),Tableau4[Date],""))</f>
        <v>0</v>
      </c>
      <c r="Q11" s="13">
        <v>5</v>
      </c>
      <c r="R11" s="2">
        <f t="shared" si="20"/>
        <v>1827</v>
      </c>
      <c r="S11" s="2">
        <f t="array" ref="S11">MAX(IF((Tableau4[Qui]=Tableau6[[#This Row],[Nom affiche]])*(Tableau4[Quoi]="Aire de mouvement"),Tableau4[Date],""))</f>
        <v>0</v>
      </c>
      <c r="T11" s="13">
        <v>15</v>
      </c>
      <c r="U11" s="2">
        <f t="shared" si="3"/>
        <v>15</v>
      </c>
      <c r="V11" s="2">
        <f t="array" ref="V11">MAX(IF((Tableau4[Qui]=Tableau6[[#This Row],[Nom affiche]])*(Tableau4[Quoi]="Zone Aérodrome"),Tableau4[Date],""))</f>
        <v>0</v>
      </c>
      <c r="W11" s="13">
        <v>1</v>
      </c>
      <c r="X11" s="2">
        <f t="shared" si="4"/>
        <v>31</v>
      </c>
      <c r="Y11" s="2">
        <f t="array" ref="Y11">MAX(IF((Tableau4[Qui]=Tableau6[[#This Row],[Nom affiche]])*(Tableau4[Quoi]="Zone Voisine Aérodrome"),Tableau4[Date],""))</f>
        <v>0</v>
      </c>
      <c r="Z11" s="13">
        <v>3</v>
      </c>
      <c r="AA11" s="2">
        <f t="shared" si="5"/>
        <v>91</v>
      </c>
      <c r="AB11" s="2">
        <f t="array" ref="AB11">MAX(IF((Tableau4[Qui]=Tableau6[[#This Row],[Nom affiche]])*(Tableau4[Quoi]="E.P.I"),Tableau4[Date],""))</f>
        <v>0</v>
      </c>
      <c r="AC11" s="13">
        <v>3</v>
      </c>
      <c r="AD11" s="2">
        <f t="shared" si="6"/>
        <v>91</v>
      </c>
      <c r="AE11" s="2">
        <f t="array" ref="AE11">MAX(IF((Tableau4[Qui]=Tableau6[[#This Row],[Nom affiche]])*(Tableau4[Quoi]="Poudre et eau pulvé"),Tableau4[Date],""))</f>
        <v>0</v>
      </c>
      <c r="AF11" s="13">
        <v>1</v>
      </c>
      <c r="AG11" s="2">
        <f t="shared" si="7"/>
        <v>366</v>
      </c>
      <c r="AH11" s="2">
        <f t="array" ref="AH11">MAX(IF((Tableau4[Qui]=Tableau6[[#This Row],[Nom affiche]])*(Tableau4[Quoi]="Poudre métaux"),Tableau4[Date],""))</f>
        <v>0</v>
      </c>
      <c r="AI11" s="13">
        <v>5</v>
      </c>
      <c r="AJ11" s="2">
        <f t="shared" si="8"/>
        <v>1827</v>
      </c>
      <c r="AK11" s="2">
        <f t="array" ref="AK11">MAX(IF((Tableau4[Qui]=Tableau6[[#This Row],[Nom affiche]])*(Tableau4[Quoi]="CO²"),Tableau4[Date],""))</f>
        <v>0</v>
      </c>
      <c r="AL11" s="13">
        <v>1</v>
      </c>
      <c r="AM11" s="2">
        <f t="shared" si="21"/>
        <v>366</v>
      </c>
      <c r="AN11" s="2">
        <f t="array" ref="AN11">MAX(IF((Tableau4[Qui]=Tableau6[[#This Row],[Nom affiche]])*(Tableau4[Quoi]="Rec SSLIA"),Tableau4[Date],""))</f>
        <v>0</v>
      </c>
      <c r="AO11" s="13">
        <v>3</v>
      </c>
      <c r="AP11" s="2">
        <f t="shared" si="28"/>
        <v>1096</v>
      </c>
      <c r="AQ11" s="2" t="e">
        <f>MAX(IF((Tableau4[Qui]=Tableau6[[#This Row],[Nom affiche]])*(Tableau4[Quoi]="Rec pompier aérodrome"),Tableau4[Date],""))</f>
        <v>#VALUE!</v>
      </c>
      <c r="AS11" s="2" t="e">
        <f t="shared" si="29"/>
        <v>#VALUE!</v>
      </c>
      <c r="AT11" s="2">
        <f t="array" ref="AT11">MAX(IF((Tableau4[Qui]=Tableau6[[#This Row],[Nom affiche]])*(Tableau4[Quoi]="Badge"),Tableau4[Date],""))</f>
        <v>38483</v>
      </c>
      <c r="AU11" s="13">
        <v>3</v>
      </c>
      <c r="AV11" s="2">
        <f t="shared" si="22"/>
        <v>39579</v>
      </c>
      <c r="AW11" s="2">
        <f t="array" ref="AW11">MAX(IF((Tableau4[Qui]=Tableau6[[#This Row],[Nom affiche]])*(Tableau4[Quoi]="Sûreté"),Tableau4[Date],""))</f>
        <v>0</v>
      </c>
      <c r="AX11" s="13">
        <v>3</v>
      </c>
      <c r="AY11" s="2">
        <f t="shared" si="23"/>
        <v>1096</v>
      </c>
      <c r="AZ11" s="2">
        <f t="array" ref="AZ11">MAX(IF((Tableau4[Qui]=Tableau6[[#This Row],[Nom affiche]])*(Tableau4[Quoi]="Circulation piste"),Tableau4[Date],""))</f>
        <v>0</v>
      </c>
      <c r="BA11" s="13">
        <v>3</v>
      </c>
      <c r="BB11" s="2">
        <f t="shared" si="24"/>
        <v>1096</v>
      </c>
      <c r="BC11" s="2">
        <f t="array" ref="BC11">MAX(IF((Tableau4[Qui]=Tableau6[[#This Row],[Nom affiche]])*(Tableau4[Quoi]="Véhicules et embarcations"),Tableau4[Date],""))</f>
        <v>0</v>
      </c>
      <c r="BD11" s="13">
        <v>15</v>
      </c>
      <c r="BE11" s="2">
        <f t="shared" si="30"/>
        <v>15</v>
      </c>
      <c r="BF11" s="2">
        <f t="array" ref="BF11">MAX(IF((Tableau4[Qui]=Tableau6[[#This Row],[Nom affiche]])*(Tableau4[Quoi]="A.R.I"),Tableau4[Date],""))</f>
        <v>0</v>
      </c>
      <c r="BG11" s="13">
        <v>3</v>
      </c>
      <c r="BH11" s="2">
        <f t="shared" si="25"/>
        <v>91</v>
      </c>
    </row>
    <row r="12" spans="2:60" x14ac:dyDescent="0.25">
      <c r="B12" s="3" t="str">
        <f t="shared" si="26"/>
        <v>LEROY France</v>
      </c>
      <c r="C12" s="3" t="str">
        <f t="shared" si="27"/>
        <v>LEROY Fr</v>
      </c>
      <c r="D12" s="12" t="s">
        <v>7</v>
      </c>
      <c r="E12" s="12" t="s">
        <v>8</v>
      </c>
      <c r="F12" s="14">
        <v>24899</v>
      </c>
      <c r="G12" s="1">
        <f t="shared" ca="1" si="2"/>
        <v>50</v>
      </c>
      <c r="H12" s="14">
        <v>40731</v>
      </c>
      <c r="I12" s="13" t="s">
        <v>9</v>
      </c>
      <c r="J12" s="2">
        <f t="array" ref="J12">MAX(IF((Tableau4[Qui]=Tableau6[[#This Row],[Nom affiche]])*(Tableau4[Quoi]="Vis Travail"),Tableau4[Date],""))</f>
        <v>0</v>
      </c>
      <c r="K12" s="13">
        <v>1</v>
      </c>
      <c r="L12" s="2">
        <f t="array" aca="1" ref="L12" ca="1">IF(G12&lt;18,H12,IF(J12="",EDATE(H12,3),DATE(YEAR(J12)+K12,MONTH(J12),DAY(J12))))</f>
        <v>366</v>
      </c>
      <c r="M12" s="2">
        <f t="array" ref="M12">MAX(IF((Tableau4[Qui]=Tableau6[[#This Row],[Nom affiche]])*(Tableau4[Quoi]="Vis Médicale"),Tableau4[Date],""))</f>
        <v>0</v>
      </c>
      <c r="N12" s="13">
        <v>1</v>
      </c>
      <c r="O12" s="2">
        <f t="shared" si="19"/>
        <v>366</v>
      </c>
      <c r="P12" s="2">
        <f t="array" ref="P12">MAX(IF((Tableau4[Qui]=Tableau6[[#This Row],[Nom affiche]])*(Tableau4[Quoi]="Vis Permis PL"),Tableau4[Date],""))</f>
        <v>0</v>
      </c>
      <c r="Q12" s="13">
        <v>5</v>
      </c>
      <c r="R12" s="2">
        <f t="shared" si="20"/>
        <v>1827</v>
      </c>
      <c r="S12" s="2">
        <f t="array" ref="S12">MAX(IF((Tableau4[Qui]=Tableau6[[#This Row],[Nom affiche]])*(Tableau4[Quoi]="Aire de mouvement"),Tableau4[Date],""))</f>
        <v>0</v>
      </c>
      <c r="T12" s="13">
        <v>15</v>
      </c>
      <c r="U12" s="2">
        <f t="shared" si="3"/>
        <v>15</v>
      </c>
      <c r="V12" s="2">
        <f t="array" ref="V12">MAX(IF((Tableau4[Qui]=Tableau6[[#This Row],[Nom affiche]])*(Tableau4[Quoi]="Zone Aérodrome"),Tableau4[Date],""))</f>
        <v>0</v>
      </c>
      <c r="W12" s="13">
        <v>1</v>
      </c>
      <c r="X12" s="2">
        <f t="shared" si="4"/>
        <v>31</v>
      </c>
      <c r="Y12" s="2">
        <f t="array" ref="Y12">MAX(IF((Tableau4[Qui]=Tableau6[[#This Row],[Nom affiche]])*(Tableau4[Quoi]="Zone Voisine Aérodrome"),Tableau4[Date],""))</f>
        <v>0</v>
      </c>
      <c r="Z12" s="13">
        <v>3</v>
      </c>
      <c r="AA12" s="2">
        <f t="shared" si="5"/>
        <v>91</v>
      </c>
      <c r="AB12" s="2">
        <f t="array" ref="AB12">MAX(IF((Tableau4[Qui]=Tableau6[[#This Row],[Nom affiche]])*(Tableau4[Quoi]="E.P.I"),Tableau4[Date],""))</f>
        <v>0</v>
      </c>
      <c r="AC12" s="13">
        <v>3</v>
      </c>
      <c r="AD12" s="2">
        <f t="shared" si="6"/>
        <v>91</v>
      </c>
      <c r="AE12" s="2">
        <f t="array" ref="AE12">MAX(IF((Tableau4[Qui]=Tableau6[[#This Row],[Nom affiche]])*(Tableau4[Quoi]="Poudre et eau pulvé"),Tableau4[Date],""))</f>
        <v>0</v>
      </c>
      <c r="AF12" s="13">
        <v>1</v>
      </c>
      <c r="AG12" s="2">
        <f t="shared" si="7"/>
        <v>366</v>
      </c>
      <c r="AH12" s="2">
        <f t="array" ref="AH12">MAX(IF((Tableau4[Qui]=Tableau6[[#This Row],[Nom affiche]])*(Tableau4[Quoi]="Poudre métaux"),Tableau4[Date],""))</f>
        <v>0</v>
      </c>
      <c r="AI12" s="13">
        <v>5</v>
      </c>
      <c r="AJ12" s="2">
        <f t="shared" si="8"/>
        <v>1827</v>
      </c>
      <c r="AK12" s="2">
        <f t="array" ref="AK12">MAX(IF((Tableau4[Qui]=Tableau6[[#This Row],[Nom affiche]])*(Tableau4[Quoi]="CO²"),Tableau4[Date],""))</f>
        <v>0</v>
      </c>
      <c r="AL12" s="13">
        <v>1</v>
      </c>
      <c r="AM12" s="2">
        <f t="shared" si="21"/>
        <v>366</v>
      </c>
      <c r="AN12" s="2">
        <f t="array" ref="AN12">MAX(IF((Tableau4[Qui]=Tableau6[[#This Row],[Nom affiche]])*(Tableau4[Quoi]="Rec SSLIA"),Tableau4[Date],""))</f>
        <v>0</v>
      </c>
      <c r="AO12" s="13">
        <v>3</v>
      </c>
      <c r="AP12" s="2">
        <f t="shared" si="28"/>
        <v>1096</v>
      </c>
      <c r="AQ12" s="2" t="e">
        <f>MAX(IF((Tableau4[Qui]=Tableau6[[#This Row],[Nom affiche]])*(Tableau4[Quoi]="Rec pompier aérodrome"),Tableau4[Date],""))</f>
        <v>#VALUE!</v>
      </c>
      <c r="AS12" s="2" t="e">
        <f t="shared" si="29"/>
        <v>#VALUE!</v>
      </c>
      <c r="AT12" s="2">
        <f t="array" ref="AT12">MAX(IF((Tableau4[Qui]=Tableau6[[#This Row],[Nom affiche]])*(Tableau4[Quoi]="Badge"),Tableau4[Date],""))</f>
        <v>0</v>
      </c>
      <c r="AU12" s="13">
        <v>3</v>
      </c>
      <c r="AV12" s="2">
        <f t="shared" si="22"/>
        <v>1096</v>
      </c>
      <c r="AW12" s="2">
        <f t="array" ref="AW12">MAX(IF((Tableau4[Qui]=Tableau6[[#This Row],[Nom affiche]])*(Tableau4[Quoi]="Sûreté"),Tableau4[Date],""))</f>
        <v>0</v>
      </c>
      <c r="AX12" s="13">
        <v>3</v>
      </c>
      <c r="AY12" s="2">
        <f t="shared" si="23"/>
        <v>1096</v>
      </c>
      <c r="AZ12" s="2">
        <f t="array" ref="AZ12">MAX(IF((Tableau4[Qui]=Tableau6[[#This Row],[Nom affiche]])*(Tableau4[Quoi]="Circulation piste"),Tableau4[Date],""))</f>
        <v>0</v>
      </c>
      <c r="BA12" s="13">
        <v>3</v>
      </c>
      <c r="BB12" s="2">
        <f t="shared" si="24"/>
        <v>1096</v>
      </c>
      <c r="BC12" s="2">
        <f t="array" ref="BC12">MAX(IF((Tableau4[Qui]=Tableau6[[#This Row],[Nom affiche]])*(Tableau4[Quoi]="Véhicules et embarcations"),Tableau4[Date],""))</f>
        <v>0</v>
      </c>
      <c r="BD12" s="13">
        <v>15</v>
      </c>
      <c r="BE12" s="2">
        <f t="shared" si="30"/>
        <v>15</v>
      </c>
      <c r="BF12" s="2">
        <f t="array" ref="BF12">MAX(IF((Tableau4[Qui]=Tableau6[[#This Row],[Nom affiche]])*(Tableau4[Quoi]="A.R.I"),Tableau4[Date],""))</f>
        <v>0</v>
      </c>
      <c r="BG12" s="13">
        <v>3</v>
      </c>
      <c r="BH12" s="2">
        <f t="shared" si="25"/>
        <v>91</v>
      </c>
    </row>
    <row r="13" spans="2:60" x14ac:dyDescent="0.25">
      <c r="B13" s="3" t="str">
        <f t="shared" si="26"/>
        <v>LEROY Jean-Sébastien</v>
      </c>
      <c r="C13" s="3" t="str">
        <f t="shared" si="27"/>
        <v>LEROY Je</v>
      </c>
      <c r="D13" s="12" t="s">
        <v>7</v>
      </c>
      <c r="E13" s="12" t="s">
        <v>36</v>
      </c>
      <c r="F13" s="14">
        <v>30369</v>
      </c>
      <c r="G13" s="1">
        <f t="shared" ca="1" si="2"/>
        <v>35</v>
      </c>
      <c r="H13" s="14">
        <v>42492</v>
      </c>
      <c r="I13" s="13" t="s">
        <v>9</v>
      </c>
      <c r="J13" s="2">
        <f t="array" ref="J13">MAX(IF((Tableau4[Qui]=Tableau6[[#This Row],[Nom affiche]])*(Tableau4[Quoi]="Vis Travail"),Tableau4[Date],""))</f>
        <v>0</v>
      </c>
      <c r="K13" s="13">
        <v>1</v>
      </c>
      <c r="L13" s="2">
        <f t="array" aca="1" ref="L13" ca="1">IF(G13&lt;18,H13,IF(J13="",EDATE(H13,3),DATE(YEAR(J13)+K13,MONTH(J13),DAY(J13))))</f>
        <v>366</v>
      </c>
      <c r="M13" s="2">
        <f t="array" ref="M13">MAX(IF((Tableau4[Qui]=Tableau6[[#This Row],[Nom affiche]])*(Tableau4[Quoi]="Vis Médicale"),Tableau4[Date],""))</f>
        <v>0</v>
      </c>
      <c r="N13" s="13">
        <v>1</v>
      </c>
      <c r="O13" s="2">
        <f t="shared" si="19"/>
        <v>366</v>
      </c>
      <c r="P13" s="2">
        <f t="array" ref="P13">MAX(IF((Tableau4[Qui]=Tableau6[[#This Row],[Nom affiche]])*(Tableau4[Quoi]="Vis Permis PL"),Tableau4[Date],""))</f>
        <v>0</v>
      </c>
      <c r="Q13" s="13">
        <v>5</v>
      </c>
      <c r="R13" s="2">
        <f t="shared" si="20"/>
        <v>1827</v>
      </c>
      <c r="S13" s="2">
        <f t="array" ref="S13">MAX(IF((Tableau4[Qui]=Tableau6[[#This Row],[Nom affiche]])*(Tableau4[Quoi]="Aire de mouvement"),Tableau4[Date],""))</f>
        <v>0</v>
      </c>
      <c r="T13" s="13">
        <v>15</v>
      </c>
      <c r="U13" s="2">
        <f t="shared" si="3"/>
        <v>15</v>
      </c>
      <c r="V13" s="2">
        <f t="array" ref="V13">MAX(IF((Tableau4[Qui]=Tableau6[[#This Row],[Nom affiche]])*(Tableau4[Quoi]="Zone Aérodrome"),Tableau4[Date],""))</f>
        <v>0</v>
      </c>
      <c r="W13" s="13">
        <v>1</v>
      </c>
      <c r="X13" s="2">
        <f t="shared" si="4"/>
        <v>31</v>
      </c>
      <c r="Y13" s="2">
        <f t="array" ref="Y13">MAX(IF((Tableau4[Qui]=Tableau6[[#This Row],[Nom affiche]])*(Tableau4[Quoi]="Zone Voisine Aérodrome"),Tableau4[Date],""))</f>
        <v>0</v>
      </c>
      <c r="Z13" s="13">
        <v>3</v>
      </c>
      <c r="AA13" s="2">
        <f t="shared" si="5"/>
        <v>91</v>
      </c>
      <c r="AB13" s="2">
        <f t="array" ref="AB13">MAX(IF((Tableau4[Qui]=Tableau6[[#This Row],[Nom affiche]])*(Tableau4[Quoi]="E.P.I"),Tableau4[Date],""))</f>
        <v>0</v>
      </c>
      <c r="AC13" s="13">
        <v>3</v>
      </c>
      <c r="AD13" s="2">
        <f t="shared" si="6"/>
        <v>91</v>
      </c>
      <c r="AE13" s="2">
        <f t="array" ref="AE13">MAX(IF((Tableau4[Qui]=Tableau6[[#This Row],[Nom affiche]])*(Tableau4[Quoi]="Poudre et eau pulvé"),Tableau4[Date],""))</f>
        <v>0</v>
      </c>
      <c r="AF13" s="13">
        <v>1</v>
      </c>
      <c r="AG13" s="2">
        <f t="shared" si="7"/>
        <v>366</v>
      </c>
      <c r="AH13" s="2">
        <f t="array" ref="AH13">MAX(IF((Tableau4[Qui]=Tableau6[[#This Row],[Nom affiche]])*(Tableau4[Quoi]="Poudre métaux"),Tableau4[Date],""))</f>
        <v>0</v>
      </c>
      <c r="AI13" s="13">
        <v>5</v>
      </c>
      <c r="AJ13" s="2">
        <f t="shared" si="8"/>
        <v>1827</v>
      </c>
      <c r="AK13" s="2">
        <f t="array" ref="AK13">MAX(IF((Tableau4[Qui]=Tableau6[[#This Row],[Nom affiche]])*(Tableau4[Quoi]="CO²"),Tableau4[Date],""))</f>
        <v>0</v>
      </c>
      <c r="AL13" s="13">
        <v>1</v>
      </c>
      <c r="AM13" s="2">
        <f t="shared" si="21"/>
        <v>366</v>
      </c>
      <c r="AN13" s="2">
        <f t="array" ref="AN13">MAX(IF((Tableau4[Qui]=Tableau6[[#This Row],[Nom affiche]])*(Tableau4[Quoi]="Rec SSLIA"),Tableau4[Date],""))</f>
        <v>0</v>
      </c>
      <c r="AO13" s="13">
        <v>3</v>
      </c>
      <c r="AP13" s="2">
        <f t="shared" si="28"/>
        <v>1096</v>
      </c>
      <c r="AQ13" s="2" t="e">
        <f>MAX(IF((Tableau4[Qui]=Tableau6[[#This Row],[Nom affiche]])*(Tableau4[Quoi]="Rec pompier aérodrome"),Tableau4[Date],""))</f>
        <v>#VALUE!</v>
      </c>
      <c r="AS13" s="2" t="e">
        <f t="shared" si="29"/>
        <v>#VALUE!</v>
      </c>
      <c r="AT13" s="2">
        <f t="array" ref="AT13">MAX(IF((Tableau4[Qui]=Tableau6[[#This Row],[Nom affiche]])*(Tableau4[Quoi]="Badge"),Tableau4[Date],""))</f>
        <v>0</v>
      </c>
      <c r="AU13" s="13">
        <v>3</v>
      </c>
      <c r="AV13" s="2">
        <f t="shared" si="22"/>
        <v>1096</v>
      </c>
      <c r="AW13" s="2">
        <f t="array" ref="AW13">MAX(IF((Tableau4[Qui]=Tableau6[[#This Row],[Nom affiche]])*(Tableau4[Quoi]="Sûreté"),Tableau4[Date],""))</f>
        <v>0</v>
      </c>
      <c r="AX13" s="13">
        <v>3</v>
      </c>
      <c r="AY13" s="2">
        <f t="shared" si="23"/>
        <v>1096</v>
      </c>
      <c r="AZ13" s="2">
        <f t="array" ref="AZ13">MAX(IF((Tableau4[Qui]=Tableau6[[#This Row],[Nom affiche]])*(Tableau4[Quoi]="Circulation piste"),Tableau4[Date],""))</f>
        <v>0</v>
      </c>
      <c r="BA13" s="13">
        <v>3</v>
      </c>
      <c r="BB13" s="2">
        <f t="shared" si="24"/>
        <v>1096</v>
      </c>
      <c r="BC13" s="2">
        <f t="array" ref="BC13">MAX(IF((Tableau4[Qui]=Tableau6[[#This Row],[Nom affiche]])*(Tableau4[Quoi]="Véhicules et embarcations"),Tableau4[Date],""))</f>
        <v>0</v>
      </c>
      <c r="BD13" s="13">
        <v>15</v>
      </c>
      <c r="BE13" s="2">
        <f t="shared" si="30"/>
        <v>15</v>
      </c>
      <c r="BF13" s="2">
        <f t="array" ref="BF13">MAX(IF((Tableau4[Qui]=Tableau6[[#This Row],[Nom affiche]])*(Tableau4[Quoi]="A.R.I"),Tableau4[Date],""))</f>
        <v>0</v>
      </c>
      <c r="BG13" s="13">
        <v>3</v>
      </c>
      <c r="BH13" s="2">
        <f t="shared" si="25"/>
        <v>91</v>
      </c>
    </row>
    <row r="14" spans="2:60" x14ac:dyDescent="0.25">
      <c r="B14" s="3" t="str">
        <f t="shared" si="26"/>
        <v>FERRARA Julien</v>
      </c>
      <c r="C14" s="3" t="str">
        <f t="shared" si="27"/>
        <v>FERRARA Ju</v>
      </c>
      <c r="D14" s="12" t="s">
        <v>130</v>
      </c>
      <c r="E14" s="12" t="s">
        <v>131</v>
      </c>
      <c r="F14" s="14">
        <v>31520</v>
      </c>
      <c r="G14" s="1">
        <f t="shared" ca="1" si="2"/>
        <v>32</v>
      </c>
      <c r="H14" s="14">
        <v>42552</v>
      </c>
      <c r="I14" s="13" t="s">
        <v>9</v>
      </c>
      <c r="J14" s="2">
        <f t="array" ref="J14">MAX(IF((Tableau4[Qui]=Tableau6[[#This Row],[Nom affiche]])*(Tableau4[Quoi]="Vis Travail"),Tableau4[Date],""))</f>
        <v>0</v>
      </c>
      <c r="K14" s="13">
        <v>1</v>
      </c>
      <c r="L14" s="2">
        <f t="array" aca="1" ref="L14" ca="1">IF(G14&lt;18,H14,IF(J14="",EDATE(H14,3),DATE(YEAR(J14)+K14,MONTH(J14),DAY(J14))))</f>
        <v>366</v>
      </c>
      <c r="M14" s="2">
        <f t="array" ref="M14">MAX(IF((Tableau4[Qui]=Tableau6[[#This Row],[Nom affiche]])*(Tableau4[Quoi]="Vis Médicale"),Tableau4[Date],""))</f>
        <v>0</v>
      </c>
      <c r="N14" s="13">
        <v>1</v>
      </c>
      <c r="O14" s="2">
        <f t="shared" si="19"/>
        <v>366</v>
      </c>
      <c r="P14" s="2">
        <f t="array" ref="P14">MAX(IF((Tableau4[Qui]=Tableau6[[#This Row],[Nom affiche]])*(Tableau4[Quoi]="Vis Permis PL"),Tableau4[Date],""))</f>
        <v>0</v>
      </c>
      <c r="Q14" s="13">
        <v>5</v>
      </c>
      <c r="R14" s="2">
        <f t="shared" si="20"/>
        <v>1827</v>
      </c>
      <c r="S14" s="2">
        <f t="array" ref="S14">MAX(IF((Tableau4[Qui]=Tableau6[[#This Row],[Nom affiche]])*(Tableau4[Quoi]="Aire de mouvement"),Tableau4[Date],""))</f>
        <v>0</v>
      </c>
      <c r="T14" s="13">
        <v>15</v>
      </c>
      <c r="U14" s="2">
        <f t="shared" si="3"/>
        <v>15</v>
      </c>
      <c r="V14" s="2">
        <f t="array" ref="V14">MAX(IF((Tableau4[Qui]=Tableau6[[#This Row],[Nom affiche]])*(Tableau4[Quoi]="Zone Aérodrome"),Tableau4[Date],""))</f>
        <v>0</v>
      </c>
      <c r="W14" s="13">
        <v>1</v>
      </c>
      <c r="X14" s="2">
        <f t="shared" si="4"/>
        <v>31</v>
      </c>
      <c r="Y14" s="2">
        <f t="array" ref="Y14">MAX(IF((Tableau4[Qui]=Tableau6[[#This Row],[Nom affiche]])*(Tableau4[Quoi]="Zone Voisine Aérodrome"),Tableau4[Date],""))</f>
        <v>0</v>
      </c>
      <c r="Z14" s="13">
        <v>3</v>
      </c>
      <c r="AA14" s="2">
        <f t="shared" si="5"/>
        <v>91</v>
      </c>
      <c r="AB14" s="2">
        <f t="array" ref="AB14">MAX(IF((Tableau4[Qui]=Tableau6[[#This Row],[Nom affiche]])*(Tableau4[Quoi]="E.P.I"),Tableau4[Date],""))</f>
        <v>0</v>
      </c>
      <c r="AC14" s="13">
        <v>3</v>
      </c>
      <c r="AD14" s="2">
        <f t="shared" si="6"/>
        <v>91</v>
      </c>
      <c r="AE14" s="2">
        <f t="array" ref="AE14">MAX(IF((Tableau4[Qui]=Tableau6[[#This Row],[Nom affiche]])*(Tableau4[Quoi]="Poudre et eau pulvé"),Tableau4[Date],""))</f>
        <v>0</v>
      </c>
      <c r="AF14" s="13">
        <v>1</v>
      </c>
      <c r="AG14" s="2">
        <f t="shared" si="7"/>
        <v>366</v>
      </c>
      <c r="AH14" s="2">
        <f t="array" ref="AH14">MAX(IF((Tableau4[Qui]=Tableau6[[#This Row],[Nom affiche]])*(Tableau4[Quoi]="Poudre métaux"),Tableau4[Date],""))</f>
        <v>0</v>
      </c>
      <c r="AI14" s="13">
        <v>5</v>
      </c>
      <c r="AJ14" s="2">
        <f t="shared" si="8"/>
        <v>1827</v>
      </c>
      <c r="AK14" s="2">
        <f t="array" ref="AK14">MAX(IF((Tableau4[Qui]=Tableau6[[#This Row],[Nom affiche]])*(Tableau4[Quoi]="CO²"),Tableau4[Date],""))</f>
        <v>0</v>
      </c>
      <c r="AL14" s="13">
        <v>1</v>
      </c>
      <c r="AM14" s="2">
        <f t="shared" si="21"/>
        <v>366</v>
      </c>
      <c r="AN14" s="2">
        <f t="array" ref="AN14">MAX(IF((Tableau4[Qui]=Tableau6[[#This Row],[Nom affiche]])*(Tableau4[Quoi]="Rec SSLIA"),Tableau4[Date],""))</f>
        <v>0</v>
      </c>
      <c r="AO14" s="13">
        <v>3</v>
      </c>
      <c r="AP14" s="2">
        <f t="shared" si="28"/>
        <v>1096</v>
      </c>
      <c r="AQ14" s="2" t="e">
        <f>MAX(IF((Tableau4[Qui]=Tableau6[[#This Row],[Nom affiche]])*(Tableau4[Quoi]="Rec pompier aérodrome"),Tableau4[Date],""))</f>
        <v>#VALUE!</v>
      </c>
      <c r="AS14" s="2" t="e">
        <f t="shared" si="29"/>
        <v>#VALUE!</v>
      </c>
      <c r="AT14" s="2">
        <f t="array" ref="AT14">MAX(IF((Tableau4[Qui]=Tableau6[[#This Row],[Nom affiche]])*(Tableau4[Quoi]="Badge"),Tableau4[Date],""))</f>
        <v>0</v>
      </c>
      <c r="AU14" s="13">
        <v>3</v>
      </c>
      <c r="AV14" s="2">
        <f t="shared" si="22"/>
        <v>1096</v>
      </c>
      <c r="AW14" s="2">
        <f t="array" ref="AW14">MAX(IF((Tableau4[Qui]=Tableau6[[#This Row],[Nom affiche]])*(Tableau4[Quoi]="Sûreté"),Tableau4[Date],""))</f>
        <v>0</v>
      </c>
      <c r="AX14" s="13">
        <v>3</v>
      </c>
      <c r="AY14" s="2">
        <f t="shared" si="23"/>
        <v>1096</v>
      </c>
      <c r="AZ14" s="2">
        <f t="array" ref="AZ14">MAX(IF((Tableau4[Qui]=Tableau6[[#This Row],[Nom affiche]])*(Tableau4[Quoi]="Circulation piste"),Tableau4[Date],""))</f>
        <v>0</v>
      </c>
      <c r="BA14" s="13">
        <v>3</v>
      </c>
      <c r="BB14" s="2">
        <f t="shared" si="24"/>
        <v>1096</v>
      </c>
      <c r="BC14" s="2">
        <f t="array" ref="BC14">MAX(IF((Tableau4[Qui]=Tableau6[[#This Row],[Nom affiche]])*(Tableau4[Quoi]="Véhicules et embarcations"),Tableau4[Date],""))</f>
        <v>0</v>
      </c>
      <c r="BD14" s="13">
        <v>15</v>
      </c>
      <c r="BE14" s="2">
        <f t="shared" si="30"/>
        <v>15</v>
      </c>
      <c r="BF14" s="2">
        <f t="array" ref="BF14">MAX(IF((Tableau4[Qui]=Tableau6[[#This Row],[Nom affiche]])*(Tableau4[Quoi]="A.R.I"),Tableau4[Date],""))</f>
        <v>0</v>
      </c>
      <c r="BG14" s="13">
        <v>3</v>
      </c>
      <c r="BH14" s="2">
        <f t="shared" si="25"/>
        <v>91</v>
      </c>
    </row>
    <row r="15" spans="2:60" x14ac:dyDescent="0.25">
      <c r="B15" s="3" t="str">
        <f t="shared" si="26"/>
        <v>BALLESTER Xavier</v>
      </c>
      <c r="C15" s="3" t="str">
        <f t="shared" si="27"/>
        <v>BALLESTER Xa</v>
      </c>
      <c r="D15" s="12" t="s">
        <v>135</v>
      </c>
      <c r="E15" s="12" t="s">
        <v>134</v>
      </c>
      <c r="F15" s="14">
        <v>30692</v>
      </c>
      <c r="G15" s="1">
        <f t="shared" ca="1" si="2"/>
        <v>34</v>
      </c>
      <c r="H15" s="14">
        <v>43178</v>
      </c>
      <c r="I15" s="13" t="s">
        <v>9</v>
      </c>
      <c r="J15" s="2">
        <f t="array" ref="J15">MAX(IF((Tableau4[Qui]=Tableau6[[#This Row],[Nom affiche]])*(Tableau4[Quoi]="Vis Travail"),Tableau4[Date],""))</f>
        <v>0</v>
      </c>
      <c r="K15" s="13">
        <v>1</v>
      </c>
      <c r="L15" s="2">
        <f t="array" aca="1" ref="L15" ca="1">IF(G15&lt;18,H15,IF(J15="",EDATE(H15,3),DATE(YEAR(J15)+K15,MONTH(J15),DAY(J15))))</f>
        <v>366</v>
      </c>
      <c r="M15" s="2">
        <f t="array" ref="M15">MAX(IF((Tableau4[Qui]=Tableau6[[#This Row],[Nom affiche]])*(Tableau4[Quoi]="Vis Médicale"),Tableau4[Date],""))</f>
        <v>0</v>
      </c>
      <c r="N15" s="13">
        <v>1</v>
      </c>
      <c r="O15" s="2">
        <f t="shared" si="19"/>
        <v>366</v>
      </c>
      <c r="P15" s="2">
        <f t="array" ref="P15">MAX(IF((Tableau4[Qui]=Tableau6[[#This Row],[Nom affiche]])*(Tableau4[Quoi]="Vis Permis PL"),Tableau4[Date],""))</f>
        <v>0</v>
      </c>
      <c r="Q15" s="13">
        <v>5</v>
      </c>
      <c r="R15" s="2">
        <f t="shared" si="20"/>
        <v>1827</v>
      </c>
      <c r="S15" s="2">
        <f t="array" ref="S15">MAX(IF((Tableau4[Qui]=Tableau6[[#This Row],[Nom affiche]])*(Tableau4[Quoi]="Aire de mouvement"),Tableau4[Date],""))</f>
        <v>0</v>
      </c>
      <c r="T15" s="13">
        <v>15</v>
      </c>
      <c r="U15" s="2">
        <f t="shared" si="3"/>
        <v>15</v>
      </c>
      <c r="V15" s="2">
        <f t="array" ref="V15">MAX(IF((Tableau4[Qui]=Tableau6[[#This Row],[Nom affiche]])*(Tableau4[Quoi]="Zone Aérodrome"),Tableau4[Date],""))</f>
        <v>0</v>
      </c>
      <c r="W15" s="13">
        <v>1</v>
      </c>
      <c r="X15" s="2">
        <f t="shared" si="4"/>
        <v>31</v>
      </c>
      <c r="Y15" s="2">
        <f t="array" ref="Y15">MAX(IF((Tableau4[Qui]=Tableau6[[#This Row],[Nom affiche]])*(Tableau4[Quoi]="Zone Voisine Aérodrome"),Tableau4[Date],""))</f>
        <v>0</v>
      </c>
      <c r="Z15" s="13">
        <v>3</v>
      </c>
      <c r="AA15" s="2">
        <f t="shared" si="5"/>
        <v>91</v>
      </c>
      <c r="AB15" s="2">
        <f t="array" ref="AB15">MAX(IF((Tableau4[Qui]=Tableau6[[#This Row],[Nom affiche]])*(Tableau4[Quoi]="E.P.I"),Tableau4[Date],""))</f>
        <v>0</v>
      </c>
      <c r="AC15" s="13">
        <v>3</v>
      </c>
      <c r="AD15" s="2">
        <f t="shared" si="6"/>
        <v>91</v>
      </c>
      <c r="AE15" s="2">
        <f t="array" ref="AE15">MAX(IF((Tableau4[Qui]=Tableau6[[#This Row],[Nom affiche]])*(Tableau4[Quoi]="Poudre et eau pulvé"),Tableau4[Date],""))</f>
        <v>0</v>
      </c>
      <c r="AF15" s="13">
        <v>1</v>
      </c>
      <c r="AG15" s="2">
        <f t="shared" si="7"/>
        <v>366</v>
      </c>
      <c r="AH15" s="2">
        <f t="array" ref="AH15">MAX(IF((Tableau4[Qui]=Tableau6[[#This Row],[Nom affiche]])*(Tableau4[Quoi]="Poudre métaux"),Tableau4[Date],""))</f>
        <v>0</v>
      </c>
      <c r="AI15" s="13">
        <v>5</v>
      </c>
      <c r="AJ15" s="2">
        <f t="shared" si="8"/>
        <v>1827</v>
      </c>
      <c r="AK15" s="2">
        <f t="array" ref="AK15">MAX(IF((Tableau4[Qui]=Tableau6[[#This Row],[Nom affiche]])*(Tableau4[Quoi]="CO²"),Tableau4[Date],""))</f>
        <v>0</v>
      </c>
      <c r="AL15" s="13">
        <v>1</v>
      </c>
      <c r="AM15" s="2">
        <f t="shared" si="21"/>
        <v>366</v>
      </c>
      <c r="AN15" s="2">
        <f t="array" ref="AN15">MAX(IF((Tableau4[Qui]=Tableau6[[#This Row],[Nom affiche]])*(Tableau4[Quoi]="Rec SSLIA"),Tableau4[Date],""))</f>
        <v>0</v>
      </c>
      <c r="AO15" s="13">
        <v>3</v>
      </c>
      <c r="AP15" s="2">
        <f t="shared" si="28"/>
        <v>1096</v>
      </c>
      <c r="AQ15" s="2" t="e">
        <f>MAX(IF((Tableau4[Qui]=Tableau6[[#This Row],[Nom affiche]])*(Tableau4[Quoi]="Rec pompier aérodrome"),Tableau4[Date],""))</f>
        <v>#VALUE!</v>
      </c>
      <c r="AS15" s="2" t="e">
        <f t="shared" si="29"/>
        <v>#VALUE!</v>
      </c>
      <c r="AT15" s="2">
        <f t="array" ref="AT15">MAX(IF((Tableau4[Qui]=Tableau6[[#This Row],[Nom affiche]])*(Tableau4[Quoi]="Badge"),Tableau4[Date],""))</f>
        <v>0</v>
      </c>
      <c r="AU15" s="13">
        <v>3</v>
      </c>
      <c r="AV15" s="2">
        <f t="shared" si="22"/>
        <v>1096</v>
      </c>
      <c r="AW15" s="2">
        <f t="array" ref="AW15">MAX(IF((Tableau4[Qui]=Tableau6[[#This Row],[Nom affiche]])*(Tableau4[Quoi]="Sûreté"),Tableau4[Date],""))</f>
        <v>0</v>
      </c>
      <c r="AX15" s="13">
        <v>3</v>
      </c>
      <c r="AY15" s="2">
        <f t="shared" si="23"/>
        <v>1096</v>
      </c>
      <c r="AZ15" s="2">
        <f t="array" ref="AZ15">MAX(IF((Tableau4[Qui]=Tableau6[[#This Row],[Nom affiche]])*(Tableau4[Quoi]="Circulation piste"),Tableau4[Date],""))</f>
        <v>0</v>
      </c>
      <c r="BA15" s="13">
        <v>3</v>
      </c>
      <c r="BB15" s="2">
        <f t="shared" si="24"/>
        <v>1096</v>
      </c>
      <c r="BC15" s="2">
        <f t="array" ref="BC15">MAX(IF((Tableau4[Qui]=Tableau6[[#This Row],[Nom affiche]])*(Tableau4[Quoi]="Véhicules et embarcations"),Tableau4[Date],""))</f>
        <v>0</v>
      </c>
      <c r="BD15" s="13">
        <v>15</v>
      </c>
      <c r="BE15" s="2">
        <f t="shared" si="30"/>
        <v>15</v>
      </c>
      <c r="BF15" s="2">
        <f t="array" ref="BF15">MAX(IF((Tableau4[Qui]=Tableau6[[#This Row],[Nom affiche]])*(Tableau4[Quoi]="A.R.I"),Tableau4[Date],""))</f>
        <v>0</v>
      </c>
      <c r="BG15" s="13">
        <v>3</v>
      </c>
      <c r="BH15" s="2">
        <f t="shared" si="25"/>
        <v>91</v>
      </c>
    </row>
    <row r="16" spans="2:60" x14ac:dyDescent="0.25">
      <c r="B16" s="3" t="str">
        <f t="shared" si="26"/>
        <v>DESMYTER Damien</v>
      </c>
      <c r="C16" s="3" t="str">
        <f t="shared" si="27"/>
        <v>DESMYTER Da</v>
      </c>
      <c r="D16" s="12" t="s">
        <v>136</v>
      </c>
      <c r="E16" s="12" t="s">
        <v>137</v>
      </c>
      <c r="F16" s="14">
        <v>29538</v>
      </c>
      <c r="G16" s="1">
        <f t="shared" ca="1" si="2"/>
        <v>37</v>
      </c>
      <c r="H16" s="14">
        <v>43178</v>
      </c>
      <c r="I16" s="13" t="s">
        <v>9</v>
      </c>
      <c r="J16" s="2">
        <f t="array" ref="J16">MAX(IF((Tableau4[Qui]=Tableau6[[#This Row],[Nom affiche]])*(Tableau4[Quoi]="Vis Travail"),Tableau4[Date],""))</f>
        <v>0</v>
      </c>
      <c r="K16" s="13">
        <v>1</v>
      </c>
      <c r="L16" s="2">
        <f t="array" aca="1" ref="L16" ca="1">IF(G16&lt;18,H16,IF(J16="",EDATE(H16,3),DATE(YEAR(J16)+K16,MONTH(J16),DAY(J16))))</f>
        <v>366</v>
      </c>
      <c r="M16" s="2">
        <f t="array" ref="M16">MAX(IF((Tableau4[Qui]=Tableau6[[#This Row],[Nom affiche]])*(Tableau4[Quoi]="Vis Médicale"),Tableau4[Date],""))</f>
        <v>0</v>
      </c>
      <c r="N16" s="13">
        <v>1</v>
      </c>
      <c r="O16" s="2">
        <f t="shared" si="19"/>
        <v>366</v>
      </c>
      <c r="P16" s="2">
        <f t="array" ref="P16">MAX(IF((Tableau4[Qui]=Tableau6[[#This Row],[Nom affiche]])*(Tableau4[Quoi]="Vis Permis PL"),Tableau4[Date],""))</f>
        <v>0</v>
      </c>
      <c r="Q16" s="13">
        <v>5</v>
      </c>
      <c r="R16" s="2">
        <f t="shared" si="20"/>
        <v>1827</v>
      </c>
      <c r="S16" s="2">
        <f t="array" ref="S16">MAX(IF((Tableau4[Qui]=Tableau6[[#This Row],[Nom affiche]])*(Tableau4[Quoi]="Aire de mouvement"),Tableau4[Date],""))</f>
        <v>0</v>
      </c>
      <c r="T16" s="13">
        <v>15</v>
      </c>
      <c r="U16" s="2">
        <f t="shared" si="3"/>
        <v>15</v>
      </c>
      <c r="V16" s="2">
        <f t="array" ref="V16">MAX(IF((Tableau4[Qui]=Tableau6[[#This Row],[Nom affiche]])*(Tableau4[Quoi]="Zone Aérodrome"),Tableau4[Date],""))</f>
        <v>0</v>
      </c>
      <c r="W16" s="13">
        <v>1</v>
      </c>
      <c r="X16" s="2">
        <f t="shared" si="4"/>
        <v>31</v>
      </c>
      <c r="Y16" s="2">
        <f t="array" ref="Y16">MAX(IF((Tableau4[Qui]=Tableau6[[#This Row],[Nom affiche]])*(Tableau4[Quoi]="Zone Voisine Aérodrome"),Tableau4[Date],""))</f>
        <v>0</v>
      </c>
      <c r="Z16" s="13">
        <v>3</v>
      </c>
      <c r="AA16" s="2">
        <f t="shared" si="5"/>
        <v>91</v>
      </c>
      <c r="AB16" s="2">
        <f t="array" ref="AB16">MAX(IF((Tableau4[Qui]=Tableau6[[#This Row],[Nom affiche]])*(Tableau4[Quoi]="E.P.I"),Tableau4[Date],""))</f>
        <v>0</v>
      </c>
      <c r="AC16" s="13">
        <v>3</v>
      </c>
      <c r="AD16" s="2">
        <f t="shared" si="6"/>
        <v>91</v>
      </c>
      <c r="AE16" s="2">
        <f t="array" ref="AE16">MAX(IF((Tableau4[Qui]=Tableau6[[#This Row],[Nom affiche]])*(Tableau4[Quoi]="Poudre et eau pulvé"),Tableau4[Date],""))</f>
        <v>0</v>
      </c>
      <c r="AF16" s="13">
        <v>1</v>
      </c>
      <c r="AG16" s="2">
        <f t="shared" si="7"/>
        <v>366</v>
      </c>
      <c r="AH16" s="2">
        <f t="array" ref="AH16">MAX(IF((Tableau4[Qui]=Tableau6[[#This Row],[Nom affiche]])*(Tableau4[Quoi]="Poudre métaux"),Tableau4[Date],""))</f>
        <v>0</v>
      </c>
      <c r="AI16" s="13">
        <v>5</v>
      </c>
      <c r="AJ16" s="2">
        <f t="shared" si="8"/>
        <v>1827</v>
      </c>
      <c r="AK16" s="2">
        <f t="array" ref="AK16">MAX(IF((Tableau4[Qui]=Tableau6[[#This Row],[Nom affiche]])*(Tableau4[Quoi]="CO²"),Tableau4[Date],""))</f>
        <v>0</v>
      </c>
      <c r="AL16" s="13">
        <v>1</v>
      </c>
      <c r="AM16" s="2">
        <f t="shared" si="21"/>
        <v>366</v>
      </c>
      <c r="AN16" s="2">
        <f t="array" ref="AN16">MAX(IF((Tableau4[Qui]=Tableau6[[#This Row],[Nom affiche]])*(Tableau4[Quoi]="Rec SSLIA"),Tableau4[Date],""))</f>
        <v>0</v>
      </c>
      <c r="AO16" s="13">
        <v>3</v>
      </c>
      <c r="AP16" s="2">
        <f t="shared" si="28"/>
        <v>1096</v>
      </c>
      <c r="AQ16" s="2" t="e">
        <f>MAX(IF((Tableau4[Qui]=Tableau6[[#This Row],[Nom affiche]])*(Tableau4[Quoi]="Rec pompier aérodrome"),Tableau4[Date],""))</f>
        <v>#VALUE!</v>
      </c>
      <c r="AS16" s="2" t="e">
        <f t="shared" si="29"/>
        <v>#VALUE!</v>
      </c>
      <c r="AT16" s="2">
        <f t="array" ref="AT16">MAX(IF((Tableau4[Qui]=Tableau6[[#This Row],[Nom affiche]])*(Tableau4[Quoi]="Badge"),Tableau4[Date],""))</f>
        <v>0</v>
      </c>
      <c r="AU16" s="13">
        <v>3</v>
      </c>
      <c r="AV16" s="2">
        <f t="shared" si="22"/>
        <v>1096</v>
      </c>
      <c r="AW16" s="2">
        <f t="array" ref="AW16">MAX(IF((Tableau4[Qui]=Tableau6[[#This Row],[Nom affiche]])*(Tableau4[Quoi]="Sûreté"),Tableau4[Date],""))</f>
        <v>0</v>
      </c>
      <c r="AX16" s="13">
        <v>3</v>
      </c>
      <c r="AY16" s="2">
        <f t="shared" si="23"/>
        <v>1096</v>
      </c>
      <c r="AZ16" s="2">
        <f t="array" ref="AZ16">MAX(IF((Tableau4[Qui]=Tableau6[[#This Row],[Nom affiche]])*(Tableau4[Quoi]="Circulation piste"),Tableau4[Date],""))</f>
        <v>0</v>
      </c>
      <c r="BA16" s="13">
        <v>3</v>
      </c>
      <c r="BB16" s="2">
        <f t="shared" si="24"/>
        <v>1096</v>
      </c>
      <c r="BC16" s="2">
        <f t="array" ref="BC16">MAX(IF((Tableau4[Qui]=Tableau6[[#This Row],[Nom affiche]])*(Tableau4[Quoi]="Véhicules et embarcations"),Tableau4[Date],""))</f>
        <v>0</v>
      </c>
      <c r="BD16" s="13">
        <v>15</v>
      </c>
      <c r="BE16" s="2">
        <f t="shared" si="30"/>
        <v>15</v>
      </c>
      <c r="BF16" s="2">
        <f t="array" ref="BF16">MAX(IF((Tableau4[Qui]=Tableau6[[#This Row],[Nom affiche]])*(Tableau4[Quoi]="A.R.I"),Tableau4[Date],""))</f>
        <v>0</v>
      </c>
      <c r="BG16" s="13">
        <v>3</v>
      </c>
      <c r="BH16" s="2">
        <f t="shared" si="25"/>
        <v>91</v>
      </c>
    </row>
    <row r="17" spans="2:60" x14ac:dyDescent="0.25">
      <c r="B17" s="3" t="str">
        <f t="shared" si="26"/>
        <v>NAJJARI Mohamed</v>
      </c>
      <c r="C17" s="3" t="str">
        <f t="shared" si="27"/>
        <v>NAJJARI Mo</v>
      </c>
      <c r="D17" s="12" t="s">
        <v>138</v>
      </c>
      <c r="E17" s="12" t="s">
        <v>139</v>
      </c>
      <c r="F17" s="14">
        <v>32083</v>
      </c>
      <c r="G17" s="1">
        <f t="shared" ca="1" si="2"/>
        <v>30</v>
      </c>
      <c r="H17" s="14">
        <v>43178</v>
      </c>
      <c r="I17" s="13" t="s">
        <v>9</v>
      </c>
      <c r="J17" s="2">
        <f t="array" ref="J17">MAX(IF((Tableau4[Qui]=Tableau6[[#This Row],[Nom affiche]])*(Tableau4[Quoi]="Vis Travail"),Tableau4[Date],""))</f>
        <v>0</v>
      </c>
      <c r="K17" s="13">
        <v>1</v>
      </c>
      <c r="L17" s="2">
        <f t="array" aca="1" ref="L17" ca="1">IF(G17&lt;18,H17,IF(J17="",EDATE(H17,3),DATE(YEAR(J17)+K17,MONTH(J17),DAY(J17))))</f>
        <v>366</v>
      </c>
      <c r="M17" s="2">
        <f t="array" ref="M17">MAX(IF((Tableau4[Qui]=Tableau6[[#This Row],[Nom affiche]])*(Tableau4[Quoi]="Vis Médicale"),Tableau4[Date],""))</f>
        <v>0</v>
      </c>
      <c r="N17" s="13">
        <v>1</v>
      </c>
      <c r="O17" s="2">
        <f t="shared" si="19"/>
        <v>366</v>
      </c>
      <c r="P17" s="2">
        <f t="array" ref="P17">MAX(IF((Tableau4[Qui]=Tableau6[[#This Row],[Nom affiche]])*(Tableau4[Quoi]="Vis Permis PL"),Tableau4[Date],""))</f>
        <v>0</v>
      </c>
      <c r="Q17" s="13">
        <v>5</v>
      </c>
      <c r="R17" s="2">
        <f t="shared" si="20"/>
        <v>1827</v>
      </c>
      <c r="S17" s="2">
        <f t="array" ref="S17">MAX(IF((Tableau4[Qui]=Tableau6[[#This Row],[Nom affiche]])*(Tableau4[Quoi]="Aire de mouvement"),Tableau4[Date],""))</f>
        <v>0</v>
      </c>
      <c r="T17" s="13">
        <v>15</v>
      </c>
      <c r="U17" s="2">
        <f t="shared" si="3"/>
        <v>15</v>
      </c>
      <c r="V17" s="2">
        <f t="array" ref="V17">MAX(IF((Tableau4[Qui]=Tableau6[[#This Row],[Nom affiche]])*(Tableau4[Quoi]="Zone Aérodrome"),Tableau4[Date],""))</f>
        <v>0</v>
      </c>
      <c r="W17" s="13">
        <v>1</v>
      </c>
      <c r="X17" s="2">
        <f t="shared" si="4"/>
        <v>31</v>
      </c>
      <c r="Y17" s="2">
        <f t="array" ref="Y17">MAX(IF((Tableau4[Qui]=Tableau6[[#This Row],[Nom affiche]])*(Tableau4[Quoi]="Zone Voisine Aérodrome"),Tableau4[Date],""))</f>
        <v>0</v>
      </c>
      <c r="Z17" s="13">
        <v>3</v>
      </c>
      <c r="AA17" s="2">
        <f t="shared" si="5"/>
        <v>91</v>
      </c>
      <c r="AB17" s="2">
        <f t="array" ref="AB17">MAX(IF((Tableau4[Qui]=Tableau6[[#This Row],[Nom affiche]])*(Tableau4[Quoi]="E.P.I"),Tableau4[Date],""))</f>
        <v>0</v>
      </c>
      <c r="AC17" s="13">
        <v>3</v>
      </c>
      <c r="AD17" s="2">
        <f t="shared" si="6"/>
        <v>91</v>
      </c>
      <c r="AE17" s="2">
        <f t="array" ref="AE17">MAX(IF((Tableau4[Qui]=Tableau6[[#This Row],[Nom affiche]])*(Tableau4[Quoi]="Poudre et eau pulvé"),Tableau4[Date],""))</f>
        <v>0</v>
      </c>
      <c r="AF17" s="13">
        <v>1</v>
      </c>
      <c r="AG17" s="2">
        <f t="shared" si="7"/>
        <v>366</v>
      </c>
      <c r="AH17" s="2">
        <f t="array" ref="AH17">MAX(IF((Tableau4[Qui]=Tableau6[[#This Row],[Nom affiche]])*(Tableau4[Quoi]="Poudre métaux"),Tableau4[Date],""))</f>
        <v>0</v>
      </c>
      <c r="AI17" s="13">
        <v>5</v>
      </c>
      <c r="AJ17" s="2">
        <f t="shared" si="8"/>
        <v>1827</v>
      </c>
      <c r="AK17" s="2">
        <f t="array" ref="AK17">MAX(IF((Tableau4[Qui]=Tableau6[[#This Row],[Nom affiche]])*(Tableau4[Quoi]="CO²"),Tableau4[Date],""))</f>
        <v>0</v>
      </c>
      <c r="AL17" s="13">
        <v>1</v>
      </c>
      <c r="AM17" s="2">
        <f t="shared" si="21"/>
        <v>366</v>
      </c>
      <c r="AN17" s="2">
        <f t="array" ref="AN17">MAX(IF((Tableau4[Qui]=Tableau6[[#This Row],[Nom affiche]])*(Tableau4[Quoi]="Rec SSLIA"),Tableau4[Date],""))</f>
        <v>0</v>
      </c>
      <c r="AO17" s="13">
        <v>3</v>
      </c>
      <c r="AP17" s="2">
        <f t="shared" si="28"/>
        <v>1096</v>
      </c>
      <c r="AQ17" s="2" t="e">
        <f>MAX(IF((Tableau4[Qui]=Tableau6[[#This Row],[Nom affiche]])*(Tableau4[Quoi]="Rec pompier aérodrome"),Tableau4[Date],""))</f>
        <v>#VALUE!</v>
      </c>
      <c r="AS17" s="2" t="e">
        <f t="shared" si="29"/>
        <v>#VALUE!</v>
      </c>
      <c r="AT17" s="2">
        <f t="array" ref="AT17">MAX(IF((Tableau4[Qui]=Tableau6[[#This Row],[Nom affiche]])*(Tableau4[Quoi]="Badge"),Tableau4[Date],""))</f>
        <v>0</v>
      </c>
      <c r="AU17" s="13">
        <v>3</v>
      </c>
      <c r="AV17" s="2">
        <f t="shared" si="22"/>
        <v>1096</v>
      </c>
      <c r="AW17" s="2">
        <f t="array" ref="AW17">MAX(IF((Tableau4[Qui]=Tableau6[[#This Row],[Nom affiche]])*(Tableau4[Quoi]="Sûreté"),Tableau4[Date],""))</f>
        <v>0</v>
      </c>
      <c r="AX17" s="13">
        <v>3</v>
      </c>
      <c r="AY17" s="2">
        <f t="shared" si="23"/>
        <v>1096</v>
      </c>
      <c r="AZ17" s="2">
        <f t="array" ref="AZ17">MAX(IF((Tableau4[Qui]=Tableau6[[#This Row],[Nom affiche]])*(Tableau4[Quoi]="Circulation piste"),Tableau4[Date],""))</f>
        <v>0</v>
      </c>
      <c r="BA17" s="13">
        <v>3</v>
      </c>
      <c r="BB17" s="2">
        <f t="shared" si="24"/>
        <v>1096</v>
      </c>
      <c r="BC17" s="2">
        <f t="array" ref="BC17">MAX(IF((Tableau4[Qui]=Tableau6[[#This Row],[Nom affiche]])*(Tableau4[Quoi]="Véhicules et embarcations"),Tableau4[Date],""))</f>
        <v>0</v>
      </c>
      <c r="BD17" s="13">
        <v>15</v>
      </c>
      <c r="BE17" s="2">
        <f t="shared" si="30"/>
        <v>15</v>
      </c>
      <c r="BF17" s="2">
        <f t="array" ref="BF17">MAX(IF((Tableau4[Qui]=Tableau6[[#This Row],[Nom affiche]])*(Tableau4[Quoi]="A.R.I"),Tableau4[Date],""))</f>
        <v>0</v>
      </c>
      <c r="BG17" s="13">
        <v>3</v>
      </c>
      <c r="BH17" s="2">
        <f t="shared" si="25"/>
        <v>91</v>
      </c>
    </row>
  </sheetData>
  <mergeCells count="17">
    <mergeCell ref="AK2:AM2"/>
    <mergeCell ref="AN2:AP2"/>
    <mergeCell ref="AQ2:AS2"/>
    <mergeCell ref="Y2:AA2"/>
    <mergeCell ref="BF2:BH2"/>
    <mergeCell ref="AT2:AV2"/>
    <mergeCell ref="AW2:AY2"/>
    <mergeCell ref="AZ2:BB2"/>
    <mergeCell ref="BC2:BE2"/>
    <mergeCell ref="AB2:AD2"/>
    <mergeCell ref="AE2:AG2"/>
    <mergeCell ref="AH2:AJ2"/>
    <mergeCell ref="J2:L2"/>
    <mergeCell ref="M2:O2"/>
    <mergeCell ref="P2:R2"/>
    <mergeCell ref="S2:U2"/>
    <mergeCell ref="V2:X2"/>
  </mergeCells>
  <dataValidations count="1">
    <dataValidation type="list" allowBlank="1" showInputMessage="1" showErrorMessage="1" sqref="I4:I17" xr:uid="{EDDA9D9A-DCE2-4C24-BFE3-52129432A312}">
      <formula1>"Actif,Non actif"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E98875-D976-4B61-90F4-F852415C2629}">
  <sheetPr codeName="Feuil4"/>
  <dimension ref="A1:K21"/>
  <sheetViews>
    <sheetView showGridLines="0" tabSelected="1" workbookViewId="0">
      <pane ySplit="13" topLeftCell="A14" activePane="bottomLeft" state="frozen"/>
      <selection pane="bottomLeft" activeCell="L20" sqref="L20"/>
    </sheetView>
  </sheetViews>
  <sheetFormatPr baseColWidth="10" defaultRowHeight="12.75" x14ac:dyDescent="0.2"/>
  <cols>
    <col min="1" max="1" width="1.7109375" style="5" customWidth="1"/>
    <col min="2" max="2" width="4.28515625" style="5" hidden="1" customWidth="1"/>
    <col min="3" max="3" width="4.7109375" style="5" hidden="1" customWidth="1"/>
    <col min="4" max="4" width="9.7109375" style="23" customWidth="1"/>
    <col min="5" max="5" width="22.7109375" style="23" customWidth="1"/>
    <col min="6" max="6" width="15.85546875" style="23" bestFit="1" customWidth="1"/>
    <col min="7" max="7" width="18.7109375" style="23" customWidth="1"/>
    <col min="8" max="8" width="8" style="13" customWidth="1"/>
    <col min="9" max="10" width="22.7109375" style="23" customWidth="1"/>
    <col min="11" max="11" width="1.7109375" style="5" customWidth="1"/>
    <col min="12" max="16384" width="11.42578125" style="5"/>
  </cols>
  <sheetData>
    <row r="1" spans="1:11" ht="13.5" thickTop="1" x14ac:dyDescent="0.2">
      <c r="A1" s="24"/>
      <c r="B1" s="25"/>
      <c r="C1" s="25"/>
      <c r="D1" s="25"/>
      <c r="E1" s="25"/>
      <c r="F1" s="25"/>
      <c r="G1" s="25"/>
      <c r="H1" s="26"/>
      <c r="I1" s="25"/>
      <c r="J1" s="25"/>
      <c r="K1" s="27"/>
    </row>
    <row r="2" spans="1:11" ht="14.25" x14ac:dyDescent="0.2">
      <c r="A2" s="28"/>
      <c r="B2" s="29"/>
      <c r="C2" s="29"/>
      <c r="D2" s="29"/>
      <c r="E2" s="30" t="str">
        <f t="array" aca="1" ref="E2" ca="1">INDEX(Tableau4[Qui],MATCH(1,SUBTOTAL(3,OFFSET(Tableau4[Qui],ROW(Tableau4[Qui])-MIN(ROW(Tableau4[Qui])),,1)),0))</f>
        <v>LEROY France</v>
      </c>
      <c r="F2" s="31"/>
      <c r="G2" s="32" t="s">
        <v>144</v>
      </c>
      <c r="H2" s="33"/>
      <c r="I2" s="34" t="s">
        <v>0</v>
      </c>
      <c r="J2" s="35">
        <f t="array" aca="1" ref="J2" ca="1">INDEX(Tableau6[prochaine visite mvt],MATCH(Fiche!$E$2,Tableau6[Nom affiche],0))</f>
        <v>15</v>
      </c>
      <c r="K2" s="36"/>
    </row>
    <row r="3" spans="1:11" x14ac:dyDescent="0.2">
      <c r="A3" s="28"/>
      <c r="B3" s="29"/>
      <c r="C3" s="29"/>
      <c r="D3" s="29"/>
      <c r="E3" s="29"/>
      <c r="F3" s="31"/>
      <c r="G3" s="37" t="s">
        <v>143</v>
      </c>
      <c r="H3" s="33"/>
      <c r="I3" s="34" t="s">
        <v>120</v>
      </c>
      <c r="J3" s="35">
        <f t="array" aca="1" ref="J3" ca="1">INDEX(Tableau6[prochaine visite za],MATCH(Fiche!$E$2,Tableau6[Nom affiche],0))</f>
        <v>31</v>
      </c>
      <c r="K3" s="36"/>
    </row>
    <row r="4" spans="1:11" x14ac:dyDescent="0.2">
      <c r="A4" s="28"/>
      <c r="B4" s="29"/>
      <c r="C4" s="29"/>
      <c r="D4" s="29"/>
      <c r="E4" s="38" t="str">
        <f ca="1">INDEX(Tableau6[âge],MATCH(Fiche!$E$2,Tableau6[Nom affiche],0))&amp;" ans"</f>
        <v>50 ans</v>
      </c>
      <c r="F4" s="34" t="s">
        <v>140</v>
      </c>
      <c r="G4" s="35">
        <f t="array" aca="1" ref="G4" ca="1">INDEX(Tableau6[prochaine visite rpa],MATCH(Fiche!$E$2,Tableau6[Nom affiche],0))</f>
        <v>1096</v>
      </c>
      <c r="H4" s="33"/>
      <c r="I4" s="34" t="s">
        <v>121</v>
      </c>
      <c r="J4" s="35">
        <f t="array" aca="1" ref="J4" ca="1">INDEX(Tableau6[prochaine visite zva],MATCH(Fiche!$E$2,Tableau6[Nom affiche],0))</f>
        <v>91</v>
      </c>
      <c r="K4" s="36"/>
    </row>
    <row r="5" spans="1:11" x14ac:dyDescent="0.2">
      <c r="A5" s="28"/>
      <c r="B5" s="29"/>
      <c r="C5" s="29"/>
      <c r="D5" s="29"/>
      <c r="E5" s="39" t="str">
        <f ca="1">"Entrée le "&amp;TEXT(INDEX(Tableau6[date entrée],MATCH(Fiche!$E$2,Tableau6[Nom affiche],0)),"jj/mm/aaaa")</f>
        <v>Entrée le 07/07/2011</v>
      </c>
      <c r="F5" s="31"/>
      <c r="G5" s="40"/>
      <c r="H5" s="33"/>
      <c r="I5" s="34" t="s">
        <v>1</v>
      </c>
      <c r="J5" s="35">
        <f t="array" aca="1" ref="J5" ca="1">INDEX(Tableau6[prochaine visite véh],MATCH(Fiche!$E$2,Tableau6[Nom affiche],0))</f>
        <v>15</v>
      </c>
      <c r="K5" s="36"/>
    </row>
    <row r="6" spans="1:11" x14ac:dyDescent="0.2">
      <c r="A6" s="28"/>
      <c r="B6" s="29"/>
      <c r="C6" s="29"/>
      <c r="D6" s="29"/>
      <c r="E6" s="41"/>
      <c r="F6" s="34" t="s">
        <v>90</v>
      </c>
      <c r="G6" s="35">
        <f t="array" aca="1" ref="G6" ca="1">INDEX(Tableau6[prochaine visite trv],MATCH(Fiche!$E$2,Tableau6[Nom affiche],0))</f>
        <v>366</v>
      </c>
      <c r="H6" s="33"/>
      <c r="I6" s="34" t="s">
        <v>122</v>
      </c>
      <c r="J6" s="35">
        <f t="array" aca="1" ref="J6" ca="1">INDEX(Tableau6[prochaine visite epi],MATCH(Fiche!$E$2,Tableau6[Nom affiche],0))</f>
        <v>91</v>
      </c>
      <c r="K6" s="36"/>
    </row>
    <row r="7" spans="1:11" x14ac:dyDescent="0.2">
      <c r="A7" s="28"/>
      <c r="B7" s="29"/>
      <c r="C7" s="29"/>
      <c r="D7" s="42">
        <f t="array" aca="1" ref="D7" ca="1">MAX(IF((Tableau4[Qui]=$E$2)*(Tableau4[Quoi]="Initiale SP"),Tableau4[Date],""))</f>
        <v>30895</v>
      </c>
      <c r="E7" s="43" t="s">
        <v>118</v>
      </c>
      <c r="F7" s="34" t="s">
        <v>89</v>
      </c>
      <c r="G7" s="35">
        <f t="array" aca="1" ref="G7" ca="1">INDEX(Tableau6[prochaine visite méd],MATCH(Fiche!$E$2,Tableau6[Nom affiche],0))</f>
        <v>366</v>
      </c>
      <c r="H7" s="33"/>
      <c r="I7" s="34" t="s">
        <v>123</v>
      </c>
      <c r="J7" s="35">
        <f t="array" aca="1" ref="J7" ca="1">INDEX(Tableau6[prochaine visite ari],MATCH(Fiche!$E$2,Tableau6[Nom affiche],0))</f>
        <v>91</v>
      </c>
      <c r="K7" s="36"/>
    </row>
    <row r="8" spans="1:11" x14ac:dyDescent="0.2">
      <c r="A8" s="28"/>
      <c r="B8" s="29"/>
      <c r="C8" s="29"/>
      <c r="D8" s="42">
        <f t="array" aca="1" ref="D8" ca="1">MAX(IF((Tableau4[Qui]=$E$2)*(Tableau4[Quoi]="Initiale PA"),Tableau4[Date],""))</f>
        <v>38565</v>
      </c>
      <c r="E8" s="43" t="s">
        <v>115</v>
      </c>
      <c r="F8" s="34" t="s">
        <v>117</v>
      </c>
      <c r="G8" s="35">
        <f t="array" aca="1" ref="G8" ca="1">INDEX(Tableau6[prochaine visite per],MATCH(Fiche!$E$2,Tableau6[Nom affiche],0))</f>
        <v>1827</v>
      </c>
      <c r="H8" s="19"/>
      <c r="I8" s="34" t="s">
        <v>145</v>
      </c>
      <c r="J8" s="35">
        <f t="array" aca="1" ref="J8" ca="1">INDEX(Tableau6[prochaine visite pou],MATCH(Fiche!$E$2,Tableau6[Nom affiche],0))</f>
        <v>366</v>
      </c>
      <c r="K8" s="36"/>
    </row>
    <row r="9" spans="1:11" x14ac:dyDescent="0.2">
      <c r="A9" s="28"/>
      <c r="B9" s="29"/>
      <c r="C9" s="29"/>
      <c r="D9" s="42">
        <f t="array" aca="1" ref="D9" ca="1">MAX(IF((Tableau4[Qui]=$E$2)*(Tableau4[Quoi]="Initiale CM"),Tableau4[Date],""))</f>
        <v>0</v>
      </c>
      <c r="E9" s="43" t="s">
        <v>116</v>
      </c>
      <c r="F9" s="34" t="s">
        <v>114</v>
      </c>
      <c r="G9" s="35">
        <f t="array" aca="1" ref="G9" ca="1">INDEX(Tableau6[prochaine visite bad],MATCH(Fiche!$E$2,Tableau6[Nom affiche],0))</f>
        <v>1096</v>
      </c>
      <c r="H9" s="33"/>
      <c r="I9" s="34" t="s">
        <v>2</v>
      </c>
      <c r="J9" s="35">
        <f t="array" aca="1" ref="J9" ca="1">INDEX(Tableau6[prochaine visite co²],MATCH(Fiche!$E$2,Tableau6[Nom affiche],0))</f>
        <v>366</v>
      </c>
      <c r="K9" s="36"/>
    </row>
    <row r="10" spans="1:11" x14ac:dyDescent="0.2">
      <c r="A10" s="28"/>
      <c r="B10" s="29"/>
      <c r="C10" s="29"/>
      <c r="D10" s="42">
        <f t="array" aca="1" ref="D10" ca="1">MAX(IF((Tableau4[Qui]=$E$2)*(Tableau4[Quoi]="Initiale RSSLIA"),Tableau4[Date],""))</f>
        <v>0</v>
      </c>
      <c r="E10" s="43" t="s">
        <v>141</v>
      </c>
      <c r="F10" s="34" t="s">
        <v>119</v>
      </c>
      <c r="G10" s="35">
        <f t="array" aca="1" ref="G10" ca="1">INDEX(Tableau6[prochaine visite pis],MATCH(Fiche!$E$2,Tableau6[Nom affiche],0))</f>
        <v>1096</v>
      </c>
      <c r="H10" s="33"/>
      <c r="I10" s="34" t="s">
        <v>124</v>
      </c>
      <c r="J10" s="35">
        <f t="array" aca="1" ref="J10" ca="1">INDEX(Tableau6[prochaine visite mét],MATCH(Fiche!$E$2,Tableau6[Nom affiche],0))</f>
        <v>1827</v>
      </c>
      <c r="K10" s="36"/>
    </row>
    <row r="11" spans="1:11" ht="13.5" thickBot="1" x14ac:dyDescent="0.25">
      <c r="A11" s="44"/>
      <c r="B11" s="45"/>
      <c r="C11" s="45"/>
      <c r="D11" s="45"/>
      <c r="E11" s="45"/>
      <c r="F11" s="45"/>
      <c r="G11" s="45"/>
      <c r="H11" s="46"/>
      <c r="I11" s="45"/>
      <c r="J11" s="45"/>
      <c r="K11" s="47"/>
    </row>
    <row r="12" spans="1:11" ht="13.5" thickTop="1" x14ac:dyDescent="0.2">
      <c r="A12" s="31"/>
      <c r="B12" s="31"/>
      <c r="C12" s="31"/>
      <c r="D12" s="31"/>
      <c r="E12" s="31"/>
      <c r="F12" s="48" t="str">
        <f>SUBTOTAL(3,Tableau4[Quoi])&amp;" "&amp;"éléments affichées"</f>
        <v>8 éléments affichées</v>
      </c>
      <c r="G12" s="31"/>
      <c r="H12" s="49">
        <f>SUBTOTAL(9,Tableau4[Durée])</f>
        <v>0</v>
      </c>
      <c r="I12" s="31"/>
      <c r="J12" s="31"/>
      <c r="K12" s="31"/>
    </row>
    <row r="13" spans="1:11" x14ac:dyDescent="0.2">
      <c r="A13" s="31"/>
      <c r="B13" s="19" t="s">
        <v>107</v>
      </c>
      <c r="C13" s="19" t="s">
        <v>108</v>
      </c>
      <c r="D13" s="50" t="s">
        <v>3</v>
      </c>
      <c r="E13" s="50" t="s">
        <v>23</v>
      </c>
      <c r="F13" s="50" t="s">
        <v>24</v>
      </c>
      <c r="G13" s="50" t="s">
        <v>109</v>
      </c>
      <c r="H13" s="50" t="s">
        <v>110</v>
      </c>
      <c r="I13" s="50" t="s">
        <v>111</v>
      </c>
      <c r="J13" s="50" t="s">
        <v>112</v>
      </c>
      <c r="K13" s="31"/>
    </row>
    <row r="14" spans="1:11" x14ac:dyDescent="0.2">
      <c r="B14" s="5">
        <f>YEAR(Tableau4[[#This Row],[Date]])</f>
        <v>1984</v>
      </c>
      <c r="C14" s="5" t="str">
        <f>TEXT(Tableau4[[#This Row],[Date]],"mmmm")</f>
        <v>août</v>
      </c>
      <c r="D14" s="14">
        <v>30895</v>
      </c>
      <c r="E14" s="23" t="s">
        <v>4</v>
      </c>
      <c r="F14" s="23" t="s">
        <v>125</v>
      </c>
    </row>
    <row r="15" spans="1:11" x14ac:dyDescent="0.2">
      <c r="B15" s="5">
        <f>YEAR(Tableau4[[#This Row],[Date]])</f>
        <v>2005</v>
      </c>
      <c r="C15" s="5" t="str">
        <f>TEXT(Tableau4[[#This Row],[Date]],"mmmm")</f>
        <v>mai</v>
      </c>
      <c r="D15" s="14">
        <v>38482</v>
      </c>
      <c r="E15" s="23" t="s">
        <v>181</v>
      </c>
      <c r="F15" s="23" t="s">
        <v>147</v>
      </c>
    </row>
    <row r="16" spans="1:11" x14ac:dyDescent="0.2">
      <c r="B16" s="5">
        <f>YEAR(Tableau4[[#This Row],[Date]])</f>
        <v>2005</v>
      </c>
      <c r="C16" s="5" t="str">
        <f>TEXT(Tableau4[[#This Row],[Date]],"mmmm")</f>
        <v>mai</v>
      </c>
      <c r="D16" s="14">
        <v>38483</v>
      </c>
      <c r="E16" s="23" t="s">
        <v>189</v>
      </c>
      <c r="F16" s="23" t="s">
        <v>114</v>
      </c>
    </row>
    <row r="17" spans="2:10" x14ac:dyDescent="0.2">
      <c r="B17" s="6">
        <f>YEAR(Tableau4[[#This Row],[Date]])</f>
        <v>2005</v>
      </c>
      <c r="C17" s="6" t="str">
        <f>TEXT(Tableau4[[#This Row],[Date]],"mmmm")</f>
        <v>octobre</v>
      </c>
      <c r="D17" s="14">
        <v>38653</v>
      </c>
      <c r="E17" s="23" t="s">
        <v>192</v>
      </c>
      <c r="F17" s="23" t="s">
        <v>113</v>
      </c>
      <c r="G17" s="23" t="s">
        <v>176</v>
      </c>
      <c r="I17" s="23" t="s">
        <v>184</v>
      </c>
      <c r="J17" s="23" t="s">
        <v>184</v>
      </c>
    </row>
    <row r="18" spans="2:10" x14ac:dyDescent="0.2">
      <c r="B18" s="6">
        <f>YEAR(Tableau4[[#This Row],[Date]])</f>
        <v>2005</v>
      </c>
      <c r="C18" s="6" t="str">
        <f>TEXT(Tableau4[[#This Row],[Date]],"mmmm")</f>
        <v>juillet</v>
      </c>
      <c r="D18" s="14">
        <v>38534</v>
      </c>
      <c r="E18" s="23" t="s">
        <v>181</v>
      </c>
      <c r="F18" s="23" t="s">
        <v>125</v>
      </c>
      <c r="G18" s="23" t="s">
        <v>153</v>
      </c>
      <c r="I18" s="23" t="s">
        <v>151</v>
      </c>
      <c r="J18" s="23" t="s">
        <v>151</v>
      </c>
    </row>
    <row r="19" spans="2:10" x14ac:dyDescent="0.2">
      <c r="B19" s="6">
        <f>YEAR(Tableau4[[#This Row],[Date]])</f>
        <v>2005</v>
      </c>
      <c r="C19" s="6" t="str">
        <f>TEXT(Tableau4[[#This Row],[Date]],"mmmm")</f>
        <v>août</v>
      </c>
      <c r="D19" s="14">
        <v>38565</v>
      </c>
      <c r="E19" s="23" t="s">
        <v>4</v>
      </c>
      <c r="F19" s="23" t="s">
        <v>113</v>
      </c>
      <c r="G19" s="23" t="s">
        <v>176</v>
      </c>
      <c r="I19" s="23" t="s">
        <v>184</v>
      </c>
      <c r="J19" s="23" t="s">
        <v>184</v>
      </c>
    </row>
    <row r="20" spans="2:10" x14ac:dyDescent="0.2">
      <c r="B20" s="6">
        <f>YEAR(Tableau4[[#This Row],[Date]])</f>
        <v>2018</v>
      </c>
      <c r="C20" s="6" t="str">
        <f>TEXT(Tableau4[[#This Row],[Date]],"mmmm")</f>
        <v>octobre</v>
      </c>
      <c r="D20" s="14">
        <v>43374</v>
      </c>
      <c r="E20" s="23" t="s">
        <v>192</v>
      </c>
      <c r="F20" s="23" t="s">
        <v>169</v>
      </c>
      <c r="G20" s="23" t="s">
        <v>170</v>
      </c>
      <c r="I20" s="23" t="s">
        <v>186</v>
      </c>
      <c r="J20" s="23" t="s">
        <v>186</v>
      </c>
    </row>
    <row r="21" spans="2:10" x14ac:dyDescent="0.2">
      <c r="B21" s="6">
        <f>YEAR(Tableau4[[#This Row],[Date]])</f>
        <v>2018</v>
      </c>
      <c r="C21" s="6" t="str">
        <f>TEXT(Tableau4[[#This Row],[Date]],"mmmm")</f>
        <v>septembre</v>
      </c>
      <c r="D21" s="14">
        <v>43351</v>
      </c>
      <c r="E21" s="23" t="s">
        <v>189</v>
      </c>
      <c r="F21" s="23" t="s">
        <v>148</v>
      </c>
      <c r="G21" s="23" t="s">
        <v>149</v>
      </c>
      <c r="I21" s="23" t="s">
        <v>190</v>
      </c>
      <c r="J21" s="23" t="s">
        <v>190</v>
      </c>
    </row>
  </sheetData>
  <pageMargins left="0.11811023622047245" right="0.11811023622047245" top="0.55118110236220474" bottom="0.35433070866141736" header="0.31496062992125984" footer="0.11811023622047245"/>
  <pageSetup paperSize="9" scale="79" orientation="portrait" r:id="rId1"/>
  <headerFooter>
    <oddHeader xml:space="preserve">&amp;L&amp;"Times New Roman,Gras italique"          Fiche individuelle </oddHeader>
    <oddFooter xml:space="preserve">&amp;L&amp;"Times New Roman,Normal"&amp;8&amp;K01+049          Aéroport Béziers Cap-d'Age
          Service sslia - Entraînement&amp;C&amp;"Times New Roman,Normal"&amp;8&amp;K01+048page &amp;P/&amp;N&amp;R&amp;"Times New Roman,Normal"&amp;8&amp;K01+048&amp;D          </oddFooter>
  </headerFooter>
  <drawing r:id="rId2"/>
  <legacyDrawing r:id="rId3"/>
  <tableParts count="1">
    <tablePart r:id="rId4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5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6D375A-BEE0-486B-ABC3-7AF14CF59383}">
  <sheetPr codeName="Feuil2"/>
  <dimension ref="A1:N12"/>
  <sheetViews>
    <sheetView showGridLines="0" zoomScaleNormal="100" workbookViewId="0">
      <selection activeCell="B1" sqref="B1"/>
    </sheetView>
  </sheetViews>
  <sheetFormatPr baseColWidth="10" defaultRowHeight="12.75" x14ac:dyDescent="0.2"/>
  <cols>
    <col min="1" max="1" width="2.7109375" style="5" customWidth="1"/>
    <col min="2" max="2" width="5.7109375" style="5" customWidth="1"/>
    <col min="3" max="3" width="13.7109375" style="5" customWidth="1"/>
    <col min="4" max="4" width="5.7109375" style="5" customWidth="1"/>
    <col min="5" max="5" width="13.7109375" style="5" customWidth="1"/>
    <col min="6" max="6" width="5.7109375" style="5" customWidth="1"/>
    <col min="7" max="7" width="13.7109375" style="5" customWidth="1"/>
    <col min="8" max="8" width="5.7109375" style="5" customWidth="1"/>
    <col min="9" max="9" width="13.7109375" style="5" customWidth="1"/>
    <col min="10" max="10" width="5.7109375" style="5" customWidth="1"/>
    <col min="11" max="11" width="13.7109375" style="5" customWidth="1"/>
    <col min="12" max="12" width="5.7109375" style="5" customWidth="1"/>
    <col min="13" max="13" width="13.7109375" style="5" customWidth="1"/>
    <col min="14" max="14" width="2.7109375" style="5" customWidth="1"/>
    <col min="15" max="16384" width="11.42578125" style="5"/>
  </cols>
  <sheetData>
    <row r="1" spans="1:14" ht="60" customHeight="1" x14ac:dyDescent="0.2">
      <c r="A1" s="9"/>
      <c r="B1" s="9"/>
      <c r="C1" s="9"/>
      <c r="D1" s="9"/>
      <c r="E1" s="11" t="s">
        <v>194</v>
      </c>
      <c r="F1" s="9"/>
      <c r="G1" s="9"/>
      <c r="H1" s="9"/>
      <c r="I1" s="9"/>
      <c r="J1" s="9"/>
      <c r="K1" s="9"/>
      <c r="L1" s="9"/>
      <c r="M1" s="9"/>
      <c r="N1" s="9"/>
    </row>
    <row r="2" spans="1:14" ht="15" customHeight="1" x14ac:dyDescent="0.2"/>
    <row r="3" spans="1:14" ht="15" customHeight="1" x14ac:dyDescent="0.2"/>
    <row r="4" spans="1:14" ht="15" customHeight="1" x14ac:dyDescent="0.2"/>
    <row r="5" spans="1:14" ht="15" customHeight="1" x14ac:dyDescent="0.2"/>
    <row r="6" spans="1:14" ht="15" customHeight="1" x14ac:dyDescent="0.2"/>
    <row r="7" spans="1:14" ht="15" customHeight="1" x14ac:dyDescent="0.2"/>
    <row r="8" spans="1:14" ht="21.95" customHeight="1" x14ac:dyDescent="0.2"/>
    <row r="9" spans="1:14" s="4" customFormat="1" ht="24.95" customHeight="1" x14ac:dyDescent="0.2"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</row>
    <row r="10" spans="1:14" s="4" customFormat="1" ht="24.95" customHeight="1" x14ac:dyDescent="0.2"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</row>
    <row r="11" spans="1:14" s="4" customFormat="1" ht="24.95" customHeight="1" x14ac:dyDescent="0.2"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</row>
    <row r="12" spans="1:14" s="4" customFormat="1" ht="24.95" customHeight="1" x14ac:dyDescent="0.2"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</row>
  </sheetData>
  <printOptions horizontalCentered="1"/>
  <pageMargins left="0.31496062992125984" right="0.31496062992125984" top="0.74803149606299213" bottom="0.74803149606299213" header="0.31496062992125984" footer="0.31496062992125984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Theme</vt:lpstr>
      <vt:lpstr>Images</vt:lpstr>
      <vt:lpstr>Employé</vt:lpstr>
      <vt:lpstr>Fiche</vt:lpstr>
      <vt:lpstr>Accueil</vt:lpstr>
      <vt:lpstr>nom</vt:lpstr>
      <vt:lpstr>NomFormetEval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 Leroy</dc:creator>
  <cp:lastModifiedBy>F Leroy</cp:lastModifiedBy>
  <cp:lastPrinted>2018-10-12T09:21:13Z</cp:lastPrinted>
  <dcterms:created xsi:type="dcterms:W3CDTF">2018-09-29T08:49:22Z</dcterms:created>
  <dcterms:modified xsi:type="dcterms:W3CDTF">2018-10-12T12:12:29Z</dcterms:modified>
</cp:coreProperties>
</file>