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E\Desktop\Croix Blanche\"/>
    </mc:Choice>
  </mc:AlternateContent>
  <bookViews>
    <workbookView xWindow="0" yWindow="0" windowWidth="15015" windowHeight="9570"/>
  </bookViews>
  <sheets>
    <sheet name="Accueil" sheetId="2" r:id="rId1"/>
    <sheet name="Mission" sheetId="1" r:id="rId2"/>
    <sheet name="Parametre" sheetId="3" r:id="rId3"/>
  </sheets>
  <definedNames>
    <definedName name="Commune_base">OFFSET(Mission!$F$3,,,COUNTA(Mission!$F:$F)-1)</definedName>
    <definedName name="Demande_Base">OFFSET(Mission!$K$3,,,COUNTA(Mission!$K:$K)-1)</definedName>
    <definedName name="Déplacement_Base">OFFSET(Mission!$L$3,,,COUNTA(Mission!$L:$L)-1)</definedName>
    <definedName name="Dpt_base">OFFSET(Mission!$G$3,,,COUNTA(Mission!$G:$G)-1)</definedName>
    <definedName name="Etat_Base">OFFSET(Mission!$O$3,,,COUNTA(Mission!$O:$O)-1)</definedName>
    <definedName name="FraisKm_Base">OFFSET(Mission!$N$3,,,COUNTA(Mission!$N:$N)-1)</definedName>
    <definedName name="FraisVac_Base">OFFSET(Mission!$Q$3,,,COUNTA(Mission!$Q:$Q)-1)</definedName>
    <definedName name="Liste_commune">OFFSET(Mission!$AE$3,,,COUNTIF(Mission!$AE:$AE,"&gt;&lt;"))</definedName>
    <definedName name="Liste_Demande">OFFSET(Mission!$AG$3,,,COUNTIF(Mission!$AG:$AG,"&gt;&lt;"))</definedName>
    <definedName name="Liste_Déplacement">OFFSET(Mission!$AH$3,,,COUNTIF(Mission!$AH:$AH,"&gt;&lt;"))</definedName>
    <definedName name="Liste_Dpt">OFFSET(Mission!$AF$3,,,COUNTIF(Mission!$AF:$AF,"&gt;&lt;"))</definedName>
    <definedName name="Liste_Etat">OFFSET(Mission!$AJ$3,,,COUNTIF(Mission!$AJ:$AJ,"&gt;&lt;"))</definedName>
    <definedName name="Liste_FraisKm">OFFSET(Mission!$AI$3,,,COUNTIF(Mission!$AI:$AI,"&gt;&lt;"))</definedName>
    <definedName name="Liste_FraisVac">OFFSET(Mission!$AK$3,,,COUNTIF(Mission!$AK:$AK,"&gt;&lt;"))</definedName>
    <definedName name="Liste_Payer">OFFSET(Mission!$AL$3,,,COUNTIF(Mission!$AL:$AL,"&gt;&lt;"))</definedName>
    <definedName name="Liste_Personne">OFFSET(Mission!$AB$3,,,COUNTIF(Mission!$AB:$AB,"&gt;&lt;"))</definedName>
    <definedName name="Liste_theme">OFFSET(Mission!$AD$3,,,COUNTIF(Mission!$AD:$AD,"&gt;&lt;")-1)</definedName>
    <definedName name="Liste_Type">OFFSET(Mission!$AC$3,,,COUNTIF(Mission!$AC:$AC,"&gt;&lt;"))</definedName>
    <definedName name="Payer_Base">OFFSET(Mission!$S$3,,,COUNTA(Mission!$S:$S)-1)</definedName>
    <definedName name="Personne_base">OFFSET(Mission!$B$3,,,COUNTA(Mission!$B:$B)-1)</definedName>
    <definedName name="Theme_base">OFFSET(Mission!$E$3,,,COUNTA(Mission!$E:$E)-1)</definedName>
    <definedName name="Type_base">OFFSET(Mission!$D$3,,,COUNTA(Mission!$D:$D)-1)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2" l="1"/>
  <c r="H19" i="2" l="1"/>
  <c r="F29" i="2" s="1"/>
  <c r="H32" i="2" s="1"/>
  <c r="AL3" i="1" l="1"/>
  <c r="AK3" i="1"/>
  <c r="AJ3" i="1"/>
  <c r="AI3" i="1"/>
  <c r="AK4" i="1" a="1"/>
  <c r="AI4" i="1" a="1"/>
  <c r="AL4" i="1" a="1"/>
  <c r="AJ4" i="1" a="1"/>
  <c r="AL4" i="1" l="1"/>
  <c r="AK4" i="1"/>
  <c r="AJ4" i="1"/>
  <c r="AI4" i="1"/>
  <c r="AH3" i="1"/>
  <c r="AG3" i="1"/>
  <c r="AB3" i="1"/>
  <c r="AC3" i="1"/>
  <c r="AG4" i="1" a="1"/>
  <c r="AB4" i="1" a="1"/>
  <c r="AH4" i="1" a="1"/>
  <c r="AB4" i="1" l="1"/>
  <c r="AH4" i="1"/>
  <c r="AG4" i="1"/>
  <c r="J11" i="1"/>
  <c r="P11" i="1" s="1"/>
  <c r="J10" i="1"/>
  <c r="P10" i="1" s="1"/>
  <c r="J4" i="1"/>
  <c r="P4" i="1" s="1"/>
  <c r="J5" i="1"/>
  <c r="P5" i="1" s="1"/>
  <c r="J6" i="1"/>
  <c r="P6" i="1" s="1"/>
  <c r="J7" i="1"/>
  <c r="P7" i="1" s="1"/>
  <c r="J8" i="1"/>
  <c r="P8" i="1" s="1"/>
  <c r="J9" i="1"/>
  <c r="P9" i="1" s="1"/>
  <c r="J3" i="1"/>
  <c r="P3" i="1" s="1"/>
  <c r="AL5" i="1" a="1"/>
  <c r="AI5" i="1" a="1"/>
  <c r="AK5" i="1" a="1"/>
  <c r="AJ5" i="1" a="1"/>
  <c r="AL5" i="1" l="1"/>
  <c r="AK5" i="1"/>
  <c r="AJ5" i="1"/>
  <c r="AI5" i="1"/>
  <c r="AF3" i="1"/>
  <c r="AE3" i="1"/>
  <c r="AD3" i="1"/>
  <c r="A2" i="3"/>
  <c r="AB5" i="1" a="1"/>
  <c r="AH5" i="1" a="1"/>
  <c r="AF4" i="1" a="1"/>
  <c r="AE4" i="1" a="1"/>
  <c r="AD4" i="1" a="1"/>
  <c r="AC4" i="1" a="1"/>
  <c r="AG5" i="1" a="1"/>
  <c r="AB5" i="1" l="1"/>
  <c r="AH5" i="1"/>
  <c r="AG5" i="1"/>
  <c r="AF4" i="1"/>
  <c r="AE4" i="1"/>
  <c r="AD4" i="1"/>
  <c r="AC4" i="1"/>
  <c r="AJ6" i="1" a="1"/>
  <c r="AL6" i="1" a="1"/>
  <c r="AI6" i="1" a="1"/>
  <c r="AK6" i="1" a="1"/>
  <c r="AC5" i="1" a="1"/>
  <c r="AL6" i="1" l="1"/>
  <c r="AK6" i="1"/>
  <c r="AJ6" i="1"/>
  <c r="AI6" i="1"/>
  <c r="AC5" i="1"/>
  <c r="AE5" i="1" a="1"/>
  <c r="AD5" i="1" a="1"/>
  <c r="AH6" i="1" a="1"/>
  <c r="AC6" i="1" a="1"/>
  <c r="AB6" i="1" a="1"/>
  <c r="AF5" i="1" a="1"/>
  <c r="AG6" i="1" a="1"/>
  <c r="AB6" i="1" l="1"/>
  <c r="AH6" i="1"/>
  <c r="AG6" i="1"/>
  <c r="AF5" i="1"/>
  <c r="AE5" i="1"/>
  <c r="AD5" i="1"/>
  <c r="AC6" i="1"/>
  <c r="AK7" i="1" a="1"/>
  <c r="AE6" i="1" a="1"/>
  <c r="AL7" i="1" a="1"/>
  <c r="AJ7" i="1" a="1"/>
  <c r="AC7" i="1" a="1"/>
  <c r="AF6" i="1" a="1"/>
  <c r="AI7" i="1" a="1"/>
  <c r="AD6" i="1" a="1"/>
  <c r="AL7" i="1" l="1"/>
  <c r="AK7" i="1"/>
  <c r="AJ7" i="1"/>
  <c r="AI7" i="1"/>
  <c r="AD6" i="1"/>
  <c r="AE6" i="1"/>
  <c r="AC7" i="1"/>
  <c r="AF6" i="1"/>
  <c r="AG7" i="1" a="1"/>
  <c r="AH7" i="1" a="1"/>
  <c r="AB7" i="1" a="1"/>
  <c r="AC8" i="1" a="1"/>
  <c r="AB7" i="1" l="1"/>
  <c r="AH7" i="1"/>
  <c r="AG7" i="1"/>
  <c r="AC8" i="1"/>
  <c r="AL8" i="1" a="1"/>
  <c r="AJ8" i="1" a="1"/>
  <c r="AG8" i="1" a="1"/>
  <c r="AD7" i="1" a="1"/>
  <c r="AC9" i="1" a="1"/>
  <c r="AI8" i="1" a="1"/>
  <c r="AE7" i="1" a="1"/>
  <c r="AK8" i="1" a="1"/>
  <c r="AF7" i="1" a="1"/>
  <c r="AH8" i="1" a="1"/>
  <c r="AL8" i="1" l="1"/>
  <c r="AK8" i="1"/>
  <c r="AJ8" i="1"/>
  <c r="AI8" i="1"/>
  <c r="AC9" i="1"/>
  <c r="AH8" i="1"/>
  <c r="AG8" i="1"/>
  <c r="AD7" i="1"/>
  <c r="AE7" i="1"/>
  <c r="AF7" i="1"/>
  <c r="AE8" i="1" a="1"/>
  <c r="AF8" i="1" a="1"/>
  <c r="AB8" i="1" a="1"/>
  <c r="AH9" i="1" a="1"/>
  <c r="AD8" i="1" a="1"/>
  <c r="AH9" i="1" l="1"/>
  <c r="AB8" i="1"/>
  <c r="AE8" i="1"/>
  <c r="AF8" i="1"/>
  <c r="AD8" i="1"/>
  <c r="AK9" i="1" a="1"/>
  <c r="AI9" i="1" a="1"/>
  <c r="AL9" i="1" a="1"/>
  <c r="AJ9" i="1" a="1"/>
  <c r="AG9" i="1" a="1"/>
  <c r="AH10" i="1" a="1"/>
  <c r="AD9" i="1" a="1"/>
  <c r="AC10" i="1" a="1"/>
  <c r="AE9" i="1" a="1"/>
  <c r="AL9" i="1" l="1"/>
  <c r="AK9" i="1"/>
  <c r="AJ9" i="1"/>
  <c r="AI9" i="1"/>
  <c r="AH10" i="1"/>
  <c r="AG9" i="1"/>
  <c r="AE9" i="1"/>
  <c r="AC10" i="1"/>
  <c r="AD9" i="1"/>
  <c r="AI10" i="1" a="1"/>
  <c r="AF9" i="1" a="1"/>
  <c r="AH11" i="1" a="1"/>
  <c r="AG10" i="1" a="1"/>
  <c r="AB9" i="1" a="1"/>
  <c r="AK10" i="1" a="1"/>
  <c r="AL10" i="1" a="1"/>
  <c r="AJ10" i="1" a="1"/>
  <c r="AE10" i="1" a="1"/>
  <c r="AC11" i="1" a="1"/>
  <c r="AL10" i="1" l="1"/>
  <c r="AK10" i="1"/>
  <c r="AJ10" i="1"/>
  <c r="AI10" i="1"/>
  <c r="AH11" i="1"/>
  <c r="AG10" i="1"/>
  <c r="AF9" i="1"/>
  <c r="AE10" i="1"/>
  <c r="AB9" i="1"/>
  <c r="AC11" i="1"/>
  <c r="AL11" i="1" a="1"/>
  <c r="AB10" i="1" a="1"/>
  <c r="AE11" i="1" a="1"/>
  <c r="AI11" i="1" a="1"/>
  <c r="AK11" i="1" a="1"/>
  <c r="AG11" i="1" a="1"/>
  <c r="AF10" i="1" a="1"/>
  <c r="AD10" i="1" a="1"/>
  <c r="AJ11" i="1" a="1"/>
  <c r="AL11" i="1" l="1"/>
  <c r="AK11" i="1"/>
  <c r="AJ11" i="1"/>
  <c r="AI11" i="1"/>
  <c r="AG11" i="1"/>
  <c r="AF10" i="1"/>
  <c r="AE11" i="1"/>
  <c r="AD10" i="1"/>
  <c r="AB10" i="1"/>
  <c r="AD11" i="1" a="1"/>
  <c r="AF11" i="1" a="1"/>
  <c r="AB11" i="1" a="1"/>
  <c r="AF11" i="1" l="1"/>
  <c r="AD11" i="1"/>
  <c r="AB11" i="1"/>
</calcChain>
</file>

<file path=xl/comments1.xml><?xml version="1.0" encoding="utf-8"?>
<comments xmlns="http://schemas.openxmlformats.org/spreadsheetml/2006/main">
  <authors>
    <author>FRANCE</author>
  </authors>
  <commentList>
    <comment ref="D15" authorId="0" shapeId="0">
      <text>
        <r>
          <rPr>
            <sz val="8"/>
            <color indexed="81"/>
            <rFont val="Tahoma"/>
            <family val="2"/>
          </rPr>
          <t>Double-click pour afficher le calendrier</t>
        </r>
      </text>
    </comment>
    <comment ref="H27" authorId="0" shapeId="0">
      <text>
        <r>
          <rPr>
            <sz val="8"/>
            <color indexed="81"/>
            <rFont val="Tahoma"/>
            <family val="2"/>
          </rPr>
          <t>Double-click pour afficher le calendrier</t>
        </r>
      </text>
    </comment>
  </commentList>
</comments>
</file>

<file path=xl/sharedStrings.xml><?xml version="1.0" encoding="utf-8"?>
<sst xmlns="http://schemas.openxmlformats.org/spreadsheetml/2006/main" count="237" uniqueCount="94">
  <si>
    <t>Date</t>
  </si>
  <si>
    <t>Mission</t>
  </si>
  <si>
    <t>Type</t>
  </si>
  <si>
    <t>Organisation</t>
  </si>
  <si>
    <t>Gala de boxe</t>
  </si>
  <si>
    <t>Commune</t>
  </si>
  <si>
    <t>Dpt</t>
  </si>
  <si>
    <t>Durée</t>
  </si>
  <si>
    <t>Hr déb</t>
  </si>
  <si>
    <t>Hr fin</t>
  </si>
  <si>
    <t>Hr Total</t>
  </si>
  <si>
    <t>Effectuer</t>
  </si>
  <si>
    <t>en attente</t>
  </si>
  <si>
    <t>Poste</t>
  </si>
  <si>
    <t>Demande</t>
  </si>
  <si>
    <t>Disponible</t>
  </si>
  <si>
    <t>Non disponible</t>
  </si>
  <si>
    <t>Déclarer</t>
  </si>
  <si>
    <t>Somme</t>
  </si>
  <si>
    <t>Payer</t>
  </si>
  <si>
    <t>Etat</t>
  </si>
  <si>
    <t>Gratuit</t>
  </si>
  <si>
    <t>Oui</t>
  </si>
  <si>
    <t>Non</t>
  </si>
  <si>
    <t>Carte carbu 15 €</t>
  </si>
  <si>
    <t>PAPS</t>
  </si>
  <si>
    <t>DPS</t>
  </si>
  <si>
    <t>Tranche km</t>
  </si>
  <si>
    <t>Féria</t>
  </si>
  <si>
    <t>Fête locale</t>
  </si>
  <si>
    <t>Thème</t>
  </si>
  <si>
    <t>Le poulain</t>
  </si>
  <si>
    <t>liste_type</t>
  </si>
  <si>
    <t>liste_theme</t>
  </si>
  <si>
    <t>commune</t>
  </si>
  <si>
    <t>Maraussan</t>
  </si>
  <si>
    <t>Vendres</t>
  </si>
  <si>
    <t>Valros</t>
  </si>
  <si>
    <t>Pézénas</t>
  </si>
  <si>
    <t>En attente</t>
  </si>
  <si>
    <t>Déplacement</t>
  </si>
  <si>
    <t>Véhicule perso</t>
  </si>
  <si>
    <t>Ambulance</t>
  </si>
  <si>
    <t>Distance</t>
  </si>
  <si>
    <t>Ticket resto</t>
  </si>
  <si>
    <t>Frais km</t>
  </si>
  <si>
    <t>Vacation</t>
  </si>
  <si>
    <t>Valider</t>
  </si>
  <si>
    <t>Somme total</t>
  </si>
  <si>
    <t>Observation</t>
  </si>
  <si>
    <t>Personne</t>
  </si>
  <si>
    <t>Frais vacation</t>
  </si>
  <si>
    <t>Tour de France</t>
  </si>
  <si>
    <t>Marseille</t>
  </si>
  <si>
    <t>Employé</t>
  </si>
  <si>
    <t>Renfort Nat</t>
  </si>
  <si>
    <t xml:space="preserve"> - -</t>
  </si>
  <si>
    <t>Locomotion</t>
  </si>
  <si>
    <t>Date paie</t>
  </si>
  <si>
    <t>Nom-Prénom</t>
  </si>
  <si>
    <t>Taux horaire</t>
  </si>
  <si>
    <t>Par tranche de</t>
  </si>
  <si>
    <t>Ticket restaurant</t>
  </si>
  <si>
    <t>Distance A/R</t>
  </si>
  <si>
    <t>7 x Carte carbu 15 €</t>
  </si>
  <si>
    <t>Forfait</t>
  </si>
  <si>
    <t>Fêtes votives</t>
  </si>
  <si>
    <t>Marsillargues</t>
  </si>
  <si>
    <t>Confirmer</t>
  </si>
  <si>
    <t>4 x Carte carbu 15€</t>
  </si>
  <si>
    <t>1 x Carte carbu 15€</t>
  </si>
  <si>
    <t>10 x En attente</t>
  </si>
  <si>
    <t>Fête religieuse St Roch</t>
  </si>
  <si>
    <t>Montpellier</t>
  </si>
  <si>
    <t xml:space="preserve"> x </t>
  </si>
  <si>
    <t>2 x Gratuit</t>
  </si>
  <si>
    <t>2 x En attente</t>
  </si>
  <si>
    <t>22 x Carte carbu 15€</t>
  </si>
  <si>
    <t>En cours</t>
  </si>
  <si>
    <t>Poste à confirmation</t>
  </si>
  <si>
    <t>Concert</t>
  </si>
  <si>
    <t>Palavas les Flots</t>
  </si>
  <si>
    <t>2 x Néan</t>
  </si>
  <si>
    <t>14 x Gratuit</t>
  </si>
  <si>
    <t>2 x Carte carbu 15€</t>
  </si>
  <si>
    <t>11 x Carte carbu 15€</t>
  </si>
  <si>
    <t>&lt;--- formule</t>
  </si>
  <si>
    <t>&lt;--- Formule (somme total)</t>
  </si>
  <si>
    <t>&lt;--- Formule calcul tous les 60 + 1</t>
  </si>
  <si>
    <t>&lt;--- Formule calcul le nb de ticket resto</t>
  </si>
  <si>
    <t>DUPONT Marcel</t>
  </si>
  <si>
    <t>DUCHEMOL Béatrice</t>
  </si>
  <si>
    <t>MACHIN Napoléon</t>
  </si>
  <si>
    <t>GRODALI Stéphane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</si>
</sst>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164" formatCode="#,##0.00\ &quot;€&quot;"/>
    <numFmt numFmtId="165" formatCode="[hh]:mm"/>
    <numFmt numFmtId="166" formatCode="General\ &quot;€&quot;"/>
    <numFmt numFmtId="167" formatCode="General\ &quot;km&quot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indexed="81"/>
      <name val="Tahoma"/>
      <family val="2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5" borderId="0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left" vertical="center"/>
    </xf>
    <xf numFmtId="0" fontId="2" fillId="4" borderId="14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left" vertical="center"/>
    </xf>
    <xf numFmtId="0" fontId="2" fillId="3" borderId="14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0" fontId="0" fillId="2" borderId="11" xfId="0" applyFill="1" applyBorder="1"/>
    <xf numFmtId="0" fontId="1" fillId="2" borderId="14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1" fillId="5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5" borderId="0" xfId="0" applyNumberFormat="1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left" vertical="center"/>
    </xf>
    <xf numFmtId="0" fontId="3" fillId="7" borderId="9" xfId="0" applyFont="1" applyFill="1" applyBorder="1" applyAlignment="1">
      <alignment horizontal="center" vertical="center"/>
    </xf>
    <xf numFmtId="0" fontId="0" fillId="7" borderId="10" xfId="0" applyFill="1" applyBorder="1"/>
    <xf numFmtId="0" fontId="0" fillId="7" borderId="11" xfId="0" applyFill="1" applyBorder="1"/>
    <xf numFmtId="0" fontId="0" fillId="6" borderId="17" xfId="0" applyFill="1" applyBorder="1"/>
    <xf numFmtId="0" fontId="0" fillId="6" borderId="18" xfId="0" applyFill="1" applyBorder="1"/>
    <xf numFmtId="0" fontId="3" fillId="8" borderId="19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0" fillId="9" borderId="2" xfId="0" applyFill="1" applyBorder="1"/>
    <xf numFmtId="0" fontId="0" fillId="9" borderId="1" xfId="0" applyFill="1" applyBorder="1"/>
    <xf numFmtId="0" fontId="0" fillId="9" borderId="3" xfId="0" applyFill="1" applyBorder="1"/>
    <xf numFmtId="0" fontId="0" fillId="9" borderId="4" xfId="0" applyFill="1" applyBorder="1"/>
    <xf numFmtId="0" fontId="0" fillId="9" borderId="6" xfId="0" applyFill="1" applyBorder="1"/>
    <xf numFmtId="0" fontId="3" fillId="9" borderId="12" xfId="0" applyFont="1" applyFill="1" applyBorder="1" applyAlignment="1">
      <alignment horizontal="center" vertical="center"/>
    </xf>
    <xf numFmtId="0" fontId="0" fillId="9" borderId="0" xfId="0" applyFill="1" applyBorder="1"/>
    <xf numFmtId="0" fontId="0" fillId="9" borderId="13" xfId="0" applyFill="1" applyBorder="1"/>
    <xf numFmtId="0" fontId="0" fillId="9" borderId="5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12" xfId="0" applyFill="1" applyBorder="1"/>
    <xf numFmtId="0" fontId="0" fillId="9" borderId="16" xfId="0" applyFill="1" applyBorder="1"/>
    <xf numFmtId="0" fontId="2" fillId="9" borderId="12" xfId="0" applyFont="1" applyFill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20" fontId="2" fillId="6" borderId="16" xfId="0" applyNumberFormat="1" applyFont="1" applyFill="1" applyBorder="1" applyAlignment="1">
      <alignment horizontal="center" vertical="center"/>
    </xf>
    <xf numFmtId="0" fontId="0" fillId="6" borderId="16" xfId="0" applyFill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6" borderId="13" xfId="0" applyFill="1" applyBorder="1" applyAlignment="1">
      <alignment vertical="center"/>
    </xf>
    <xf numFmtId="165" fontId="3" fillId="3" borderId="0" xfId="0" applyNumberFormat="1" applyFont="1" applyFill="1" applyAlignment="1">
      <alignment horizontal="center" vertical="center"/>
    </xf>
    <xf numFmtId="165" fontId="1" fillId="3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0" fontId="0" fillId="6" borderId="15" xfId="0" applyFill="1" applyBorder="1" applyAlignment="1" applyProtection="1">
      <alignment horizontal="left" vertical="center"/>
      <protection locked="0"/>
    </xf>
    <xf numFmtId="14" fontId="0" fillId="6" borderId="0" xfId="0" applyNumberFormat="1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vertical="center"/>
      <protection locked="0"/>
    </xf>
    <xf numFmtId="0" fontId="0" fillId="6" borderId="15" xfId="0" applyFill="1" applyBorder="1" applyAlignment="1" applyProtection="1">
      <alignment horizontal="center" vertical="center"/>
      <protection locked="0"/>
    </xf>
    <xf numFmtId="20" fontId="0" fillId="6" borderId="13" xfId="0" applyNumberFormat="1" applyFill="1" applyBorder="1" applyAlignment="1" applyProtection="1">
      <alignment horizontal="center" vertical="center"/>
      <protection locked="0"/>
    </xf>
    <xf numFmtId="0" fontId="0" fillId="6" borderId="16" xfId="0" applyFill="1" applyBorder="1" applyAlignment="1" applyProtection="1">
      <alignment horizontal="left" vertical="center"/>
      <protection locked="0"/>
    </xf>
    <xf numFmtId="14" fontId="0" fillId="6" borderId="13" xfId="0" applyNumberFormat="1" applyFill="1" applyBorder="1" applyAlignment="1" applyProtection="1">
      <alignment horizontal="center" vertical="center"/>
      <protection locked="0"/>
    </xf>
    <xf numFmtId="0" fontId="0" fillId="6" borderId="13" xfId="0" applyFill="1" applyBorder="1" applyAlignment="1" applyProtection="1">
      <alignment horizontal="center" vertical="center"/>
      <protection locked="0"/>
    </xf>
    <xf numFmtId="0" fontId="0" fillId="6" borderId="17" xfId="0" applyFill="1" applyBorder="1" applyAlignment="1" applyProtection="1">
      <alignment vertical="center"/>
      <protection locked="0"/>
    </xf>
    <xf numFmtId="0" fontId="7" fillId="9" borderId="0" xfId="0" applyFont="1" applyFill="1" applyBorder="1" applyAlignment="1">
      <alignment horizontal="right"/>
    </xf>
    <xf numFmtId="166" fontId="7" fillId="9" borderId="0" xfId="0" applyNumberFormat="1" applyFont="1" applyFill="1" applyBorder="1" applyAlignment="1">
      <alignment horizontal="left"/>
    </xf>
    <xf numFmtId="0" fontId="7" fillId="9" borderId="7" xfId="0" applyFont="1" applyFill="1" applyBorder="1" applyAlignment="1">
      <alignment horizontal="right" vertical="top"/>
    </xf>
    <xf numFmtId="167" fontId="7" fillId="9" borderId="7" xfId="0" applyNumberFormat="1" applyFont="1" applyFill="1" applyBorder="1" applyAlignment="1">
      <alignment horizontal="left" vertical="top"/>
    </xf>
    <xf numFmtId="20" fontId="0" fillId="9" borderId="13" xfId="0" applyNumberFormat="1" applyFill="1" applyBorder="1"/>
    <xf numFmtId="167" fontId="0" fillId="6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NumberFormat="1"/>
    <xf numFmtId="0" fontId="7" fillId="9" borderId="15" xfId="0" applyFont="1" applyFill="1" applyBorder="1" applyAlignment="1">
      <alignment horizontal="right"/>
    </xf>
    <xf numFmtId="166" fontId="7" fillId="9" borderId="16" xfId="0" applyNumberFormat="1" applyFont="1" applyFill="1" applyBorder="1" applyAlignment="1">
      <alignment horizontal="left"/>
    </xf>
    <xf numFmtId="0" fontId="6" fillId="9" borderId="0" xfId="0" applyFont="1" applyFill="1" applyBorder="1" applyAlignment="1">
      <alignment horizontal="left" vertical="top"/>
    </xf>
    <xf numFmtId="167" fontId="0" fillId="0" borderId="0" xfId="0" applyNumberFormat="1" applyAlignment="1">
      <alignment horizontal="center" vertical="center"/>
    </xf>
    <xf numFmtId="167" fontId="3" fillId="5" borderId="0" xfId="0" applyNumberFormat="1" applyFont="1" applyFill="1" applyAlignment="1">
      <alignment horizontal="center" vertical="center"/>
    </xf>
    <xf numFmtId="0" fontId="5" fillId="8" borderId="0" xfId="0" applyFont="1" applyFill="1" applyAlignment="1">
      <alignment horizontal="left" vertical="center"/>
    </xf>
    <xf numFmtId="167" fontId="1" fillId="5" borderId="0" xfId="0" applyNumberFormat="1" applyFont="1" applyFill="1" applyAlignment="1">
      <alignment horizontal="center" vertical="center" wrapText="1"/>
    </xf>
    <xf numFmtId="0" fontId="9" fillId="9" borderId="0" xfId="0" applyFont="1" applyFill="1" applyBorder="1" applyAlignment="1">
      <alignment horizontal="right" vertical="top"/>
    </xf>
    <xf numFmtId="0" fontId="8" fillId="9" borderId="0" xfId="0" applyFont="1" applyFill="1" applyBorder="1"/>
    <xf numFmtId="0" fontId="10" fillId="0" borderId="5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5">
    <dxf>
      <font>
        <b val="0"/>
        <i/>
        <color rgb="FF33CC33"/>
      </font>
    </dxf>
    <dxf>
      <font>
        <b/>
        <i val="0"/>
        <color rgb="FFFF9900"/>
      </font>
    </dxf>
    <dxf>
      <font>
        <color rgb="FFFF0000"/>
      </font>
    </dxf>
    <dxf>
      <fill>
        <patternFill>
          <bgColor theme="3" tint="0.7999816888943144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FF9900"/>
      <color rgb="FFCCECFF"/>
      <color rgb="FFCCFFF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710229</xdr:colOff>
      <xdr:row>6</xdr:row>
      <xdr:rowOff>218654</xdr:rowOff>
    </xdr:from>
    <xdr:to>
      <xdr:col>7</xdr:col>
      <xdr:colOff>742479</xdr:colOff>
      <xdr:row>8</xdr:row>
      <xdr:rowOff>82525</xdr:rowOff>
    </xdr:to>
    <xdr:sp macro="[0]!Feuil2.Valider_Click" textlink="">
      <xdr:nvSpPr>
        <xdr:cNvPr id="2" name="Rogner et arrondir un rectangle à un seul coin 1"/>
        <xdr:cNvSpPr/>
      </xdr:nvSpPr>
      <xdr:spPr>
        <a:xfrm>
          <a:off x="5215968" y="1461045"/>
          <a:ext cx="1084141" cy="352545"/>
        </a:xfrm>
        <a:prstGeom prst="snipRoundRect">
          <a:avLst/>
        </a:prstGeom>
        <a:solidFill>
          <a:schemeClr val="bg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VALIDER</a:t>
          </a:r>
        </a:p>
      </xdr:txBody>
    </xdr:sp>
    <xdr:clientData fLocksWithSheet="0"/>
  </xdr:twoCellAnchor>
  <xdr:twoCellAnchor>
    <xdr:from>
      <xdr:col>5</xdr:col>
      <xdr:colOff>376015</xdr:colOff>
      <xdr:row>6</xdr:row>
      <xdr:rowOff>85303</xdr:rowOff>
    </xdr:from>
    <xdr:to>
      <xdr:col>6</xdr:col>
      <xdr:colOff>224124</xdr:colOff>
      <xdr:row>7</xdr:row>
      <xdr:rowOff>124824</xdr:rowOff>
    </xdr:to>
    <xdr:sp macro="" textlink="">
      <xdr:nvSpPr>
        <xdr:cNvPr id="4" name="Rogner et arrondir un rectangle à un seul coin 3"/>
        <xdr:cNvSpPr/>
      </xdr:nvSpPr>
      <xdr:spPr>
        <a:xfrm>
          <a:off x="3829863" y="1327694"/>
          <a:ext cx="900000" cy="288000"/>
        </a:xfrm>
        <a:prstGeom prst="snipRoundRect">
          <a:avLst/>
        </a:prstGeom>
        <a:solidFill>
          <a:schemeClr val="bg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RECHERCHE</a:t>
          </a:r>
        </a:p>
      </xdr:txBody>
    </xdr:sp>
    <xdr:clientData/>
  </xdr:twoCellAnchor>
  <xdr:twoCellAnchor>
    <xdr:from>
      <xdr:col>5</xdr:col>
      <xdr:colOff>376015</xdr:colOff>
      <xdr:row>7</xdr:row>
      <xdr:rowOff>183036</xdr:rowOff>
    </xdr:from>
    <xdr:to>
      <xdr:col>6</xdr:col>
      <xdr:colOff>224124</xdr:colOff>
      <xdr:row>9</xdr:row>
      <xdr:rowOff>40341</xdr:rowOff>
    </xdr:to>
    <xdr:sp macro="" textlink="">
      <xdr:nvSpPr>
        <xdr:cNvPr id="5" name="Rogner et arrondir un rectangle à un seul coin 4"/>
        <xdr:cNvSpPr/>
      </xdr:nvSpPr>
      <xdr:spPr>
        <a:xfrm>
          <a:off x="3829863" y="1673906"/>
          <a:ext cx="900000" cy="288000"/>
        </a:xfrm>
        <a:prstGeom prst="snipRoundRect">
          <a:avLst/>
        </a:prstGeom>
        <a:solidFill>
          <a:schemeClr val="bg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MODIFIER</a:t>
          </a:r>
        </a:p>
      </xdr:txBody>
    </xdr:sp>
    <xdr:clientData/>
  </xdr:twoCellAnchor>
  <xdr:twoCellAnchor editAs="oneCell">
    <xdr:from>
      <xdr:col>0</xdr:col>
      <xdr:colOff>114284</xdr:colOff>
      <xdr:row>0</xdr:row>
      <xdr:rowOff>0</xdr:rowOff>
    </xdr:from>
    <xdr:to>
      <xdr:col>9</xdr:col>
      <xdr:colOff>11534</xdr:colOff>
      <xdr:row>6</xdr:row>
      <xdr:rowOff>2199</xdr:rowOff>
    </xdr:to>
    <xdr:pic>
      <xdr:nvPicPr>
        <xdr:cNvPr id="3" name="Image 2"/>
        <xdr:cNvPicPr preferRelativeResize="0"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284" y="0"/>
          <a:ext cx="6660000" cy="1257014"/>
        </a:xfrm>
        <a:prstGeom prst="rect">
          <a:avLst/>
        </a:prstGeom>
      </xdr:spPr>
    </xdr:pic>
    <xdr:clientData/>
  </xdr:twoCellAnchor>
  <xdr:twoCellAnchor>
    <xdr:from>
      <xdr:col>5</xdr:col>
      <xdr:colOff>372717</xdr:colOff>
      <xdr:row>9</xdr:row>
      <xdr:rowOff>99390</xdr:rowOff>
    </xdr:from>
    <xdr:to>
      <xdr:col>6</xdr:col>
      <xdr:colOff>220826</xdr:colOff>
      <xdr:row>10</xdr:row>
      <xdr:rowOff>180325</xdr:rowOff>
    </xdr:to>
    <xdr:sp macro="" textlink="">
      <xdr:nvSpPr>
        <xdr:cNvPr id="7" name="Rogner et arrondir un rectangle à un seul coin 6"/>
        <xdr:cNvSpPr/>
      </xdr:nvSpPr>
      <xdr:spPr>
        <a:xfrm>
          <a:off x="3826565" y="2020955"/>
          <a:ext cx="900000" cy="288000"/>
        </a:xfrm>
        <a:prstGeom prst="snipRoundRect">
          <a:avLst/>
        </a:prstGeom>
        <a:solidFill>
          <a:schemeClr val="bg2">
            <a:lumMod val="75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</a:rPr>
            <a:t>PARAMETRE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B1:K34"/>
  <sheetViews>
    <sheetView showGridLines="0" tabSelected="1" zoomScale="115" zoomScaleNormal="115" workbookViewId="0">
      <pane xSplit="1" ySplit="11" topLeftCell="B12" activePane="bottomRight" state="frozen"/>
      <selection pane="topRight" activeCell="B1" sqref="B1"/>
      <selection pane="bottomLeft" activeCell="A12" sqref="A12"/>
      <selection pane="bottomRight"/>
    </sheetView>
  </sheetViews>
  <sheetFormatPr baseColWidth="10" defaultRowHeight="15" x14ac:dyDescent="0.25"/>
  <cols>
    <col min="1" max="1" width="1.7109375" customWidth="1"/>
    <col min="2" max="2" width="2.7109375" customWidth="1"/>
    <col min="3" max="8" width="15.7109375" customWidth="1"/>
    <col min="9" max="9" width="2.7109375" customWidth="1"/>
    <col min="10" max="10" width="1.7109375" customWidth="1"/>
    <col min="11" max="25" width="11.42578125" customWidth="1"/>
  </cols>
  <sheetData>
    <row r="1" spans="2:9" ht="17.100000000000001" customHeight="1" x14ac:dyDescent="0.25"/>
    <row r="2" spans="2:9" ht="17.100000000000001" customHeight="1" x14ac:dyDescent="0.25"/>
    <row r="3" spans="2:9" ht="17.100000000000001" customHeight="1" x14ac:dyDescent="0.25"/>
    <row r="4" spans="2:9" ht="17.100000000000001" customHeight="1" x14ac:dyDescent="0.25"/>
    <row r="5" spans="2:9" ht="17.100000000000001" customHeight="1" x14ac:dyDescent="0.25"/>
    <row r="6" spans="2:9" ht="17.100000000000001" customHeight="1" x14ac:dyDescent="0.25"/>
    <row r="7" spans="2:9" ht="20.100000000000001" customHeight="1" thickBot="1" x14ac:dyDescent="0.3">
      <c r="B7" s="49"/>
      <c r="C7" s="48"/>
      <c r="D7" s="48"/>
      <c r="E7" s="48"/>
      <c r="F7" s="48"/>
      <c r="G7" s="48"/>
      <c r="H7" s="48"/>
      <c r="I7" s="50"/>
    </row>
    <row r="8" spans="2:9" ht="18.75" x14ac:dyDescent="0.25">
      <c r="B8" s="51"/>
      <c r="C8" s="39" t="s">
        <v>50</v>
      </c>
      <c r="D8" s="40"/>
      <c r="E8" s="41"/>
      <c r="F8" s="54"/>
      <c r="G8" s="54"/>
      <c r="H8" s="54"/>
      <c r="I8" s="56"/>
    </row>
    <row r="9" spans="2:9" ht="15" customHeight="1" x14ac:dyDescent="0.25">
      <c r="B9" s="51"/>
      <c r="C9" s="53"/>
      <c r="D9" s="54"/>
      <c r="E9" s="55"/>
      <c r="F9" s="54"/>
      <c r="G9" s="54"/>
      <c r="H9" s="54"/>
      <c r="I9" s="56"/>
    </row>
    <row r="10" spans="2:9" ht="16.5" thickBot="1" x14ac:dyDescent="0.3">
      <c r="B10" s="51"/>
      <c r="C10" s="38" t="s">
        <v>59</v>
      </c>
      <c r="D10" s="72"/>
      <c r="E10" s="64"/>
      <c r="F10" s="54"/>
      <c r="G10" s="82" t="s">
        <v>60</v>
      </c>
      <c r="H10" s="83">
        <v>10</v>
      </c>
      <c r="I10" s="56"/>
    </row>
    <row r="11" spans="2:9" ht="20.100000000000001" customHeight="1" x14ac:dyDescent="0.25">
      <c r="B11" s="52"/>
      <c r="C11" s="57"/>
      <c r="D11" s="57"/>
      <c r="E11" s="57"/>
      <c r="F11" s="57"/>
      <c r="G11" s="84" t="s">
        <v>61</v>
      </c>
      <c r="H11" s="85">
        <v>60</v>
      </c>
      <c r="I11" s="58"/>
    </row>
    <row r="12" spans="2:9" ht="20.100000000000001" customHeight="1" thickBot="1" x14ac:dyDescent="0.3">
      <c r="B12" s="49"/>
      <c r="C12" s="48"/>
      <c r="D12" s="48"/>
      <c r="E12" s="48"/>
      <c r="F12" s="48"/>
      <c r="G12" s="48"/>
      <c r="H12" s="48"/>
      <c r="I12" s="50"/>
    </row>
    <row r="13" spans="2:9" ht="18.75" x14ac:dyDescent="0.25">
      <c r="B13" s="51"/>
      <c r="C13" s="8" t="s">
        <v>1</v>
      </c>
      <c r="D13" s="9"/>
      <c r="E13" s="10"/>
      <c r="F13" s="54"/>
      <c r="G13" s="13" t="s">
        <v>7</v>
      </c>
      <c r="H13" s="14"/>
      <c r="I13" s="56"/>
    </row>
    <row r="14" spans="2:9" ht="15" customHeight="1" x14ac:dyDescent="0.25">
      <c r="B14" s="51"/>
      <c r="C14" s="59"/>
      <c r="D14" s="54"/>
      <c r="E14" s="55"/>
      <c r="F14" s="54"/>
      <c r="G14" s="61"/>
      <c r="H14" s="62"/>
      <c r="I14" s="56"/>
    </row>
    <row r="15" spans="2:9" ht="15.75" x14ac:dyDescent="0.25">
      <c r="B15" s="51"/>
      <c r="C15" s="11" t="s">
        <v>0</v>
      </c>
      <c r="D15" s="73"/>
      <c r="E15" s="55"/>
      <c r="F15" s="54"/>
      <c r="G15" s="15" t="s">
        <v>8</v>
      </c>
      <c r="H15" s="77"/>
      <c r="I15" s="56"/>
    </row>
    <row r="16" spans="2:9" ht="15" customHeight="1" x14ac:dyDescent="0.25">
      <c r="B16" s="51"/>
      <c r="C16" s="59"/>
      <c r="D16" s="54"/>
      <c r="E16" s="55"/>
      <c r="F16" s="54"/>
      <c r="G16" s="59"/>
      <c r="H16" s="86"/>
      <c r="I16" s="56"/>
    </row>
    <row r="17" spans="2:11" ht="15.75" x14ac:dyDescent="0.25">
      <c r="B17" s="51"/>
      <c r="C17" s="11" t="s">
        <v>2</v>
      </c>
      <c r="D17" s="74"/>
      <c r="E17" s="55"/>
      <c r="F17" s="54"/>
      <c r="G17" s="15" t="s">
        <v>9</v>
      </c>
      <c r="H17" s="77"/>
      <c r="I17" s="56"/>
    </row>
    <row r="18" spans="2:11" ht="15" customHeight="1" x14ac:dyDescent="0.25">
      <c r="B18" s="51"/>
      <c r="C18" s="59"/>
      <c r="D18" s="54"/>
      <c r="E18" s="55"/>
      <c r="F18" s="54"/>
      <c r="G18" s="59"/>
      <c r="H18" s="55"/>
      <c r="I18" s="56"/>
    </row>
    <row r="19" spans="2:11" ht="16.5" thickBot="1" x14ac:dyDescent="0.3">
      <c r="B19" s="51"/>
      <c r="C19" s="11" t="s">
        <v>30</v>
      </c>
      <c r="D19" s="75"/>
      <c r="E19" s="66"/>
      <c r="F19" s="54"/>
      <c r="G19" s="16" t="s">
        <v>10</v>
      </c>
      <c r="H19" s="63" t="str">
        <f>IF(H17="","",IF(H15="","",(H17-H15)))</f>
        <v/>
      </c>
      <c r="I19" s="56"/>
      <c r="J19" t="s">
        <v>86</v>
      </c>
    </row>
    <row r="20" spans="2:11" ht="15" customHeight="1" thickBot="1" x14ac:dyDescent="0.3">
      <c r="B20" s="51"/>
      <c r="C20" s="59"/>
      <c r="D20" s="54"/>
      <c r="E20" s="55"/>
      <c r="F20" s="54"/>
      <c r="G20" s="54"/>
      <c r="H20" s="54"/>
      <c r="I20" s="56"/>
    </row>
    <row r="21" spans="2:11" ht="15.75" x14ac:dyDescent="0.25">
      <c r="B21" s="51"/>
      <c r="C21" s="11" t="s">
        <v>5</v>
      </c>
      <c r="D21" s="75"/>
      <c r="E21" s="66"/>
      <c r="F21" s="54"/>
      <c r="G21" s="17" t="s">
        <v>13</v>
      </c>
      <c r="H21" s="18"/>
      <c r="I21" s="56"/>
    </row>
    <row r="22" spans="2:11" ht="15" customHeight="1" x14ac:dyDescent="0.25">
      <c r="B22" s="51"/>
      <c r="C22" s="59"/>
      <c r="D22" s="54"/>
      <c r="E22" s="55"/>
      <c r="F22" s="54"/>
      <c r="G22" s="59"/>
      <c r="H22" s="55"/>
      <c r="I22" s="56"/>
    </row>
    <row r="23" spans="2:11" ht="16.5" thickBot="1" x14ac:dyDescent="0.3">
      <c r="B23" s="51"/>
      <c r="C23" s="12" t="s">
        <v>6</v>
      </c>
      <c r="D23" s="76"/>
      <c r="E23" s="60"/>
      <c r="F23" s="54"/>
      <c r="G23" s="19" t="s">
        <v>14</v>
      </c>
      <c r="H23" s="78"/>
      <c r="I23" s="56"/>
    </row>
    <row r="24" spans="2:11" ht="20.100000000000001" customHeight="1" thickBot="1" x14ac:dyDescent="0.3">
      <c r="B24" s="51"/>
      <c r="C24" s="54"/>
      <c r="D24" s="54"/>
      <c r="E24" s="54"/>
      <c r="F24" s="54"/>
      <c r="G24" s="54"/>
      <c r="H24" s="54"/>
      <c r="I24" s="56"/>
    </row>
    <row r="25" spans="2:11" ht="18.75" x14ac:dyDescent="0.25">
      <c r="B25" s="51"/>
      <c r="C25" s="37" t="s">
        <v>57</v>
      </c>
      <c r="D25" s="20"/>
      <c r="E25" s="45" t="s">
        <v>46</v>
      </c>
      <c r="F25" s="20"/>
      <c r="G25" s="20"/>
      <c r="H25" s="21"/>
      <c r="I25" s="56"/>
    </row>
    <row r="26" spans="2:11" ht="15" customHeight="1" x14ac:dyDescent="0.25">
      <c r="B26" s="51"/>
      <c r="C26" s="59"/>
      <c r="D26" s="54"/>
      <c r="E26" s="51"/>
      <c r="F26" s="54"/>
      <c r="G26" s="54"/>
      <c r="H26" s="55"/>
      <c r="I26" s="56"/>
    </row>
    <row r="27" spans="2:11" x14ac:dyDescent="0.25">
      <c r="B27" s="51"/>
      <c r="C27" s="22" t="s">
        <v>40</v>
      </c>
      <c r="D27" s="74"/>
      <c r="E27" s="46" t="s">
        <v>20</v>
      </c>
      <c r="F27" s="74"/>
      <c r="G27" s="7" t="s">
        <v>58</v>
      </c>
      <c r="H27" s="79"/>
      <c r="I27" s="56"/>
    </row>
    <row r="28" spans="2:11" ht="15" customHeight="1" x14ac:dyDescent="0.25">
      <c r="B28" s="51"/>
      <c r="C28" s="59"/>
      <c r="D28" s="54"/>
      <c r="E28" s="51"/>
      <c r="F28" s="54"/>
      <c r="G28" s="54"/>
      <c r="H28" s="62"/>
      <c r="I28" s="56"/>
    </row>
    <row r="29" spans="2:11" x14ac:dyDescent="0.25">
      <c r="B29" s="51"/>
      <c r="C29" s="22" t="s">
        <v>43</v>
      </c>
      <c r="D29" s="87"/>
      <c r="E29" s="46" t="s">
        <v>48</v>
      </c>
      <c r="F29" s="70" t="str">
        <f>IF(H19="","",(H19*24)*$H$10)</f>
        <v/>
      </c>
      <c r="G29" s="7" t="s">
        <v>19</v>
      </c>
      <c r="H29" s="80"/>
      <c r="I29" s="56"/>
      <c r="J29" t="s">
        <v>87</v>
      </c>
    </row>
    <row r="30" spans="2:11" ht="15" customHeight="1" x14ac:dyDescent="0.25">
      <c r="B30" s="51"/>
      <c r="C30" s="59"/>
      <c r="D30" s="54"/>
      <c r="E30" s="51"/>
      <c r="F30" s="54"/>
      <c r="G30" s="54"/>
      <c r="H30" s="55"/>
      <c r="I30" s="56"/>
    </row>
    <row r="31" spans="2:11" ht="15.75" thickBot="1" x14ac:dyDescent="0.3">
      <c r="B31" s="51"/>
      <c r="C31" s="23" t="s">
        <v>45</v>
      </c>
      <c r="D31" s="72"/>
      <c r="E31" s="47" t="s">
        <v>51</v>
      </c>
      <c r="F31" s="76"/>
      <c r="G31" s="89" t="s">
        <v>62</v>
      </c>
      <c r="H31" s="90">
        <v>5</v>
      </c>
      <c r="I31" s="56"/>
      <c r="K31" s="88"/>
    </row>
    <row r="32" spans="2:11" ht="20.100000000000001" customHeight="1" thickBot="1" x14ac:dyDescent="0.3">
      <c r="B32" s="51"/>
      <c r="C32" s="96" t="str">
        <f>IF(D29="","",(CEILING(D29/H11,1)))</f>
        <v/>
      </c>
      <c r="D32" s="97" t="s">
        <v>88</v>
      </c>
      <c r="E32" s="54"/>
      <c r="F32" s="54"/>
      <c r="G32" s="54"/>
      <c r="H32" s="91" t="str">
        <f>IF($F$29="","",($F$29/$H$31))</f>
        <v/>
      </c>
      <c r="I32" s="56" t="s">
        <v>89</v>
      </c>
    </row>
    <row r="33" spans="2:9" ht="18.75" customHeight="1" thickBot="1" x14ac:dyDescent="0.3">
      <c r="B33" s="51"/>
      <c r="C33" s="44" t="s">
        <v>49</v>
      </c>
      <c r="D33" s="81"/>
      <c r="E33" s="42"/>
      <c r="F33" s="42"/>
      <c r="G33" s="42"/>
      <c r="H33" s="43"/>
      <c r="I33" s="56"/>
    </row>
    <row r="34" spans="2:9" ht="18" customHeight="1" x14ac:dyDescent="0.25">
      <c r="B34" s="52"/>
      <c r="C34" s="57"/>
      <c r="D34" s="57"/>
      <c r="E34" s="57"/>
      <c r="F34" s="57"/>
      <c r="G34" s="57"/>
      <c r="H34" s="57"/>
      <c r="I34" s="58"/>
    </row>
  </sheetData>
  <sheetProtection selectLockedCells="1"/>
  <dataValidations count="11">
    <dataValidation type="list" allowBlank="1" showInputMessage="1" sqref="D17">
      <formula1>Liste_Type</formula1>
    </dataValidation>
    <dataValidation type="list" allowBlank="1" showInputMessage="1" sqref="D19">
      <formula1>Liste_theme</formula1>
    </dataValidation>
    <dataValidation type="list" allowBlank="1" showInputMessage="1" sqref="D21">
      <formula1>Liste_commune</formula1>
    </dataValidation>
    <dataValidation type="list" allowBlank="1" showInputMessage="1" sqref="D23">
      <formula1>Liste_Dpt</formula1>
    </dataValidation>
    <dataValidation type="list" allowBlank="1" sqref="D10">
      <formula1>Liste_Personne</formula1>
    </dataValidation>
    <dataValidation type="list" allowBlank="1" sqref="H23">
      <formula1>Liste_Demande</formula1>
    </dataValidation>
    <dataValidation type="list" allowBlank="1" sqref="D27">
      <formula1>Liste_Déplacement</formula1>
    </dataValidation>
    <dataValidation type="list" allowBlank="1" sqref="D31">
      <formula1>Liste_FraisKm</formula1>
    </dataValidation>
    <dataValidation type="list" allowBlank="1" sqref="F27">
      <formula1>Liste_Etat</formula1>
    </dataValidation>
    <dataValidation type="list" allowBlank="1" sqref="F31">
      <formula1>Liste_FraisVac</formula1>
    </dataValidation>
    <dataValidation type="list" allowBlank="1" sqref="H29">
      <formula1>Liste_Payer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paperSize="9" scale="98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27"/>
  <sheetViews>
    <sheetView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/>
    </sheetView>
  </sheetViews>
  <sheetFormatPr baseColWidth="10" defaultRowHeight="15" x14ac:dyDescent="0.25"/>
  <cols>
    <col min="1" max="1" width="3.7109375" style="2" customWidth="1"/>
    <col min="2" max="2" width="19.42578125" style="6" bestFit="1" customWidth="1"/>
    <col min="3" max="3" width="12.7109375" style="2" customWidth="1"/>
    <col min="4" max="4" width="5.5703125" style="2" bestFit="1" customWidth="1"/>
    <col min="5" max="5" width="14" style="6" bestFit="1" customWidth="1"/>
    <col min="6" max="6" width="17.7109375" style="2" bestFit="1" customWidth="1"/>
    <col min="7" max="7" width="4.140625" style="2" bestFit="1" customWidth="1"/>
    <col min="8" max="9" width="8.140625" style="69" bestFit="1" customWidth="1"/>
    <col min="10" max="10" width="7.85546875" style="69" bestFit="1" customWidth="1"/>
    <col min="11" max="11" width="14.7109375" style="6" bestFit="1" customWidth="1"/>
    <col min="12" max="12" width="14.28515625" style="2" bestFit="1" customWidth="1"/>
    <col min="13" max="13" width="8.5703125" style="92" bestFit="1" customWidth="1"/>
    <col min="14" max="14" width="17.42578125" style="6" bestFit="1" customWidth="1"/>
    <col min="15" max="15" width="11.42578125" style="2"/>
    <col min="16" max="16" width="9.7109375" style="2" customWidth="1"/>
    <col min="17" max="17" width="18.42578125" style="2" bestFit="1" customWidth="1"/>
    <col min="18" max="19" width="11.42578125" style="2"/>
    <col min="20" max="20" width="38.85546875" style="6" bestFit="1" customWidth="1"/>
    <col min="21" max="27" width="3.7109375" style="2" customWidth="1"/>
    <col min="28" max="28" width="19.7109375" style="2" bestFit="1" customWidth="1"/>
    <col min="29" max="29" width="11.42578125" style="2"/>
    <col min="30" max="30" width="14" style="2" bestFit="1" customWidth="1"/>
    <col min="31" max="31" width="17.7109375" style="2" bestFit="1" customWidth="1"/>
    <col min="32" max="32" width="11.42578125" style="2"/>
    <col min="33" max="33" width="14.7109375" style="2" bestFit="1" customWidth="1"/>
    <col min="34" max="34" width="14.28515625" style="2" bestFit="1" customWidth="1"/>
    <col min="35" max="35" width="17.85546875" style="2" bestFit="1" customWidth="1"/>
    <col min="36" max="16384" width="11.42578125" style="2"/>
  </cols>
  <sheetData>
    <row r="1" spans="1:38" s="30" customFormat="1" ht="18.75" x14ac:dyDescent="0.25">
      <c r="B1" s="31" t="s">
        <v>50</v>
      </c>
      <c r="C1" s="32" t="s">
        <v>1</v>
      </c>
      <c r="D1" s="32"/>
      <c r="E1" s="32"/>
      <c r="F1" s="32"/>
      <c r="G1" s="32"/>
      <c r="H1" s="67" t="s">
        <v>7</v>
      </c>
      <c r="I1" s="67"/>
      <c r="J1" s="67"/>
      <c r="K1" s="33" t="s">
        <v>13</v>
      </c>
      <c r="L1" s="34" t="s">
        <v>57</v>
      </c>
      <c r="M1" s="93">
        <v>60</v>
      </c>
      <c r="N1" s="34"/>
      <c r="O1" s="34" t="s">
        <v>46</v>
      </c>
      <c r="P1" s="34"/>
      <c r="Q1" s="35">
        <v>10</v>
      </c>
      <c r="R1" s="35"/>
      <c r="S1" s="34"/>
      <c r="T1" s="94"/>
      <c r="AC1" s="6"/>
      <c r="AD1" s="2"/>
      <c r="AE1" s="6"/>
      <c r="AF1" s="6"/>
      <c r="AG1" s="2"/>
      <c r="AH1" s="2"/>
      <c r="AI1" s="2"/>
      <c r="AJ1" s="2"/>
      <c r="AK1" s="2"/>
    </row>
    <row r="2" spans="1:38" s="1" customFormat="1" ht="30" x14ac:dyDescent="0.25">
      <c r="A2" s="1">
        <v>0</v>
      </c>
      <c r="B2" s="27" t="s">
        <v>59</v>
      </c>
      <c r="C2" s="36" t="s">
        <v>0</v>
      </c>
      <c r="D2" s="5" t="s">
        <v>2</v>
      </c>
      <c r="E2" s="5" t="s">
        <v>30</v>
      </c>
      <c r="F2" s="5" t="s">
        <v>5</v>
      </c>
      <c r="G2" s="5" t="s">
        <v>6</v>
      </c>
      <c r="H2" s="68" t="s">
        <v>8</v>
      </c>
      <c r="I2" s="68" t="s">
        <v>9</v>
      </c>
      <c r="J2" s="68" t="s">
        <v>10</v>
      </c>
      <c r="K2" s="4" t="s">
        <v>14</v>
      </c>
      <c r="L2" s="3" t="s">
        <v>40</v>
      </c>
      <c r="M2" s="95" t="s">
        <v>63</v>
      </c>
      <c r="N2" s="3" t="s">
        <v>45</v>
      </c>
      <c r="O2" s="3" t="s">
        <v>20</v>
      </c>
      <c r="P2" s="26" t="s">
        <v>48</v>
      </c>
      <c r="Q2" s="26" t="s">
        <v>51</v>
      </c>
      <c r="R2" s="26" t="s">
        <v>58</v>
      </c>
      <c r="S2" s="3" t="s">
        <v>19</v>
      </c>
      <c r="T2" s="29" t="s">
        <v>49</v>
      </c>
      <c r="AB2" s="27" t="s">
        <v>50</v>
      </c>
      <c r="AC2" s="5" t="s">
        <v>32</v>
      </c>
      <c r="AD2" s="5" t="s">
        <v>33</v>
      </c>
      <c r="AE2" s="5" t="s">
        <v>34</v>
      </c>
      <c r="AF2" s="5" t="s">
        <v>6</v>
      </c>
      <c r="AG2" s="4" t="s">
        <v>14</v>
      </c>
      <c r="AH2" s="3" t="s">
        <v>40</v>
      </c>
      <c r="AI2" s="3" t="s">
        <v>45</v>
      </c>
      <c r="AJ2" s="3" t="s">
        <v>20</v>
      </c>
      <c r="AK2" s="26" t="s">
        <v>51</v>
      </c>
      <c r="AL2" s="3" t="s">
        <v>19</v>
      </c>
    </row>
    <row r="3" spans="1:38" x14ac:dyDescent="0.25">
      <c r="A3" s="2">
        <v>1</v>
      </c>
      <c r="B3" s="6" t="s">
        <v>90</v>
      </c>
      <c r="C3" s="24">
        <v>42903</v>
      </c>
      <c r="D3" s="2" t="s">
        <v>25</v>
      </c>
      <c r="E3" s="6" t="s">
        <v>4</v>
      </c>
      <c r="F3" s="2" t="s">
        <v>35</v>
      </c>
      <c r="G3" s="2">
        <v>34</v>
      </c>
      <c r="H3" s="69">
        <v>0.79166666666666663</v>
      </c>
      <c r="I3" s="69">
        <v>1.0416666666666667</v>
      </c>
      <c r="J3" s="69">
        <f>I3-H3</f>
        <v>0.25000000000000011</v>
      </c>
      <c r="K3" s="6" t="s">
        <v>11</v>
      </c>
      <c r="L3" s="6" t="s">
        <v>41</v>
      </c>
      <c r="M3" s="92">
        <v>5</v>
      </c>
      <c r="N3" s="25" t="s">
        <v>70</v>
      </c>
      <c r="O3" s="2" t="s">
        <v>21</v>
      </c>
      <c r="P3" s="28">
        <f>(J3*24)*$Q$1</f>
        <v>60.000000000000028</v>
      </c>
      <c r="Q3" s="2" t="s">
        <v>21</v>
      </c>
      <c r="S3" s="2" t="s">
        <v>47</v>
      </c>
      <c r="AB3" s="2" t="str">
        <f>B3</f>
        <v>DUPONT Marcel</v>
      </c>
      <c r="AC3" s="2" t="str">
        <f>D3</f>
        <v>PAPS</v>
      </c>
      <c r="AD3" s="2" t="str">
        <f>E3</f>
        <v>Gala de boxe</v>
      </c>
      <c r="AE3" s="2" t="str">
        <f>F3</f>
        <v>Maraussan</v>
      </c>
      <c r="AF3" s="2">
        <f>G3</f>
        <v>34</v>
      </c>
      <c r="AG3" s="2" t="str">
        <f>K3</f>
        <v>Effectuer</v>
      </c>
      <c r="AH3" s="2" t="str">
        <f>L3</f>
        <v>Véhicule perso</v>
      </c>
      <c r="AI3" s="2" t="str">
        <f>N3</f>
        <v>1 x Carte carbu 15€</v>
      </c>
      <c r="AJ3" s="2" t="str">
        <f>O3</f>
        <v>Gratuit</v>
      </c>
      <c r="AK3" s="2" t="str">
        <f>Q3</f>
        <v>Gratuit</v>
      </c>
      <c r="AL3" s="2" t="str">
        <f>S3</f>
        <v>Valider</v>
      </c>
    </row>
    <row r="4" spans="1:38" x14ac:dyDescent="0.25">
      <c r="A4" s="2">
        <v>2</v>
      </c>
      <c r="B4" s="6" t="s">
        <v>91</v>
      </c>
      <c r="C4" s="24">
        <v>42909</v>
      </c>
      <c r="D4" s="2" t="s">
        <v>26</v>
      </c>
      <c r="E4" s="6" t="s">
        <v>28</v>
      </c>
      <c r="F4" s="2" t="s">
        <v>36</v>
      </c>
      <c r="G4" s="2">
        <v>34</v>
      </c>
      <c r="H4" s="69">
        <v>0.79166666666666663</v>
      </c>
      <c r="I4" s="69">
        <v>1.0833333333333333</v>
      </c>
      <c r="J4" s="69">
        <f>I4-H4</f>
        <v>0.29166666666666663</v>
      </c>
      <c r="K4" s="6" t="s">
        <v>11</v>
      </c>
      <c r="L4" s="2" t="s">
        <v>41</v>
      </c>
      <c r="M4" s="92">
        <v>30</v>
      </c>
      <c r="N4" s="6" t="s">
        <v>70</v>
      </c>
      <c r="O4" s="2" t="s">
        <v>21</v>
      </c>
      <c r="P4" s="28">
        <f>(J4*24)*$Q$1</f>
        <v>69.999999999999986</v>
      </c>
      <c r="Q4" s="2" t="s">
        <v>21</v>
      </c>
      <c r="S4" s="2" t="s">
        <v>47</v>
      </c>
      <c r="AB4" s="2" t="str">
        <f t="array" aca="1" ref="AB4" ca="1">IFERROR(INDIRECT("B"&amp;MIN(IF(COUNTIF($AB$3:AB3,Personne_base)&lt;1,ROW(Personne_base)))),"")</f>
        <v>DUCHEMOL Béatrice</v>
      </c>
      <c r="AC4" s="2" t="str">
        <f t="array" aca="1" ref="AC4" ca="1">IFERROR(INDIRECT("D"&amp;MIN(IF(COUNTIF($AC$3:AC3,Type_base)&lt;1,ROW(Type_base)))),"")</f>
        <v>DPS</v>
      </c>
      <c r="AD4" s="2" t="str">
        <f t="array" aca="1" ref="AD4" ca="1">IFERROR(INDIRECT("E"&amp;MIN(IF(COUNTIF($AD$3:AD3,Theme_base)&lt;1,ROW(Theme_base)))),"")</f>
        <v>Féria</v>
      </c>
      <c r="AE4" s="2" t="str">
        <f t="array" aca="1" ref="AE4" ca="1">IFERROR(INDIRECT("F"&amp;MIN(IF(COUNTIF($AE$3:AE3,Commune_base)&lt;1,ROW(Commune_base)))),"")</f>
        <v>Vendres</v>
      </c>
      <c r="AF4" s="2">
        <f t="array" aca="1" ref="AF4" ca="1">IFERROR(INDIRECT("G"&amp;MIN(IF(COUNTIF($AF$3:AF3,Dpt_base)&lt;1,ROW(Dpt_base)))),"")</f>
        <v>13</v>
      </c>
      <c r="AG4" s="2" t="str">
        <f t="array" aca="1" ref="AG4" ca="1">IFERROR(INDIRECT("K"&amp;MIN(IF(COUNTIF($AG$3:AG3,Demande_Base)&lt;1,ROW(Demande_Base)))),"")</f>
        <v>Confirmer</v>
      </c>
      <c r="AH4" s="2" t="str">
        <f t="array" aca="1" ref="AH4" ca="1">IFERROR(INDIRECT("L"&amp;MIN(IF(COUNTIF($AH$3:AH3,Déplacement_Base)&lt;1,ROW(Déplacement_Base)))),"")</f>
        <v>Ambulance</v>
      </c>
      <c r="AI4" s="2" t="str">
        <f t="array" aca="1" ref="AI4" ca="1">IFERROR(INDIRECT("N"&amp;MIN(IF(COUNTIF($AI$3:AI3,FraisKm_Base)&lt;1,ROW(FraisKm_Base)))),"")</f>
        <v xml:space="preserve"> - -</v>
      </c>
      <c r="AJ4" s="2" t="str">
        <f t="array" aca="1" ref="AJ4" ca="1">IFERROR(INDIRECT("O"&amp;MIN(IF(COUNTIF($AJ$3:AJ3,Etat_Base)&lt;1,ROW(Etat_Base)))),"")</f>
        <v>Employé</v>
      </c>
      <c r="AK4" s="2" t="str">
        <f t="array" aca="1" ref="AK4" ca="1">IFERROR(INDIRECT("Q"&amp;MIN(IF(COUNTIF($AK$3:AK3,FraisVac_Base)&lt;1,ROW(FraisVac_Base)))),"")</f>
        <v>Ticket resto</v>
      </c>
      <c r="AL4" s="2" t="str">
        <f t="array" aca="1" ref="AL4" ca="1">IFERROR(INDIRECT("S"&amp;MIN(IF(COUNTIF($AL$3:AL3,Payer_Base)&lt;1,ROW(Payer_Base)))),"")</f>
        <v>En cours</v>
      </c>
    </row>
    <row r="5" spans="1:38" x14ac:dyDescent="0.25">
      <c r="A5" s="2">
        <v>3</v>
      </c>
      <c r="B5" s="6" t="s">
        <v>92</v>
      </c>
      <c r="C5" s="24">
        <v>42909</v>
      </c>
      <c r="D5" s="2" t="s">
        <v>26</v>
      </c>
      <c r="E5" s="6" t="s">
        <v>28</v>
      </c>
      <c r="F5" s="2" t="s">
        <v>36</v>
      </c>
      <c r="G5" s="2">
        <v>34</v>
      </c>
      <c r="H5" s="69">
        <v>0.79166666666666663</v>
      </c>
      <c r="I5" s="69">
        <v>1.0833333333333333</v>
      </c>
      <c r="J5" s="69">
        <f t="shared" ref="J5:J9" si="0">I5-H5</f>
        <v>0.29166666666666663</v>
      </c>
      <c r="K5" s="6" t="s">
        <v>11</v>
      </c>
      <c r="L5" s="6" t="s">
        <v>41</v>
      </c>
      <c r="M5" s="92">
        <v>30</v>
      </c>
      <c r="N5" s="6" t="s">
        <v>70</v>
      </c>
      <c r="O5" s="2" t="s">
        <v>21</v>
      </c>
      <c r="P5" s="28">
        <f t="shared" ref="P5:P11" si="1">(J5*24)*$Q$1</f>
        <v>69.999999999999986</v>
      </c>
      <c r="Q5" s="2" t="s">
        <v>21</v>
      </c>
      <c r="S5" s="2" t="s">
        <v>47</v>
      </c>
      <c r="AB5" s="2" t="str">
        <f t="array" aca="1" ref="AB5" ca="1">IFERROR(INDIRECT("B"&amp;MIN(IF(COUNTIF($AB$3:AB4,Personne_base)&lt;1,ROW(Personne_base)))),"")</f>
        <v>MACHIN Napoléon</v>
      </c>
      <c r="AC5" s="2" t="str">
        <f t="array" aca="1" ref="AC5" ca="1">IFERROR(INDIRECT("D"&amp;MIN(IF(COUNTIF($AC$3:AC4,Type_base)&lt;1,ROW(Type_base)))),"")</f>
        <v/>
      </c>
      <c r="AD5" s="2" t="str">
        <f t="array" aca="1" ref="AD5" ca="1">IFERROR(INDIRECT("E"&amp;MIN(IF(COUNTIF($AD$3:AD4,Theme_base)&lt;1,ROW(Theme_base)))),"")</f>
        <v>Le poulain</v>
      </c>
      <c r="AE5" s="2" t="str">
        <f t="array" aca="1" ref="AE5" ca="1">IFERROR(INDIRECT("F"&amp;MIN(IF(COUNTIF($AE$3:AE4,Commune_base)&lt;1,ROW(Commune_base)))),"")</f>
        <v>Pézénas</v>
      </c>
      <c r="AF5" s="2" t="str">
        <f t="array" aca="1" ref="AF5" ca="1">IFERROR(INDIRECT("G"&amp;MIN(IF(COUNTIF($AF$3:AF4,Dpt_base)&lt;1,ROW(Dpt_base)))),"")</f>
        <v/>
      </c>
      <c r="AG5" s="2" t="str">
        <f t="array" aca="1" ref="AG5" ca="1">IFERROR(INDIRECT("K"&amp;MIN(IF(COUNTIF($AG$3:AG4,Demande_Base)&lt;1,ROW(Demande_Base)))),"")</f>
        <v>Disponible</v>
      </c>
      <c r="AH5" s="2">
        <f t="array" aca="1" ref="AH5" ca="1">IFERROR(INDIRECT("L"&amp;MIN(IF(COUNTIF($AH$3:AH4,Déplacement_Base)&lt;1,ROW(Déplacement_Base)))),"")</f>
        <v>0</v>
      </c>
      <c r="AI5" s="2" t="str">
        <f t="array" aca="1" ref="AI5" ca="1">IFERROR(INDIRECT("N"&amp;MIN(IF(COUNTIF($AI$3:AI4,FraisKm_Base)&lt;1,ROW(FraisKm_Base)))),"")</f>
        <v>4 x Carte carbu 15€</v>
      </c>
      <c r="AJ5" s="2" t="str">
        <f t="array" aca="1" ref="AJ5" ca="1">IFERROR(INDIRECT("O"&amp;MIN(IF(COUNTIF($AJ$3:AJ4,Etat_Base)&lt;1,ROW(Etat_Base)))),"")</f>
        <v>Renfort Nat</v>
      </c>
      <c r="AK5" s="2" t="str">
        <f t="array" aca="1" ref="AK5" ca="1">IFERROR(INDIRECT("Q"&amp;MIN(IF(COUNTIF($AK$3:AK4,FraisVac_Base)&lt;1,ROW(FraisVac_Base)))),"")</f>
        <v>7 x Carte carbu 15 €</v>
      </c>
      <c r="AL5" s="2" t="str">
        <f t="array" aca="1" ref="AL5" ca="1">IFERROR(INDIRECT("S"&amp;MIN(IF(COUNTIF($AL$3:AL4,Payer_Base)&lt;1,ROW(Payer_Base)))),"")</f>
        <v>En attente</v>
      </c>
    </row>
    <row r="6" spans="1:38" x14ac:dyDescent="0.25">
      <c r="A6" s="2">
        <v>4</v>
      </c>
      <c r="B6" s="6" t="s">
        <v>93</v>
      </c>
      <c r="C6" s="24">
        <v>42911</v>
      </c>
      <c r="D6" s="2" t="s">
        <v>26</v>
      </c>
      <c r="E6" s="6" t="s">
        <v>28</v>
      </c>
      <c r="F6" s="2" t="s">
        <v>36</v>
      </c>
      <c r="G6" s="2">
        <v>34</v>
      </c>
      <c r="H6" s="69">
        <v>0.79166666666666663</v>
      </c>
      <c r="I6" s="69">
        <v>1.0416666666666667</v>
      </c>
      <c r="J6" s="69">
        <f t="shared" si="0"/>
        <v>0.25000000000000011</v>
      </c>
      <c r="K6" s="6" t="s">
        <v>11</v>
      </c>
      <c r="L6" s="6" t="s">
        <v>41</v>
      </c>
      <c r="M6" s="92">
        <v>30</v>
      </c>
      <c r="N6" s="6" t="s">
        <v>70</v>
      </c>
      <c r="O6" s="2" t="s">
        <v>21</v>
      </c>
      <c r="P6" s="28">
        <f t="shared" si="1"/>
        <v>60.000000000000028</v>
      </c>
      <c r="Q6" s="2" t="s">
        <v>21</v>
      </c>
      <c r="R6" s="24">
        <v>42914</v>
      </c>
      <c r="S6" s="2" t="s">
        <v>47</v>
      </c>
      <c r="AB6" s="2" t="str">
        <f t="array" aca="1" ref="AB6" ca="1">IFERROR(INDIRECT("B"&amp;MIN(IF(COUNTIF($AB$3:AB5,Personne_base)&lt;1,ROW(Personne_base)))),"")</f>
        <v>GRODALI Stéphane</v>
      </c>
      <c r="AC6" s="2" t="str">
        <f t="array" aca="1" ref="AC6" ca="1">IFERROR(INDIRECT("D"&amp;MIN(IF(COUNTIF($AC$3:AC5,Type_base)&lt;1,ROW(Type_base)))),"")</f>
        <v/>
      </c>
      <c r="AD6" s="2" t="str">
        <f t="array" aca="1" ref="AD6" ca="1">IFERROR(INDIRECT("E"&amp;MIN(IF(COUNTIF($AD$3:AD5,Theme_base)&lt;1,ROW(Theme_base)))),"")</f>
        <v>Fête locale</v>
      </c>
      <c r="AE6" s="2" t="str">
        <f t="array" aca="1" ref="AE6" ca="1">IFERROR(INDIRECT("F"&amp;MIN(IF(COUNTIF($AE$3:AE5,Commune_base)&lt;1,ROW(Commune_base)))),"")</f>
        <v>Valros</v>
      </c>
      <c r="AF6" s="2" t="str">
        <f t="array" aca="1" ref="AF6" ca="1">IFERROR(INDIRECT("G"&amp;MIN(IF(COUNTIF($AF$3:AF5,Dpt_base)&lt;1,ROW(Dpt_base)))),"")</f>
        <v/>
      </c>
      <c r="AG6" s="2">
        <f t="array" aca="1" ref="AG6" ca="1">IFERROR(INDIRECT("K"&amp;MIN(IF(COUNTIF($AG$3:AG5,Demande_Base)&lt;1,ROW(Demande_Base)))),"")</f>
        <v>0</v>
      </c>
      <c r="AH6" s="2" t="str">
        <f t="array" aca="1" ref="AH6" ca="1">IFERROR(INDIRECT("L"&amp;MIN(IF(COUNTIF($AH$3:AH5,Déplacement_Base)&lt;1,ROW(Déplacement_Base)))),"")</f>
        <v/>
      </c>
      <c r="AI6" s="2" t="str">
        <f t="array" aca="1" ref="AI6" ca="1">IFERROR(INDIRECT("N"&amp;MIN(IF(COUNTIF($AI$3:AI5,FraisKm_Base)&lt;1,ROW(FraisKm_Base)))),"")</f>
        <v xml:space="preserve"> x </v>
      </c>
      <c r="AJ6" s="2">
        <f t="array" aca="1" ref="AJ6" ca="1">IFERROR(INDIRECT("O"&amp;MIN(IF(COUNTIF($AJ$3:AJ5,Etat_Base)&lt;1,ROW(Etat_Base)))),"")</f>
        <v>0</v>
      </c>
      <c r="AK6" s="2" t="str">
        <f t="array" aca="1" ref="AK6" ca="1">IFERROR(INDIRECT("Q"&amp;MIN(IF(COUNTIF($AK$3:AK5,FraisVac_Base)&lt;1,ROW(FraisVac_Base)))),"")</f>
        <v>10 x En attente</v>
      </c>
      <c r="AL6" s="2" t="str">
        <f t="array" aca="1" ref="AL6" ca="1">IFERROR(INDIRECT("S"&amp;MIN(IF(COUNTIF($AL$3:AL5,Payer_Base)&lt;1,ROW(Payer_Base)))),"")</f>
        <v/>
      </c>
    </row>
    <row r="7" spans="1:38" x14ac:dyDescent="0.25">
      <c r="A7" s="2">
        <v>5</v>
      </c>
      <c r="B7" s="6" t="s">
        <v>90</v>
      </c>
      <c r="C7" s="24">
        <v>42917</v>
      </c>
      <c r="D7" s="2" t="s">
        <v>26</v>
      </c>
      <c r="E7" s="6" t="s">
        <v>31</v>
      </c>
      <c r="F7" s="2" t="s">
        <v>38</v>
      </c>
      <c r="G7" s="2">
        <v>34</v>
      </c>
      <c r="H7" s="69">
        <v>0.72916666666666663</v>
      </c>
      <c r="I7" s="69">
        <v>0.77083333333333337</v>
      </c>
      <c r="J7" s="69">
        <f t="shared" si="0"/>
        <v>4.1666666666666741E-2</v>
      </c>
      <c r="K7" s="6" t="s">
        <v>11</v>
      </c>
      <c r="L7" s="6" t="s">
        <v>42</v>
      </c>
      <c r="M7" s="92">
        <v>30</v>
      </c>
      <c r="N7" s="6" t="s">
        <v>56</v>
      </c>
      <c r="O7" s="2" t="s">
        <v>54</v>
      </c>
      <c r="P7" s="28">
        <f t="shared" si="1"/>
        <v>10.000000000000018</v>
      </c>
      <c r="Q7" s="2" t="s">
        <v>44</v>
      </c>
      <c r="R7" s="24">
        <v>42918</v>
      </c>
      <c r="S7" s="2" t="s">
        <v>47</v>
      </c>
      <c r="AB7" s="2">
        <f t="array" aca="1" ref="AB7" ca="1">IFERROR(INDIRECT("B"&amp;MIN(IF(COUNTIF($AB$3:AB6,Personne_base)&lt;1,ROW(Personne_base)))),"")</f>
        <v>0</v>
      </c>
      <c r="AC7" s="2" t="str">
        <f t="array" aca="1" ref="AC7" ca="1">IFERROR(INDIRECT("D"&amp;MIN(IF(COUNTIF($AC$3:AC6,Type_base)&lt;1,ROW(Type_base)))),"")</f>
        <v/>
      </c>
      <c r="AD7" s="2" t="str">
        <f t="array" aca="1" ref="AD7" ca="1">IFERROR(INDIRECT("E"&amp;MIN(IF(COUNTIF($AD$3:AD6,Theme_base)&lt;1,ROW(Theme_base)))),"")</f>
        <v>Tour de France</v>
      </c>
      <c r="AE7" s="2" t="str">
        <f t="array" aca="1" ref="AE7" ca="1">IFERROR(INDIRECT("F"&amp;MIN(IF(COUNTIF($AE$3:AE6,Commune_base)&lt;1,ROW(Commune_base)))),"")</f>
        <v>Marseille</v>
      </c>
      <c r="AF7" s="2" t="str">
        <f t="array" aca="1" ref="AF7" ca="1">IFERROR(INDIRECT("G"&amp;MIN(IF(COUNTIF($AF$3:AF6,Dpt_base)&lt;1,ROW(Dpt_base)))),"")</f>
        <v/>
      </c>
      <c r="AG7" s="2" t="str">
        <f t="array" aca="1" ref="AG7" ca="1">IFERROR(INDIRECT("K"&amp;MIN(IF(COUNTIF($AG$3:AG6,Demande_Base)&lt;1,ROW(Demande_Base)))),"")</f>
        <v/>
      </c>
      <c r="AH7" s="2" t="str">
        <f t="array" aca="1" ref="AH7" ca="1">IFERROR(INDIRECT("L"&amp;MIN(IF(COUNTIF($AH$3:AH6,Déplacement_Base)&lt;1,ROW(Déplacement_Base)))),"")</f>
        <v/>
      </c>
      <c r="AI7" s="2" t="str">
        <f t="array" aca="1" ref="AI7" ca="1">IFERROR(INDIRECT("N"&amp;MIN(IF(COUNTIF($AI$3:AI6,FraisKm_Base)&lt;1,ROW(FraisKm_Base)))),"")</f>
        <v>2 x Néan</v>
      </c>
      <c r="AJ7" s="2" t="str">
        <f t="array" aca="1" ref="AJ7" ca="1">IFERROR(INDIRECT("O"&amp;MIN(IF(COUNTIF($AJ$3:AJ6,Etat_Base)&lt;1,ROW(Etat_Base)))),"")</f>
        <v/>
      </c>
      <c r="AK7" s="2" t="str">
        <f t="array" aca="1" ref="AK7" ca="1">IFERROR(INDIRECT("Q"&amp;MIN(IF(COUNTIF($AK$3:AK6,FraisVac_Base)&lt;1,ROW(FraisVac_Base)))),"")</f>
        <v>2 x En attente</v>
      </c>
      <c r="AL7" s="2" t="str">
        <f t="array" aca="1" ref="AL7" ca="1">IFERROR(INDIRECT("S"&amp;MIN(IF(COUNTIF($AL$3:AL6,Payer_Base)&lt;1,ROW(Payer_Base)))),"")</f>
        <v/>
      </c>
    </row>
    <row r="8" spans="1:38" x14ac:dyDescent="0.25">
      <c r="A8" s="2">
        <v>6</v>
      </c>
      <c r="B8" s="6" t="s">
        <v>92</v>
      </c>
      <c r="C8" s="24">
        <v>42917</v>
      </c>
      <c r="D8" s="2" t="s">
        <v>25</v>
      </c>
      <c r="E8" s="6" t="s">
        <v>29</v>
      </c>
      <c r="F8" s="2" t="s">
        <v>37</v>
      </c>
      <c r="G8" s="2">
        <v>34</v>
      </c>
      <c r="H8" s="69">
        <v>0.91666666666666663</v>
      </c>
      <c r="I8" s="69">
        <v>1.0833333333333333</v>
      </c>
      <c r="J8" s="69">
        <f t="shared" si="0"/>
        <v>0.16666666666666663</v>
      </c>
      <c r="K8" s="6" t="s">
        <v>11</v>
      </c>
      <c r="L8" s="6" t="s">
        <v>42</v>
      </c>
      <c r="M8" s="92">
        <v>25</v>
      </c>
      <c r="N8" s="6" t="s">
        <v>56</v>
      </c>
      <c r="O8" s="2" t="s">
        <v>21</v>
      </c>
      <c r="P8" s="28">
        <f t="shared" si="1"/>
        <v>39.999999999999993</v>
      </c>
      <c r="Q8" s="2" t="s">
        <v>21</v>
      </c>
      <c r="S8" s="2" t="s">
        <v>47</v>
      </c>
      <c r="AB8" s="2" t="str">
        <f t="array" aca="1" ref="AB8" ca="1">IFERROR(INDIRECT("B"&amp;MIN(IF(COUNTIF($AB$3:AB7,Personne_base)&lt;1,ROW(Personne_base)))),"")</f>
        <v/>
      </c>
      <c r="AC8" s="65" t="str">
        <f t="array" aca="1" ref="AC8" ca="1">IFERROR(INDIRECT("D"&amp;MIN(IF(COUNTIF($AC$3:AC7,Type_base)&lt;1,ROW(Type_base)))),"")</f>
        <v/>
      </c>
      <c r="AD8" s="65" t="str">
        <f t="array" aca="1" ref="AD8" ca="1">IFERROR(INDIRECT("E"&amp;MIN(IF(COUNTIF($AD$3:AD7,Theme_base)&lt;1,ROW(Theme_base)))),"")</f>
        <v>Fêtes votives</v>
      </c>
      <c r="AE8" s="65" t="str">
        <f t="array" aca="1" ref="AE8" ca="1">IFERROR(INDIRECT("F"&amp;MIN(IF(COUNTIF($AE$3:AE7,Commune_base)&lt;1,ROW(Commune_base)))),"")</f>
        <v>Marsillargues</v>
      </c>
      <c r="AF8" s="65" t="str">
        <f t="array" aca="1" ref="AF8" ca="1">IFERROR(INDIRECT("G"&amp;MIN(IF(COUNTIF($AF$3:AF7,Dpt_base)&lt;1,ROW(Dpt_base)))),"")</f>
        <v/>
      </c>
      <c r="AG8" s="2" t="str">
        <f t="array" aca="1" ref="AG8" ca="1">IFERROR(INDIRECT("K"&amp;MIN(IF(COUNTIF($AG$3:AG7,Demande_Base)&lt;1,ROW(Demande_Base)))),"")</f>
        <v/>
      </c>
      <c r="AH8" s="2" t="str">
        <f t="array" aca="1" ref="AH8" ca="1">IFERROR(INDIRECT("L"&amp;MIN(IF(COUNTIF($AH$3:AH7,Déplacement_Base)&lt;1,ROW(Déplacement_Base)))),"")</f>
        <v/>
      </c>
      <c r="AI8" s="2" t="str">
        <f t="array" aca="1" ref="AI8" ca="1">IFERROR(INDIRECT("N"&amp;MIN(IF(COUNTIF($AI$3:AI7,FraisKm_Base)&lt;1,ROW(FraisKm_Base)))),"")</f>
        <v>2 x Carte carbu 15€</v>
      </c>
      <c r="AJ8" s="2" t="str">
        <f t="array" aca="1" ref="AJ8" ca="1">IFERROR(INDIRECT("O"&amp;MIN(IF(COUNTIF($AJ$3:AJ7,Etat_Base)&lt;1,ROW(Etat_Base)))),"")</f>
        <v/>
      </c>
      <c r="AK8" s="2" t="str">
        <f t="array" aca="1" ref="AK8" ca="1">IFERROR(INDIRECT("Q"&amp;MIN(IF(COUNTIF($AK$3:AK7,FraisVac_Base)&lt;1,ROW(FraisVac_Base)))),"")</f>
        <v>2 x Gratuit</v>
      </c>
      <c r="AL8" s="2" t="str">
        <f t="array" aca="1" ref="AL8" ca="1">IFERROR(INDIRECT("S"&amp;MIN(IF(COUNTIF($AL$3:AL7,Payer_Base)&lt;1,ROW(Payer_Base)))),"")</f>
        <v/>
      </c>
    </row>
    <row r="9" spans="1:38" x14ac:dyDescent="0.25">
      <c r="A9" s="2">
        <v>7</v>
      </c>
      <c r="B9" s="6" t="s">
        <v>91</v>
      </c>
      <c r="C9" s="24">
        <v>42917</v>
      </c>
      <c r="D9" s="2" t="s">
        <v>25</v>
      </c>
      <c r="E9" s="6" t="s">
        <v>29</v>
      </c>
      <c r="F9" s="2" t="s">
        <v>37</v>
      </c>
      <c r="G9" s="2">
        <v>34</v>
      </c>
      <c r="H9" s="69">
        <v>0.91666666666666663</v>
      </c>
      <c r="I9" s="69">
        <v>1.0833333333333333</v>
      </c>
      <c r="J9" s="69">
        <f t="shared" si="0"/>
        <v>0.16666666666666663</v>
      </c>
      <c r="K9" s="6" t="s">
        <v>11</v>
      </c>
      <c r="L9" s="6" t="s">
        <v>42</v>
      </c>
      <c r="M9" s="92">
        <v>30</v>
      </c>
      <c r="N9" s="6" t="s">
        <v>56</v>
      </c>
      <c r="O9" s="2" t="s">
        <v>54</v>
      </c>
      <c r="P9" s="28">
        <f t="shared" si="1"/>
        <v>39.999999999999993</v>
      </c>
      <c r="Q9" s="2" t="s">
        <v>44</v>
      </c>
      <c r="R9" s="24">
        <v>42918</v>
      </c>
      <c r="S9" s="2" t="s">
        <v>47</v>
      </c>
      <c r="AB9" s="2" t="str">
        <f t="array" aca="1" ref="AB9" ca="1">IFERROR(INDIRECT("B"&amp;MIN(IF(COUNTIF($AB$3:AB8,Personne_base)&lt;1,ROW(Personne_base)))),"")</f>
        <v/>
      </c>
      <c r="AC9" s="65" t="str">
        <f t="array" aca="1" ref="AC9" ca="1">IFERROR(INDIRECT("D"&amp;MIN(IF(COUNTIF($AC$3:AC8,Type_base)&lt;1,ROW(Type_base)))),"")</f>
        <v/>
      </c>
      <c r="AD9" s="65" t="str">
        <f t="array" aca="1" ref="AD9" ca="1">IFERROR(INDIRECT("E"&amp;MIN(IF(COUNTIF($AD$3:AD8,Theme_base)&lt;1,ROW(Theme_base)))),"")</f>
        <v>Fête religieuse St Roch</v>
      </c>
      <c r="AE9" s="65" t="str">
        <f t="array" aca="1" ref="AE9" ca="1">IFERROR(INDIRECT("F"&amp;MIN(IF(COUNTIF($AE$3:AE8,Commune_base)&lt;1,ROW(Commune_base)))),"")</f>
        <v>Montpellier</v>
      </c>
      <c r="AF9" s="65" t="str">
        <f t="array" aca="1" ref="AF9" ca="1">IFERROR(INDIRECT("G"&amp;MIN(IF(COUNTIF($AF$3:AF8,Dpt_base)&lt;1,ROW(Dpt_base)))),"")</f>
        <v/>
      </c>
      <c r="AG9" s="2" t="str">
        <f t="array" aca="1" ref="AG9" ca="1">IFERROR(INDIRECT("K"&amp;MIN(IF(COUNTIF($AG$3:AG8,Demande_Base)&lt;1,ROW(Demande_Base)))),"")</f>
        <v/>
      </c>
      <c r="AH9" s="2" t="str">
        <f t="array" aca="1" ref="AH9" ca="1">IFERROR(INDIRECT("L"&amp;MIN(IF(COUNTIF($AH$3:AH8,Déplacement_Base)&lt;1,ROW(Déplacement_Base)))),"")</f>
        <v/>
      </c>
      <c r="AI9" s="2" t="str">
        <f t="array" aca="1" ref="AI9" ca="1">IFERROR(INDIRECT("N"&amp;MIN(IF(COUNTIF($AI$3:AI8,FraisKm_Base)&lt;1,ROW(FraisKm_Base)))),"")</f>
        <v/>
      </c>
      <c r="AJ9" s="2" t="str">
        <f t="array" aca="1" ref="AJ9" ca="1">IFERROR(INDIRECT("O"&amp;MIN(IF(COUNTIF($AJ$3:AJ8,Etat_Base)&lt;1,ROW(Etat_Base)))),"")</f>
        <v/>
      </c>
      <c r="AK9" s="2" t="str">
        <f t="array" aca="1" ref="AK9" ca="1">IFERROR(INDIRECT("Q"&amp;MIN(IF(COUNTIF($AK$3:AK8,FraisVac_Base)&lt;1,ROW(FraisVac_Base)))),"")</f>
        <v>22 x Carte carbu 15€</v>
      </c>
      <c r="AL9" s="2" t="str">
        <f t="array" aca="1" ref="AL9" ca="1">IFERROR(INDIRECT("S"&amp;MIN(IF(COUNTIF($AL$3:AL8,Payer_Base)&lt;1,ROW(Payer_Base)))),"")</f>
        <v/>
      </c>
    </row>
    <row r="10" spans="1:38" x14ac:dyDescent="0.25">
      <c r="A10" s="2">
        <v>8</v>
      </c>
      <c r="B10" s="6" t="s">
        <v>93</v>
      </c>
      <c r="C10" s="24">
        <v>42918</v>
      </c>
      <c r="D10" s="2" t="s">
        <v>26</v>
      </c>
      <c r="E10" s="6" t="s">
        <v>31</v>
      </c>
      <c r="F10" s="2" t="s">
        <v>38</v>
      </c>
      <c r="G10" s="2">
        <v>34</v>
      </c>
      <c r="H10" s="69">
        <v>0.58333333333333337</v>
      </c>
      <c r="I10" s="69">
        <v>0.79166666666666663</v>
      </c>
      <c r="J10" s="69">
        <f t="shared" ref="J10:J11" si="2">I10-H10</f>
        <v>0.20833333333333326</v>
      </c>
      <c r="K10" s="6" t="s">
        <v>11</v>
      </c>
      <c r="L10" s="6" t="s">
        <v>42</v>
      </c>
      <c r="M10" s="92">
        <v>30</v>
      </c>
      <c r="N10" s="6" t="s">
        <v>56</v>
      </c>
      <c r="O10" s="2" t="s">
        <v>54</v>
      </c>
      <c r="P10" s="28">
        <f t="shared" si="1"/>
        <v>49.999999999999986</v>
      </c>
      <c r="Q10" s="2" t="s">
        <v>44</v>
      </c>
      <c r="R10" s="24">
        <v>42918</v>
      </c>
      <c r="S10" s="2" t="s">
        <v>47</v>
      </c>
      <c r="AB10" s="2" t="str">
        <f t="array" aca="1" ref="AB10" ca="1">IFERROR(INDIRECT("B"&amp;MIN(IF(COUNTIF($AB$3:AB9,Personne_base)&lt;1,ROW(Personne_base)))),"")</f>
        <v/>
      </c>
      <c r="AC10" s="65" t="str">
        <f t="array" aca="1" ref="AC10" ca="1">IFERROR(INDIRECT("D"&amp;MIN(IF(COUNTIF($AC$3:AC9,Type_base)&lt;1,ROW(Type_base)))),"")</f>
        <v/>
      </c>
      <c r="AD10" s="65" t="str">
        <f t="array" aca="1" ref="AD10" ca="1">IFERROR(INDIRECT("E"&amp;MIN(IF(COUNTIF($AD$3:AD9,Theme_base)&lt;1,ROW(Theme_base)))),"")</f>
        <v>Concert</v>
      </c>
      <c r="AE10" s="65" t="str">
        <f t="array" aca="1" ref="AE10" ca="1">IFERROR(INDIRECT("F"&amp;MIN(IF(COUNTIF($AE$3:AE9,Commune_base)&lt;1,ROW(Commune_base)))),"")</f>
        <v>Palavas les Flots</v>
      </c>
      <c r="AF10" s="65" t="str">
        <f t="array" aca="1" ref="AF10" ca="1">IFERROR(INDIRECT("G"&amp;MIN(IF(COUNTIF($AF$3:AF9,Dpt_base)&lt;1,ROW(Dpt_base)))),"")</f>
        <v/>
      </c>
      <c r="AG10" s="2" t="str">
        <f t="array" aca="1" ref="AG10" ca="1">IFERROR(INDIRECT("K"&amp;MIN(IF(COUNTIF($AG$3:AG9,Demande_Base)&lt;1,ROW(Demande_Base)))),"")</f>
        <v/>
      </c>
      <c r="AH10" s="2" t="str">
        <f t="array" aca="1" ref="AH10" ca="1">IFERROR(INDIRECT("L"&amp;MIN(IF(COUNTIF($AH$3:AH9,Déplacement_Base)&lt;1,ROW(Déplacement_Base)))),"")</f>
        <v/>
      </c>
      <c r="AI10" s="2" t="str">
        <f t="array" aca="1" ref="AI10" ca="1">IFERROR(INDIRECT("N"&amp;MIN(IF(COUNTIF($AI$3:AI9,FraisKm_Base)&lt;1,ROW(FraisKm_Base)))),"")</f>
        <v/>
      </c>
      <c r="AJ10" s="2" t="str">
        <f t="array" aca="1" ref="AJ10" ca="1">IFERROR(INDIRECT("O"&amp;MIN(IF(COUNTIF($AJ$3:AJ9,Etat_Base)&lt;1,ROW(Etat_Base)))),"")</f>
        <v/>
      </c>
      <c r="AK10" s="2" t="str">
        <f t="array" aca="1" ref="AK10" ca="1">IFERROR(INDIRECT("Q"&amp;MIN(IF(COUNTIF($AK$3:AK9,FraisVac_Base)&lt;1,ROW(FraisVac_Base)))),"")</f>
        <v>14 x Gratuit</v>
      </c>
      <c r="AL10" s="2" t="str">
        <f t="array" aca="1" ref="AL10" ca="1">IFERROR(INDIRECT("S"&amp;MIN(IF(COUNTIF($AL$3:AL9,Payer_Base)&lt;1,ROW(Payer_Base)))),"")</f>
        <v/>
      </c>
    </row>
    <row r="11" spans="1:38" x14ac:dyDescent="0.25">
      <c r="A11" s="2">
        <v>9</v>
      </c>
      <c r="B11" s="6" t="s">
        <v>92</v>
      </c>
      <c r="C11" s="24">
        <v>42938</v>
      </c>
      <c r="D11" s="2" t="s">
        <v>26</v>
      </c>
      <c r="E11" s="6" t="s">
        <v>52</v>
      </c>
      <c r="F11" s="2" t="s">
        <v>53</v>
      </c>
      <c r="G11" s="2">
        <v>13</v>
      </c>
      <c r="H11" s="69">
        <v>0.25</v>
      </c>
      <c r="I11" s="69">
        <v>0.91666666666666663</v>
      </c>
      <c r="J11" s="69">
        <f t="shared" si="2"/>
        <v>0.66666666666666663</v>
      </c>
      <c r="K11" s="6" t="s">
        <v>11</v>
      </c>
      <c r="L11" s="6" t="s">
        <v>42</v>
      </c>
      <c r="M11" s="92">
        <v>150</v>
      </c>
      <c r="N11" s="6" t="s">
        <v>56</v>
      </c>
      <c r="O11" s="2" t="s">
        <v>55</v>
      </c>
      <c r="P11" s="28">
        <f t="shared" si="1"/>
        <v>160</v>
      </c>
      <c r="Q11" s="6" t="s">
        <v>64</v>
      </c>
      <c r="R11" s="24">
        <v>42940</v>
      </c>
      <c r="S11" s="2" t="s">
        <v>47</v>
      </c>
      <c r="T11" s="6" t="s">
        <v>65</v>
      </c>
      <c r="AB11" s="2" t="str">
        <f t="array" aca="1" ref="AB11" ca="1">IFERROR(INDIRECT("B"&amp;MIN(IF(COUNTIF($AB$3:AB10,Personne_base)&lt;1,ROW(Personne_base)))),"")</f>
        <v/>
      </c>
      <c r="AC11" s="65" t="str">
        <f t="array" aca="1" ref="AC11" ca="1">IFERROR(INDIRECT("D"&amp;MIN(IF(COUNTIF($AC$3:AC10,Type_base)&lt;1,ROW(Type_base)))),"")</f>
        <v/>
      </c>
      <c r="AD11" s="65" t="str">
        <f t="array" aca="1" ref="AD11" ca="1">IFERROR(INDIRECT("E"&amp;MIN(IF(COUNTIF($AD$3:AD10,Theme_base)&lt;1,ROW(Theme_base)))),"")</f>
        <v/>
      </c>
      <c r="AE11" s="65" t="str">
        <f t="array" aca="1" ref="AE11" ca="1">IFERROR(INDIRECT("F"&amp;MIN(IF(COUNTIF($AE$3:AE10,Commune_base)&lt;1,ROW(Commune_base)))),"")</f>
        <v/>
      </c>
      <c r="AF11" s="65" t="str">
        <f t="array" aca="1" ref="AF11" ca="1">IFERROR(INDIRECT("G"&amp;MIN(IF(COUNTIF($AF$3:AF10,Dpt_base)&lt;1,ROW(Dpt_base)))),"")</f>
        <v/>
      </c>
      <c r="AG11" s="2" t="str">
        <f t="array" aca="1" ref="AG11" ca="1">IFERROR(INDIRECT("K"&amp;MIN(IF(COUNTIF($AG$3:AG10,Demande_Base)&lt;1,ROW(Demande_Base)))),"")</f>
        <v/>
      </c>
      <c r="AH11" s="2" t="str">
        <f t="array" aca="1" ref="AH11" ca="1">IFERROR(INDIRECT("L"&amp;MIN(IF(COUNTIF($AH$3:AH10,Déplacement_Base)&lt;1,ROW(Déplacement_Base)))),"")</f>
        <v/>
      </c>
      <c r="AI11" s="2" t="str">
        <f t="array" aca="1" ref="AI11" ca="1">IFERROR(INDIRECT("N"&amp;MIN(IF(COUNTIF($AI$3:AI10,FraisKm_Base)&lt;1,ROW(FraisKm_Base)))),"")</f>
        <v/>
      </c>
      <c r="AJ11" s="2" t="str">
        <f t="array" aca="1" ref="AJ11" ca="1">IFERROR(INDIRECT("O"&amp;MIN(IF(COUNTIF($AJ$3:AJ10,Etat_Base)&lt;1,ROW(Etat_Base)))),"")</f>
        <v/>
      </c>
      <c r="AK11" s="2" t="str">
        <f t="array" aca="1" ref="AK11" ca="1">IFERROR(INDIRECT("Q"&amp;MIN(IF(COUNTIF($AK$3:AK10,FraisVac_Base)&lt;1,ROW(FraisVac_Base)))),"")</f>
        <v>11 x Carte carbu 15€</v>
      </c>
      <c r="AL11" s="2" t="str">
        <f t="array" aca="1" ref="AL11" ca="1">IFERROR(INDIRECT("S"&amp;MIN(IF(COUNTIF($AL$3:AL10,Payer_Base)&lt;1,ROW(Payer_Base)))),"")</f>
        <v/>
      </c>
    </row>
    <row r="12" spans="1:38" x14ac:dyDescent="0.25">
      <c r="A12" s="2">
        <v>10</v>
      </c>
      <c r="B12" s="6" t="s">
        <v>90</v>
      </c>
      <c r="C12" s="24">
        <v>42946</v>
      </c>
      <c r="D12" s="2" t="s">
        <v>25</v>
      </c>
      <c r="E12" s="6" t="s">
        <v>66</v>
      </c>
      <c r="F12" s="2" t="s">
        <v>67</v>
      </c>
      <c r="G12" s="2">
        <v>34</v>
      </c>
      <c r="H12" s="69">
        <v>0.91666666666666663</v>
      </c>
      <c r="I12" s="69">
        <v>0.125</v>
      </c>
      <c r="J12" s="69">
        <v>0.20833333333333337</v>
      </c>
      <c r="K12" s="6" t="s">
        <v>68</v>
      </c>
      <c r="L12" s="2" t="s">
        <v>41</v>
      </c>
      <c r="M12" s="92">
        <v>224</v>
      </c>
      <c r="N12" s="6" t="s">
        <v>69</v>
      </c>
      <c r="O12" s="2" t="s">
        <v>54</v>
      </c>
      <c r="P12" s="71">
        <v>50</v>
      </c>
      <c r="Q12" s="2" t="s">
        <v>71</v>
      </c>
      <c r="S12" s="2" t="s">
        <v>78</v>
      </c>
    </row>
    <row r="13" spans="1:38" x14ac:dyDescent="0.25">
      <c r="A13" s="2">
        <v>11</v>
      </c>
      <c r="B13" s="6" t="s">
        <v>90</v>
      </c>
      <c r="C13" s="24">
        <v>42962</v>
      </c>
      <c r="D13" s="2" t="s">
        <v>25</v>
      </c>
      <c r="E13" s="6" t="s">
        <v>72</v>
      </c>
      <c r="F13" s="2" t="s">
        <v>73</v>
      </c>
      <c r="G13" s="2">
        <v>34</v>
      </c>
      <c r="H13" s="69">
        <v>0.85416666666666663</v>
      </c>
      <c r="I13" s="69">
        <v>0.89583333333333337</v>
      </c>
      <c r="J13" s="69">
        <v>4.1666666666666741E-2</v>
      </c>
      <c r="K13" s="6" t="s">
        <v>15</v>
      </c>
      <c r="N13" s="6" t="s">
        <v>74</v>
      </c>
      <c r="O13" s="2" t="s">
        <v>54</v>
      </c>
      <c r="P13" s="71">
        <v>10</v>
      </c>
      <c r="Q13" s="2" t="s">
        <v>76</v>
      </c>
      <c r="S13" s="2" t="s">
        <v>39</v>
      </c>
      <c r="T13" s="6" t="s">
        <v>79</v>
      </c>
    </row>
    <row r="14" spans="1:38" x14ac:dyDescent="0.25">
      <c r="A14" s="2">
        <v>12</v>
      </c>
      <c r="B14" s="6" t="s">
        <v>91</v>
      </c>
      <c r="C14" s="24">
        <v>42962</v>
      </c>
      <c r="D14" s="2" t="s">
        <v>25</v>
      </c>
      <c r="E14" s="6" t="s">
        <v>72</v>
      </c>
      <c r="F14" s="2" t="s">
        <v>73</v>
      </c>
      <c r="G14" s="2">
        <v>34</v>
      </c>
      <c r="H14" s="69">
        <v>0.85416666666666663</v>
      </c>
      <c r="I14" s="69">
        <v>0.89583333333333337</v>
      </c>
      <c r="J14" s="69">
        <v>4.1666666666666741E-2</v>
      </c>
      <c r="K14" s="6" t="s">
        <v>15</v>
      </c>
      <c r="N14" s="6" t="s">
        <v>74</v>
      </c>
      <c r="O14" s="2" t="s">
        <v>21</v>
      </c>
      <c r="P14" s="71">
        <v>10</v>
      </c>
      <c r="Q14" s="2" t="s">
        <v>75</v>
      </c>
      <c r="R14" s="24"/>
      <c r="S14" s="2" t="s">
        <v>39</v>
      </c>
      <c r="T14" s="6" t="s">
        <v>79</v>
      </c>
    </row>
    <row r="15" spans="1:38" x14ac:dyDescent="0.25">
      <c r="A15" s="2">
        <v>13</v>
      </c>
      <c r="B15" s="6" t="s">
        <v>90</v>
      </c>
      <c r="C15" s="24">
        <v>42963</v>
      </c>
      <c r="D15" s="2" t="s">
        <v>25</v>
      </c>
      <c r="E15" s="6" t="s">
        <v>72</v>
      </c>
      <c r="F15" s="2" t="s">
        <v>73</v>
      </c>
      <c r="G15" s="2">
        <v>34</v>
      </c>
      <c r="H15" s="69">
        <v>0.33333333333333331</v>
      </c>
      <c r="I15" s="69">
        <v>0.79166666666666663</v>
      </c>
      <c r="J15" s="69">
        <v>0.45833333333333331</v>
      </c>
      <c r="K15" s="6" t="s">
        <v>15</v>
      </c>
      <c r="N15" s="6" t="s">
        <v>74</v>
      </c>
      <c r="O15" s="2" t="s">
        <v>54</v>
      </c>
      <c r="P15" s="71">
        <v>110</v>
      </c>
      <c r="Q15" s="2" t="s">
        <v>77</v>
      </c>
      <c r="S15" s="2" t="s">
        <v>39</v>
      </c>
      <c r="T15" s="6" t="s">
        <v>79</v>
      </c>
    </row>
    <row r="16" spans="1:38" x14ac:dyDescent="0.25">
      <c r="A16" s="2">
        <v>14</v>
      </c>
      <c r="B16" s="6" t="s">
        <v>91</v>
      </c>
      <c r="C16" s="24">
        <v>42958</v>
      </c>
      <c r="D16" s="2" t="s">
        <v>25</v>
      </c>
      <c r="E16" s="6" t="s">
        <v>80</v>
      </c>
      <c r="F16" s="2" t="s">
        <v>81</v>
      </c>
      <c r="G16" s="2">
        <v>34</v>
      </c>
      <c r="H16" s="69">
        <v>0.75</v>
      </c>
      <c r="I16" s="69">
        <v>1.0416666666666667</v>
      </c>
      <c r="J16" s="69">
        <v>0.29166666666666674</v>
      </c>
      <c r="K16" s="6" t="s">
        <v>68</v>
      </c>
      <c r="L16" s="2" t="s">
        <v>42</v>
      </c>
      <c r="M16" s="92">
        <v>80</v>
      </c>
      <c r="N16" s="6" t="s">
        <v>82</v>
      </c>
      <c r="O16" s="2" t="s">
        <v>21</v>
      </c>
      <c r="P16" s="71">
        <v>70</v>
      </c>
      <c r="Q16" s="2" t="s">
        <v>83</v>
      </c>
      <c r="S16" s="2" t="s">
        <v>78</v>
      </c>
    </row>
    <row r="17" spans="1:19" x14ac:dyDescent="0.25">
      <c r="A17" s="2">
        <v>15</v>
      </c>
      <c r="B17" s="6" t="s">
        <v>93</v>
      </c>
      <c r="C17" s="24">
        <v>42958</v>
      </c>
      <c r="D17" s="2" t="s">
        <v>25</v>
      </c>
      <c r="E17" s="6" t="s">
        <v>80</v>
      </c>
      <c r="F17" s="2" t="s">
        <v>81</v>
      </c>
      <c r="G17" s="2">
        <v>34</v>
      </c>
      <c r="H17" s="69">
        <v>0.8125</v>
      </c>
      <c r="I17" s="69">
        <v>1.0416666666666667</v>
      </c>
      <c r="J17" s="69">
        <v>0.22916666666666674</v>
      </c>
      <c r="K17" s="6" t="s">
        <v>68</v>
      </c>
      <c r="L17" s="2" t="s">
        <v>41</v>
      </c>
      <c r="M17" s="92">
        <v>80</v>
      </c>
      <c r="N17" s="6" t="s">
        <v>84</v>
      </c>
      <c r="O17" s="2" t="s">
        <v>54</v>
      </c>
      <c r="P17" s="71">
        <v>55</v>
      </c>
      <c r="Q17" s="2" t="s">
        <v>85</v>
      </c>
      <c r="S17" s="2" t="s">
        <v>78</v>
      </c>
    </row>
    <row r="18" spans="1:19" x14ac:dyDescent="0.25">
      <c r="C18" s="24"/>
      <c r="P18" s="71"/>
      <c r="R18" s="24"/>
    </row>
    <row r="19" spans="1:19" x14ac:dyDescent="0.25">
      <c r="C19" s="24"/>
    </row>
    <row r="24" spans="1:19" x14ac:dyDescent="0.25">
      <c r="B24" s="98"/>
      <c r="C24" s="99"/>
    </row>
    <row r="25" spans="1:19" x14ac:dyDescent="0.25">
      <c r="B25" s="98"/>
      <c r="C25" s="99"/>
    </row>
    <row r="26" spans="1:19" x14ac:dyDescent="0.25">
      <c r="B26" s="98"/>
      <c r="C26" s="99"/>
    </row>
    <row r="27" spans="1:19" x14ac:dyDescent="0.25">
      <c r="B27" s="98"/>
      <c r="C27" s="99"/>
    </row>
  </sheetData>
  <conditionalFormatting sqref="B3:T70000">
    <cfRule type="expression" dxfId="4" priority="1">
      <formula>$B3="LEROY Christelle"</formula>
    </cfRule>
    <cfRule type="expression" dxfId="3" priority="2">
      <formula>$B3="LEROY France"</formula>
    </cfRule>
    <cfRule type="expression" dxfId="2" priority="3">
      <formula>$S3="En attente"</formula>
    </cfRule>
    <cfRule type="expression" dxfId="1" priority="4">
      <formula>$S3="En cours"</formula>
    </cfRule>
    <cfRule type="expression" dxfId="0" priority="5">
      <formula>$S3="Valider"</formula>
    </cfRule>
  </conditionalFormatting>
  <pageMargins left="0.31496062992125984" right="0.31496062992125984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5"/>
  <sheetViews>
    <sheetView workbookViewId="0"/>
  </sheetViews>
  <sheetFormatPr baseColWidth="10" defaultRowHeight="15" x14ac:dyDescent="0.25"/>
  <cols>
    <col min="1" max="7" width="15.7109375" customWidth="1"/>
  </cols>
  <sheetData>
    <row r="1" spans="1:9" x14ac:dyDescent="0.25">
      <c r="A1" s="1" t="s">
        <v>2</v>
      </c>
      <c r="B1" s="1" t="s">
        <v>3</v>
      </c>
      <c r="C1" s="1" t="s">
        <v>5</v>
      </c>
      <c r="D1" s="1" t="s">
        <v>6</v>
      </c>
      <c r="E1" s="1" t="s">
        <v>14</v>
      </c>
      <c r="F1" s="1" t="s">
        <v>20</v>
      </c>
      <c r="G1" s="1" t="s">
        <v>17</v>
      </c>
      <c r="H1" s="1" t="s">
        <v>18</v>
      </c>
      <c r="I1" s="1" t="s">
        <v>27</v>
      </c>
    </row>
    <row r="2" spans="1:9" x14ac:dyDescent="0.25">
      <c r="A2" t="str">
        <f>Mission!D3</f>
        <v>PAPS</v>
      </c>
      <c r="E2" s="6" t="s">
        <v>15</v>
      </c>
      <c r="F2" t="s">
        <v>24</v>
      </c>
      <c r="G2" t="s">
        <v>21</v>
      </c>
      <c r="H2" s="6">
        <v>10</v>
      </c>
      <c r="I2" s="6">
        <v>60</v>
      </c>
    </row>
    <row r="3" spans="1:9" x14ac:dyDescent="0.25">
      <c r="A3" t="s">
        <v>26</v>
      </c>
      <c r="E3" s="6" t="s">
        <v>16</v>
      </c>
      <c r="G3" t="s">
        <v>22</v>
      </c>
    </row>
    <row r="4" spans="1:9" x14ac:dyDescent="0.25">
      <c r="E4" s="6" t="s">
        <v>12</v>
      </c>
      <c r="G4" t="s">
        <v>23</v>
      </c>
    </row>
    <row r="5" spans="1:9" x14ac:dyDescent="0.25">
      <c r="E5" s="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Mission</vt:lpstr>
      <vt:lpstr>Parametre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2017-07-05T14:09:13Z</cp:lastPrinted>
  <dcterms:created xsi:type="dcterms:W3CDTF">2017-06-28T15:00:24Z</dcterms:created>
  <dcterms:modified xsi:type="dcterms:W3CDTF">2017-08-02T20:36:43Z</dcterms:modified>
</cp:coreProperties>
</file>