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tre\Desktop\"/>
    </mc:Choice>
  </mc:AlternateContent>
  <bookViews>
    <workbookView xWindow="0" yWindow="0" windowWidth="28800" windowHeight="12435" activeTab="2"/>
  </bookViews>
  <sheets>
    <sheet name="Administrateur" sheetId="5" r:id="rId1"/>
    <sheet name="DRH" sheetId="10" r:id="rId2"/>
    <sheet name="Planning B737-800" sheetId="6" r:id="rId3"/>
  </sheets>
  <definedNames>
    <definedName name="_xlnm._FilterDatabase" localSheetId="2" hidden="1">'Planning B737-800'!$A$8:$R$8</definedName>
    <definedName name="SUIVI">#REF!</definedName>
    <definedName name="SUIVI2">#REF!</definedName>
  </definedNames>
  <calcPr calcId="162913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0" l="1"/>
  <c r="F20" i="5"/>
  <c r="F2" i="10"/>
  <c r="F4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3" i="10"/>
  <c r="F6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16" i="10" l="1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2" i="10"/>
  <c r="C4" i="10"/>
  <c r="C3" i="10"/>
  <c r="C10" i="10"/>
  <c r="C11" i="10"/>
  <c r="C12" i="10"/>
  <c r="C13" i="10"/>
  <c r="C14" i="10"/>
  <c r="C15" i="10"/>
  <c r="C6" i="10"/>
  <c r="C7" i="10"/>
  <c r="C8" i="10"/>
  <c r="C9" i="10"/>
  <c r="C5" i="10"/>
  <c r="X10" i="6" l="1"/>
  <c r="HX13" i="6" l="1"/>
  <c r="AE9" i="6" l="1"/>
  <c r="AE10" i="6"/>
  <c r="AD9" i="6"/>
  <c r="AB9" i="6"/>
  <c r="AB10" i="6"/>
  <c r="AC10" i="6"/>
  <c r="AC9" i="6"/>
  <c r="AD10" i="6"/>
  <c r="F25" i="5"/>
  <c r="AE43" i="6" l="1"/>
  <c r="J18" i="5" s="1"/>
  <c r="AD42" i="6"/>
  <c r="AE44" i="6"/>
  <c r="I18" i="5" s="1"/>
  <c r="AE42" i="6"/>
  <c r="AC42" i="6"/>
  <c r="AD43" i="6"/>
  <c r="AD44" i="6"/>
  <c r="AB42" i="6"/>
  <c r="AC44" i="6"/>
  <c r="AC43" i="6"/>
  <c r="AB44" i="6"/>
  <c r="AB43" i="6"/>
  <c r="AF22" i="6"/>
  <c r="AF21" i="6"/>
  <c r="AF20" i="6"/>
  <c r="AG18" i="6"/>
  <c r="AH18" i="6"/>
  <c r="AI18" i="6"/>
  <c r="AJ18" i="6"/>
  <c r="AK18" i="6"/>
  <c r="AL18" i="6"/>
  <c r="AM18" i="6"/>
  <c r="AN18" i="6"/>
  <c r="AO18" i="6"/>
  <c r="AP18" i="6"/>
  <c r="AQ18" i="6"/>
  <c r="AR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N18" i="6"/>
  <c r="CO18" i="6"/>
  <c r="CP18" i="6"/>
  <c r="CQ18" i="6"/>
  <c r="CR18" i="6"/>
  <c r="CS18" i="6"/>
  <c r="CT18" i="6"/>
  <c r="CU18" i="6"/>
  <c r="CV18" i="6"/>
  <c r="CW18" i="6"/>
  <c r="CX18" i="6"/>
  <c r="CY18" i="6"/>
  <c r="CZ18" i="6"/>
  <c r="DA18" i="6"/>
  <c r="DB18" i="6"/>
  <c r="DC18" i="6"/>
  <c r="DD18" i="6"/>
  <c r="DE18" i="6"/>
  <c r="DF18" i="6"/>
  <c r="DG18" i="6"/>
  <c r="DH18" i="6"/>
  <c r="DI18" i="6"/>
  <c r="DJ18" i="6"/>
  <c r="DK18" i="6"/>
  <c r="DL18" i="6"/>
  <c r="DM18" i="6"/>
  <c r="DN18" i="6"/>
  <c r="DO18" i="6"/>
  <c r="DP18" i="6"/>
  <c r="DQ18" i="6"/>
  <c r="DR18" i="6"/>
  <c r="DS18" i="6"/>
  <c r="DT18" i="6"/>
  <c r="DU18" i="6"/>
  <c r="DV18" i="6"/>
  <c r="DW18" i="6"/>
  <c r="DX18" i="6"/>
  <c r="DY18" i="6"/>
  <c r="DZ18" i="6"/>
  <c r="EA18" i="6"/>
  <c r="EB18" i="6"/>
  <c r="EC18" i="6"/>
  <c r="ED18" i="6"/>
  <c r="EE18" i="6"/>
  <c r="EF18" i="6"/>
  <c r="EG18" i="6"/>
  <c r="EH18" i="6"/>
  <c r="EI18" i="6"/>
  <c r="EJ18" i="6"/>
  <c r="EK18" i="6"/>
  <c r="EL18" i="6"/>
  <c r="EM18" i="6"/>
  <c r="EN18" i="6"/>
  <c r="EO18" i="6"/>
  <c r="EP18" i="6"/>
  <c r="EQ18" i="6"/>
  <c r="ER18" i="6"/>
  <c r="ES18" i="6"/>
  <c r="ET18" i="6"/>
  <c r="EU18" i="6"/>
  <c r="EV18" i="6"/>
  <c r="EW18" i="6"/>
  <c r="EX18" i="6"/>
  <c r="EY18" i="6"/>
  <c r="EZ18" i="6"/>
  <c r="FA18" i="6"/>
  <c r="FB18" i="6"/>
  <c r="FC18" i="6"/>
  <c r="FD18" i="6"/>
  <c r="FE18" i="6"/>
  <c r="FF18" i="6"/>
  <c r="FG18" i="6"/>
  <c r="FH18" i="6"/>
  <c r="FI18" i="6"/>
  <c r="FJ18" i="6"/>
  <c r="FK18" i="6"/>
  <c r="FL18" i="6"/>
  <c r="FM18" i="6"/>
  <c r="FN18" i="6"/>
  <c r="FO18" i="6"/>
  <c r="FP18" i="6"/>
  <c r="FQ18" i="6"/>
  <c r="FR18" i="6"/>
  <c r="FS18" i="6"/>
  <c r="FT18" i="6"/>
  <c r="FU18" i="6"/>
  <c r="FV18" i="6"/>
  <c r="FW18" i="6"/>
  <c r="FX18" i="6"/>
  <c r="FY18" i="6"/>
  <c r="FZ18" i="6"/>
  <c r="GA18" i="6"/>
  <c r="GB18" i="6"/>
  <c r="GC18" i="6"/>
  <c r="GD18" i="6"/>
  <c r="GE18" i="6"/>
  <c r="GF18" i="6"/>
  <c r="GG18" i="6"/>
  <c r="GH18" i="6"/>
  <c r="GI18" i="6"/>
  <c r="GJ18" i="6"/>
  <c r="GK18" i="6"/>
  <c r="GL18" i="6"/>
  <c r="GM18" i="6"/>
  <c r="GN18" i="6"/>
  <c r="GO18" i="6"/>
  <c r="GP18" i="6"/>
  <c r="GQ18" i="6"/>
  <c r="GR18" i="6"/>
  <c r="GS18" i="6"/>
  <c r="GT18" i="6"/>
  <c r="GU18" i="6"/>
  <c r="GV18" i="6"/>
  <c r="GW18" i="6"/>
  <c r="GX18" i="6"/>
  <c r="GY18" i="6"/>
  <c r="GZ18" i="6"/>
  <c r="HA18" i="6"/>
  <c r="HB18" i="6"/>
  <c r="HC18" i="6"/>
  <c r="HD18" i="6"/>
  <c r="HE18" i="6"/>
  <c r="HF18" i="6"/>
  <c r="HG18" i="6"/>
  <c r="HH18" i="6"/>
  <c r="HI18" i="6"/>
  <c r="HJ18" i="6"/>
  <c r="HK18" i="6"/>
  <c r="HL18" i="6"/>
  <c r="HM18" i="6"/>
  <c r="HN18" i="6"/>
  <c r="HO18" i="6"/>
  <c r="HP18" i="6"/>
  <c r="HQ18" i="6"/>
  <c r="HR18" i="6"/>
  <c r="HS18" i="6"/>
  <c r="HT18" i="6"/>
  <c r="HU18" i="6"/>
  <c r="HV18" i="6"/>
  <c r="HW18" i="6"/>
  <c r="HX18" i="6"/>
  <c r="HY18" i="6"/>
  <c r="HZ18" i="6"/>
  <c r="IA18" i="6"/>
  <c r="IB18" i="6"/>
  <c r="IC18" i="6"/>
  <c r="ID18" i="6"/>
  <c r="IE18" i="6"/>
  <c r="IF18" i="6"/>
  <c r="IG18" i="6"/>
  <c r="IH18" i="6"/>
  <c r="II18" i="6"/>
  <c r="IJ18" i="6"/>
  <c r="IK18" i="6"/>
  <c r="IL18" i="6"/>
  <c r="IM18" i="6"/>
  <c r="IN18" i="6"/>
  <c r="IO18" i="6"/>
  <c r="IP18" i="6"/>
  <c r="IQ18" i="6"/>
  <c r="IR18" i="6"/>
  <c r="IS18" i="6"/>
  <c r="IT18" i="6"/>
  <c r="IU18" i="6"/>
  <c r="IV18" i="6"/>
  <c r="IW18" i="6"/>
  <c r="IX18" i="6"/>
  <c r="IY18" i="6"/>
  <c r="IZ18" i="6"/>
  <c r="JA18" i="6"/>
  <c r="JB18" i="6"/>
  <c r="JC18" i="6"/>
  <c r="JD18" i="6"/>
  <c r="JE18" i="6"/>
  <c r="JF18" i="6"/>
  <c r="JG18" i="6"/>
  <c r="JH18" i="6"/>
  <c r="JI18" i="6"/>
  <c r="JJ18" i="6"/>
  <c r="JK18" i="6"/>
  <c r="JL18" i="6"/>
  <c r="JM18" i="6"/>
  <c r="JN18" i="6"/>
  <c r="JO18" i="6"/>
  <c r="JP18" i="6"/>
  <c r="JQ18" i="6"/>
  <c r="JR18" i="6"/>
  <c r="JS18" i="6"/>
  <c r="JT18" i="6"/>
  <c r="JU18" i="6"/>
  <c r="JV18" i="6"/>
  <c r="JW18" i="6"/>
  <c r="JX18" i="6"/>
  <c r="JY18" i="6"/>
  <c r="JZ18" i="6"/>
  <c r="KA18" i="6"/>
  <c r="KB18" i="6"/>
  <c r="KC18" i="6"/>
  <c r="KD18" i="6"/>
  <c r="KE18" i="6"/>
  <c r="KF18" i="6"/>
  <c r="KG18" i="6"/>
  <c r="KH18" i="6"/>
  <c r="KI18" i="6"/>
  <c r="KJ18" i="6"/>
  <c r="KK18" i="6"/>
  <c r="KL18" i="6"/>
  <c r="KM18" i="6"/>
  <c r="KN18" i="6"/>
  <c r="KO18" i="6"/>
  <c r="KP18" i="6"/>
  <c r="KQ18" i="6"/>
  <c r="KR18" i="6"/>
  <c r="KS18" i="6"/>
  <c r="KT18" i="6"/>
  <c r="KU18" i="6"/>
  <c r="KV18" i="6"/>
  <c r="KW18" i="6"/>
  <c r="KX18" i="6"/>
  <c r="KY18" i="6"/>
  <c r="KZ18" i="6"/>
  <c r="LA18" i="6"/>
  <c r="LB18" i="6"/>
  <c r="LC18" i="6"/>
  <c r="LD18" i="6"/>
  <c r="LE18" i="6"/>
  <c r="LF18" i="6"/>
  <c r="LG18" i="6"/>
  <c r="LH18" i="6"/>
  <c r="LI18" i="6"/>
  <c r="LJ18" i="6"/>
  <c r="LK18" i="6"/>
  <c r="LL18" i="6"/>
  <c r="LM18" i="6"/>
  <c r="LN18" i="6"/>
  <c r="LO18" i="6"/>
  <c r="LP18" i="6"/>
  <c r="LQ18" i="6"/>
  <c r="LR18" i="6"/>
  <c r="LS18" i="6"/>
  <c r="LT18" i="6"/>
  <c r="LU18" i="6"/>
  <c r="LV18" i="6"/>
  <c r="LW18" i="6"/>
  <c r="LX18" i="6"/>
  <c r="LY18" i="6"/>
  <c r="LZ18" i="6"/>
  <c r="MA18" i="6"/>
  <c r="MB18" i="6"/>
  <c r="MC18" i="6"/>
  <c r="MD18" i="6"/>
  <c r="ME18" i="6"/>
  <c r="MF18" i="6"/>
  <c r="MG18" i="6"/>
  <c r="MH18" i="6"/>
  <c r="MI18" i="6"/>
  <c r="MJ18" i="6"/>
  <c r="MK18" i="6"/>
  <c r="ML18" i="6"/>
  <c r="MM18" i="6"/>
  <c r="MN18" i="6"/>
  <c r="MO18" i="6"/>
  <c r="MP18" i="6"/>
  <c r="MQ18" i="6"/>
  <c r="MR18" i="6"/>
  <c r="MS18" i="6"/>
  <c r="MT18" i="6"/>
  <c r="MU18" i="6"/>
  <c r="MV18" i="6"/>
  <c r="MW18" i="6"/>
  <c r="MX18" i="6"/>
  <c r="MY18" i="6"/>
  <c r="MZ18" i="6"/>
  <c r="NA18" i="6"/>
  <c r="NB18" i="6"/>
  <c r="NC18" i="6"/>
  <c r="ND18" i="6"/>
  <c r="NE18" i="6"/>
  <c r="NF18" i="6"/>
  <c r="NG18" i="6"/>
  <c r="NH18" i="6"/>
  <c r="NI18" i="6"/>
  <c r="NJ18" i="6"/>
  <c r="NK18" i="6"/>
  <c r="NL18" i="6"/>
  <c r="NM18" i="6"/>
  <c r="NN18" i="6"/>
  <c r="NO18" i="6"/>
  <c r="NP18" i="6"/>
  <c r="NQ18" i="6"/>
  <c r="NR18" i="6"/>
  <c r="NS18" i="6"/>
  <c r="NT18" i="6"/>
  <c r="NU18" i="6"/>
  <c r="NV18" i="6"/>
  <c r="NW18" i="6"/>
  <c r="NX18" i="6"/>
  <c r="NY18" i="6"/>
  <c r="NZ18" i="6"/>
  <c r="OA18" i="6"/>
  <c r="OB18" i="6"/>
  <c r="OC18" i="6"/>
  <c r="OD18" i="6"/>
  <c r="OE18" i="6"/>
  <c r="OF18" i="6"/>
  <c r="AG19" i="6"/>
  <c r="AH19" i="6"/>
  <c r="AI19" i="6"/>
  <c r="AJ19" i="6"/>
  <c r="AK19" i="6"/>
  <c r="AL19" i="6"/>
  <c r="AM19" i="6"/>
  <c r="AN19" i="6"/>
  <c r="AO19" i="6"/>
  <c r="AP19" i="6"/>
  <c r="AQ19" i="6"/>
  <c r="AR19" i="6"/>
  <c r="AW19" i="6"/>
  <c r="AX19" i="6"/>
  <c r="AY19" i="6"/>
  <c r="AZ19" i="6"/>
  <c r="BA19" i="6"/>
  <c r="BB19" i="6"/>
  <c r="BC19" i="6"/>
  <c r="BD19" i="6"/>
  <c r="BE19" i="6"/>
  <c r="BF19" i="6"/>
  <c r="BG19" i="6"/>
  <c r="BH19" i="6"/>
  <c r="BI19" i="6"/>
  <c r="BJ19" i="6"/>
  <c r="BK19" i="6"/>
  <c r="BL19" i="6"/>
  <c r="BM19" i="6"/>
  <c r="BN19" i="6"/>
  <c r="BO19" i="6"/>
  <c r="BP19" i="6"/>
  <c r="BQ19" i="6"/>
  <c r="BR19" i="6"/>
  <c r="BS19" i="6"/>
  <c r="BT19" i="6"/>
  <c r="BU19" i="6"/>
  <c r="BV19" i="6"/>
  <c r="BW19" i="6"/>
  <c r="BX19" i="6"/>
  <c r="BY19" i="6"/>
  <c r="BZ19" i="6"/>
  <c r="CA19" i="6"/>
  <c r="CB19" i="6"/>
  <c r="CC19" i="6"/>
  <c r="CD19" i="6"/>
  <c r="CE19" i="6"/>
  <c r="CF19" i="6"/>
  <c r="CG19" i="6"/>
  <c r="CH19" i="6"/>
  <c r="CI19" i="6"/>
  <c r="CJ19" i="6"/>
  <c r="CK19" i="6"/>
  <c r="CL19" i="6"/>
  <c r="CM19" i="6"/>
  <c r="CN19" i="6"/>
  <c r="CO19" i="6"/>
  <c r="CP19" i="6"/>
  <c r="CQ19" i="6"/>
  <c r="CR19" i="6"/>
  <c r="CS19" i="6"/>
  <c r="CT19" i="6"/>
  <c r="CU19" i="6"/>
  <c r="CV19" i="6"/>
  <c r="CW19" i="6"/>
  <c r="CX19" i="6"/>
  <c r="CY19" i="6"/>
  <c r="CZ19" i="6"/>
  <c r="DA19" i="6"/>
  <c r="DB19" i="6"/>
  <c r="DC19" i="6"/>
  <c r="DD19" i="6"/>
  <c r="DE19" i="6"/>
  <c r="DF19" i="6"/>
  <c r="DG19" i="6"/>
  <c r="DH19" i="6"/>
  <c r="DI19" i="6"/>
  <c r="DJ19" i="6"/>
  <c r="DK19" i="6"/>
  <c r="DL19" i="6"/>
  <c r="DM19" i="6"/>
  <c r="DN19" i="6"/>
  <c r="DO19" i="6"/>
  <c r="DP19" i="6"/>
  <c r="DQ19" i="6"/>
  <c r="DR19" i="6"/>
  <c r="DS19" i="6"/>
  <c r="DT19" i="6"/>
  <c r="DU19" i="6"/>
  <c r="DV19" i="6"/>
  <c r="DW19" i="6"/>
  <c r="DX19" i="6"/>
  <c r="DY19" i="6"/>
  <c r="DZ19" i="6"/>
  <c r="EA19" i="6"/>
  <c r="EB19" i="6"/>
  <c r="EC19" i="6"/>
  <c r="ED19" i="6"/>
  <c r="EE19" i="6"/>
  <c r="EF19" i="6"/>
  <c r="EG19" i="6"/>
  <c r="EH19" i="6"/>
  <c r="EI19" i="6"/>
  <c r="EJ19" i="6"/>
  <c r="EK19" i="6"/>
  <c r="EL19" i="6"/>
  <c r="EM19" i="6"/>
  <c r="EN19" i="6"/>
  <c r="EO19" i="6"/>
  <c r="EP19" i="6"/>
  <c r="EQ19" i="6"/>
  <c r="ER19" i="6"/>
  <c r="ES19" i="6"/>
  <c r="ET19" i="6"/>
  <c r="EU19" i="6"/>
  <c r="EV19" i="6"/>
  <c r="EW19" i="6"/>
  <c r="EX19" i="6"/>
  <c r="EY19" i="6"/>
  <c r="EZ19" i="6"/>
  <c r="FA19" i="6"/>
  <c r="FB19" i="6"/>
  <c r="FC19" i="6"/>
  <c r="FD19" i="6"/>
  <c r="FE19" i="6"/>
  <c r="FF19" i="6"/>
  <c r="FG19" i="6"/>
  <c r="FH19" i="6"/>
  <c r="FI19" i="6"/>
  <c r="FJ19" i="6"/>
  <c r="FK19" i="6"/>
  <c r="FL19" i="6"/>
  <c r="FM19" i="6"/>
  <c r="FN19" i="6"/>
  <c r="FO19" i="6"/>
  <c r="FP19" i="6"/>
  <c r="FQ19" i="6"/>
  <c r="FR19" i="6"/>
  <c r="FS19" i="6"/>
  <c r="FT19" i="6"/>
  <c r="FU19" i="6"/>
  <c r="FV19" i="6"/>
  <c r="FW19" i="6"/>
  <c r="FX19" i="6"/>
  <c r="FY19" i="6"/>
  <c r="FZ19" i="6"/>
  <c r="GA19" i="6"/>
  <c r="GB19" i="6"/>
  <c r="GC19" i="6"/>
  <c r="GD19" i="6"/>
  <c r="GE19" i="6"/>
  <c r="GF19" i="6"/>
  <c r="GG19" i="6"/>
  <c r="GH19" i="6"/>
  <c r="GI19" i="6"/>
  <c r="GJ19" i="6"/>
  <c r="GK19" i="6"/>
  <c r="GL19" i="6"/>
  <c r="GM19" i="6"/>
  <c r="GN19" i="6"/>
  <c r="GO19" i="6"/>
  <c r="GP19" i="6"/>
  <c r="GQ19" i="6"/>
  <c r="GR19" i="6"/>
  <c r="GS19" i="6"/>
  <c r="GT19" i="6"/>
  <c r="GU19" i="6"/>
  <c r="GV19" i="6"/>
  <c r="GW19" i="6"/>
  <c r="GX19" i="6"/>
  <c r="GY19" i="6"/>
  <c r="GZ19" i="6"/>
  <c r="HA19" i="6"/>
  <c r="HB19" i="6"/>
  <c r="HC19" i="6"/>
  <c r="HD19" i="6"/>
  <c r="HE19" i="6"/>
  <c r="HF19" i="6"/>
  <c r="HG19" i="6"/>
  <c r="HH19" i="6"/>
  <c r="HI19" i="6"/>
  <c r="HJ19" i="6"/>
  <c r="HK19" i="6"/>
  <c r="HL19" i="6"/>
  <c r="HM19" i="6"/>
  <c r="HN19" i="6"/>
  <c r="HO19" i="6"/>
  <c r="HP19" i="6"/>
  <c r="HQ19" i="6"/>
  <c r="HR19" i="6"/>
  <c r="HS19" i="6"/>
  <c r="HT19" i="6"/>
  <c r="HU19" i="6"/>
  <c r="HV19" i="6"/>
  <c r="HW19" i="6"/>
  <c r="HX19" i="6"/>
  <c r="HY19" i="6"/>
  <c r="HZ19" i="6"/>
  <c r="IA19" i="6"/>
  <c r="IB19" i="6"/>
  <c r="IC19" i="6"/>
  <c r="ID19" i="6"/>
  <c r="IE19" i="6"/>
  <c r="IF19" i="6"/>
  <c r="IG19" i="6"/>
  <c r="IH19" i="6"/>
  <c r="II19" i="6"/>
  <c r="IJ19" i="6"/>
  <c r="IK19" i="6"/>
  <c r="IL19" i="6"/>
  <c r="IM19" i="6"/>
  <c r="IN19" i="6"/>
  <c r="IO19" i="6"/>
  <c r="IP19" i="6"/>
  <c r="IQ19" i="6"/>
  <c r="IR19" i="6"/>
  <c r="IS19" i="6"/>
  <c r="IT19" i="6"/>
  <c r="IU19" i="6"/>
  <c r="IV19" i="6"/>
  <c r="IW19" i="6"/>
  <c r="IX19" i="6"/>
  <c r="IY19" i="6"/>
  <c r="IZ19" i="6"/>
  <c r="JA19" i="6"/>
  <c r="JB19" i="6"/>
  <c r="JC19" i="6"/>
  <c r="JD19" i="6"/>
  <c r="JE19" i="6"/>
  <c r="JF19" i="6"/>
  <c r="JG19" i="6"/>
  <c r="JH19" i="6"/>
  <c r="JI19" i="6"/>
  <c r="JJ19" i="6"/>
  <c r="JK19" i="6"/>
  <c r="JL19" i="6"/>
  <c r="JM19" i="6"/>
  <c r="JN19" i="6"/>
  <c r="JO19" i="6"/>
  <c r="JP19" i="6"/>
  <c r="JQ19" i="6"/>
  <c r="JR19" i="6"/>
  <c r="JS19" i="6"/>
  <c r="JT19" i="6"/>
  <c r="JU19" i="6"/>
  <c r="JV19" i="6"/>
  <c r="JW19" i="6"/>
  <c r="JX19" i="6"/>
  <c r="JY19" i="6"/>
  <c r="JZ19" i="6"/>
  <c r="KA19" i="6"/>
  <c r="KB19" i="6"/>
  <c r="KC19" i="6"/>
  <c r="KD19" i="6"/>
  <c r="KE19" i="6"/>
  <c r="KF19" i="6"/>
  <c r="KG19" i="6"/>
  <c r="KH19" i="6"/>
  <c r="KI19" i="6"/>
  <c r="KJ19" i="6"/>
  <c r="KK19" i="6"/>
  <c r="KL19" i="6"/>
  <c r="KM19" i="6"/>
  <c r="KN19" i="6"/>
  <c r="KO19" i="6"/>
  <c r="KP19" i="6"/>
  <c r="KQ19" i="6"/>
  <c r="KR19" i="6"/>
  <c r="KS19" i="6"/>
  <c r="KT19" i="6"/>
  <c r="KU19" i="6"/>
  <c r="KV19" i="6"/>
  <c r="KW19" i="6"/>
  <c r="KX19" i="6"/>
  <c r="KY19" i="6"/>
  <c r="KZ19" i="6"/>
  <c r="LA19" i="6"/>
  <c r="LB19" i="6"/>
  <c r="LC19" i="6"/>
  <c r="LD19" i="6"/>
  <c r="LE19" i="6"/>
  <c r="LF19" i="6"/>
  <c r="LG19" i="6"/>
  <c r="LH19" i="6"/>
  <c r="LI19" i="6"/>
  <c r="LJ19" i="6"/>
  <c r="LK19" i="6"/>
  <c r="LL19" i="6"/>
  <c r="LM19" i="6"/>
  <c r="LN19" i="6"/>
  <c r="LO19" i="6"/>
  <c r="LP19" i="6"/>
  <c r="LQ19" i="6"/>
  <c r="LR19" i="6"/>
  <c r="LS19" i="6"/>
  <c r="LT19" i="6"/>
  <c r="LU19" i="6"/>
  <c r="LV19" i="6"/>
  <c r="LW19" i="6"/>
  <c r="LX19" i="6"/>
  <c r="LY19" i="6"/>
  <c r="LZ19" i="6"/>
  <c r="MA19" i="6"/>
  <c r="MB19" i="6"/>
  <c r="MC19" i="6"/>
  <c r="MD19" i="6"/>
  <c r="ME19" i="6"/>
  <c r="MF19" i="6"/>
  <c r="MG19" i="6"/>
  <c r="MH19" i="6"/>
  <c r="MI19" i="6"/>
  <c r="MJ19" i="6"/>
  <c r="MK19" i="6"/>
  <c r="ML19" i="6"/>
  <c r="MM19" i="6"/>
  <c r="MN19" i="6"/>
  <c r="MO19" i="6"/>
  <c r="MP19" i="6"/>
  <c r="MQ19" i="6"/>
  <c r="MR19" i="6"/>
  <c r="MS19" i="6"/>
  <c r="MT19" i="6"/>
  <c r="MU19" i="6"/>
  <c r="MV19" i="6"/>
  <c r="MW19" i="6"/>
  <c r="MX19" i="6"/>
  <c r="MY19" i="6"/>
  <c r="MZ19" i="6"/>
  <c r="NA19" i="6"/>
  <c r="NB19" i="6"/>
  <c r="NC19" i="6"/>
  <c r="ND19" i="6"/>
  <c r="NE19" i="6"/>
  <c r="NF19" i="6"/>
  <c r="NG19" i="6"/>
  <c r="NH19" i="6"/>
  <c r="NI19" i="6"/>
  <c r="NJ19" i="6"/>
  <c r="NK19" i="6"/>
  <c r="NL19" i="6"/>
  <c r="NM19" i="6"/>
  <c r="NN19" i="6"/>
  <c r="NO19" i="6"/>
  <c r="NP19" i="6"/>
  <c r="NQ19" i="6"/>
  <c r="NR19" i="6"/>
  <c r="NS19" i="6"/>
  <c r="NT19" i="6"/>
  <c r="NU19" i="6"/>
  <c r="NV19" i="6"/>
  <c r="NW19" i="6"/>
  <c r="NX19" i="6"/>
  <c r="NY19" i="6"/>
  <c r="NZ19" i="6"/>
  <c r="OA19" i="6"/>
  <c r="OB19" i="6"/>
  <c r="OC19" i="6"/>
  <c r="OD19" i="6"/>
  <c r="OE19" i="6"/>
  <c r="OF19" i="6"/>
  <c r="AF19" i="6"/>
  <c r="AF18" i="6"/>
  <c r="AG17" i="6"/>
  <c r="AH17" i="6"/>
  <c r="AI17" i="6"/>
  <c r="AJ17" i="6"/>
  <c r="AK17" i="6"/>
  <c r="AL17" i="6"/>
  <c r="AM17" i="6"/>
  <c r="AN17" i="6"/>
  <c r="AO17" i="6"/>
  <c r="AP17" i="6"/>
  <c r="AQ17" i="6"/>
  <c r="AR17" i="6"/>
  <c r="AS17" i="6"/>
  <c r="AT17" i="6"/>
  <c r="AU17" i="6"/>
  <c r="AV17" i="6"/>
  <c r="AW17" i="6"/>
  <c r="AX17" i="6"/>
  <c r="AY17" i="6"/>
  <c r="AZ17" i="6"/>
  <c r="BA17" i="6"/>
  <c r="BB17" i="6"/>
  <c r="BC17" i="6"/>
  <c r="BD17" i="6"/>
  <c r="BE17" i="6"/>
  <c r="BF17" i="6"/>
  <c r="BG17" i="6"/>
  <c r="BH17" i="6"/>
  <c r="BI17" i="6"/>
  <c r="BJ17" i="6"/>
  <c r="BK17" i="6"/>
  <c r="BL17" i="6"/>
  <c r="BM17" i="6"/>
  <c r="BN17" i="6"/>
  <c r="BO17" i="6"/>
  <c r="BP17" i="6"/>
  <c r="BQ17" i="6"/>
  <c r="BR17" i="6"/>
  <c r="BS17" i="6"/>
  <c r="BT17" i="6"/>
  <c r="BU17" i="6"/>
  <c r="BV17" i="6"/>
  <c r="BW17" i="6"/>
  <c r="BX17" i="6"/>
  <c r="BY17" i="6"/>
  <c r="BZ17" i="6"/>
  <c r="CA17" i="6"/>
  <c r="CB17" i="6"/>
  <c r="CC17" i="6"/>
  <c r="CD17" i="6"/>
  <c r="CE17" i="6"/>
  <c r="CF17" i="6"/>
  <c r="CG17" i="6"/>
  <c r="CH17" i="6"/>
  <c r="CI17" i="6"/>
  <c r="CJ17" i="6"/>
  <c r="CK17" i="6"/>
  <c r="CL17" i="6"/>
  <c r="CM17" i="6"/>
  <c r="CN17" i="6"/>
  <c r="CO17" i="6"/>
  <c r="CP17" i="6"/>
  <c r="CQ17" i="6"/>
  <c r="CR17" i="6"/>
  <c r="CS17" i="6"/>
  <c r="CT17" i="6"/>
  <c r="CU17" i="6"/>
  <c r="CV17" i="6"/>
  <c r="CW17" i="6"/>
  <c r="CX17" i="6"/>
  <c r="CY17" i="6"/>
  <c r="CZ17" i="6"/>
  <c r="DA17" i="6"/>
  <c r="DB17" i="6"/>
  <c r="DC17" i="6"/>
  <c r="DD17" i="6"/>
  <c r="DE17" i="6"/>
  <c r="DF17" i="6"/>
  <c r="DG17" i="6"/>
  <c r="DH17" i="6"/>
  <c r="DI17" i="6"/>
  <c r="DJ17" i="6"/>
  <c r="DK17" i="6"/>
  <c r="DL17" i="6"/>
  <c r="DM17" i="6"/>
  <c r="DN17" i="6"/>
  <c r="DO17" i="6"/>
  <c r="DP17" i="6"/>
  <c r="DQ17" i="6"/>
  <c r="DR17" i="6"/>
  <c r="DS17" i="6"/>
  <c r="DT17" i="6"/>
  <c r="DU17" i="6"/>
  <c r="DV17" i="6"/>
  <c r="DW17" i="6"/>
  <c r="DX17" i="6"/>
  <c r="DY17" i="6"/>
  <c r="DZ17" i="6"/>
  <c r="EA17" i="6"/>
  <c r="EB17" i="6"/>
  <c r="EC17" i="6"/>
  <c r="ED17" i="6"/>
  <c r="EE17" i="6"/>
  <c r="EF17" i="6"/>
  <c r="EG17" i="6"/>
  <c r="EH17" i="6"/>
  <c r="EI17" i="6"/>
  <c r="EJ17" i="6"/>
  <c r="EK17" i="6"/>
  <c r="EL17" i="6"/>
  <c r="EM17" i="6"/>
  <c r="EN17" i="6"/>
  <c r="EO17" i="6"/>
  <c r="EP17" i="6"/>
  <c r="EQ17" i="6"/>
  <c r="ER17" i="6"/>
  <c r="ES17" i="6"/>
  <c r="ET17" i="6"/>
  <c r="EU17" i="6"/>
  <c r="EV17" i="6"/>
  <c r="EW17" i="6"/>
  <c r="EX17" i="6"/>
  <c r="EY17" i="6"/>
  <c r="EZ17" i="6"/>
  <c r="FA17" i="6"/>
  <c r="FB17" i="6"/>
  <c r="FC17" i="6"/>
  <c r="FD17" i="6"/>
  <c r="FE17" i="6"/>
  <c r="FF17" i="6"/>
  <c r="FG17" i="6"/>
  <c r="FH17" i="6"/>
  <c r="FI17" i="6"/>
  <c r="FJ17" i="6"/>
  <c r="FK17" i="6"/>
  <c r="FL17" i="6"/>
  <c r="FM17" i="6"/>
  <c r="FN17" i="6"/>
  <c r="FO17" i="6"/>
  <c r="FP17" i="6"/>
  <c r="FQ17" i="6"/>
  <c r="FR17" i="6"/>
  <c r="FS17" i="6"/>
  <c r="FT17" i="6"/>
  <c r="FU17" i="6"/>
  <c r="FV17" i="6"/>
  <c r="FW17" i="6"/>
  <c r="FX17" i="6"/>
  <c r="FY17" i="6"/>
  <c r="FZ17" i="6"/>
  <c r="GA17" i="6"/>
  <c r="GB17" i="6"/>
  <c r="GC17" i="6"/>
  <c r="GD17" i="6"/>
  <c r="GE17" i="6"/>
  <c r="GF17" i="6"/>
  <c r="GG17" i="6"/>
  <c r="GH17" i="6"/>
  <c r="GI17" i="6"/>
  <c r="GJ17" i="6"/>
  <c r="GK17" i="6"/>
  <c r="GL17" i="6"/>
  <c r="GM17" i="6"/>
  <c r="GN17" i="6"/>
  <c r="GO17" i="6"/>
  <c r="GP17" i="6"/>
  <c r="GQ17" i="6"/>
  <c r="GR17" i="6"/>
  <c r="GS17" i="6"/>
  <c r="GT17" i="6"/>
  <c r="GU17" i="6"/>
  <c r="GV17" i="6"/>
  <c r="GW17" i="6"/>
  <c r="GX17" i="6"/>
  <c r="GY17" i="6"/>
  <c r="GZ17" i="6"/>
  <c r="HA17" i="6"/>
  <c r="HB17" i="6"/>
  <c r="HC17" i="6"/>
  <c r="HD17" i="6"/>
  <c r="HE17" i="6"/>
  <c r="HF17" i="6"/>
  <c r="HG17" i="6"/>
  <c r="HH17" i="6"/>
  <c r="HI17" i="6"/>
  <c r="HJ17" i="6"/>
  <c r="HK17" i="6"/>
  <c r="HL17" i="6"/>
  <c r="HM17" i="6"/>
  <c r="HN17" i="6"/>
  <c r="HO17" i="6"/>
  <c r="HP17" i="6"/>
  <c r="HQ17" i="6"/>
  <c r="HR17" i="6"/>
  <c r="HS17" i="6"/>
  <c r="HT17" i="6"/>
  <c r="HU17" i="6"/>
  <c r="HV17" i="6"/>
  <c r="HW17" i="6"/>
  <c r="HX17" i="6"/>
  <c r="HY17" i="6"/>
  <c r="HZ17" i="6"/>
  <c r="IA17" i="6"/>
  <c r="IB17" i="6"/>
  <c r="IC17" i="6"/>
  <c r="ID17" i="6"/>
  <c r="IE17" i="6"/>
  <c r="IF17" i="6"/>
  <c r="IG17" i="6"/>
  <c r="IH17" i="6"/>
  <c r="II17" i="6"/>
  <c r="IJ17" i="6"/>
  <c r="IK17" i="6"/>
  <c r="IL17" i="6"/>
  <c r="IM17" i="6"/>
  <c r="IN17" i="6"/>
  <c r="IO17" i="6"/>
  <c r="IP17" i="6"/>
  <c r="IQ17" i="6"/>
  <c r="IR17" i="6"/>
  <c r="IS17" i="6"/>
  <c r="IT17" i="6"/>
  <c r="IU17" i="6"/>
  <c r="IV17" i="6"/>
  <c r="IW17" i="6"/>
  <c r="IX17" i="6"/>
  <c r="IY17" i="6"/>
  <c r="IZ17" i="6"/>
  <c r="JA17" i="6"/>
  <c r="JB17" i="6"/>
  <c r="JC17" i="6"/>
  <c r="JD17" i="6"/>
  <c r="JE17" i="6"/>
  <c r="JF17" i="6"/>
  <c r="JG17" i="6"/>
  <c r="JH17" i="6"/>
  <c r="JI17" i="6"/>
  <c r="JJ17" i="6"/>
  <c r="JK17" i="6"/>
  <c r="JL17" i="6"/>
  <c r="JM17" i="6"/>
  <c r="JN17" i="6"/>
  <c r="JO17" i="6"/>
  <c r="JP17" i="6"/>
  <c r="JQ17" i="6"/>
  <c r="JR17" i="6"/>
  <c r="JS17" i="6"/>
  <c r="JT17" i="6"/>
  <c r="JU17" i="6"/>
  <c r="JV17" i="6"/>
  <c r="JW17" i="6"/>
  <c r="JX17" i="6"/>
  <c r="JY17" i="6"/>
  <c r="JZ17" i="6"/>
  <c r="KA17" i="6"/>
  <c r="KB17" i="6"/>
  <c r="KC17" i="6"/>
  <c r="KD17" i="6"/>
  <c r="KE17" i="6"/>
  <c r="KF17" i="6"/>
  <c r="KG17" i="6"/>
  <c r="KH17" i="6"/>
  <c r="KI17" i="6"/>
  <c r="KJ17" i="6"/>
  <c r="KK17" i="6"/>
  <c r="KL17" i="6"/>
  <c r="KM17" i="6"/>
  <c r="KN17" i="6"/>
  <c r="KO17" i="6"/>
  <c r="KP17" i="6"/>
  <c r="KQ17" i="6"/>
  <c r="KR17" i="6"/>
  <c r="KS17" i="6"/>
  <c r="KT17" i="6"/>
  <c r="KU17" i="6"/>
  <c r="KV17" i="6"/>
  <c r="KW17" i="6"/>
  <c r="KX17" i="6"/>
  <c r="KY17" i="6"/>
  <c r="KZ17" i="6"/>
  <c r="LA17" i="6"/>
  <c r="LB17" i="6"/>
  <c r="LC17" i="6"/>
  <c r="LD17" i="6"/>
  <c r="LE17" i="6"/>
  <c r="LF17" i="6"/>
  <c r="LG17" i="6"/>
  <c r="LH17" i="6"/>
  <c r="LI17" i="6"/>
  <c r="LJ17" i="6"/>
  <c r="LK17" i="6"/>
  <c r="LL17" i="6"/>
  <c r="LM17" i="6"/>
  <c r="LN17" i="6"/>
  <c r="LO17" i="6"/>
  <c r="LP17" i="6"/>
  <c r="LQ17" i="6"/>
  <c r="LR17" i="6"/>
  <c r="LS17" i="6"/>
  <c r="LT17" i="6"/>
  <c r="LU17" i="6"/>
  <c r="LV17" i="6"/>
  <c r="LW17" i="6"/>
  <c r="LX17" i="6"/>
  <c r="LY17" i="6"/>
  <c r="LZ17" i="6"/>
  <c r="MA17" i="6"/>
  <c r="MB17" i="6"/>
  <c r="MC17" i="6"/>
  <c r="MD17" i="6"/>
  <c r="ME17" i="6"/>
  <c r="MF17" i="6"/>
  <c r="MG17" i="6"/>
  <c r="MH17" i="6"/>
  <c r="MI17" i="6"/>
  <c r="MJ17" i="6"/>
  <c r="MK17" i="6"/>
  <c r="ML17" i="6"/>
  <c r="MM17" i="6"/>
  <c r="MN17" i="6"/>
  <c r="MO17" i="6"/>
  <c r="MP17" i="6"/>
  <c r="MQ17" i="6"/>
  <c r="MR17" i="6"/>
  <c r="MS17" i="6"/>
  <c r="MT17" i="6"/>
  <c r="MU17" i="6"/>
  <c r="MV17" i="6"/>
  <c r="MW17" i="6"/>
  <c r="MX17" i="6"/>
  <c r="MY17" i="6"/>
  <c r="MZ17" i="6"/>
  <c r="NA17" i="6"/>
  <c r="NB17" i="6"/>
  <c r="NC17" i="6"/>
  <c r="ND17" i="6"/>
  <c r="NE17" i="6"/>
  <c r="NF17" i="6"/>
  <c r="NG17" i="6"/>
  <c r="NH17" i="6"/>
  <c r="NI17" i="6"/>
  <c r="NJ17" i="6"/>
  <c r="NK17" i="6"/>
  <c r="NL17" i="6"/>
  <c r="NM17" i="6"/>
  <c r="NN17" i="6"/>
  <c r="NO17" i="6"/>
  <c r="NP17" i="6"/>
  <c r="NQ17" i="6"/>
  <c r="NR17" i="6"/>
  <c r="NS17" i="6"/>
  <c r="NT17" i="6"/>
  <c r="NU17" i="6"/>
  <c r="NV17" i="6"/>
  <c r="NW17" i="6"/>
  <c r="NX17" i="6"/>
  <c r="NY17" i="6"/>
  <c r="NZ17" i="6"/>
  <c r="OA17" i="6"/>
  <c r="OB17" i="6"/>
  <c r="OC17" i="6"/>
  <c r="OD17" i="6"/>
  <c r="OE17" i="6"/>
  <c r="OF17" i="6"/>
  <c r="AF17" i="6"/>
  <c r="AF15" i="6"/>
  <c r="AF14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AR13" i="6"/>
  <c r="AS13" i="6"/>
  <c r="AT13" i="6"/>
  <c r="AU13" i="6"/>
  <c r="AV13" i="6"/>
  <c r="AW13" i="6"/>
  <c r="AX13" i="6"/>
  <c r="AY13" i="6"/>
  <c r="AZ13" i="6"/>
  <c r="BA13" i="6"/>
  <c r="BB13" i="6"/>
  <c r="BC13" i="6"/>
  <c r="BD13" i="6"/>
  <c r="BE13" i="6"/>
  <c r="BF13" i="6"/>
  <c r="BG13" i="6"/>
  <c r="BH13" i="6"/>
  <c r="BI13" i="6"/>
  <c r="BJ13" i="6"/>
  <c r="BK13" i="6"/>
  <c r="BL13" i="6"/>
  <c r="BM13" i="6"/>
  <c r="BN13" i="6"/>
  <c r="BO13" i="6"/>
  <c r="BP13" i="6"/>
  <c r="BQ13" i="6"/>
  <c r="BR13" i="6"/>
  <c r="BS13" i="6"/>
  <c r="BT13" i="6"/>
  <c r="BU13" i="6"/>
  <c r="BV13" i="6"/>
  <c r="BW13" i="6"/>
  <c r="BX13" i="6"/>
  <c r="BY13" i="6"/>
  <c r="BZ13" i="6"/>
  <c r="CA13" i="6"/>
  <c r="CB13" i="6"/>
  <c r="CC13" i="6"/>
  <c r="CD13" i="6"/>
  <c r="CE13" i="6"/>
  <c r="CF13" i="6"/>
  <c r="CG13" i="6"/>
  <c r="CH13" i="6"/>
  <c r="CI13" i="6"/>
  <c r="CJ13" i="6"/>
  <c r="CK13" i="6"/>
  <c r="CL13" i="6"/>
  <c r="CM13" i="6"/>
  <c r="CN13" i="6"/>
  <c r="CO13" i="6"/>
  <c r="CP13" i="6"/>
  <c r="CQ13" i="6"/>
  <c r="CR13" i="6"/>
  <c r="CS13" i="6"/>
  <c r="CT13" i="6"/>
  <c r="CU13" i="6"/>
  <c r="CV13" i="6"/>
  <c r="CW13" i="6"/>
  <c r="CX13" i="6"/>
  <c r="CY13" i="6"/>
  <c r="CZ13" i="6"/>
  <c r="DA13" i="6"/>
  <c r="DB13" i="6"/>
  <c r="DC13" i="6"/>
  <c r="DD13" i="6"/>
  <c r="DE13" i="6"/>
  <c r="DF13" i="6"/>
  <c r="DG13" i="6"/>
  <c r="DH13" i="6"/>
  <c r="DI13" i="6"/>
  <c r="DJ13" i="6"/>
  <c r="DK13" i="6"/>
  <c r="DL13" i="6"/>
  <c r="DM13" i="6"/>
  <c r="DN13" i="6"/>
  <c r="DO13" i="6"/>
  <c r="DP13" i="6"/>
  <c r="DQ13" i="6"/>
  <c r="DR13" i="6"/>
  <c r="DS13" i="6"/>
  <c r="DT13" i="6"/>
  <c r="DU13" i="6"/>
  <c r="DV13" i="6"/>
  <c r="DW13" i="6"/>
  <c r="DX13" i="6"/>
  <c r="DY13" i="6"/>
  <c r="DZ13" i="6"/>
  <c r="EA13" i="6"/>
  <c r="EB13" i="6"/>
  <c r="EC13" i="6"/>
  <c r="ED13" i="6"/>
  <c r="EE13" i="6"/>
  <c r="EF13" i="6"/>
  <c r="EG13" i="6"/>
  <c r="EH13" i="6"/>
  <c r="EI13" i="6"/>
  <c r="EJ13" i="6"/>
  <c r="EK13" i="6"/>
  <c r="EL13" i="6"/>
  <c r="EM13" i="6"/>
  <c r="EN13" i="6"/>
  <c r="EO13" i="6"/>
  <c r="EP13" i="6"/>
  <c r="EQ13" i="6"/>
  <c r="ER13" i="6"/>
  <c r="ES13" i="6"/>
  <c r="ET13" i="6"/>
  <c r="EU13" i="6"/>
  <c r="EV13" i="6"/>
  <c r="EW13" i="6"/>
  <c r="EX13" i="6"/>
  <c r="EY13" i="6"/>
  <c r="EZ13" i="6"/>
  <c r="FA13" i="6"/>
  <c r="FB13" i="6"/>
  <c r="FC13" i="6"/>
  <c r="FD13" i="6"/>
  <c r="FE13" i="6"/>
  <c r="FF13" i="6"/>
  <c r="FG13" i="6"/>
  <c r="FH13" i="6"/>
  <c r="FI13" i="6"/>
  <c r="FJ13" i="6"/>
  <c r="FK13" i="6"/>
  <c r="FL13" i="6"/>
  <c r="FM13" i="6"/>
  <c r="FN13" i="6"/>
  <c r="FO13" i="6"/>
  <c r="FP13" i="6"/>
  <c r="FQ13" i="6"/>
  <c r="FR13" i="6"/>
  <c r="FS13" i="6"/>
  <c r="FT13" i="6"/>
  <c r="FU13" i="6"/>
  <c r="FV13" i="6"/>
  <c r="FW13" i="6"/>
  <c r="FX13" i="6"/>
  <c r="FY13" i="6"/>
  <c r="FZ13" i="6"/>
  <c r="GA13" i="6"/>
  <c r="GB13" i="6"/>
  <c r="GC13" i="6"/>
  <c r="GD13" i="6"/>
  <c r="GE13" i="6"/>
  <c r="GF13" i="6"/>
  <c r="GG13" i="6"/>
  <c r="GH13" i="6"/>
  <c r="GI13" i="6"/>
  <c r="GJ13" i="6"/>
  <c r="GK13" i="6"/>
  <c r="GL13" i="6"/>
  <c r="GM13" i="6"/>
  <c r="GN13" i="6"/>
  <c r="GO13" i="6"/>
  <c r="GP13" i="6"/>
  <c r="GQ13" i="6"/>
  <c r="GR13" i="6"/>
  <c r="GS13" i="6"/>
  <c r="GT13" i="6"/>
  <c r="GU13" i="6"/>
  <c r="GV13" i="6"/>
  <c r="GW13" i="6"/>
  <c r="GX13" i="6"/>
  <c r="GY13" i="6"/>
  <c r="GZ13" i="6"/>
  <c r="HA13" i="6"/>
  <c r="HB13" i="6"/>
  <c r="HC13" i="6"/>
  <c r="HD13" i="6"/>
  <c r="HE13" i="6"/>
  <c r="HF13" i="6"/>
  <c r="HG13" i="6"/>
  <c r="HH13" i="6"/>
  <c r="HI13" i="6"/>
  <c r="HJ13" i="6"/>
  <c r="HK13" i="6"/>
  <c r="HL13" i="6"/>
  <c r="HM13" i="6"/>
  <c r="HN13" i="6"/>
  <c r="HO13" i="6"/>
  <c r="HP13" i="6"/>
  <c r="HQ13" i="6"/>
  <c r="HR13" i="6"/>
  <c r="HS13" i="6"/>
  <c r="HT13" i="6"/>
  <c r="HU13" i="6"/>
  <c r="HV13" i="6"/>
  <c r="HW13" i="6"/>
  <c r="IM13" i="6"/>
  <c r="IN13" i="6"/>
  <c r="IO13" i="6"/>
  <c r="IP13" i="6"/>
  <c r="IQ13" i="6"/>
  <c r="IR13" i="6"/>
  <c r="IS13" i="6"/>
  <c r="IT13" i="6"/>
  <c r="IU13" i="6"/>
  <c r="IV13" i="6"/>
  <c r="IW13" i="6"/>
  <c r="IX13" i="6"/>
  <c r="IY13" i="6"/>
  <c r="IZ13" i="6"/>
  <c r="JA13" i="6"/>
  <c r="JB13" i="6"/>
  <c r="JC13" i="6"/>
  <c r="JD13" i="6"/>
  <c r="JE13" i="6"/>
  <c r="JF13" i="6"/>
  <c r="JG13" i="6"/>
  <c r="JH13" i="6"/>
  <c r="JI13" i="6"/>
  <c r="JJ13" i="6"/>
  <c r="JK13" i="6"/>
  <c r="JL13" i="6"/>
  <c r="JM13" i="6"/>
  <c r="JN13" i="6"/>
  <c r="JO13" i="6"/>
  <c r="JP13" i="6"/>
  <c r="JQ13" i="6"/>
  <c r="JR13" i="6"/>
  <c r="JS13" i="6"/>
  <c r="JT13" i="6"/>
  <c r="JU13" i="6"/>
  <c r="JV13" i="6"/>
  <c r="JW13" i="6"/>
  <c r="JX13" i="6"/>
  <c r="JY13" i="6"/>
  <c r="JZ13" i="6"/>
  <c r="KA13" i="6"/>
  <c r="KB13" i="6"/>
  <c r="KC13" i="6"/>
  <c r="KD13" i="6"/>
  <c r="KE13" i="6"/>
  <c r="KF13" i="6"/>
  <c r="KG13" i="6"/>
  <c r="KH13" i="6"/>
  <c r="KI13" i="6"/>
  <c r="KJ13" i="6"/>
  <c r="KK13" i="6"/>
  <c r="KL13" i="6"/>
  <c r="KM13" i="6"/>
  <c r="KN13" i="6"/>
  <c r="KO13" i="6"/>
  <c r="KP13" i="6"/>
  <c r="KQ13" i="6"/>
  <c r="KR13" i="6"/>
  <c r="KS13" i="6"/>
  <c r="KT13" i="6"/>
  <c r="KU13" i="6"/>
  <c r="KV13" i="6"/>
  <c r="KW13" i="6"/>
  <c r="KX13" i="6"/>
  <c r="KY13" i="6"/>
  <c r="KZ13" i="6"/>
  <c r="LA13" i="6"/>
  <c r="LB13" i="6"/>
  <c r="LC13" i="6"/>
  <c r="LD13" i="6"/>
  <c r="LE13" i="6"/>
  <c r="LF13" i="6"/>
  <c r="LG13" i="6"/>
  <c r="LH13" i="6"/>
  <c r="LI13" i="6"/>
  <c r="LJ13" i="6"/>
  <c r="LK13" i="6"/>
  <c r="LL13" i="6"/>
  <c r="LM13" i="6"/>
  <c r="LN13" i="6"/>
  <c r="LO13" i="6"/>
  <c r="LP13" i="6"/>
  <c r="LQ13" i="6"/>
  <c r="LR13" i="6"/>
  <c r="LS13" i="6"/>
  <c r="LT13" i="6"/>
  <c r="LU13" i="6"/>
  <c r="LV13" i="6"/>
  <c r="LW13" i="6"/>
  <c r="LX13" i="6"/>
  <c r="LY13" i="6"/>
  <c r="LZ13" i="6"/>
  <c r="MA13" i="6"/>
  <c r="MB13" i="6"/>
  <c r="MC13" i="6"/>
  <c r="MD13" i="6"/>
  <c r="ME13" i="6"/>
  <c r="MF13" i="6"/>
  <c r="MG13" i="6"/>
  <c r="MH13" i="6"/>
  <c r="MI13" i="6"/>
  <c r="MJ13" i="6"/>
  <c r="MK13" i="6"/>
  <c r="ML13" i="6"/>
  <c r="MM13" i="6"/>
  <c r="MN13" i="6"/>
  <c r="MO13" i="6"/>
  <c r="MP13" i="6"/>
  <c r="MQ13" i="6"/>
  <c r="MR13" i="6"/>
  <c r="MS13" i="6"/>
  <c r="MT13" i="6"/>
  <c r="MU13" i="6"/>
  <c r="MV13" i="6"/>
  <c r="MW13" i="6"/>
  <c r="MX13" i="6"/>
  <c r="MY13" i="6"/>
  <c r="MZ13" i="6"/>
  <c r="NA13" i="6"/>
  <c r="NB13" i="6"/>
  <c r="NC13" i="6"/>
  <c r="ND13" i="6"/>
  <c r="NE13" i="6"/>
  <c r="NF13" i="6"/>
  <c r="NG13" i="6"/>
  <c r="NH13" i="6"/>
  <c r="NI13" i="6"/>
  <c r="NJ13" i="6"/>
  <c r="NK13" i="6"/>
  <c r="NL13" i="6"/>
  <c r="NM13" i="6"/>
  <c r="NN13" i="6"/>
  <c r="NO13" i="6"/>
  <c r="NP13" i="6"/>
  <c r="NQ13" i="6"/>
  <c r="NR13" i="6"/>
  <c r="NS13" i="6"/>
  <c r="NT13" i="6"/>
  <c r="NU13" i="6"/>
  <c r="NV13" i="6"/>
  <c r="NW13" i="6"/>
  <c r="NX13" i="6"/>
  <c r="NY13" i="6"/>
  <c r="NZ13" i="6"/>
  <c r="OA13" i="6"/>
  <c r="OB13" i="6"/>
  <c r="OC13" i="6"/>
  <c r="OD13" i="6"/>
  <c r="OE13" i="6"/>
  <c r="OF13" i="6"/>
  <c r="IK13" i="6"/>
  <c r="IL13" i="6"/>
  <c r="HY13" i="6"/>
  <c r="HZ13" i="6"/>
  <c r="IA13" i="6"/>
  <c r="IB13" i="6"/>
  <c r="IC13" i="6"/>
  <c r="ID13" i="6"/>
  <c r="IE13" i="6"/>
  <c r="IF13" i="6"/>
  <c r="IG13" i="6"/>
  <c r="IH13" i="6"/>
  <c r="II13" i="6"/>
  <c r="IJ13" i="6"/>
  <c r="F18" i="5"/>
  <c r="AA10" i="6"/>
  <c r="AA9" i="6"/>
  <c r="Z9" i="6"/>
  <c r="Z10" i="6"/>
  <c r="X9" i="6"/>
  <c r="Y9" i="6"/>
  <c r="Y10" i="6"/>
  <c r="F19" i="5"/>
  <c r="AV18" i="6" l="1"/>
  <c r="AT18" i="6"/>
  <c r="AU18" i="6"/>
  <c r="AV19" i="6"/>
  <c r="AU19" i="6"/>
  <c r="AT19" i="6"/>
  <c r="AS19" i="6"/>
  <c r="AS18" i="6"/>
  <c r="Z42" i="6"/>
  <c r="AA44" i="6"/>
  <c r="AA43" i="6"/>
  <c r="AA42" i="6"/>
  <c r="Z43" i="6"/>
  <c r="Z44" i="6"/>
  <c r="Y42" i="6"/>
  <c r="Y44" i="6"/>
  <c r="Y43" i="6"/>
  <c r="X42" i="6"/>
  <c r="X44" i="6"/>
  <c r="I17" i="5" s="1"/>
  <c r="X43" i="6"/>
  <c r="J17" i="5" s="1"/>
  <c r="U42" i="6" l="1"/>
  <c r="U43" i="6"/>
  <c r="U44" i="6"/>
  <c r="F22" i="5" l="1"/>
  <c r="F23" i="5"/>
  <c r="F24" i="5"/>
  <c r="F26" i="5"/>
  <c r="F27" i="5"/>
  <c r="F17" i="5"/>
  <c r="F21" i="5"/>
  <c r="Q2" i="5" l="1"/>
</calcChain>
</file>

<file path=xl/sharedStrings.xml><?xml version="1.0" encoding="utf-8"?>
<sst xmlns="http://schemas.openxmlformats.org/spreadsheetml/2006/main" count="911" uniqueCount="521">
  <si>
    <t xml:space="preserve">RUN UP </t>
  </si>
  <si>
    <t>EFB</t>
  </si>
  <si>
    <t>PEMP</t>
  </si>
  <si>
    <t>C</t>
  </si>
  <si>
    <t>B2</t>
  </si>
  <si>
    <t>APRS</t>
  </si>
  <si>
    <t>BADGE ROUGE</t>
  </si>
  <si>
    <t>EWIS</t>
  </si>
  <si>
    <t>HUMAN FACTOR</t>
  </si>
  <si>
    <t>FUEL TANK FACTOR</t>
  </si>
  <si>
    <t>TEAM</t>
  </si>
  <si>
    <t>ID</t>
  </si>
  <si>
    <t>NOMS</t>
  </si>
  <si>
    <t>FORMATIONS</t>
  </si>
  <si>
    <t>LICENCE</t>
  </si>
  <si>
    <t>X</t>
  </si>
  <si>
    <t>MATRICULE</t>
  </si>
  <si>
    <t xml:space="preserve">BADGE ROUGE </t>
  </si>
  <si>
    <t>BOROSCOPE</t>
  </si>
  <si>
    <t>JOUR(S)</t>
  </si>
  <si>
    <t>STATUS</t>
  </si>
  <si>
    <t>2 DEFAUT</t>
  </si>
  <si>
    <t>EXPIRE</t>
  </si>
  <si>
    <t>Paramètres d'alerte</t>
  </si>
  <si>
    <t>-</t>
  </si>
  <si>
    <t xml:space="preserve"> IDLE</t>
  </si>
  <si>
    <t xml:space="preserve">N° APRS </t>
  </si>
  <si>
    <t xml:space="preserve">B1 </t>
  </si>
  <si>
    <t xml:space="preserve">TRI   </t>
  </si>
  <si>
    <t>D</t>
  </si>
  <si>
    <t>L</t>
  </si>
  <si>
    <t>M</t>
  </si>
  <si>
    <t>J</t>
  </si>
  <si>
    <t>V</t>
  </si>
  <si>
    <t>S</t>
  </si>
  <si>
    <t>1/1</t>
  </si>
  <si>
    <t>1/2</t>
  </si>
  <si>
    <t>2/1</t>
  </si>
  <si>
    <t>2/2</t>
  </si>
  <si>
    <t>1/3</t>
  </si>
  <si>
    <t>2/3</t>
  </si>
  <si>
    <t>JANVIER</t>
  </si>
  <si>
    <t>A1</t>
  </si>
  <si>
    <t>1/4</t>
  </si>
  <si>
    <t>1/5</t>
  </si>
  <si>
    <t>1/6</t>
  </si>
  <si>
    <t>1/7</t>
  </si>
  <si>
    <t>1/8</t>
  </si>
  <si>
    <t>1/9</t>
  </si>
  <si>
    <t>1/10</t>
  </si>
  <si>
    <t>1/11</t>
  </si>
  <si>
    <t>1/12</t>
  </si>
  <si>
    <t>31/1</t>
  </si>
  <si>
    <t>30/1</t>
  </si>
  <si>
    <t>29/1</t>
  </si>
  <si>
    <t>28/1</t>
  </si>
  <si>
    <t>27/1</t>
  </si>
  <si>
    <t>26/1</t>
  </si>
  <si>
    <t>25/1</t>
  </si>
  <si>
    <t>24/1</t>
  </si>
  <si>
    <t>23/1</t>
  </si>
  <si>
    <t>22/1</t>
  </si>
  <si>
    <t>21/1</t>
  </si>
  <si>
    <t>20/1</t>
  </si>
  <si>
    <t>19/1</t>
  </si>
  <si>
    <t>18/1</t>
  </si>
  <si>
    <t>17/1</t>
  </si>
  <si>
    <t>16/1</t>
  </si>
  <si>
    <t>15/1</t>
  </si>
  <si>
    <t>14/1</t>
  </si>
  <si>
    <t>13/1</t>
  </si>
  <si>
    <t>12/1</t>
  </si>
  <si>
    <t>11/1</t>
  </si>
  <si>
    <t>10/1</t>
  </si>
  <si>
    <t>9/1</t>
  </si>
  <si>
    <t>8/1</t>
  </si>
  <si>
    <t>7/1</t>
  </si>
  <si>
    <t>6/1</t>
  </si>
  <si>
    <t>5/1</t>
  </si>
  <si>
    <t>4/1</t>
  </si>
  <si>
    <t>3/1</t>
  </si>
  <si>
    <t>30/3</t>
  </si>
  <si>
    <t>31/3</t>
  </si>
  <si>
    <t>30/4</t>
  </si>
  <si>
    <t>30/5</t>
  </si>
  <si>
    <t>31/5</t>
  </si>
  <si>
    <t>30/6</t>
  </si>
  <si>
    <t>30/7</t>
  </si>
  <si>
    <t>31/7</t>
  </si>
  <si>
    <t>30/8</t>
  </si>
  <si>
    <t>31/8</t>
  </si>
  <si>
    <t>30/9</t>
  </si>
  <si>
    <t>30/10</t>
  </si>
  <si>
    <t>31/10</t>
  </si>
  <si>
    <t>30/11</t>
  </si>
  <si>
    <t>30/12</t>
  </si>
  <si>
    <t>31/12</t>
  </si>
  <si>
    <t>3/2</t>
  </si>
  <si>
    <t>4/2</t>
  </si>
  <si>
    <t>5/2</t>
  </si>
  <si>
    <t>6/2</t>
  </si>
  <si>
    <t>7/2</t>
  </si>
  <si>
    <t>8/2</t>
  </si>
  <si>
    <t>9/2</t>
  </si>
  <si>
    <t>10/2</t>
  </si>
  <si>
    <t>11/2</t>
  </si>
  <si>
    <t>12/2</t>
  </si>
  <si>
    <t>13/2</t>
  </si>
  <si>
    <t>14/2</t>
  </si>
  <si>
    <t>15/2</t>
  </si>
  <si>
    <t>16/2</t>
  </si>
  <si>
    <t>17/2</t>
  </si>
  <si>
    <t>18/2</t>
  </si>
  <si>
    <t>19/2</t>
  </si>
  <si>
    <t>20/2</t>
  </si>
  <si>
    <t>21/2</t>
  </si>
  <si>
    <t>22/2</t>
  </si>
  <si>
    <t>23/2</t>
  </si>
  <si>
    <t>24/2</t>
  </si>
  <si>
    <t>25/2</t>
  </si>
  <si>
    <t>26/2</t>
  </si>
  <si>
    <t>27/2</t>
  </si>
  <si>
    <t>28/2</t>
  </si>
  <si>
    <t>3/3</t>
  </si>
  <si>
    <t>4/3</t>
  </si>
  <si>
    <t>5/3</t>
  </si>
  <si>
    <t>6/3</t>
  </si>
  <si>
    <t>7/3</t>
  </si>
  <si>
    <t>8/3</t>
  </si>
  <si>
    <t>9/3</t>
  </si>
  <si>
    <t>10/3</t>
  </si>
  <si>
    <t>11/3</t>
  </si>
  <si>
    <t>12/3</t>
  </si>
  <si>
    <t>13/3</t>
  </si>
  <si>
    <t>14/3</t>
  </si>
  <si>
    <t>15/3</t>
  </si>
  <si>
    <t>16/3</t>
  </si>
  <si>
    <t>17/3</t>
  </si>
  <si>
    <t>18/3</t>
  </si>
  <si>
    <t>19/3</t>
  </si>
  <si>
    <t>20/3</t>
  </si>
  <si>
    <t>21/3</t>
  </si>
  <si>
    <t>22/3</t>
  </si>
  <si>
    <t>23/3</t>
  </si>
  <si>
    <t>24/3</t>
  </si>
  <si>
    <t>25/3</t>
  </si>
  <si>
    <t>26/3</t>
  </si>
  <si>
    <t>27/3</t>
  </si>
  <si>
    <t>28/3</t>
  </si>
  <si>
    <t>29/3</t>
  </si>
  <si>
    <t>2/4</t>
  </si>
  <si>
    <t>3/4</t>
  </si>
  <si>
    <t>4/4</t>
  </si>
  <si>
    <t>5/4</t>
  </si>
  <si>
    <t>6/4</t>
  </si>
  <si>
    <t>7/4</t>
  </si>
  <si>
    <t>8/4</t>
  </si>
  <si>
    <t>9/4</t>
  </si>
  <si>
    <t>10/4</t>
  </si>
  <si>
    <t>11/4</t>
  </si>
  <si>
    <t>12/4</t>
  </si>
  <si>
    <t>13/4</t>
  </si>
  <si>
    <t>14/4</t>
  </si>
  <si>
    <t>15/4</t>
  </si>
  <si>
    <t>16/4</t>
  </si>
  <si>
    <t>17/4</t>
  </si>
  <si>
    <t>18/4</t>
  </si>
  <si>
    <t>19/4</t>
  </si>
  <si>
    <t>20/4</t>
  </si>
  <si>
    <t>21/4</t>
  </si>
  <si>
    <t>22/4</t>
  </si>
  <si>
    <t>23/4</t>
  </si>
  <si>
    <t>24/4</t>
  </si>
  <si>
    <t>25/4</t>
  </si>
  <si>
    <t>26/4</t>
  </si>
  <si>
    <t>27/4</t>
  </si>
  <si>
    <t>28/4</t>
  </si>
  <si>
    <t>29/4</t>
  </si>
  <si>
    <t>2/5</t>
  </si>
  <si>
    <t>3/5</t>
  </si>
  <si>
    <t>4/5</t>
  </si>
  <si>
    <t>5/5</t>
  </si>
  <si>
    <t>6/5</t>
  </si>
  <si>
    <t>7/5</t>
  </si>
  <si>
    <t>8/5</t>
  </si>
  <si>
    <t>9/5</t>
  </si>
  <si>
    <t>10/5</t>
  </si>
  <si>
    <t>11/5</t>
  </si>
  <si>
    <t>12/5</t>
  </si>
  <si>
    <t>13/5</t>
  </si>
  <si>
    <t>14/5</t>
  </si>
  <si>
    <t>15/5</t>
  </si>
  <si>
    <t>16/5</t>
  </si>
  <si>
    <t>17/5</t>
  </si>
  <si>
    <t>18/5</t>
  </si>
  <si>
    <t>19/5</t>
  </si>
  <si>
    <t>20/5</t>
  </si>
  <si>
    <t>21/5</t>
  </si>
  <si>
    <t>22/5</t>
  </si>
  <si>
    <t>23/5</t>
  </si>
  <si>
    <t>24/5</t>
  </si>
  <si>
    <t>25/5</t>
  </si>
  <si>
    <t>26/5</t>
  </si>
  <si>
    <t>27/5</t>
  </si>
  <si>
    <t>28/5</t>
  </si>
  <si>
    <t>29/5</t>
  </si>
  <si>
    <t>2/6</t>
  </si>
  <si>
    <t>3/6</t>
  </si>
  <si>
    <t>4/6</t>
  </si>
  <si>
    <t>5/6</t>
  </si>
  <si>
    <t>6/6</t>
  </si>
  <si>
    <t>7/6</t>
  </si>
  <si>
    <t>8/6</t>
  </si>
  <si>
    <t>FEVRIER</t>
  </si>
  <si>
    <t>MARS</t>
  </si>
  <si>
    <t>AVRIL</t>
  </si>
  <si>
    <t>MAI</t>
  </si>
  <si>
    <t>3/7</t>
  </si>
  <si>
    <t>4/7</t>
  </si>
  <si>
    <t>5/7</t>
  </si>
  <si>
    <t>6/7</t>
  </si>
  <si>
    <t>7/7</t>
  </si>
  <si>
    <t>8/7</t>
  </si>
  <si>
    <t>3/8</t>
  </si>
  <si>
    <t>4/8</t>
  </si>
  <si>
    <t>5/8</t>
  </si>
  <si>
    <t>6/8</t>
  </si>
  <si>
    <t>7/8</t>
  </si>
  <si>
    <t>8/8</t>
  </si>
  <si>
    <t>3/9</t>
  </si>
  <si>
    <t>4/9</t>
  </si>
  <si>
    <t>5/9</t>
  </si>
  <si>
    <t>6/9</t>
  </si>
  <si>
    <t>7/9</t>
  </si>
  <si>
    <t>8/9</t>
  </si>
  <si>
    <t>3/10</t>
  </si>
  <si>
    <t>4/10</t>
  </si>
  <si>
    <t>5/10</t>
  </si>
  <si>
    <t>6/10</t>
  </si>
  <si>
    <t>7/10</t>
  </si>
  <si>
    <t>8/10</t>
  </si>
  <si>
    <t>3/11</t>
  </si>
  <si>
    <t>4/11</t>
  </si>
  <si>
    <t>5/11</t>
  </si>
  <si>
    <t>6/11</t>
  </si>
  <si>
    <t>7/11</t>
  </si>
  <si>
    <t>8/11</t>
  </si>
  <si>
    <t>3/12</t>
  </si>
  <si>
    <t>4/12</t>
  </si>
  <si>
    <t>5/12</t>
  </si>
  <si>
    <t>6/12</t>
  </si>
  <si>
    <t>7/12</t>
  </si>
  <si>
    <t>8/12</t>
  </si>
  <si>
    <t>9/6</t>
  </si>
  <si>
    <t>10/6</t>
  </si>
  <si>
    <t>11/6</t>
  </si>
  <si>
    <t>12/6</t>
  </si>
  <si>
    <t>13/6</t>
  </si>
  <si>
    <t>14/6</t>
  </si>
  <si>
    <t>15/6</t>
  </si>
  <si>
    <t>16/6</t>
  </si>
  <si>
    <t>17/6</t>
  </si>
  <si>
    <t>18/6</t>
  </si>
  <si>
    <t>19/6</t>
  </si>
  <si>
    <t>20/6</t>
  </si>
  <si>
    <t>21/6</t>
  </si>
  <si>
    <t>22/6</t>
  </si>
  <si>
    <t>23/6</t>
  </si>
  <si>
    <t>24/6</t>
  </si>
  <si>
    <t>25/6</t>
  </si>
  <si>
    <t>26/6</t>
  </si>
  <si>
    <t>27/6</t>
  </si>
  <si>
    <t>28/6</t>
  </si>
  <si>
    <t>29/6</t>
  </si>
  <si>
    <t>2/7</t>
  </si>
  <si>
    <t>9/7</t>
  </si>
  <si>
    <t>10/7</t>
  </si>
  <si>
    <t>11/7</t>
  </si>
  <si>
    <t>12/7</t>
  </si>
  <si>
    <t>13/7</t>
  </si>
  <si>
    <t>14/7</t>
  </si>
  <si>
    <t>15/7</t>
  </si>
  <si>
    <t>16/7</t>
  </si>
  <si>
    <t>17/7</t>
  </si>
  <si>
    <t>18/7</t>
  </si>
  <si>
    <t>19/7</t>
  </si>
  <si>
    <t>20/7</t>
  </si>
  <si>
    <t>21/7</t>
  </si>
  <si>
    <t>22/7</t>
  </si>
  <si>
    <t>23/7</t>
  </si>
  <si>
    <t>24/7</t>
  </si>
  <si>
    <t>25/7</t>
  </si>
  <si>
    <t>26/7</t>
  </si>
  <si>
    <t>27/7</t>
  </si>
  <si>
    <t>28/7</t>
  </si>
  <si>
    <t>29/7</t>
  </si>
  <si>
    <t>2/8</t>
  </si>
  <si>
    <t>9/8</t>
  </si>
  <si>
    <t>10/8</t>
  </si>
  <si>
    <t>11/8</t>
  </si>
  <si>
    <t>12/8</t>
  </si>
  <si>
    <t>13/8</t>
  </si>
  <si>
    <t>14/8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</si>
  <si>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</si>
  <si>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</si>
  <si>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</si>
  <si>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</si>
  <si>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</si>
  <si>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</si>
  <si>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</si>
  <si>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</si>
  <si>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</si>
  <si>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</si>
  <si>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</si>
  <si>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</si>
  <si>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</si>
  <si>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</si>
  <si>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</si>
  <si>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2/9</t>
  </si>
  <si>
    <t>9/9</t>
  </si>
  <si>
    <t>10/9</t>
  </si>
  <si>
    <t>11/9</t>
  </si>
  <si>
    <t>12/9</t>
  </si>
  <si>
    <t>13/9</t>
  </si>
  <si>
    <t>14/9</t>
  </si>
  <si>
    <t>15/9</t>
  </si>
  <si>
    <t>16/9</t>
  </si>
  <si>
    <t>17/9</t>
  </si>
  <si>
    <t>18/9</t>
  </si>
  <si>
    <t>19/9</t>
  </si>
  <si>
    <t>20/9</t>
  </si>
  <si>
    <t>21/9</t>
  </si>
  <si>
    <t>22/9</t>
  </si>
  <si>
    <t>23/9</t>
  </si>
  <si>
    <t>24/9</t>
  </si>
  <si>
    <t>25/9</t>
  </si>
  <si>
    <t>26/9</t>
  </si>
  <si>
    <t>27/9</t>
  </si>
  <si>
    <t>28/9</t>
  </si>
  <si>
    <t>29/9</t>
  </si>
  <si>
    <t>2/10</t>
  </si>
  <si>
    <t>9/10</t>
  </si>
  <si>
    <t>10/10</t>
  </si>
  <si>
    <t>11/10</t>
  </si>
  <si>
    <t>12/10</t>
  </si>
  <si>
    <t>13/10</t>
  </si>
  <si>
    <t>14/10</t>
  </si>
  <si>
    <t>15/10</t>
  </si>
  <si>
    <t>16/10</t>
  </si>
  <si>
    <t>17/10</t>
  </si>
  <si>
    <t>18/10</t>
  </si>
  <si>
    <t>19/10</t>
  </si>
  <si>
    <t>20/10</t>
  </si>
  <si>
    <t>21/10</t>
  </si>
  <si>
    <t>22/10</t>
  </si>
  <si>
    <t>23/10</t>
  </si>
  <si>
    <t>24/10</t>
  </si>
  <si>
    <t>25/10</t>
  </si>
  <si>
    <t>26/10</t>
  </si>
  <si>
    <t>27/10</t>
  </si>
  <si>
    <t>28/10</t>
  </si>
  <si>
    <t>29/10</t>
  </si>
  <si>
    <t>2/11</t>
  </si>
  <si>
    <t>9/11</t>
  </si>
  <si>
    <t>10/11</t>
  </si>
  <si>
    <t>11/11</t>
  </si>
  <si>
    <t>12/11</t>
  </si>
  <si>
    <t>13/11</t>
  </si>
  <si>
    <t>14/11</t>
  </si>
  <si>
    <t>15/11</t>
  </si>
  <si>
    <t>16/11</t>
  </si>
  <si>
    <t>17/11</t>
  </si>
  <si>
    <t>18/11</t>
  </si>
  <si>
    <t>19/11</t>
  </si>
  <si>
    <t>20/11</t>
  </si>
  <si>
    <t>21/11</t>
  </si>
  <si>
    <t>22/11</t>
  </si>
  <si>
    <t>23/11</t>
  </si>
  <si>
    <t>24/11</t>
  </si>
  <si>
    <t>25/11</t>
  </si>
  <si>
    <t>26/11</t>
  </si>
  <si>
    <t>27/11</t>
  </si>
  <si>
    <t>28/11</t>
  </si>
  <si>
    <t>29/11</t>
  </si>
  <si>
    <t>2/12</t>
  </si>
  <si>
    <t>9/12</t>
  </si>
  <si>
    <t>10/12</t>
  </si>
  <si>
    <t>11/12</t>
  </si>
  <si>
    <t>12/12</t>
  </si>
  <si>
    <t>13/12</t>
  </si>
  <si>
    <t>14/12</t>
  </si>
  <si>
    <t>15/12</t>
  </si>
  <si>
    <t>16/12</t>
  </si>
  <si>
    <t>17/12</t>
  </si>
  <si>
    <t>18/12</t>
  </si>
  <si>
    <t>19/12</t>
  </si>
  <si>
    <t>20/12</t>
  </si>
  <si>
    <t>21/12</t>
  </si>
  <si>
    <t>22/12</t>
  </si>
  <si>
    <t>23/12</t>
  </si>
  <si>
    <t>24/12</t>
  </si>
  <si>
    <t>25/12</t>
  </si>
  <si>
    <t>26/12</t>
  </si>
  <si>
    <t>27/12</t>
  </si>
  <si>
    <t>28/12</t>
  </si>
  <si>
    <t>29/12</t>
  </si>
  <si>
    <t>JUIN</t>
  </si>
  <si>
    <t>JUILLET</t>
  </si>
  <si>
    <t>AOUT</t>
  </si>
  <si>
    <t>SEPTEMBRE</t>
  </si>
  <si>
    <t>OCTOBRE</t>
  </si>
  <si>
    <t>NOVEMBRE</t>
  </si>
  <si>
    <t>DECEMBRE</t>
  </si>
  <si>
    <t>EXPIRE BADGE ROUGE</t>
  </si>
  <si>
    <t>EXPIRE LICENCE</t>
  </si>
  <si>
    <t>EXPIRE EWIS</t>
  </si>
  <si>
    <t>EXPIRE HUMAN FACTOR</t>
  </si>
  <si>
    <t xml:space="preserve">EXPIRE FUEL TANK FACTOR </t>
  </si>
  <si>
    <t>A2</t>
  </si>
  <si>
    <t>Planning</t>
  </si>
  <si>
    <t>Formation</t>
  </si>
  <si>
    <t>PERMIS T</t>
  </si>
  <si>
    <t>ADMINISTRATIF</t>
  </si>
  <si>
    <t>PTN</t>
  </si>
  <si>
    <t xml:space="preserve">TEAM 5 </t>
  </si>
  <si>
    <t>1 ATTENTION</t>
  </si>
  <si>
    <t>0  NORMAL</t>
  </si>
  <si>
    <t>EXPIRE PERMIS T</t>
  </si>
  <si>
    <t>TOTAL</t>
  </si>
  <si>
    <t>EXPIRE PEMP</t>
  </si>
  <si>
    <t>MEDECINE DU TRAVAIL</t>
  </si>
  <si>
    <t xml:space="preserve"> FUEL TANK FACTOR</t>
  </si>
  <si>
    <t>EXPIRE MEDECINE DU TRAVAIL</t>
  </si>
  <si>
    <t>Administratif</t>
  </si>
  <si>
    <t>DAY</t>
  </si>
  <si>
    <t>TOTAL STAFF AVAILABLE</t>
  </si>
  <si>
    <t>APRS AVAILABLE</t>
  </si>
  <si>
    <t>HELPERS AVAILABLE</t>
  </si>
  <si>
    <t>NIGHT</t>
  </si>
  <si>
    <t>B1</t>
  </si>
  <si>
    <t>FULL RUN UP</t>
  </si>
  <si>
    <t>IDLE RUN UP</t>
  </si>
  <si>
    <t>WEEK 52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</si>
  <si>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</si>
  <si>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</si>
  <si>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</si>
  <si>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</si>
  <si>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</si>
  <si>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</si>
  <si>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</si>
  <si>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</si>
  <si>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</si>
  <si>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</si>
  <si>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</si>
  <si>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</si>
  <si>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</si>
  <si>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</si>
  <si>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</si>
  <si>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</si>
  <si>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</si>
  <si>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</si>
  <si>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</si>
  <si>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</si>
  <si>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</si>
  <si>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</si>
  <si>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</si>
  <si>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</si>
  <si>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</si>
  <si>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</si>
  <si>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</si>
  <si>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</si>
  <si>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</si>
  <si>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</si>
  <si>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</si>
  <si>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</si>
  <si>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</si>
  <si>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</si>
  <si>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</si>
  <si>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</si>
  <si>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</si>
  <si>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</si>
  <si>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</si>
  <si>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</si>
  <si>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</si>
  <si>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</si>
  <si>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</si>
  <si>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</si>
  <si>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</si>
  <si>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</si>
  <si>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</si>
  <si>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</si>
  <si>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</si>
  <si>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</si>
  <si>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</si>
  <si>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AM</t>
  </si>
  <si>
    <t xml:space="preserve"> FULL</t>
  </si>
  <si>
    <t>STATUS GENERAL</t>
  </si>
  <si>
    <t>Paramètres Mail</t>
  </si>
  <si>
    <t>MONSIEUR</t>
  </si>
  <si>
    <t>SERVICE</t>
  </si>
  <si>
    <t>MAIL</t>
  </si>
  <si>
    <t>JOURS</t>
  </si>
  <si>
    <t>ALLION</t>
  </si>
  <si>
    <t>PROTARD</t>
  </si>
  <si>
    <t>RESOURCE HUMAINE :</t>
  </si>
  <si>
    <t>SUPERVISEUR :</t>
  </si>
  <si>
    <t>QUALITÉ :</t>
  </si>
  <si>
    <t>ENVOIE TOUS LES :</t>
  </si>
  <si>
    <t>Étiquettes de lignes</t>
  </si>
  <si>
    <t>Total général</t>
  </si>
  <si>
    <t>CPN</t>
  </si>
  <si>
    <t>CREPIN Gaetan</t>
  </si>
  <si>
    <t>Somme de BADGE ROUGE</t>
  </si>
  <si>
    <t>(Tous)</t>
  </si>
  <si>
    <t>Somme de PERMIS T</t>
  </si>
  <si>
    <t>BADGE P12</t>
  </si>
  <si>
    <t>N° BADGE P12</t>
  </si>
  <si>
    <t>&amp; vbCrLf &amp;</t>
  </si>
  <si>
    <t>EMAIL</t>
  </si>
  <si>
    <t>petremann.franck@outlook.com</t>
  </si>
  <si>
    <t>Petremann 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</si>
</sst>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15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b/>
      <sz val="16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sz val="11"/>
      <color theme="0" tint="-4.9989318521683403E-2"/>
      <name val="Calibri Light"/>
      <family val="2"/>
      <scheme val="major"/>
    </font>
    <font>
      <b/>
      <sz val="11"/>
      <color theme="0" tint="-4.9989318521683403E-2"/>
      <name val="Calibri Light"/>
      <family val="2"/>
      <scheme val="major"/>
    </font>
    <font>
      <sz val="9"/>
      <color theme="0" tint="-4.9989318521683403E-2"/>
      <name val="Calibri Light"/>
      <family val="2"/>
      <scheme val="major"/>
    </font>
    <font>
      <sz val="20"/>
      <color theme="1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1"/>
      <color rgb="FF5A5A5A"/>
      <name val="Cantarell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1559B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66">
    <xf numFmtId="0" fontId="0" fillId="0" borderId="0" xfId="0"/>
    <xf numFmtId="0" fontId="0" fillId="0" borderId="8" xfId="0" applyBorder="1" applyAlignment="1">
      <alignment horizontal="center" vertical="center"/>
    </xf>
    <xf numFmtId="0" fontId="0" fillId="0" borderId="11" xfId="0" applyBorder="1"/>
    <xf numFmtId="0" fontId="0" fillId="0" borderId="7" xfId="0" applyBorder="1"/>
    <xf numFmtId="0" fontId="0" fillId="0" borderId="0" xfId="0" applyBorder="1"/>
    <xf numFmtId="14" fontId="0" fillId="0" borderId="9" xfId="0" applyNumberFormat="1" applyBorder="1" applyAlignment="1">
      <alignment horizontal="center" vertical="center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14" fontId="4" fillId="0" borderId="0" xfId="0" applyNumberFormat="1" applyFont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12" xfId="0" applyBorder="1" applyAlignment="1">
      <alignment horizontal="left"/>
    </xf>
    <xf numFmtId="0" fontId="5" fillId="2" borderId="0" xfId="0" applyFont="1" applyFill="1" applyAlignment="1">
      <alignment horizontal="lef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14" fontId="0" fillId="2" borderId="0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" fillId="0" borderId="10" xfId="0" applyFont="1" applyFill="1" applyBorder="1" applyAlignment="1">
      <alignment horizontal="left" vertical="center"/>
    </xf>
    <xf numFmtId="0" fontId="1" fillId="0" borderId="17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top" wrapText="1"/>
    </xf>
    <xf numFmtId="16" fontId="1" fillId="0" borderId="1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top" wrapText="1"/>
    </xf>
    <xf numFmtId="0" fontId="1" fillId="0" borderId="2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 vertical="top" wrapText="1"/>
    </xf>
    <xf numFmtId="0" fontId="8" fillId="4" borderId="9" xfId="0" applyFont="1" applyFill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8" fillId="4" borderId="0" xfId="0" applyFont="1" applyFill="1" applyBorder="1" applyAlignment="1">
      <alignment horizontal="left" vertical="top" wrapText="1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0" fillId="0" borderId="32" xfId="0" applyFont="1" applyBorder="1" applyAlignment="1" applyProtection="1">
      <alignment horizontal="center" vertical="center"/>
    </xf>
    <xf numFmtId="14" fontId="1" fillId="0" borderId="15" xfId="0" applyNumberFormat="1" applyFont="1" applyFill="1" applyBorder="1" applyAlignment="1">
      <alignment horizontal="center" vertical="center"/>
    </xf>
    <xf numFmtId="14" fontId="9" fillId="0" borderId="0" xfId="0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1" fillId="0" borderId="18" xfId="0" applyNumberFormat="1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3" borderId="3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14" fontId="0" fillId="0" borderId="0" xfId="0" applyNumberFormat="1"/>
    <xf numFmtId="14" fontId="1" fillId="2" borderId="0" xfId="0" applyNumberFormat="1" applyFont="1" applyFill="1" applyAlignment="1">
      <alignment horizontal="center" vertical="center"/>
    </xf>
    <xf numFmtId="0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13" fillId="0" borderId="0" xfId="0" applyFont="1"/>
    <xf numFmtId="0" fontId="1" fillId="2" borderId="0" xfId="0" applyFont="1" applyFill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7" fillId="4" borderId="1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0" fillId="0" borderId="33" xfId="0" applyFont="1" applyFill="1" applyBorder="1" applyAlignment="1" applyProtection="1">
      <alignment horizontal="center" vertical="center"/>
    </xf>
    <xf numFmtId="0" fontId="10" fillId="0" borderId="34" xfId="0" applyFont="1" applyFill="1" applyBorder="1" applyAlignment="1" applyProtection="1">
      <alignment horizontal="center" vertical="center"/>
    </xf>
    <xf numFmtId="0" fontId="10" fillId="0" borderId="35" xfId="0" applyFont="1" applyFill="1" applyBorder="1" applyAlignment="1" applyProtection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12" fillId="6" borderId="6" xfId="0" applyFont="1" applyFill="1" applyBorder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12" fillId="6" borderId="25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4" xfId="0" applyFont="1" applyFill="1" applyBorder="1" applyAlignment="1">
      <alignment horizontal="center" vertical="center"/>
    </xf>
    <xf numFmtId="0" fontId="10" fillId="0" borderId="35" xfId="0" applyFont="1" applyFill="1" applyBorder="1" applyAlignment="1">
      <alignment horizontal="center" vertical="center"/>
    </xf>
    <xf numFmtId="14" fontId="14" fillId="0" borderId="0" xfId="1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16"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5050"/>
        </patternFill>
      </fill>
    </dxf>
    <dxf>
      <font>
        <color auto="1"/>
      </font>
      <fill>
        <patternFill>
          <bgColor rgb="FFFF5050"/>
        </patternFill>
      </fill>
    </dxf>
    <dxf>
      <fill>
        <patternFill patternType="none">
          <bgColor auto="1"/>
        </patternFill>
      </fill>
    </dxf>
    <dxf>
      <fill>
        <patternFill>
          <bgColor rgb="FFFF5050"/>
        </patternFill>
      </fill>
    </dxf>
    <dxf>
      <font>
        <color auto="1"/>
      </font>
      <fill>
        <patternFill patternType="none">
          <bgColor auto="1"/>
        </patternFill>
      </fill>
    </dxf>
    <dxf>
      <fill>
        <patternFill>
          <bgColor rgb="FFFF5050"/>
        </patternFill>
      </fill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outline="0">
        <left style="thin">
          <color indexed="64"/>
        </left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 tint="-4.9989318521683403E-2"/>
        <name val="Calibri Light"/>
        <scheme val="major"/>
      </font>
      <fill>
        <patternFill patternType="solid">
          <fgColor indexed="64"/>
          <bgColor rgb="FF01559B"/>
        </patternFill>
      </fill>
      <alignment horizontal="center" vertical="top" textRotation="0" wrapText="1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FF5050"/>
      <color rgb="FF01559B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224118</xdr:colOff>
      <xdr:row>0</xdr:row>
      <xdr:rowOff>100853</xdr:rowOff>
    </xdr:from>
    <xdr:to>
      <xdr:col>1</xdr:col>
      <xdr:colOff>1019736</xdr:colOff>
      <xdr:row>5</xdr:row>
      <xdr:rowOff>161465</xdr:rowOff>
    </xdr:to>
    <xdr:pic>
      <xdr:nvPicPr>
        <xdr:cNvPr id="2" name="img_-1053880020" descr="iGO Solutions">
          <a:extLst>
            <a:ext uri="{FF2B5EF4-FFF2-40B4-BE49-F238E27FC236}">
              <a16:creationId xmlns:a16="http://schemas.microsoft.com/office/drawing/2014/main" id="{7F5D091A-2279-465B-91D1-125BC0E5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18" y="100853"/>
          <a:ext cx="1524000" cy="10915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647811</xdr:colOff>
      <xdr:row>0</xdr:row>
      <xdr:rowOff>46656</xdr:rowOff>
    </xdr:from>
    <xdr:ext cx="4441793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09DBE7F-9108-4ABA-A6F3-F85FFC51D009}"/>
            </a:ext>
          </a:extLst>
        </xdr:cNvPr>
        <xdr:cNvSpPr/>
      </xdr:nvSpPr>
      <xdr:spPr>
        <a:xfrm>
          <a:off x="2933811" y="46656"/>
          <a:ext cx="4441793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Administrateur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433370</xdr:colOff>
      <xdr:row>0</xdr:row>
      <xdr:rowOff>114301</xdr:rowOff>
    </xdr:from>
    <xdr:ext cx="4976830" cy="59330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BC6A38F-A2BE-4FD1-A05F-0072E5AA3FC7}"/>
            </a:ext>
          </a:extLst>
        </xdr:cNvPr>
        <xdr:cNvSpPr/>
      </xdr:nvSpPr>
      <xdr:spPr>
        <a:xfrm>
          <a:off x="1928795" y="114301"/>
          <a:ext cx="497683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PLANNING</a:t>
          </a:r>
          <a:r>
            <a:rPr lang="fr-FR" sz="3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B737-800</a:t>
          </a:r>
          <a:endParaRPr lang="fr-FR" sz="3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twoCellAnchor editAs="oneCell">
    <xdr:from>
      <xdr:col>0</xdr:col>
      <xdr:colOff>219075</xdr:colOff>
      <xdr:row>0</xdr:row>
      <xdr:rowOff>104775</xdr:rowOff>
    </xdr:from>
    <xdr:to>
      <xdr:col>2</xdr:col>
      <xdr:colOff>247650</xdr:colOff>
      <xdr:row>5</xdr:row>
      <xdr:rowOff>81903</xdr:rowOff>
    </xdr:to>
    <xdr:pic>
      <xdr:nvPicPr>
        <xdr:cNvPr id="3" name="img_-1053880020" descr="iGO Solutions">
          <a:extLst>
            <a:ext uri="{FF2B5EF4-FFF2-40B4-BE49-F238E27FC236}">
              <a16:creationId xmlns:a16="http://schemas.microsoft.com/office/drawing/2014/main" id="{4B21C813-7F44-405B-92C8-657B2096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104775"/>
          <a:ext cx="1524000" cy="10915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PETREMANN" refreshedDate="42820.909229398145" createdVersion="5" refreshedVersion="6" minRefreshableVersion="3" recordCount="2">
  <cacheSource type="worksheet">
    <worksheetSource name="Tableau2[[TEAM]:[EXPIRE MEDECINE DU TRAVAIL]]"/>
  </cacheSource>
  <cacheFields count="31">
    <cacheField name="TEAM" numFmtId="0">
      <sharedItems containsBlank="1"/>
    </cacheField>
    <cacheField name="N° APRS " numFmtId="0">
      <sharedItems containsNonDate="0" containsString="0" containsBlank="1"/>
    </cacheField>
    <cacheField name="MATRICULE" numFmtId="0">
      <sharedItems containsSemiMixedTypes="0" containsString="0" containsNumber="1" containsInteger="1" minValue="40000031" maxValue="40000064"/>
    </cacheField>
    <cacheField name="TRI   " numFmtId="0">
      <sharedItems/>
    </cacheField>
    <cacheField name="NOMS" numFmtId="0">
      <sharedItems containsBlank="1" count="3">
        <s v="Petremann Franck"/>
        <s v="CREPIN Gaetan"/>
        <m u="1"/>
      </sharedItems>
    </cacheField>
    <cacheField name="C" numFmtId="0">
      <sharedItems containsNonDate="0" containsString="0" containsBlank="1"/>
    </cacheField>
    <cacheField name="B2" numFmtId="0">
      <sharedItems/>
    </cacheField>
    <cacheField name="B1 " numFmtId="0">
      <sharedItems/>
    </cacheField>
    <cacheField name="APRS" numFmtId="0">
      <sharedItems containsBlank="1"/>
    </cacheField>
    <cacheField name="EXPIRE" numFmtId="14">
      <sharedItems containsSemiMixedTypes="0" containsNonDate="0" containsDate="1" containsString="0" minDate="2017-03-23T00:00:00" maxDate="2019-03-28T00:00:00"/>
    </cacheField>
    <cacheField name="EWIS" numFmtId="14">
      <sharedItems containsSemiMixedTypes="0" containsNonDate="0" containsDate="1" containsString="0" minDate="2017-03-23T00:00:00" maxDate="2017-03-26T00:00:00"/>
    </cacheField>
    <cacheField name="HUMAN FACTOR" numFmtId="14">
      <sharedItems containsSemiMixedTypes="0" containsNonDate="0" containsDate="1" containsString="0" minDate="2017-03-24T00:00:00" maxDate="2017-03-27T00:00:00"/>
    </cacheField>
    <cacheField name=" FUEL TANK FACTOR" numFmtId="14">
      <sharedItems containsSemiMixedTypes="0" containsNonDate="0" containsDate="1" containsString="0" minDate="2017-03-24T00:00:00" maxDate="2017-03-27T00:00:00"/>
    </cacheField>
    <cacheField name="EFB" numFmtId="0">
      <sharedItems containsBlank="1"/>
    </cacheField>
    <cacheField name="PEMP" numFmtId="14">
      <sharedItems containsSemiMixedTypes="0" containsNonDate="0" containsDate="1" containsString="0" minDate="2017-03-24T00:00:00" maxDate="2017-03-27T00:00:00"/>
    </cacheField>
    <cacheField name=" IDLE" numFmtId="0">
      <sharedItems containsNonDate="0" containsString="0" containsBlank="1"/>
    </cacheField>
    <cacheField name=" FULL" numFmtId="0">
      <sharedItems containsNonDate="0" containsString="0" containsBlank="1"/>
    </cacheField>
    <cacheField name="-" numFmtId="0">
      <sharedItems containsNonDate="0" containsString="0" containsBlank="1"/>
    </cacheField>
    <cacheField name="BADGE ROUGE" numFmtId="14">
      <sharedItems containsSemiMixedTypes="0" containsNonDate="0" containsDate="1" containsString="0" minDate="2017-03-24T00:00:00" maxDate="2017-03-26T00:00:00"/>
    </cacheField>
    <cacheField name="PERMIS T" numFmtId="0">
      <sharedItems containsNonDate="0" containsDate="1" containsString="0" containsBlank="1" minDate="2017-03-23T00:00:00" maxDate="2017-03-24T00:00:00"/>
    </cacheField>
    <cacheField name="MEDECINE DU TRAVAIL" numFmtId="14">
      <sharedItems containsSemiMixedTypes="0" containsNonDate="0" containsDate="1" containsString="0" minDate="2017-03-24T00:00:00" maxDate="2017-03-30T00:00:00"/>
    </cacheField>
    <cacheField name="N° BADGE P12" numFmtId="14">
      <sharedItems containsNonDate="0" containsString="0" containsBlank="1"/>
    </cacheField>
    <cacheField name="EMAIL" numFmtId="14">
      <sharedItems containsBlank="1"/>
    </cacheField>
    <cacheField name="EXPIRE BADGE ROUGE" numFmtId="0">
      <sharedItems containsSemiMixedTypes="0" containsString="0" containsNumber="1" containsInteger="1" minValue="0" maxValue="2" count="3">
        <n v="2"/>
        <n v="0" u="1"/>
        <n v="1" u="1"/>
      </sharedItems>
    </cacheField>
    <cacheField name="EXPIRE PERMIS T" numFmtId="0">
      <sharedItems containsSemiMixedTypes="0" containsString="0" containsNumber="1" containsInteger="1" minValue="0" maxValue="2" count="2">
        <n v="2"/>
        <n v="0" u="1"/>
      </sharedItems>
    </cacheField>
    <cacheField name="EXPIRE LICENCE" numFmtId="0">
      <sharedItems containsSemiMixedTypes="0" containsString="0" containsNumber="1" containsInteger="1" minValue="0" maxValue="2"/>
    </cacheField>
    <cacheField name="EXPIRE EWIS" numFmtId="0">
      <sharedItems containsSemiMixedTypes="0" containsString="0" containsNumber="1" containsInteger="1" minValue="2" maxValue="2"/>
    </cacheField>
    <cacheField name="EXPIRE HUMAN FACTOR" numFmtId="0">
      <sharedItems containsSemiMixedTypes="0" containsString="0" containsNumber="1" containsInteger="1" minValue="1" maxValue="2"/>
    </cacheField>
    <cacheField name="EXPIRE FUEL TANK FACTOR " numFmtId="0">
      <sharedItems containsSemiMixedTypes="0" containsString="0" containsNumber="1" containsInteger="1" minValue="1" maxValue="2"/>
    </cacheField>
    <cacheField name="EXPIRE PEMP" numFmtId="0">
      <sharedItems containsSemiMixedTypes="0" containsString="0" containsNumber="1" containsInteger="1" minValue="1" maxValue="2"/>
    </cacheField>
    <cacheField name="EXPIRE MEDECINE DU TRAVAIL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s v="TEAM 5 "/>
    <m/>
    <n v="40000064"/>
    <s v="PTN"/>
    <x v="0"/>
    <m/>
    <s v="X"/>
    <s v="X"/>
    <s v="X"/>
    <d v="2019-03-27T00:00:00"/>
    <d v="2017-03-25T00:00:00"/>
    <d v="2017-03-26T00:00:00"/>
    <d v="2017-03-26T00:00:00"/>
    <s v="X"/>
    <d v="2017-03-26T00:00:00"/>
    <m/>
    <m/>
    <m/>
    <d v="2017-03-25T00:00:00"/>
    <d v="2017-03-23T00:00:00"/>
    <d v="2017-03-29T00:00:00"/>
    <m/>
    <s v="petremann.franck@outlook.com"/>
    <x v="0"/>
    <x v="0"/>
    <n v="0"/>
    <n v="2"/>
    <n v="1"/>
    <n v="1"/>
    <n v="1"/>
    <n v="1"/>
  </r>
  <r>
    <m/>
    <m/>
    <n v="40000031"/>
    <s v="CPN"/>
    <x v="1"/>
    <m/>
    <s v="X"/>
    <s v="X"/>
    <m/>
    <d v="2017-03-23T00:00:00"/>
    <d v="2017-03-23T00:00:00"/>
    <d v="2017-03-24T00:00:00"/>
    <d v="2017-03-24T00:00:00"/>
    <m/>
    <d v="2017-03-24T00:00:00"/>
    <m/>
    <m/>
    <m/>
    <d v="2017-03-24T00:00:00"/>
    <m/>
    <d v="2017-03-24T00:00:00"/>
    <m/>
    <m/>
    <x v="0"/>
    <x v="0"/>
    <n v="2"/>
    <n v="2"/>
    <n v="2"/>
    <n v="2"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D4:E7" firstHeaderRow="1" firstDataRow="1" firstDataCol="1" rowPageCount="1" colPageCount="1"/>
  <pivotFields count="31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showAll="0"/>
    <pivotField numFmtId="14" showAll="0"/>
    <pivotField showAll="0"/>
    <pivotField showAll="0"/>
    <pivotField showAll="0"/>
    <pivotField numFmtId="14" showAll="0"/>
    <pivotField dataField="1" showAll="0"/>
    <pivotField numFmtId="14" showAll="0"/>
    <pivotField showAll="0" defaultSubtotal="0"/>
    <pivotField showAll="0"/>
    <pivotField showAll="0" defaultSubtotal="0"/>
    <pivotField axis="axisPage" showAll="0" defaultSubtotal="0">
      <items count="2">
        <item m="1" x="1"/>
        <item x="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4"/>
  </rowFields>
  <rowItems count="3">
    <i>
      <x/>
    </i>
    <i>
      <x v="1"/>
    </i>
    <i t="grand">
      <x/>
    </i>
  </rowItems>
  <colItems count="1">
    <i/>
  </colItems>
  <pageFields count="1">
    <pageField fld="24" hier="-1"/>
  </pageFields>
  <dataFields count="1">
    <dataField name="Somme de PERMIS T" fld="19" baseField="4" baseItem="0"/>
  </dataFields>
  <formats count="1">
    <format dxfId="414">
      <pivotArea collapsedLevelsAreSubtotals="1" fieldPosition="0">
        <references count="1">
          <reference field="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8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A4:B7" firstHeaderRow="1" firstDataRow="1" firstDataCol="1" rowPageCount="1" colPageCount="1"/>
  <pivotFields count="31"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4" showAll="0"/>
    <pivotField showAll="0"/>
    <pivotField showAll="0"/>
    <pivotField showAll="0" defaultSubtotal="0"/>
    <pivotField showAll="0"/>
    <pivotField axis="axisPage" multipleItemSelectionAllowed="1" showAll="0">
      <items count="4">
        <item h="1" m="1" x="1"/>
        <item m="1"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3">
    <i>
      <x/>
    </i>
    <i>
      <x v="1"/>
    </i>
    <i t="grand">
      <x/>
    </i>
  </rowItems>
  <colItems count="1">
    <i/>
  </colItems>
  <pageFields count="1">
    <pageField fld="23" hier="-1"/>
  </pageFields>
  <dataFields count="1">
    <dataField name="Somme de BADGE ROUGE" fld="18" baseField="4" baseItem="0" numFmtId="14"/>
  </dataFields>
  <formats count="1">
    <format dxfId="41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A8:OF10" totalsRowShown="0" headerRowDxfId="413" dataDxfId="412" tableBorderDxfId="411">
  <autoFilter ref="A8:OF10"/>
  <tableColumns count="396">
    <tableColumn id="1" name="TEAM" dataDxfId="410"/>
    <tableColumn id="2" name="N° APRS " dataDxfId="409"/>
    <tableColumn id="3" name="MATRICULE" dataDxfId="408"/>
    <tableColumn id="4" name="TRI   " dataDxfId="407"/>
    <tableColumn id="5" name="NOMS" dataDxfId="406"/>
    <tableColumn id="7" name="C" dataDxfId="405"/>
    <tableColumn id="8" name="B2" dataDxfId="404"/>
    <tableColumn id="9" name="B1 " dataDxfId="403"/>
    <tableColumn id="10" name="APRS" dataDxfId="402"/>
    <tableColumn id="11" name="EXPIRE" dataDxfId="401"/>
    <tableColumn id="12" name="EWIS" dataDxfId="400"/>
    <tableColumn id="13" name="HUMAN FACTOR" dataDxfId="399"/>
    <tableColumn id="14" name=" FUEL TANK FACTOR" dataDxfId="398"/>
    <tableColumn id="15" name="EFB" dataDxfId="397"/>
    <tableColumn id="16" name="PEMP" dataDxfId="396"/>
    <tableColumn id="17" name=" IDLE" dataDxfId="395"/>
    <tableColumn id="18" name=" FULL" dataDxfId="394"/>
    <tableColumn id="19" name="-" dataDxfId="393"/>
    <tableColumn id="20" name="BADGE ROUGE" dataDxfId="392"/>
    <tableColumn id="6" name="PERMIS T" dataDxfId="391"/>
    <tableColumn id="393" name="MEDECINE DU TRAVAIL"/>
    <tableColumn id="395" name="N° BADGE P12" dataDxfId="390"/>
    <tableColumn id="396" name="EMAIL" dataDxfId="2"/>
    <tableColumn id="388" name="EXPIRE BADGE ROUGE" dataDxfId="389">
      <calculatedColumnFormula>IF(Tableau2[[#This Row],[BADGE ROUGE]]&lt;TODAY(),2,IF(Tableau2[[#This Row],[BADGE ROUGE]]&lt;TODAY()+Administrateur!D17,1,0))</calculatedColumnFormula>
    </tableColumn>
    <tableColumn id="391" name="EXPIRE PERMIS T" dataDxfId="388">
      <calculatedColumnFormula>IF(Tableau2[[#This Row],[PERMIS T]]&lt;TODAY(),2,IF(Tableau2[[#This Row],[PERMIS T]]&lt;TODAY()+Administrateur!D17,1,0))</calculatedColumnFormula>
    </tableColumn>
    <tableColumn id="387" name="EXPIRE LICENCE" dataDxfId="387"/>
    <tableColumn id="386" name="EXPIRE EWIS" dataDxfId="386"/>
    <tableColumn id="389" name="EXPIRE HUMAN FACTOR" dataDxfId="385">
      <calculatedColumnFormula>IF(Tableau2[[#This Row],[HUMAN FACTOR]]&lt;TODAY(),2,IF(Tableau2[[#This Row],[HUMAN FACTOR]]&lt;TODAY()+Administrateur!D22,1,0))</calculatedColumnFormula>
    </tableColumn>
    <tableColumn id="390" name="EXPIRE FUEL TANK FACTOR " dataDxfId="384">
      <calculatedColumnFormula>IF(Tableau2[[#This Row],[ FUEL TANK FACTOR]]&lt;TODAY(),2,IF(Tableau2[[#This Row],[ FUEL TANK FACTOR]]&lt;TODAY()+Administrateur!E23,1,0))</calculatedColumnFormula>
    </tableColumn>
    <tableColumn id="392" name="EXPIRE PEMP" dataDxfId="383"/>
    <tableColumn id="394" name="EXPIRE MEDECINE DU TRAVAIL" dataDxfId="382"/>
    <tableColumn id="21" name="1/1" dataDxfId="381"/>
    <tableColumn id="22" name="2/1" dataDxfId="380"/>
    <tableColumn id="23" name="3/1" dataDxfId="379"/>
    <tableColumn id="24" name="4/1" dataDxfId="378"/>
    <tableColumn id="25" name="5/1" dataDxfId="377"/>
    <tableColumn id="26" name="6/1" dataDxfId="376"/>
    <tableColumn id="27" name="7/1" dataDxfId="375"/>
    <tableColumn id="28" name="8/1" dataDxfId="374"/>
    <tableColumn id="29" name="9/1" dataDxfId="373"/>
    <tableColumn id="30" name="10/1" dataDxfId="372"/>
    <tableColumn id="31" name="11/1" dataDxfId="371"/>
    <tableColumn id="32" name="12/1" dataDxfId="370"/>
    <tableColumn id="33" name="13/1" dataDxfId="369"/>
    <tableColumn id="34" name="14/1" dataDxfId="368"/>
    <tableColumn id="35" name="15/1" dataDxfId="367"/>
    <tableColumn id="36" name="16/1" dataDxfId="366"/>
    <tableColumn id="37" name="17/1" dataDxfId="365"/>
    <tableColumn id="38" name="18/1" dataDxfId="364"/>
    <tableColumn id="39" name="19/1" dataDxfId="363"/>
    <tableColumn id="40" name="20/1" dataDxfId="362"/>
    <tableColumn id="41" name="21/1" dataDxfId="361"/>
    <tableColumn id="42" name="22/1" dataDxfId="360"/>
    <tableColumn id="43" name="23/1" dataDxfId="359"/>
    <tableColumn id="44" name="24/1" dataDxfId="358"/>
    <tableColumn id="45" name="25/1" dataDxfId="357"/>
    <tableColumn id="46" name="26/1" dataDxfId="356"/>
    <tableColumn id="47" name="27/1" dataDxfId="355"/>
    <tableColumn id="48" name="28/1" dataDxfId="354"/>
    <tableColumn id="49" name="29/1" dataDxfId="353"/>
    <tableColumn id="50" name="30/1" dataDxfId="352"/>
    <tableColumn id="51" name="31/1" dataDxfId="351"/>
    <tableColumn id="52" name="1/2" dataDxfId="350"/>
    <tableColumn id="53" name="2/2" dataDxfId="349"/>
    <tableColumn id="54" name="3/2" dataDxfId="348"/>
    <tableColumn id="55" name="4/2" dataDxfId="347"/>
    <tableColumn id="56" name="5/2" dataDxfId="346"/>
    <tableColumn id="57" name="6/2" dataDxfId="345"/>
    <tableColumn id="58" name="7/2" dataDxfId="344"/>
    <tableColumn id="59" name="8/2" dataDxfId="343"/>
    <tableColumn id="60" name="9/2" dataDxfId="342"/>
    <tableColumn id="61" name="10/2" dataDxfId="341"/>
    <tableColumn id="62" name="11/2" dataDxfId="340"/>
    <tableColumn id="63" name="12/2" dataDxfId="339"/>
    <tableColumn id="64" name="13/2" dataDxfId="338"/>
    <tableColumn id="65" name="14/2" dataDxfId="337"/>
    <tableColumn id="66" name="15/2" dataDxfId="336"/>
    <tableColumn id="67" name="16/2" dataDxfId="335"/>
    <tableColumn id="68" name="17/2" dataDxfId="334"/>
    <tableColumn id="69" name="18/2" dataDxfId="333"/>
    <tableColumn id="70" name="19/2" dataDxfId="332"/>
    <tableColumn id="71" name="20/2" dataDxfId="331"/>
    <tableColumn id="72" name="21/2" dataDxfId="330"/>
    <tableColumn id="73" name="22/2" dataDxfId="329"/>
    <tableColumn id="74" name="23/2" dataDxfId="328"/>
    <tableColumn id="75" name="24/2" dataDxfId="327"/>
    <tableColumn id="76" name="25/2" dataDxfId="326"/>
    <tableColumn id="77" name="26/2" dataDxfId="325"/>
    <tableColumn id="78" name="27/2" dataDxfId="324"/>
    <tableColumn id="79" name="28/2" dataDxfId="323"/>
    <tableColumn id="80" name="1/3" dataDxfId="322"/>
    <tableColumn id="81" name="2/3" dataDxfId="321"/>
    <tableColumn id="82" name="3/3" dataDxfId="320"/>
    <tableColumn id="83" name="4/3" dataDxfId="319"/>
    <tableColumn id="84" name="5/3" dataDxfId="318"/>
    <tableColumn id="85" name="6/3" dataDxfId="317"/>
    <tableColumn id="86" name="7/3" dataDxfId="316"/>
    <tableColumn id="87" name="8/3" dataDxfId="315"/>
    <tableColumn id="88" name="9/3" dataDxfId="314"/>
    <tableColumn id="89" name="10/3" dataDxfId="313"/>
    <tableColumn id="90" name="11/3" dataDxfId="312"/>
    <tableColumn id="91" name="12/3" dataDxfId="311"/>
    <tableColumn id="92" name="13/3" dataDxfId="310"/>
    <tableColumn id="93" name="14/3" dataDxfId="309"/>
    <tableColumn id="94" name="15/3" dataDxfId="308"/>
    <tableColumn id="95" name="16/3" dataDxfId="307"/>
    <tableColumn id="96" name="17/3" dataDxfId="306"/>
    <tableColumn id="97" name="18/3" dataDxfId="305"/>
    <tableColumn id="98" name="19/3" dataDxfId="304"/>
    <tableColumn id="99" name="20/3" dataDxfId="303"/>
    <tableColumn id="100" name="21/3" dataDxfId="302"/>
    <tableColumn id="101" name="22/3" dataDxfId="301"/>
    <tableColumn id="102" name="23/3" dataDxfId="300"/>
    <tableColumn id="103" name="24/3" dataDxfId="299"/>
    <tableColumn id="104" name="25/3" dataDxfId="298"/>
    <tableColumn id="105" name="26/3" dataDxfId="297"/>
    <tableColumn id="106" name="27/3" dataDxfId="296"/>
    <tableColumn id="107" name="28/3" dataDxfId="295"/>
    <tableColumn id="108" name="29/3" dataDxfId="294"/>
    <tableColumn id="109" name="30/3" dataDxfId="293"/>
    <tableColumn id="110" name="31/3" dataDxfId="292"/>
    <tableColumn id="111" name="1/4" dataDxfId="291"/>
    <tableColumn id="112" name="2/4" dataDxfId="290"/>
    <tableColumn id="113" name="3/4" dataDxfId="289"/>
    <tableColumn id="114" name="4/4" dataDxfId="288"/>
    <tableColumn id="115" name="5/4" dataDxfId="287"/>
    <tableColumn id="116" name="6/4" dataDxfId="286"/>
    <tableColumn id="117" name="7/4" dataDxfId="285"/>
    <tableColumn id="118" name="8/4" dataDxfId="284"/>
    <tableColumn id="119" name="9/4" dataDxfId="283"/>
    <tableColumn id="120" name="10/4" dataDxfId="282"/>
    <tableColumn id="121" name="11/4" dataDxfId="281"/>
    <tableColumn id="122" name="12/4" dataDxfId="280"/>
    <tableColumn id="123" name="13/4" dataDxfId="279"/>
    <tableColumn id="124" name="14/4" dataDxfId="278"/>
    <tableColumn id="125" name="15/4" dataDxfId="277"/>
    <tableColumn id="126" name="16/4" dataDxfId="276"/>
    <tableColumn id="127" name="17/4" dataDxfId="275"/>
    <tableColumn id="128" name="18/4" dataDxfId="274"/>
    <tableColumn id="129" name="19/4" dataDxfId="273"/>
    <tableColumn id="130" name="20/4" dataDxfId="272"/>
    <tableColumn id="131" name="21/4" dataDxfId="271"/>
    <tableColumn id="132" name="22/4" dataDxfId="270"/>
    <tableColumn id="133" name="23/4" dataDxfId="269"/>
    <tableColumn id="134" name="24/4" dataDxfId="268"/>
    <tableColumn id="135" name="25/4" dataDxfId="267"/>
    <tableColumn id="136" name="26/4" dataDxfId="266"/>
    <tableColumn id="137" name="27/4" dataDxfId="265"/>
    <tableColumn id="138" name="28/4" dataDxfId="264"/>
    <tableColumn id="139" name="29/4" dataDxfId="263"/>
    <tableColumn id="140" name="30/4" dataDxfId="262"/>
    <tableColumn id="141" name="1/5" dataDxfId="261"/>
    <tableColumn id="142" name="2/5" dataDxfId="260"/>
    <tableColumn id="143" name="3/5" dataDxfId="259"/>
    <tableColumn id="144" name="4/5" dataDxfId="258"/>
    <tableColumn id="145" name="5/5" dataDxfId="257"/>
    <tableColumn id="146" name="6/5" dataDxfId="256"/>
    <tableColumn id="147" name="7/5" dataDxfId="255"/>
    <tableColumn id="148" name="8/5" dataDxfId="254"/>
    <tableColumn id="149" name="9/5" dataDxfId="253"/>
    <tableColumn id="150" name="10/5" dataDxfId="252"/>
    <tableColumn id="151" name="11/5" dataDxfId="251"/>
    <tableColumn id="152" name="12/5" dataDxfId="250"/>
    <tableColumn id="153" name="13/5" dataDxfId="249"/>
    <tableColumn id="154" name="14/5" dataDxfId="248"/>
    <tableColumn id="155" name="15/5" dataDxfId="247"/>
    <tableColumn id="156" name="16/5" dataDxfId="246"/>
    <tableColumn id="157" name="17/5" dataDxfId="245"/>
    <tableColumn id="158" name="18/5" dataDxfId="244"/>
    <tableColumn id="159" name="19/5" dataDxfId="243"/>
    <tableColumn id="160" name="20/5" dataDxfId="242"/>
    <tableColumn id="161" name="21/5" dataDxfId="241"/>
    <tableColumn id="162" name="22/5" dataDxfId="240"/>
    <tableColumn id="163" name="23/5" dataDxfId="239"/>
    <tableColumn id="164" name="24/5" dataDxfId="238"/>
    <tableColumn id="165" name="25/5" dataDxfId="237"/>
    <tableColumn id="166" name="26/5" dataDxfId="236"/>
    <tableColumn id="167" name="27/5" dataDxfId="235"/>
    <tableColumn id="168" name="28/5" dataDxfId="234"/>
    <tableColumn id="169" name="29/5" dataDxfId="233"/>
    <tableColumn id="170" name="30/5" dataDxfId="232"/>
    <tableColumn id="171" name="31/5" dataDxfId="231"/>
    <tableColumn id="172" name="1/6" dataDxfId="230"/>
    <tableColumn id="173" name="2/6" dataDxfId="229"/>
    <tableColumn id="174" name="3/6" dataDxfId="228"/>
    <tableColumn id="175" name="4/6" dataDxfId="227"/>
    <tableColumn id="176" name="5/6" dataDxfId="226"/>
    <tableColumn id="177" name="6/6" dataDxfId="225"/>
    <tableColumn id="178" name="7/6" dataDxfId="224"/>
    <tableColumn id="179" name="8/6" dataDxfId="223"/>
    <tableColumn id="180" name="9/6" dataDxfId="222"/>
    <tableColumn id="181" name="10/6" dataDxfId="221"/>
    <tableColumn id="182" name="11/6" dataDxfId="220"/>
    <tableColumn id="183" name="12/6" dataDxfId="219"/>
    <tableColumn id="184" name="13/6" dataDxfId="218"/>
    <tableColumn id="185" name="14/6" dataDxfId="217"/>
    <tableColumn id="186" name="15/6" dataDxfId="216"/>
    <tableColumn id="187" name="16/6" dataDxfId="215"/>
    <tableColumn id="188" name="17/6" dataDxfId="214"/>
    <tableColumn id="189" name="18/6" dataDxfId="213"/>
    <tableColumn id="190" name="19/6" dataDxfId="212"/>
    <tableColumn id="191" name="20/6" dataDxfId="211"/>
    <tableColumn id="192" name="21/6" dataDxfId="210"/>
    <tableColumn id="193" name="22/6" dataDxfId="209"/>
    <tableColumn id="194" name="23/6" dataDxfId="208"/>
    <tableColumn id="195" name="24/6" dataDxfId="207"/>
    <tableColumn id="196" name="25/6" dataDxfId="206"/>
    <tableColumn id="197" name="26/6" dataDxfId="205"/>
    <tableColumn id="198" name="27/6" dataDxfId="204"/>
    <tableColumn id="199" name="28/6" dataDxfId="203"/>
    <tableColumn id="200" name="29/6" dataDxfId="202"/>
    <tableColumn id="201" name="30/6" dataDxfId="201"/>
    <tableColumn id="202" name="1/7" dataDxfId="200"/>
    <tableColumn id="203" name="2/7" dataDxfId="199"/>
    <tableColumn id="204" name="3/7" dataDxfId="198"/>
    <tableColumn id="205" name="4/7" dataDxfId="197"/>
    <tableColumn id="206" name="5/7" dataDxfId="196"/>
    <tableColumn id="207" name="6/7" dataDxfId="195"/>
    <tableColumn id="208" name="7/7" dataDxfId="194"/>
    <tableColumn id="209" name="8/7" dataDxfId="193"/>
    <tableColumn id="210" name="9/7" dataDxfId="192"/>
    <tableColumn id="211" name="10/7" dataDxfId="191"/>
    <tableColumn id="212" name="11/7" dataDxfId="190"/>
    <tableColumn id="213" name="12/7" dataDxfId="189"/>
    <tableColumn id="214" name="13/7" dataDxfId="188"/>
    <tableColumn id="215" name="14/7" dataDxfId="187"/>
    <tableColumn id="216" name="15/7" dataDxfId="186"/>
    <tableColumn id="217" name="16/7" dataDxfId="185"/>
    <tableColumn id="218" name="17/7" dataDxfId="184"/>
    <tableColumn id="219" name="18/7" dataDxfId="183"/>
    <tableColumn id="220" name="19/7" dataDxfId="182"/>
    <tableColumn id="221" name="20/7" dataDxfId="181"/>
    <tableColumn id="222" name="21/7" dataDxfId="180"/>
    <tableColumn id="223" name="22/7" dataDxfId="179"/>
    <tableColumn id="224" name="23/7" dataDxfId="178"/>
    <tableColumn id="225" name="24/7" dataDxfId="177"/>
    <tableColumn id="226" name="25/7" dataDxfId="176"/>
    <tableColumn id="227" name="26/7" dataDxfId="175"/>
    <tableColumn id="228" name="27/7" dataDxfId="174"/>
    <tableColumn id="229" name="28/7" dataDxfId="173"/>
    <tableColumn id="230" name="29/7" dataDxfId="172"/>
    <tableColumn id="231" name="30/7" dataDxfId="171"/>
    <tableColumn id="232" name="31/7" dataDxfId="170"/>
    <tableColumn id="233" name="1/8" dataDxfId="169"/>
    <tableColumn id="234" name="2/8" dataDxfId="168"/>
    <tableColumn id="235" name="3/8" dataDxfId="167"/>
    <tableColumn id="236" name="4/8" dataDxfId="166"/>
    <tableColumn id="237" name="5/8" dataDxfId="165"/>
    <tableColumn id="238" name="6/8" dataDxfId="164"/>
    <tableColumn id="239" name="7/8" dataDxfId="163"/>
    <tableColumn id="240" name="8/8" dataDxfId="162"/>
    <tableColumn id="241" name="9/8" dataDxfId="161"/>
    <tableColumn id="242" name="10/8" dataDxfId="160"/>
    <tableColumn id="243" name="11/8" dataDxfId="159"/>
    <tableColumn id="244" name="12/8" dataDxfId="158"/>
    <tableColumn id="245" name="13/8" dataDxfId="157"/>
    <tableColumn id="246" name="14/8" dataDxfId="156"/>
    <tableColumn id="247" name="15/8" dataDxfId="155"/>
    <tableColumn id="248" name="16/8" dataDxfId="154"/>
    <tableColumn id="249" name="17/8" dataDxfId="153"/>
    <tableColumn id="250" name="18/8" dataDxfId="152"/>
    <tableColumn id="251" name="19/8" dataDxfId="151"/>
    <tableColumn id="252" name="20/8" dataDxfId="150"/>
    <tableColumn id="253" name="21/8" dataDxfId="149"/>
    <tableColumn id="254" name="22/8" dataDxfId="148"/>
    <tableColumn id="255" name="23/8" dataDxfId="147"/>
    <tableColumn id="256" name="24/8" dataDxfId="146"/>
    <tableColumn id="257" name="25/8" dataDxfId="145"/>
    <tableColumn id="258" name="26/8" dataDxfId="144"/>
    <tableColumn id="259" name="27/8" dataDxfId="143"/>
    <tableColumn id="260" name="28/8" dataDxfId="142"/>
    <tableColumn id="261" name="29/8" dataDxfId="141"/>
    <tableColumn id="262" name="30/8" dataDxfId="140"/>
    <tableColumn id="263" name="31/8" dataDxfId="139"/>
    <tableColumn id="264" name="1/9" dataDxfId="138"/>
    <tableColumn id="265" name="2/9" dataDxfId="137"/>
    <tableColumn id="266" name="3/9" dataDxfId="136"/>
    <tableColumn id="267" name="4/9" dataDxfId="135"/>
    <tableColumn id="268" name="5/9" dataDxfId="134"/>
    <tableColumn id="269" name="6/9" dataDxfId="133"/>
    <tableColumn id="270" name="7/9" dataDxfId="132"/>
    <tableColumn id="271" name="8/9" dataDxfId="131"/>
    <tableColumn id="272" name="9/9" dataDxfId="130"/>
    <tableColumn id="273" name="10/9" dataDxfId="129"/>
    <tableColumn id="274" name="11/9" dataDxfId="128"/>
    <tableColumn id="275" name="12/9" dataDxfId="127"/>
    <tableColumn id="276" name="13/9" dataDxfId="126"/>
    <tableColumn id="277" name="14/9" dataDxfId="125"/>
    <tableColumn id="278" name="15/9" dataDxfId="124"/>
    <tableColumn id="279" name="16/9" dataDxfId="123"/>
    <tableColumn id="280" name="17/9" dataDxfId="122"/>
    <tableColumn id="281" name="18/9" dataDxfId="121"/>
    <tableColumn id="282" name="19/9" dataDxfId="120"/>
    <tableColumn id="283" name="20/9" dataDxfId="119"/>
    <tableColumn id="284" name="21/9" dataDxfId="118"/>
    <tableColumn id="285" name="22/9" dataDxfId="117"/>
    <tableColumn id="286" name="23/9" dataDxfId="116"/>
    <tableColumn id="287" name="24/9" dataDxfId="115"/>
    <tableColumn id="288" name="25/9" dataDxfId="114"/>
    <tableColumn id="289" name="26/9" dataDxfId="113"/>
    <tableColumn id="290" name="27/9" dataDxfId="112"/>
    <tableColumn id="291" name="28/9" dataDxfId="111"/>
    <tableColumn id="292" name="29/9" dataDxfId="110"/>
    <tableColumn id="293" name="30/9" dataDxfId="109"/>
    <tableColumn id="294" name="1/10" dataDxfId="108"/>
    <tableColumn id="295" name="2/10" dataDxfId="107"/>
    <tableColumn id="296" name="3/10" dataDxfId="106"/>
    <tableColumn id="297" name="4/10" dataDxfId="105"/>
    <tableColumn id="298" name="5/10" dataDxfId="104"/>
    <tableColumn id="299" name="6/10" dataDxfId="103"/>
    <tableColumn id="300" name="7/10" dataDxfId="102"/>
    <tableColumn id="301" name="8/10" dataDxfId="101"/>
    <tableColumn id="302" name="9/10" dataDxfId="100"/>
    <tableColumn id="303" name="10/10" dataDxfId="99"/>
    <tableColumn id="304" name="11/10" dataDxfId="98"/>
    <tableColumn id="305" name="12/10" dataDxfId="97"/>
    <tableColumn id="306" name="13/10" dataDxfId="96"/>
    <tableColumn id="307" name="14/10" dataDxfId="95"/>
    <tableColumn id="308" name="15/10" dataDxfId="94"/>
    <tableColumn id="309" name="16/10" dataDxfId="93"/>
    <tableColumn id="310" name="17/10" dataDxfId="92"/>
    <tableColumn id="311" name="18/10" dataDxfId="91"/>
    <tableColumn id="312" name="19/10" dataDxfId="90"/>
    <tableColumn id="313" name="20/10" dataDxfId="89"/>
    <tableColumn id="314" name="21/10" dataDxfId="88"/>
    <tableColumn id="315" name="22/10" dataDxfId="87"/>
    <tableColumn id="316" name="23/10" dataDxfId="86"/>
    <tableColumn id="317" name="24/10" dataDxfId="85"/>
    <tableColumn id="318" name="25/10" dataDxfId="84"/>
    <tableColumn id="319" name="26/10" dataDxfId="83"/>
    <tableColumn id="320" name="27/10" dataDxfId="82"/>
    <tableColumn id="321" name="28/10" dataDxfId="81"/>
    <tableColumn id="322" name="29/10" dataDxfId="80"/>
    <tableColumn id="323" name="30/10" dataDxfId="79"/>
    <tableColumn id="324" name="31/10" dataDxfId="78"/>
    <tableColumn id="325" name="1/11" dataDxfId="77"/>
    <tableColumn id="326" name="2/11" dataDxfId="76"/>
    <tableColumn id="327" name="3/11" dataDxfId="75"/>
    <tableColumn id="328" name="4/11" dataDxfId="74"/>
    <tableColumn id="329" name="5/11" dataDxfId="73"/>
    <tableColumn id="330" name="6/11" dataDxfId="72"/>
    <tableColumn id="331" name="7/11" dataDxfId="71"/>
    <tableColumn id="332" name="8/11" dataDxfId="70"/>
    <tableColumn id="333" name="9/11" dataDxfId="69"/>
    <tableColumn id="334" name="10/11" dataDxfId="68"/>
    <tableColumn id="335" name="11/11" dataDxfId="67"/>
    <tableColumn id="336" name="12/11" dataDxfId="66"/>
    <tableColumn id="337" name="13/11" dataDxfId="65"/>
    <tableColumn id="338" name="14/11" dataDxfId="64"/>
    <tableColumn id="339" name="15/11" dataDxfId="63"/>
    <tableColumn id="340" name="16/11" dataDxfId="62"/>
    <tableColumn id="341" name="17/11" dataDxfId="61"/>
    <tableColumn id="342" name="18/11" dataDxfId="60"/>
    <tableColumn id="343" name="19/11" dataDxfId="59"/>
    <tableColumn id="344" name="20/11" dataDxfId="58"/>
    <tableColumn id="345" name="21/11" dataDxfId="57"/>
    <tableColumn id="346" name="22/11" dataDxfId="56"/>
    <tableColumn id="347" name="23/11" dataDxfId="55"/>
    <tableColumn id="348" name="24/11" dataDxfId="54"/>
    <tableColumn id="349" name="25/11" dataDxfId="53"/>
    <tableColumn id="350" name="26/11" dataDxfId="52"/>
    <tableColumn id="351" name="27/11" dataDxfId="51"/>
    <tableColumn id="352" name="28/11" dataDxfId="50"/>
    <tableColumn id="353" name="29/11" dataDxfId="49"/>
    <tableColumn id="354" name="30/11" dataDxfId="48"/>
    <tableColumn id="355" name="1/12" dataDxfId="47"/>
    <tableColumn id="356" name="2/12" dataDxfId="46"/>
    <tableColumn id="357" name="3/12" dataDxfId="45"/>
    <tableColumn id="358" name="4/12" dataDxfId="44"/>
    <tableColumn id="359" name="5/12" dataDxfId="43"/>
    <tableColumn id="360" name="6/12" dataDxfId="42"/>
    <tableColumn id="361" name="7/12" dataDxfId="41"/>
    <tableColumn id="362" name="8/12" dataDxfId="40"/>
    <tableColumn id="363" name="9/12" dataDxfId="39"/>
    <tableColumn id="364" name="10/12" dataDxfId="38"/>
    <tableColumn id="365" name="11/12" dataDxfId="37"/>
    <tableColumn id="366" name="12/12" dataDxfId="36"/>
    <tableColumn id="367" name="13/12" dataDxfId="35"/>
    <tableColumn id="368" name="14/12" dataDxfId="34"/>
    <tableColumn id="369" name="15/12" dataDxfId="33"/>
    <tableColumn id="370" name="16/12" dataDxfId="32"/>
    <tableColumn id="371" name="17/12" dataDxfId="31"/>
    <tableColumn id="372" name="18/12" dataDxfId="30"/>
    <tableColumn id="373" name="19/12" dataDxfId="29"/>
    <tableColumn id="374" name="20/12" dataDxfId="28"/>
    <tableColumn id="375" name="21/12" dataDxfId="27"/>
    <tableColumn id="376" name="22/12" dataDxfId="26"/>
    <tableColumn id="377" name="23/12" dataDxfId="25"/>
    <tableColumn id="378" name="24/12" dataDxfId="24"/>
    <tableColumn id="379" name="25/12" dataDxfId="23"/>
    <tableColumn id="380" name="26/12" dataDxfId="22"/>
    <tableColumn id="381" name="27/12" dataDxfId="21"/>
    <tableColumn id="382" name="28/12" dataDxfId="20"/>
    <tableColumn id="383" name="29/12" dataDxfId="19"/>
    <tableColumn id="384" name="30/12" dataDxfId="18"/>
    <tableColumn id="385" name="31/12" dataDxfId="17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etremann.franck@outlook.com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36"/>
  <sheetViews>
    <sheetView showGridLines="0" zoomScale="85" zoomScaleNormal="85" workbookViewId="0">
      <pane ySplit="11" topLeftCell="A12" activePane="bottomLeft" state="frozen"/>
      <selection pane="bottomLeft" activeCell="U18" sqref="U18"/>
    </sheetView>
  </sheetViews>
  <sheetFormatPr baseColWidth="10" defaultColWidth="10.85546875" defaultRowHeight="15"/>
  <cols>
    <col min="1" max="1" width="10.85546875" style="9"/>
    <col min="2" max="2" width="21" style="9" customWidth="1"/>
    <col min="3" max="3" width="24.140625" style="9" customWidth="1"/>
    <col min="4" max="4" width="30.7109375" style="9" customWidth="1"/>
    <col min="5" max="5" width="12.5703125" style="9" bestFit="1" customWidth="1"/>
    <col min="6" max="6" width="10.85546875" style="9"/>
    <col min="7" max="16" width="10.7109375" style="9" customWidth="1"/>
    <col min="17" max="17" width="20.5703125" style="9" customWidth="1"/>
    <col min="18" max="18" width="4" style="9" customWidth="1"/>
    <col min="19" max="19" width="10.85546875" style="9"/>
    <col min="20" max="20" width="4" style="9" customWidth="1"/>
    <col min="21" max="21" width="26" style="9" customWidth="1"/>
    <col min="22" max="16384" width="10.85546875" style="9"/>
  </cols>
  <sheetData>
    <row r="1" spans="1:24" s="10" customFormat="1"/>
    <row r="2" spans="1:24" s="10" customFormat="1" ht="21">
      <c r="Q2" s="15">
        <f ca="1">TODAY()</f>
        <v>42820</v>
      </c>
    </row>
    <row r="3" spans="1:24" s="10" customFormat="1"/>
    <row r="4" spans="1:24" s="10" customFormat="1"/>
    <row r="5" spans="1:24" s="10" customFormat="1"/>
    <row r="6" spans="1:24" s="10" customFormat="1"/>
    <row r="7" spans="1:24" s="10" customFormat="1"/>
    <row r="8" spans="1:24" s="10" customFormat="1"/>
    <row r="9" spans="1:24" s="10" customFormat="1"/>
    <row r="10" spans="1:24" s="10" customFormat="1"/>
    <row r="11" spans="1:24" s="11" customFormat="1"/>
    <row r="14" spans="1:24" ht="15.75">
      <c r="B14" s="31" t="s">
        <v>23</v>
      </c>
      <c r="S14" s="95" t="s">
        <v>497</v>
      </c>
      <c r="T14" s="95"/>
      <c r="U14" s="95"/>
      <c r="V14" s="95"/>
    </row>
    <row r="16" spans="1:24" ht="15" customHeight="1">
      <c r="A16" s="26"/>
      <c r="B16" s="3"/>
      <c r="C16" s="2"/>
      <c r="D16" s="12" t="s">
        <v>19</v>
      </c>
      <c r="E16" s="12"/>
      <c r="F16" s="1"/>
      <c r="G16" s="125"/>
      <c r="H16" s="126"/>
      <c r="I16" s="126" t="s">
        <v>496</v>
      </c>
      <c r="J16" s="126"/>
      <c r="K16" s="64"/>
      <c r="L16" s="64"/>
      <c r="M16" s="126"/>
      <c r="N16" s="126"/>
      <c r="O16" s="124"/>
      <c r="P16" s="124"/>
      <c r="Q16" s="99" t="s">
        <v>499</v>
      </c>
      <c r="R16" s="100"/>
      <c r="S16" s="100" t="s">
        <v>498</v>
      </c>
      <c r="T16" s="100"/>
      <c r="U16" s="100" t="s">
        <v>500</v>
      </c>
      <c r="V16" s="101"/>
      <c r="W16" s="27"/>
      <c r="X16" s="27"/>
    </row>
    <row r="17" spans="1:24" ht="15" customHeight="1">
      <c r="A17" s="27"/>
      <c r="B17" s="29" t="s">
        <v>17</v>
      </c>
      <c r="C17" s="4"/>
      <c r="D17" s="13">
        <v>90</v>
      </c>
      <c r="E17" s="13"/>
      <c r="F17" s="5">
        <f t="shared" ref="F17:F27" ca="1" si="0">TODAY()+D17</f>
        <v>42910</v>
      </c>
      <c r="G17" s="63"/>
      <c r="H17" s="63"/>
      <c r="I17" s="91">
        <f ca="1">'Planning B737-800'!X44</f>
        <v>1</v>
      </c>
      <c r="J17" s="52">
        <f ca="1">'Planning B737-800'!X43</f>
        <v>0</v>
      </c>
      <c r="K17" s="63"/>
      <c r="L17" s="63"/>
      <c r="M17" s="63"/>
      <c r="N17" s="63"/>
      <c r="O17" s="63"/>
      <c r="P17" s="63"/>
      <c r="Q17" s="106" t="s">
        <v>504</v>
      </c>
      <c r="R17" s="96"/>
      <c r="S17" s="96" t="s">
        <v>502</v>
      </c>
      <c r="T17" s="96"/>
      <c r="U17" s="96"/>
      <c r="V17" s="102"/>
      <c r="W17" s="27"/>
      <c r="X17" s="27"/>
    </row>
    <row r="18" spans="1:24" s="56" customFormat="1" ht="15" customHeight="1">
      <c r="A18" s="55"/>
      <c r="B18" s="29" t="s">
        <v>430</v>
      </c>
      <c r="C18" s="4"/>
      <c r="D18" s="59">
        <v>5</v>
      </c>
      <c r="E18" s="59"/>
      <c r="F18" s="5">
        <f t="shared" ca="1" si="0"/>
        <v>42825</v>
      </c>
      <c r="G18" s="63"/>
      <c r="H18" s="63"/>
      <c r="I18" s="91">
        <f ca="1">'Planning B737-800'!AE44</f>
        <v>1</v>
      </c>
      <c r="J18" s="52">
        <f ca="1">'Planning B737-800'!AE43</f>
        <v>1</v>
      </c>
      <c r="K18" s="63"/>
      <c r="L18" s="63"/>
      <c r="M18" s="63"/>
      <c r="N18" s="63"/>
      <c r="O18" s="63"/>
      <c r="P18" s="63"/>
      <c r="Q18" s="106" t="s">
        <v>506</v>
      </c>
      <c r="R18" s="96"/>
      <c r="S18" s="96" t="s">
        <v>503</v>
      </c>
      <c r="T18" s="96"/>
      <c r="U18" s="96"/>
      <c r="V18" s="102"/>
      <c r="W18" s="55"/>
      <c r="X18" s="55"/>
    </row>
    <row r="19" spans="1:24" s="56" customFormat="1" ht="15" customHeight="1">
      <c r="A19" s="55"/>
      <c r="B19" s="29" t="s">
        <v>421</v>
      </c>
      <c r="C19" s="4"/>
      <c r="D19" s="59">
        <v>10</v>
      </c>
      <c r="E19" s="59"/>
      <c r="F19" s="5">
        <f t="shared" ca="1" si="0"/>
        <v>42830</v>
      </c>
      <c r="G19" s="63"/>
      <c r="H19" s="63"/>
      <c r="I19" s="91"/>
      <c r="J19" s="52"/>
      <c r="K19" s="63"/>
      <c r="L19" s="63"/>
      <c r="M19" s="63"/>
      <c r="N19" s="63"/>
      <c r="O19" s="63"/>
      <c r="P19" s="63"/>
      <c r="Q19" s="106" t="s">
        <v>505</v>
      </c>
      <c r="R19" s="96"/>
      <c r="S19" s="96"/>
      <c r="T19" s="96"/>
      <c r="U19" s="96"/>
      <c r="V19" s="102"/>
      <c r="W19" s="55"/>
      <c r="X19" s="55"/>
    </row>
    <row r="20" spans="1:24" s="111" customFormat="1" ht="15" customHeight="1">
      <c r="A20" s="110"/>
      <c r="B20" s="29" t="s">
        <v>515</v>
      </c>
      <c r="C20" s="4"/>
      <c r="D20" s="59">
        <v>12</v>
      </c>
      <c r="E20" s="59"/>
      <c r="F20" s="5">
        <f t="shared" ca="1" si="0"/>
        <v>42832</v>
      </c>
      <c r="G20" s="110"/>
      <c r="H20" s="110"/>
      <c r="I20" s="91"/>
      <c r="J20" s="52"/>
      <c r="K20" s="110"/>
      <c r="L20" s="110"/>
      <c r="M20" s="110"/>
      <c r="N20" s="110"/>
      <c r="O20" s="110"/>
      <c r="P20" s="110"/>
      <c r="Q20" s="106"/>
      <c r="R20" s="96"/>
      <c r="S20" s="96"/>
      <c r="T20" s="96"/>
      <c r="U20" s="96"/>
      <c r="V20" s="102"/>
      <c r="W20" s="110"/>
      <c r="X20" s="110"/>
    </row>
    <row r="21" spans="1:24" ht="15" customHeight="1">
      <c r="A21" s="27"/>
      <c r="B21" s="29" t="s">
        <v>14</v>
      </c>
      <c r="C21" s="4"/>
      <c r="D21" s="13">
        <v>60</v>
      </c>
      <c r="E21" s="13"/>
      <c r="F21" s="5">
        <f t="shared" ca="1" si="0"/>
        <v>42880</v>
      </c>
      <c r="G21" s="63"/>
      <c r="H21" s="63"/>
      <c r="I21" s="91"/>
      <c r="J21" s="52"/>
      <c r="K21" s="63"/>
      <c r="L21" s="63"/>
      <c r="M21" s="63"/>
      <c r="N21" s="63"/>
      <c r="O21" s="63"/>
      <c r="P21" s="63"/>
      <c r="Q21" s="106"/>
      <c r="R21" s="96"/>
      <c r="S21" s="96"/>
      <c r="T21" s="96"/>
      <c r="U21" s="96"/>
      <c r="V21" s="102"/>
      <c r="W21" s="27"/>
      <c r="X21" s="27"/>
    </row>
    <row r="22" spans="1:24" ht="15" customHeight="1">
      <c r="A22" s="27"/>
      <c r="B22" s="29" t="s">
        <v>7</v>
      </c>
      <c r="C22" s="4"/>
      <c r="D22" s="13">
        <v>30</v>
      </c>
      <c r="E22" s="13"/>
      <c r="F22" s="5">
        <f t="shared" ca="1" si="0"/>
        <v>42850</v>
      </c>
      <c r="G22" s="63"/>
      <c r="H22" s="62"/>
      <c r="I22" s="91"/>
      <c r="J22" s="92"/>
      <c r="K22" s="63"/>
      <c r="L22" s="62"/>
      <c r="M22" s="63"/>
      <c r="N22" s="62"/>
      <c r="O22" s="63"/>
      <c r="P22" s="62"/>
      <c r="Q22" s="106" t="s">
        <v>507</v>
      </c>
      <c r="R22" s="98"/>
      <c r="S22" s="98">
        <v>7</v>
      </c>
      <c r="T22" s="97" t="s">
        <v>501</v>
      </c>
      <c r="U22" s="96"/>
      <c r="V22" s="102"/>
      <c r="W22" s="28"/>
      <c r="X22" s="27"/>
    </row>
    <row r="23" spans="1:24" ht="15" customHeight="1">
      <c r="A23" s="27"/>
      <c r="B23" s="29" t="s">
        <v>8</v>
      </c>
      <c r="C23" s="4"/>
      <c r="D23" s="13">
        <v>30</v>
      </c>
      <c r="E23" s="13"/>
      <c r="F23" s="5">
        <f t="shared" ca="1" si="0"/>
        <v>42850</v>
      </c>
      <c r="G23" s="63"/>
      <c r="H23" s="62"/>
      <c r="I23" s="91"/>
      <c r="J23" s="92"/>
      <c r="K23" s="63"/>
      <c r="L23" s="62"/>
      <c r="M23" s="63"/>
      <c r="N23" s="62"/>
      <c r="O23" s="63"/>
      <c r="P23" s="62"/>
      <c r="Q23" s="103"/>
      <c r="R23" s="98"/>
      <c r="S23" s="98"/>
      <c r="T23" s="98"/>
      <c r="U23" s="98"/>
      <c r="V23" s="104"/>
      <c r="W23" s="28"/>
      <c r="X23" s="27"/>
    </row>
    <row r="24" spans="1:24" ht="15" customHeight="1">
      <c r="A24" s="27"/>
      <c r="B24" s="29" t="s">
        <v>9</v>
      </c>
      <c r="C24" s="4"/>
      <c r="D24" s="13">
        <v>30</v>
      </c>
      <c r="E24" s="13"/>
      <c r="F24" s="5">
        <f t="shared" ca="1" si="0"/>
        <v>42850</v>
      </c>
      <c r="G24" s="63"/>
      <c r="H24" s="63"/>
      <c r="I24" s="91"/>
      <c r="J24" s="52"/>
      <c r="K24" s="63"/>
      <c r="L24" s="63"/>
      <c r="M24" s="63"/>
      <c r="N24" s="63"/>
      <c r="O24" s="63"/>
      <c r="P24" s="63"/>
      <c r="Q24" s="77"/>
      <c r="R24" s="11"/>
      <c r="S24" s="11"/>
      <c r="T24" s="11"/>
      <c r="U24" s="11"/>
      <c r="V24" s="105"/>
      <c r="W24" s="27"/>
      <c r="X24" s="27"/>
    </row>
    <row r="25" spans="1:24" s="64" customFormat="1" ht="15" customHeight="1">
      <c r="A25" s="63"/>
      <c r="B25" s="89" t="s">
        <v>2</v>
      </c>
      <c r="C25" s="89"/>
      <c r="D25" s="59">
        <v>30</v>
      </c>
      <c r="E25" s="59"/>
      <c r="F25" s="5">
        <f t="shared" ca="1" si="0"/>
        <v>42850</v>
      </c>
      <c r="G25" s="63"/>
      <c r="H25" s="63"/>
      <c r="I25" s="91"/>
      <c r="J25" s="52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</row>
    <row r="26" spans="1:24" ht="15" customHeight="1">
      <c r="A26" s="27"/>
      <c r="B26" s="29" t="s">
        <v>0</v>
      </c>
      <c r="C26" s="4"/>
      <c r="D26" s="13">
        <v>90</v>
      </c>
      <c r="E26" s="13"/>
      <c r="F26" s="5">
        <f t="shared" ca="1" si="0"/>
        <v>42910</v>
      </c>
      <c r="G26" s="63"/>
      <c r="H26" s="63"/>
      <c r="I26" s="91"/>
      <c r="J26" s="52"/>
      <c r="K26" s="63"/>
      <c r="L26" s="63"/>
      <c r="M26" s="63"/>
      <c r="N26" s="63"/>
      <c r="O26" s="63"/>
      <c r="P26" s="63"/>
      <c r="Q26" s="63"/>
      <c r="R26" s="63"/>
      <c r="S26" s="63"/>
      <c r="T26" s="64"/>
      <c r="U26" s="27"/>
      <c r="V26" s="27"/>
      <c r="W26" s="27"/>
      <c r="X26" s="27"/>
    </row>
    <row r="27" spans="1:24" ht="15" customHeight="1">
      <c r="A27" s="27"/>
      <c r="B27" s="30" t="s">
        <v>18</v>
      </c>
      <c r="C27" s="6"/>
      <c r="D27" s="7">
        <v>90</v>
      </c>
      <c r="E27" s="7"/>
      <c r="F27" s="8">
        <f t="shared" ca="1" si="0"/>
        <v>42910</v>
      </c>
      <c r="G27" s="63"/>
      <c r="H27" s="63"/>
      <c r="I27" s="91"/>
      <c r="J27" s="52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27"/>
      <c r="V27" s="27"/>
      <c r="W27" s="27"/>
      <c r="X27" s="27"/>
    </row>
    <row r="28" spans="1:24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</row>
    <row r="29" spans="1:24">
      <c r="A29" s="27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</row>
    <row r="30" spans="1:24">
      <c r="A30" s="27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</row>
    <row r="31" spans="1:24">
      <c r="A31" s="27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</row>
    <row r="32" spans="1:24">
      <c r="A32" s="27"/>
      <c r="B32" s="93"/>
      <c r="C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</row>
    <row r="33" spans="1:5">
      <c r="B33" s="94"/>
      <c r="D33" s="27"/>
    </row>
    <row r="39" spans="1:5">
      <c r="A39" s="111"/>
      <c r="B39" s="111"/>
      <c r="C39" s="111"/>
      <c r="D39" s="111"/>
      <c r="E39" s="111"/>
    </row>
    <row r="40" spans="1:5">
      <c r="A40" s="111"/>
      <c r="B40" s="111"/>
      <c r="C40" s="111"/>
      <c r="D40" s="111"/>
      <c r="E40" s="111"/>
    </row>
    <row r="41" spans="1:5">
      <c r="A41" s="111"/>
      <c r="B41" s="116"/>
      <c r="C41" s="116"/>
      <c r="D41" s="111"/>
      <c r="E41" s="111"/>
    </row>
    <row r="42" spans="1:5">
      <c r="A42" s="111"/>
      <c r="B42" s="116"/>
      <c r="C42" s="116"/>
      <c r="D42" s="111"/>
      <c r="E42" s="111"/>
    </row>
    <row r="43" spans="1:5">
      <c r="A43" s="111"/>
      <c r="B43" s="94"/>
      <c r="C43" s="114"/>
      <c r="D43" s="111"/>
      <c r="E43" s="111"/>
    </row>
    <row r="44" spans="1:5">
      <c r="A44" s="111"/>
      <c r="B44" s="116"/>
      <c r="C44" s="117"/>
      <c r="D44" s="116"/>
      <c r="E44" s="116"/>
    </row>
    <row r="45" spans="1:5" s="27" customFormat="1">
      <c r="A45" s="32"/>
      <c r="B45" s="116"/>
      <c r="C45" s="116"/>
      <c r="D45" s="116"/>
      <c r="E45" s="116"/>
    </row>
    <row r="46" spans="1:5" s="27" customFormat="1">
      <c r="A46" s="33"/>
      <c r="B46" s="118"/>
      <c r="C46" s="117"/>
      <c r="D46" s="116"/>
      <c r="E46" s="116"/>
    </row>
    <row r="47" spans="1:5" s="27" customFormat="1">
      <c r="A47" s="33"/>
      <c r="B47" s="116"/>
      <c r="C47" s="117"/>
      <c r="D47" s="116"/>
      <c r="E47" s="116"/>
    </row>
    <row r="48" spans="1:5" s="27" customFormat="1">
      <c r="A48" s="33"/>
      <c r="B48" s="118"/>
      <c r="C48" s="117"/>
      <c r="D48" s="116"/>
      <c r="E48" s="116"/>
    </row>
    <row r="49" spans="1:5" s="27" customFormat="1">
      <c r="A49" s="33"/>
      <c r="B49" s="118"/>
      <c r="C49" s="117"/>
      <c r="D49" s="116"/>
      <c r="E49" s="34"/>
    </row>
    <row r="50" spans="1:5" s="27" customFormat="1">
      <c r="A50" s="33"/>
      <c r="B50" s="118"/>
      <c r="C50" s="117"/>
      <c r="D50" s="116"/>
      <c r="E50" s="34"/>
    </row>
    <row r="51" spans="1:5" s="27" customFormat="1">
      <c r="A51" s="33"/>
      <c r="B51" s="116"/>
      <c r="C51" s="116"/>
      <c r="D51" s="116"/>
      <c r="E51" s="34"/>
    </row>
    <row r="52" spans="1:5" s="27" customFormat="1">
      <c r="A52" s="33"/>
      <c r="B52" s="116"/>
      <c r="C52" s="117"/>
      <c r="D52" s="116"/>
      <c r="E52" s="34"/>
    </row>
    <row r="53" spans="1:5">
      <c r="A53" s="111"/>
      <c r="B53" s="116"/>
      <c r="C53" s="117"/>
      <c r="D53" s="116"/>
      <c r="E53" s="111"/>
    </row>
    <row r="54" spans="1:5">
      <c r="A54" s="111"/>
      <c r="B54" s="116"/>
      <c r="C54" s="117"/>
      <c r="D54" s="116"/>
      <c r="E54" s="111"/>
    </row>
    <row r="55" spans="1:5">
      <c r="A55" s="111"/>
      <c r="B55" s="116"/>
      <c r="C55" s="117"/>
      <c r="D55" s="116"/>
      <c r="E55" s="111"/>
    </row>
    <row r="56" spans="1:5">
      <c r="A56" s="111"/>
      <c r="B56" s="116"/>
      <c r="C56" s="117"/>
      <c r="D56" s="116"/>
      <c r="E56" s="111"/>
    </row>
    <row r="57" spans="1:5">
      <c r="A57" s="111"/>
      <c r="B57" s="116"/>
      <c r="C57" s="117"/>
      <c r="D57" s="116"/>
      <c r="E57" s="111"/>
    </row>
    <row r="58" spans="1:5">
      <c r="A58" s="111"/>
      <c r="B58" s="116"/>
      <c r="C58" s="117"/>
      <c r="D58" s="116"/>
      <c r="E58" s="111"/>
    </row>
    <row r="59" spans="1:5">
      <c r="A59" s="111"/>
      <c r="B59" s="116"/>
      <c r="C59" s="117"/>
      <c r="D59" s="116"/>
      <c r="E59" s="111"/>
    </row>
    <row r="60" spans="1:5">
      <c r="A60" s="111"/>
      <c r="B60" s="116"/>
      <c r="C60" s="117"/>
      <c r="D60" s="116"/>
      <c r="E60" s="111"/>
    </row>
    <row r="61" spans="1:5">
      <c r="A61" s="111"/>
      <c r="B61" s="116"/>
      <c r="C61" s="117"/>
      <c r="D61" s="116"/>
      <c r="E61" s="111"/>
    </row>
    <row r="62" spans="1:5">
      <c r="A62" s="111"/>
      <c r="B62" s="116"/>
      <c r="C62" s="117"/>
      <c r="D62" s="116"/>
      <c r="E62" s="111"/>
    </row>
    <row r="63" spans="1:5">
      <c r="A63" s="111"/>
      <c r="B63" s="116"/>
      <c r="C63" s="117"/>
      <c r="D63" s="116"/>
      <c r="E63" s="111"/>
    </row>
    <row r="64" spans="1:5">
      <c r="A64" s="111"/>
      <c r="B64" s="116"/>
      <c r="C64" s="117"/>
      <c r="D64" s="116"/>
      <c r="E64" s="111"/>
    </row>
    <row r="65" spans="1:5">
      <c r="A65" s="111"/>
      <c r="B65" s="111"/>
      <c r="C65" s="114"/>
      <c r="D65" s="116"/>
      <c r="E65" s="111"/>
    </row>
    <row r="66" spans="1:5">
      <c r="A66" s="111"/>
      <c r="B66" s="111"/>
      <c r="C66" s="114"/>
      <c r="D66" s="116"/>
      <c r="E66" s="111"/>
    </row>
    <row r="67" spans="1:5">
      <c r="A67" s="111"/>
      <c r="B67" s="111"/>
      <c r="C67" s="114"/>
      <c r="D67" s="116"/>
      <c r="E67" s="111"/>
    </row>
    <row r="68" spans="1:5">
      <c r="A68" s="111"/>
      <c r="B68" s="111"/>
      <c r="C68" s="114"/>
      <c r="D68" s="116"/>
      <c r="E68" s="111"/>
    </row>
    <row r="69" spans="1:5">
      <c r="A69" s="111"/>
      <c r="B69" s="111"/>
      <c r="C69" s="114"/>
      <c r="D69" s="116"/>
      <c r="E69" s="111"/>
    </row>
    <row r="70" spans="1:5">
      <c r="A70" s="111"/>
      <c r="B70" s="111"/>
      <c r="C70" s="114"/>
      <c r="D70" s="116"/>
      <c r="E70" s="111"/>
    </row>
    <row r="71" spans="1:5">
      <c r="A71" s="111"/>
      <c r="B71" s="111"/>
      <c r="C71" s="111"/>
      <c r="D71" s="116"/>
      <c r="E71" s="111"/>
    </row>
    <row r="72" spans="1:5">
      <c r="A72" s="111"/>
      <c r="B72" s="111"/>
      <c r="C72" s="111"/>
      <c r="D72" s="116"/>
      <c r="E72" s="111"/>
    </row>
    <row r="73" spans="1:5">
      <c r="A73" s="111"/>
      <c r="B73" s="111"/>
      <c r="C73" s="111"/>
      <c r="D73" s="116"/>
      <c r="E73" s="111"/>
    </row>
    <row r="74" spans="1:5">
      <c r="A74" s="111"/>
      <c r="B74" s="111"/>
      <c r="C74" s="111"/>
      <c r="D74" s="116"/>
      <c r="E74" s="111"/>
    </row>
    <row r="75" spans="1:5">
      <c r="A75" s="111"/>
      <c r="B75" s="111"/>
      <c r="C75" s="111"/>
      <c r="D75" s="116"/>
      <c r="E75" s="111"/>
    </row>
    <row r="76" spans="1:5">
      <c r="A76" s="111"/>
      <c r="B76" s="111"/>
      <c r="C76" s="111"/>
      <c r="D76" s="116"/>
      <c r="E76" s="111"/>
    </row>
    <row r="77" spans="1:5">
      <c r="A77" s="111"/>
      <c r="B77" s="111"/>
      <c r="C77" s="111"/>
      <c r="D77" s="116"/>
      <c r="E77" s="111"/>
    </row>
    <row r="78" spans="1:5">
      <c r="A78" s="111"/>
      <c r="B78" s="111"/>
      <c r="C78" s="111"/>
      <c r="D78" s="116"/>
      <c r="E78" s="111"/>
    </row>
    <row r="79" spans="1:5">
      <c r="A79" s="111"/>
      <c r="B79" s="111"/>
      <c r="C79" s="111"/>
      <c r="D79" s="116"/>
      <c r="E79" s="111"/>
    </row>
    <row r="80" spans="1:5">
      <c r="A80" s="111"/>
      <c r="B80" s="111"/>
      <c r="C80" s="111"/>
      <c r="D80" s="116"/>
      <c r="E80" s="111"/>
    </row>
    <row r="81" spans="1:5">
      <c r="A81" s="111"/>
      <c r="B81" s="111"/>
      <c r="C81" s="111"/>
      <c r="D81" s="116"/>
      <c r="E81" s="111"/>
    </row>
    <row r="82" spans="1:5">
      <c r="A82" s="111"/>
      <c r="B82" s="111"/>
      <c r="C82" s="111"/>
      <c r="D82" s="116"/>
      <c r="E82" s="111"/>
    </row>
    <row r="83" spans="1:5">
      <c r="A83" s="111"/>
      <c r="B83" s="111"/>
      <c r="C83" s="111"/>
      <c r="D83" s="116"/>
      <c r="E83" s="111"/>
    </row>
    <row r="84" spans="1:5">
      <c r="A84" s="111"/>
      <c r="B84" s="111"/>
      <c r="C84" s="111"/>
      <c r="D84" s="116"/>
      <c r="E84" s="111"/>
    </row>
    <row r="85" spans="1:5">
      <c r="A85" s="111"/>
      <c r="B85" s="111"/>
      <c r="C85" s="111"/>
      <c r="D85" s="116"/>
      <c r="E85" s="111"/>
    </row>
    <row r="86" spans="1:5">
      <c r="A86" s="111"/>
      <c r="B86" s="111"/>
      <c r="C86" s="111"/>
      <c r="D86" s="116"/>
      <c r="E86" s="111"/>
    </row>
    <row r="87" spans="1:5">
      <c r="A87" s="111"/>
      <c r="B87" s="111"/>
      <c r="C87" s="111"/>
      <c r="D87" s="116"/>
      <c r="E87" s="111"/>
    </row>
    <row r="88" spans="1:5">
      <c r="A88" s="111"/>
      <c r="B88" s="111"/>
      <c r="C88" s="111"/>
      <c r="D88" s="116"/>
      <c r="E88" s="111"/>
    </row>
    <row r="89" spans="1:5">
      <c r="A89" s="111"/>
      <c r="B89" s="111"/>
      <c r="C89" s="111"/>
      <c r="D89" s="116"/>
      <c r="E89" s="111"/>
    </row>
    <row r="90" spans="1:5">
      <c r="A90" s="111"/>
      <c r="B90" s="111"/>
      <c r="C90" s="111"/>
      <c r="D90" s="116"/>
      <c r="E90" s="111"/>
    </row>
    <row r="91" spans="1:5">
      <c r="A91" s="111"/>
      <c r="B91" s="111"/>
      <c r="C91" s="111"/>
      <c r="D91" s="116"/>
      <c r="E91" s="111"/>
    </row>
    <row r="92" spans="1:5">
      <c r="A92" s="111"/>
      <c r="B92" s="111"/>
      <c r="C92" s="111"/>
      <c r="D92" s="116"/>
      <c r="E92" s="111"/>
    </row>
    <row r="93" spans="1:5">
      <c r="A93" s="111"/>
      <c r="B93" s="111"/>
      <c r="C93" s="111"/>
      <c r="D93" s="116"/>
      <c r="E93" s="111"/>
    </row>
    <row r="94" spans="1:5">
      <c r="A94" s="111"/>
      <c r="B94" s="111"/>
      <c r="C94" s="111"/>
      <c r="D94" s="116"/>
      <c r="E94" s="111"/>
    </row>
    <row r="95" spans="1:5">
      <c r="A95" s="111"/>
      <c r="B95" s="111"/>
      <c r="C95" s="111"/>
      <c r="D95" s="116"/>
      <c r="E95" s="111"/>
    </row>
    <row r="96" spans="1:5">
      <c r="A96" s="111"/>
      <c r="B96" s="111"/>
      <c r="C96" s="111"/>
      <c r="D96" s="116"/>
      <c r="E96" s="111"/>
    </row>
    <row r="97" spans="1:5">
      <c r="A97" s="111"/>
      <c r="B97" s="111"/>
      <c r="C97" s="111"/>
      <c r="D97" s="116"/>
      <c r="E97" s="111"/>
    </row>
    <row r="98" spans="1:5">
      <c r="A98" s="111"/>
      <c r="B98" s="111"/>
      <c r="C98" s="111"/>
      <c r="D98" s="116"/>
      <c r="E98" s="111"/>
    </row>
    <row r="99" spans="1:5">
      <c r="A99" s="111"/>
      <c r="B99" s="111"/>
      <c r="C99" s="111"/>
      <c r="D99" s="116"/>
      <c r="E99" s="111"/>
    </row>
    <row r="100" spans="1:5">
      <c r="A100" s="111"/>
      <c r="B100" s="111"/>
      <c r="C100" s="111"/>
      <c r="D100" s="116"/>
      <c r="E100" s="111"/>
    </row>
    <row r="101" spans="1:5">
      <c r="A101" s="111"/>
      <c r="B101" s="111"/>
      <c r="C101" s="111"/>
      <c r="D101" s="116"/>
      <c r="E101" s="111"/>
    </row>
    <row r="102" spans="1:5">
      <c r="A102" s="111"/>
      <c r="B102" s="111"/>
      <c r="C102" s="111"/>
      <c r="D102" s="116"/>
      <c r="E102" s="111"/>
    </row>
    <row r="103" spans="1:5">
      <c r="A103" s="111"/>
      <c r="B103" s="111"/>
      <c r="C103" s="111"/>
      <c r="D103" s="116"/>
      <c r="E103" s="111"/>
    </row>
    <row r="104" spans="1:5">
      <c r="A104" s="111"/>
      <c r="B104" s="111"/>
      <c r="C104" s="111"/>
      <c r="D104" s="116"/>
      <c r="E104" s="111"/>
    </row>
    <row r="105" spans="1:5">
      <c r="A105" s="111"/>
      <c r="B105" s="111"/>
      <c r="C105" s="111"/>
      <c r="D105" s="116"/>
      <c r="E105" s="111"/>
    </row>
    <row r="106" spans="1:5">
      <c r="A106" s="111"/>
      <c r="B106" s="111"/>
      <c r="C106" s="111"/>
      <c r="D106" s="116"/>
      <c r="E106" s="111"/>
    </row>
    <row r="107" spans="1:5">
      <c r="A107" s="111"/>
      <c r="B107" s="111"/>
      <c r="C107" s="111"/>
      <c r="D107" s="116"/>
      <c r="E107" s="111"/>
    </row>
    <row r="108" spans="1:5">
      <c r="A108" s="111"/>
      <c r="B108" s="111"/>
      <c r="C108" s="111"/>
      <c r="D108" s="116"/>
      <c r="E108" s="111"/>
    </row>
    <row r="109" spans="1:5">
      <c r="A109" s="111"/>
      <c r="B109" s="111"/>
      <c r="C109" s="111"/>
      <c r="D109" s="116"/>
      <c r="E109" s="111"/>
    </row>
    <row r="110" spans="1:5">
      <c r="A110" s="111"/>
      <c r="B110" s="111"/>
      <c r="C110" s="111"/>
      <c r="D110" s="116"/>
      <c r="E110" s="111"/>
    </row>
    <row r="111" spans="1:5">
      <c r="A111" s="111"/>
      <c r="B111" s="111"/>
      <c r="C111" s="111"/>
      <c r="D111" s="116"/>
      <c r="E111" s="111"/>
    </row>
    <row r="112" spans="1:5">
      <c r="A112" s="111"/>
      <c r="B112" s="111"/>
      <c r="C112" s="111"/>
      <c r="D112" s="116"/>
      <c r="E112" s="111"/>
    </row>
    <row r="113" spans="1:5">
      <c r="A113" s="111"/>
      <c r="B113" s="111"/>
      <c r="C113" s="111"/>
      <c r="D113" s="116"/>
      <c r="E113" s="111"/>
    </row>
    <row r="114" spans="1:5">
      <c r="A114" s="111"/>
      <c r="B114" s="111"/>
      <c r="C114" s="111"/>
      <c r="D114" s="116"/>
      <c r="E114" s="111"/>
    </row>
    <row r="115" spans="1:5">
      <c r="A115" s="111"/>
      <c r="B115" s="111"/>
      <c r="C115" s="111"/>
      <c r="D115" s="116"/>
      <c r="E115" s="111"/>
    </row>
    <row r="116" spans="1:5">
      <c r="A116" s="111"/>
      <c r="B116" s="111"/>
      <c r="C116" s="111"/>
      <c r="D116" s="116"/>
      <c r="E116" s="111"/>
    </row>
    <row r="117" spans="1:5">
      <c r="A117" s="111"/>
      <c r="B117" s="111"/>
      <c r="C117" s="111"/>
      <c r="D117" s="116"/>
      <c r="E117" s="111"/>
    </row>
    <row r="118" spans="1:5">
      <c r="A118" s="111"/>
      <c r="B118" s="111"/>
      <c r="C118" s="111"/>
      <c r="D118" s="116"/>
      <c r="E118" s="111"/>
    </row>
    <row r="119" spans="1:5">
      <c r="A119" s="111"/>
      <c r="B119" s="111"/>
      <c r="C119" s="111"/>
      <c r="D119" s="116"/>
      <c r="E119" s="111"/>
    </row>
    <row r="120" spans="1:5">
      <c r="A120" s="111"/>
      <c r="B120" s="111"/>
      <c r="C120" s="111"/>
      <c r="D120" s="116"/>
      <c r="E120" s="111"/>
    </row>
    <row r="121" spans="1:5">
      <c r="A121" s="111"/>
      <c r="B121" s="111"/>
      <c r="C121" s="111"/>
      <c r="D121" s="111"/>
      <c r="E121" s="111"/>
    </row>
    <row r="122" spans="1:5">
      <c r="A122" s="111"/>
      <c r="B122" s="111"/>
      <c r="C122" s="111"/>
      <c r="D122" s="111"/>
      <c r="E122" s="111"/>
    </row>
    <row r="123" spans="1:5">
      <c r="A123" s="111"/>
      <c r="B123" s="111"/>
      <c r="C123" s="111"/>
      <c r="D123" s="111"/>
      <c r="E123" s="111"/>
    </row>
    <row r="124" spans="1:5">
      <c r="A124" s="111"/>
      <c r="B124" s="111"/>
      <c r="C124" s="111"/>
      <c r="D124" s="111"/>
      <c r="E124" s="111"/>
    </row>
    <row r="125" spans="1:5">
      <c r="A125" s="111"/>
      <c r="B125" s="111"/>
      <c r="C125" s="111"/>
      <c r="D125" s="111"/>
      <c r="E125" s="111"/>
    </row>
    <row r="126" spans="1:5">
      <c r="A126" s="111"/>
      <c r="B126" s="111"/>
      <c r="C126" s="111"/>
      <c r="D126" s="111"/>
      <c r="E126" s="111"/>
    </row>
    <row r="127" spans="1:5">
      <c r="A127" s="111"/>
      <c r="B127" s="111"/>
      <c r="C127" s="111"/>
      <c r="D127" s="111"/>
      <c r="E127" s="111"/>
    </row>
    <row r="128" spans="1:5">
      <c r="A128" s="111"/>
      <c r="B128" s="111"/>
      <c r="C128" s="111"/>
      <c r="D128" s="111"/>
      <c r="E128" s="111"/>
    </row>
    <row r="129" spans="1:5">
      <c r="A129" s="111"/>
      <c r="B129" s="111"/>
      <c r="C129" s="111"/>
      <c r="D129" s="111"/>
      <c r="E129" s="111"/>
    </row>
    <row r="130" spans="1:5">
      <c r="A130" s="111"/>
      <c r="B130" s="111"/>
      <c r="C130" s="111"/>
      <c r="D130" s="111"/>
      <c r="E130" s="111"/>
    </row>
    <row r="131" spans="1:5">
      <c r="A131" s="111"/>
      <c r="B131" s="111"/>
      <c r="C131" s="111"/>
      <c r="D131" s="111"/>
      <c r="E131" s="111"/>
    </row>
    <row r="132" spans="1:5">
      <c r="A132" s="111"/>
      <c r="B132" s="111"/>
      <c r="C132" s="111"/>
      <c r="D132" s="111"/>
      <c r="E132" s="111"/>
    </row>
    <row r="133" spans="1:5">
      <c r="A133" s="111"/>
      <c r="B133" s="111"/>
      <c r="C133" s="111"/>
      <c r="D133" s="111"/>
      <c r="E133" s="111"/>
    </row>
    <row r="134" spans="1:5">
      <c r="A134" s="111"/>
      <c r="B134" s="111"/>
      <c r="C134" s="111"/>
      <c r="D134" s="111"/>
      <c r="E134" s="111"/>
    </row>
    <row r="135" spans="1:5">
      <c r="A135" s="111"/>
      <c r="B135" s="111"/>
      <c r="C135" s="111"/>
      <c r="D135" s="111"/>
      <c r="E135" s="111"/>
    </row>
    <row r="136" spans="1:5">
      <c r="A136" s="111"/>
      <c r="B136" s="111"/>
      <c r="C136" s="111"/>
      <c r="D136" s="111"/>
      <c r="E136" s="111"/>
    </row>
  </sheetData>
  <mergeCells count="4">
    <mergeCell ref="O16:P16"/>
    <mergeCell ref="G16:H16"/>
    <mergeCell ref="I16:J16"/>
    <mergeCell ref="M16:N1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8"/>
  <sheetViews>
    <sheetView workbookViewId="0">
      <selection activeCell="L18" sqref="L18"/>
    </sheetView>
  </sheetViews>
  <sheetFormatPr baseColWidth="10" defaultRowHeight="15"/>
  <cols>
    <col min="1" max="1" width="21" bestFit="1" customWidth="1"/>
    <col min="2" max="2" width="24.140625" customWidth="1"/>
    <col min="3" max="3" width="2.5703125" style="119" customWidth="1"/>
    <col min="4" max="4" width="21" customWidth="1"/>
    <col min="5" max="5" width="19.140625" customWidth="1"/>
    <col min="6" max="6" width="3.42578125" style="119" customWidth="1"/>
  </cols>
  <sheetData>
    <row r="1" spans="1:6">
      <c r="A1" t="s">
        <v>6</v>
      </c>
      <c r="C1" s="119">
        <v>1</v>
      </c>
      <c r="D1" t="s">
        <v>421</v>
      </c>
      <c r="F1" s="119">
        <v>1</v>
      </c>
    </row>
    <row r="2" spans="1:6">
      <c r="A2" s="107" t="s">
        <v>413</v>
      </c>
      <c r="B2" s="108">
        <v>2</v>
      </c>
      <c r="C2" s="119">
        <f>IF(A2="Total général",0,IF(A2="",0,IF(A2="EXPIRE BADGE ROUGE",0,1)))</f>
        <v>0</v>
      </c>
      <c r="D2" s="107" t="s">
        <v>427</v>
      </c>
      <c r="E2" t="s">
        <v>513</v>
      </c>
      <c r="F2" s="119">
        <f>IF(A2="Total général",0,IF(D2="",0,IF(D2="EXPIRE PERMIS T",0,1)))</f>
        <v>0</v>
      </c>
    </row>
    <row r="3" spans="1:6">
      <c r="C3" s="119">
        <f t="shared" ref="C3" si="0">IF(A3="Total général",0,IF(A3="",0,1))</f>
        <v>0</v>
      </c>
      <c r="F3" s="119">
        <f t="shared" ref="F3:F58" si="1">IF(A3="Total général",0,IF(D3="",0,1))</f>
        <v>0</v>
      </c>
    </row>
    <row r="4" spans="1:6">
      <c r="A4" s="107" t="s">
        <v>508</v>
      </c>
      <c r="B4" t="s">
        <v>512</v>
      </c>
      <c r="C4" s="119">
        <f>IF(A4="Total général",0,IF(A4="",0,IF(A4="ÉTIQUETTES DE LIGNES",0,1)))</f>
        <v>0</v>
      </c>
      <c r="D4" s="107" t="s">
        <v>508</v>
      </c>
      <c r="E4" t="s">
        <v>514</v>
      </c>
      <c r="F4" s="119">
        <f>IF(A4="Total général",0,IF(D4="",0,IF(D4="Étiquettes de lignes",0,1)))</f>
        <v>0</v>
      </c>
    </row>
    <row r="5" spans="1:6">
      <c r="A5" s="108" t="s">
        <v>511</v>
      </c>
      <c r="B5" s="113">
        <v>42818</v>
      </c>
      <c r="C5" s="119">
        <f>IF(A5="Total général",0,IF(A5="",0,1))</f>
        <v>1</v>
      </c>
      <c r="D5" s="108" t="s">
        <v>511</v>
      </c>
      <c r="E5" s="115"/>
      <c r="F5" s="119">
        <f>IF(A5="Total général",0,IF(D5="",0,IF(E5="",0,1)))</f>
        <v>0</v>
      </c>
    </row>
    <row r="6" spans="1:6">
      <c r="A6" s="108" t="s">
        <v>520</v>
      </c>
      <c r="B6" s="113">
        <v>42819</v>
      </c>
      <c r="C6" s="119">
        <f t="shared" ref="C6:C58" si="2">IF(A6="Total général",0,IF(A6="",0,1))</f>
        <v>1</v>
      </c>
      <c r="D6" s="108" t="s">
        <v>520</v>
      </c>
      <c r="E6" s="113">
        <v>42817</v>
      </c>
      <c r="F6" s="119">
        <f>IF(A6="Total général",0,IF(D6="",0,1))</f>
        <v>1</v>
      </c>
    </row>
    <row r="7" spans="1:6">
      <c r="A7" s="108" t="s">
        <v>509</v>
      </c>
      <c r="B7" s="113">
        <v>85637</v>
      </c>
      <c r="C7" s="119">
        <f t="shared" si="2"/>
        <v>0</v>
      </c>
      <c r="D7" s="108" t="s">
        <v>509</v>
      </c>
      <c r="E7" s="115">
        <v>42817</v>
      </c>
      <c r="F7" s="119">
        <f t="shared" si="1"/>
        <v>0</v>
      </c>
    </row>
    <row r="8" spans="1:6">
      <c r="C8" s="119">
        <f t="shared" si="2"/>
        <v>0</v>
      </c>
      <c r="F8" s="119">
        <f t="shared" si="1"/>
        <v>0</v>
      </c>
    </row>
    <row r="9" spans="1:6">
      <c r="C9" s="119">
        <f t="shared" si="2"/>
        <v>0</v>
      </c>
      <c r="F9" s="119">
        <f t="shared" si="1"/>
        <v>0</v>
      </c>
    </row>
    <row r="10" spans="1:6">
      <c r="C10" s="119">
        <f t="shared" si="2"/>
        <v>0</v>
      </c>
      <c r="F10" s="119">
        <f t="shared" si="1"/>
        <v>0</v>
      </c>
    </row>
    <row r="11" spans="1:6">
      <c r="C11" s="119">
        <f t="shared" si="2"/>
        <v>0</v>
      </c>
      <c r="F11" s="119">
        <f t="shared" si="1"/>
        <v>0</v>
      </c>
    </row>
    <row r="12" spans="1:6">
      <c r="C12" s="119">
        <f t="shared" si="2"/>
        <v>0</v>
      </c>
      <c r="F12" s="119">
        <f t="shared" si="1"/>
        <v>0</v>
      </c>
    </row>
    <row r="13" spans="1:6">
      <c r="C13" s="119">
        <f t="shared" si="2"/>
        <v>0</v>
      </c>
      <c r="F13" s="119">
        <f t="shared" si="1"/>
        <v>0</v>
      </c>
    </row>
    <row r="14" spans="1:6">
      <c r="C14" s="119">
        <f t="shared" si="2"/>
        <v>0</v>
      </c>
      <c r="F14" s="119">
        <f t="shared" si="1"/>
        <v>0</v>
      </c>
    </row>
    <row r="15" spans="1:6">
      <c r="C15" s="119">
        <f t="shared" si="2"/>
        <v>0</v>
      </c>
      <c r="F15" s="119">
        <f t="shared" si="1"/>
        <v>0</v>
      </c>
    </row>
    <row r="16" spans="1:6">
      <c r="C16" s="119">
        <f t="shared" si="2"/>
        <v>0</v>
      </c>
      <c r="F16" s="119">
        <f t="shared" si="1"/>
        <v>0</v>
      </c>
    </row>
    <row r="17" spans="3:12">
      <c r="C17" s="119">
        <f t="shared" si="2"/>
        <v>0</v>
      </c>
      <c r="F17" s="119">
        <f t="shared" si="1"/>
        <v>0</v>
      </c>
    </row>
    <row r="18" spans="3:12">
      <c r="C18" s="119">
        <f t="shared" si="2"/>
        <v>0</v>
      </c>
      <c r="F18" s="119">
        <f t="shared" si="1"/>
        <v>0</v>
      </c>
      <c r="L18" s="120" t="s">
        <v>517</v>
      </c>
    </row>
    <row r="19" spans="3:12">
      <c r="C19" s="119">
        <f t="shared" si="2"/>
        <v>0</v>
      </c>
      <c r="F19" s="119">
        <f t="shared" si="1"/>
        <v>0</v>
      </c>
    </row>
    <row r="20" spans="3:12">
      <c r="C20" s="119">
        <f t="shared" si="2"/>
        <v>0</v>
      </c>
      <c r="F20" s="119">
        <f t="shared" si="1"/>
        <v>0</v>
      </c>
    </row>
    <row r="21" spans="3:12">
      <c r="C21" s="119">
        <f t="shared" si="2"/>
        <v>0</v>
      </c>
      <c r="F21" s="119">
        <f t="shared" si="1"/>
        <v>0</v>
      </c>
    </row>
    <row r="22" spans="3:12">
      <c r="C22" s="119">
        <f t="shared" si="2"/>
        <v>0</v>
      </c>
      <c r="F22" s="119">
        <f t="shared" si="1"/>
        <v>0</v>
      </c>
    </row>
    <row r="23" spans="3:12">
      <c r="C23" s="119">
        <f t="shared" si="2"/>
        <v>0</v>
      </c>
      <c r="F23" s="119">
        <f t="shared" si="1"/>
        <v>0</v>
      </c>
    </row>
    <row r="24" spans="3:12">
      <c r="C24" s="119">
        <f t="shared" si="2"/>
        <v>0</v>
      </c>
      <c r="F24" s="119">
        <f t="shared" si="1"/>
        <v>0</v>
      </c>
    </row>
    <row r="25" spans="3:12">
      <c r="C25" s="119">
        <f t="shared" si="2"/>
        <v>0</v>
      </c>
      <c r="F25" s="119">
        <f t="shared" si="1"/>
        <v>0</v>
      </c>
    </row>
    <row r="26" spans="3:12">
      <c r="C26" s="119">
        <f t="shared" si="2"/>
        <v>0</v>
      </c>
      <c r="F26" s="119">
        <f t="shared" si="1"/>
        <v>0</v>
      </c>
    </row>
    <row r="27" spans="3:12">
      <c r="C27" s="119">
        <f t="shared" si="2"/>
        <v>0</v>
      </c>
      <c r="F27" s="119">
        <f t="shared" si="1"/>
        <v>0</v>
      </c>
    </row>
    <row r="28" spans="3:12">
      <c r="C28" s="119">
        <f t="shared" si="2"/>
        <v>0</v>
      </c>
      <c r="F28" s="119">
        <f t="shared" si="1"/>
        <v>0</v>
      </c>
    </row>
    <row r="29" spans="3:12">
      <c r="C29" s="119">
        <f t="shared" si="2"/>
        <v>0</v>
      </c>
      <c r="F29" s="119">
        <f t="shared" si="1"/>
        <v>0</v>
      </c>
    </row>
    <row r="30" spans="3:12">
      <c r="C30" s="119">
        <f t="shared" si="2"/>
        <v>0</v>
      </c>
      <c r="F30" s="119">
        <f t="shared" si="1"/>
        <v>0</v>
      </c>
    </row>
    <row r="31" spans="3:12">
      <c r="C31" s="119">
        <f t="shared" si="2"/>
        <v>0</v>
      </c>
      <c r="F31" s="119">
        <f t="shared" si="1"/>
        <v>0</v>
      </c>
    </row>
    <row r="32" spans="3:12">
      <c r="C32" s="119">
        <f t="shared" si="2"/>
        <v>0</v>
      </c>
      <c r="F32" s="119">
        <f t="shared" si="1"/>
        <v>0</v>
      </c>
    </row>
    <row r="33" spans="3:6">
      <c r="C33" s="119">
        <f t="shared" si="2"/>
        <v>0</v>
      </c>
      <c r="F33" s="119">
        <f t="shared" si="1"/>
        <v>0</v>
      </c>
    </row>
    <row r="34" spans="3:6">
      <c r="C34" s="119">
        <f t="shared" si="2"/>
        <v>0</v>
      </c>
      <c r="F34" s="119">
        <f t="shared" si="1"/>
        <v>0</v>
      </c>
    </row>
    <row r="35" spans="3:6">
      <c r="C35" s="119">
        <f t="shared" si="2"/>
        <v>0</v>
      </c>
      <c r="F35" s="119">
        <f t="shared" si="1"/>
        <v>0</v>
      </c>
    </row>
    <row r="36" spans="3:6">
      <c r="C36" s="119">
        <f t="shared" si="2"/>
        <v>0</v>
      </c>
      <c r="F36" s="119">
        <f t="shared" si="1"/>
        <v>0</v>
      </c>
    </row>
    <row r="37" spans="3:6">
      <c r="C37" s="119">
        <f t="shared" si="2"/>
        <v>0</v>
      </c>
      <c r="F37" s="119">
        <f t="shared" si="1"/>
        <v>0</v>
      </c>
    </row>
    <row r="38" spans="3:6">
      <c r="C38" s="119">
        <f t="shared" si="2"/>
        <v>0</v>
      </c>
      <c r="F38" s="119">
        <f t="shared" si="1"/>
        <v>0</v>
      </c>
    </row>
    <row r="39" spans="3:6">
      <c r="C39" s="119">
        <f t="shared" si="2"/>
        <v>0</v>
      </c>
      <c r="F39" s="119">
        <f t="shared" si="1"/>
        <v>0</v>
      </c>
    </row>
    <row r="40" spans="3:6">
      <c r="C40" s="119">
        <f t="shared" si="2"/>
        <v>0</v>
      </c>
      <c r="F40" s="119">
        <f t="shared" si="1"/>
        <v>0</v>
      </c>
    </row>
    <row r="41" spans="3:6">
      <c r="C41" s="119">
        <f t="shared" si="2"/>
        <v>0</v>
      </c>
      <c r="F41" s="119">
        <f t="shared" si="1"/>
        <v>0</v>
      </c>
    </row>
    <row r="42" spans="3:6">
      <c r="C42" s="119">
        <f t="shared" si="2"/>
        <v>0</v>
      </c>
      <c r="F42" s="119">
        <f t="shared" si="1"/>
        <v>0</v>
      </c>
    </row>
    <row r="43" spans="3:6">
      <c r="C43" s="119">
        <f t="shared" si="2"/>
        <v>0</v>
      </c>
      <c r="F43" s="119">
        <f t="shared" si="1"/>
        <v>0</v>
      </c>
    </row>
    <row r="44" spans="3:6">
      <c r="C44" s="119">
        <f t="shared" si="2"/>
        <v>0</v>
      </c>
      <c r="F44" s="119">
        <f t="shared" si="1"/>
        <v>0</v>
      </c>
    </row>
    <row r="45" spans="3:6">
      <c r="C45" s="119">
        <f t="shared" si="2"/>
        <v>0</v>
      </c>
      <c r="F45" s="119">
        <f t="shared" si="1"/>
        <v>0</v>
      </c>
    </row>
    <row r="46" spans="3:6">
      <c r="C46" s="119">
        <f t="shared" si="2"/>
        <v>0</v>
      </c>
      <c r="F46" s="119">
        <f t="shared" si="1"/>
        <v>0</v>
      </c>
    </row>
    <row r="47" spans="3:6">
      <c r="C47" s="119">
        <f t="shared" si="2"/>
        <v>0</v>
      </c>
      <c r="F47" s="119">
        <f t="shared" si="1"/>
        <v>0</v>
      </c>
    </row>
    <row r="48" spans="3:6">
      <c r="C48" s="119">
        <f t="shared" si="2"/>
        <v>0</v>
      </c>
      <c r="F48" s="119">
        <f t="shared" si="1"/>
        <v>0</v>
      </c>
    </row>
    <row r="49" spans="3:6">
      <c r="C49" s="119">
        <f t="shared" si="2"/>
        <v>0</v>
      </c>
      <c r="F49" s="119">
        <f t="shared" si="1"/>
        <v>0</v>
      </c>
    </row>
    <row r="50" spans="3:6">
      <c r="C50" s="119">
        <f t="shared" si="2"/>
        <v>0</v>
      </c>
      <c r="F50" s="119">
        <f t="shared" si="1"/>
        <v>0</v>
      </c>
    </row>
    <row r="51" spans="3:6">
      <c r="C51" s="119">
        <f t="shared" si="2"/>
        <v>0</v>
      </c>
      <c r="F51" s="119">
        <f t="shared" si="1"/>
        <v>0</v>
      </c>
    </row>
    <row r="52" spans="3:6">
      <c r="C52" s="119">
        <f t="shared" si="2"/>
        <v>0</v>
      </c>
      <c r="F52" s="119">
        <f t="shared" si="1"/>
        <v>0</v>
      </c>
    </row>
    <row r="53" spans="3:6">
      <c r="C53" s="119">
        <f t="shared" si="2"/>
        <v>0</v>
      </c>
      <c r="F53" s="119">
        <f t="shared" si="1"/>
        <v>0</v>
      </c>
    </row>
    <row r="54" spans="3:6">
      <c r="C54" s="119">
        <f t="shared" si="2"/>
        <v>0</v>
      </c>
      <c r="F54" s="119">
        <f t="shared" si="1"/>
        <v>0</v>
      </c>
    </row>
    <row r="55" spans="3:6">
      <c r="C55" s="119">
        <f t="shared" si="2"/>
        <v>0</v>
      </c>
      <c r="F55" s="119">
        <f t="shared" si="1"/>
        <v>0</v>
      </c>
    </row>
    <row r="56" spans="3:6">
      <c r="C56" s="119">
        <f t="shared" si="2"/>
        <v>0</v>
      </c>
      <c r="F56" s="119">
        <f t="shared" si="1"/>
        <v>0</v>
      </c>
    </row>
    <row r="57" spans="3:6">
      <c r="C57" s="119">
        <f t="shared" si="2"/>
        <v>0</v>
      </c>
      <c r="F57" s="119">
        <f t="shared" si="1"/>
        <v>0</v>
      </c>
    </row>
    <row r="58" spans="3:6">
      <c r="C58" s="119">
        <f t="shared" si="2"/>
        <v>0</v>
      </c>
      <c r="F58" s="119">
        <f t="shared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OI378"/>
  <sheetViews>
    <sheetView showGridLines="0" tabSelected="1" zoomScaleNormal="100" workbookViewId="0">
      <pane xSplit="9" ySplit="8" topLeftCell="AB9" activePane="bottomRight" state="frozen"/>
      <selection pane="topRight" activeCell="J1" sqref="J1"/>
      <selection pane="bottomLeft" activeCell="A9" sqref="A9"/>
      <selection pane="bottomRight" activeCell="AE9" sqref="AE9"/>
    </sheetView>
  </sheetViews>
  <sheetFormatPr baseColWidth="10" defaultRowHeight="15"/>
  <cols>
    <col min="1" max="1" width="10.28515625" style="16" customWidth="1"/>
    <col min="2" max="2" width="12.140625" style="16" customWidth="1"/>
    <col min="3" max="3" width="14.5703125" style="16" customWidth="1"/>
    <col min="4" max="4" width="8.7109375" style="16" customWidth="1"/>
    <col min="5" max="5" width="33.7109375" style="16" customWidth="1"/>
    <col min="6" max="9" width="7.140625" style="16" customWidth="1"/>
    <col min="10" max="10" width="14.28515625" style="16" customWidth="1"/>
    <col min="11" max="11" width="11.42578125" customWidth="1"/>
    <col min="12" max="16" width="14.28515625" style="16" customWidth="1"/>
    <col min="17" max="17" width="11.42578125" style="16" customWidth="1"/>
    <col min="18" max="18" width="12.7109375" style="16" customWidth="1"/>
    <col min="19" max="19" width="17.5703125" style="16" customWidth="1"/>
    <col min="20" max="20" width="13.42578125" style="16" customWidth="1"/>
    <col min="21" max="22" width="11.7109375" style="16" customWidth="1"/>
    <col min="23" max="23" width="42.42578125" style="16" customWidth="1"/>
    <col min="24" max="24" width="23.85546875" style="16" bestFit="1" customWidth="1"/>
    <col min="25" max="25" width="19.28515625" style="16" bestFit="1" customWidth="1"/>
    <col min="26" max="26" width="18.42578125" style="16" bestFit="1" customWidth="1"/>
    <col min="27" max="27" width="15.85546875" style="16" bestFit="1" customWidth="1"/>
    <col min="28" max="28" width="25.28515625" style="16" bestFit="1" customWidth="1"/>
    <col min="29" max="29" width="28.140625" style="16" bestFit="1" customWidth="1"/>
    <col min="30" max="30" width="16.28515625" style="16" bestFit="1" customWidth="1"/>
    <col min="31" max="31" width="31.140625" style="16" bestFit="1" customWidth="1"/>
    <col min="32" max="32" width="11.7109375" style="16" customWidth="1"/>
    <col min="33" max="33" width="6.28515625" style="18" customWidth="1"/>
    <col min="34" max="63" width="6.28515625" style="17" customWidth="1"/>
    <col min="64" max="397" width="6.28515625" style="16" customWidth="1"/>
    <col min="398" max="16384" width="11.42578125" style="16"/>
  </cols>
  <sheetData>
    <row r="1" spans="1:399" ht="20.25" customHeight="1">
      <c r="K1" s="16"/>
      <c r="R1" s="74"/>
      <c r="S1" s="17"/>
      <c r="T1" s="17"/>
      <c r="U1" s="17"/>
      <c r="V1" s="17"/>
      <c r="W1" s="17"/>
      <c r="AF1" s="18"/>
      <c r="AG1" s="17"/>
      <c r="BK1" s="16"/>
    </row>
    <row r="2" spans="1:399" ht="20.25" customHeight="1">
      <c r="J2" s="60" t="s">
        <v>420</v>
      </c>
      <c r="K2" s="61"/>
      <c r="L2" s="61"/>
      <c r="M2" s="61"/>
      <c r="R2" s="74"/>
      <c r="S2" s="128" t="s">
        <v>433</v>
      </c>
      <c r="T2" s="128"/>
      <c r="U2" s="128"/>
      <c r="V2" s="112"/>
      <c r="W2" s="122"/>
      <c r="AF2" s="127" t="s">
        <v>419</v>
      </c>
      <c r="AG2" s="128"/>
      <c r="AH2" s="128"/>
      <c r="AI2" s="128"/>
      <c r="AJ2" s="128"/>
      <c r="BK2" s="16"/>
    </row>
    <row r="3" spans="1:399" ht="20.25" customHeight="1">
      <c r="J3" s="60"/>
      <c r="K3" s="61"/>
      <c r="L3" s="61"/>
      <c r="M3" s="88"/>
      <c r="R3" s="74"/>
      <c r="S3" s="128"/>
      <c r="T3" s="128"/>
      <c r="U3" s="128"/>
      <c r="V3" s="112"/>
      <c r="W3" s="122"/>
      <c r="AF3" s="127"/>
      <c r="AG3" s="128"/>
      <c r="AH3" s="128"/>
      <c r="AI3" s="128"/>
      <c r="AJ3" s="128"/>
      <c r="BK3" s="16"/>
    </row>
    <row r="4" spans="1:399" ht="15" customHeight="1" thickBot="1">
      <c r="D4" s="19"/>
      <c r="K4" s="16"/>
      <c r="R4" s="74"/>
      <c r="S4" s="17"/>
      <c r="T4" s="17"/>
      <c r="U4" s="17"/>
      <c r="V4" s="17"/>
      <c r="W4" s="17"/>
      <c r="AF4" s="18"/>
      <c r="AG4" s="17"/>
      <c r="BK4" s="16"/>
    </row>
    <row r="5" spans="1:399" ht="12" customHeight="1" thickBot="1">
      <c r="D5" s="19"/>
      <c r="K5" s="16"/>
      <c r="R5" s="74"/>
      <c r="S5" s="17"/>
      <c r="T5" s="17"/>
      <c r="U5" s="17"/>
      <c r="V5" s="17"/>
      <c r="W5" s="17"/>
      <c r="AF5" s="86" t="s">
        <v>442</v>
      </c>
      <c r="AG5" s="131" t="s">
        <v>443</v>
      </c>
      <c r="AH5" s="132"/>
      <c r="AI5" s="132"/>
      <c r="AJ5" s="132"/>
      <c r="AK5" s="132"/>
      <c r="AL5" s="132"/>
      <c r="AM5" s="133"/>
      <c r="AN5" s="131" t="s">
        <v>444</v>
      </c>
      <c r="AO5" s="132"/>
      <c r="AP5" s="132"/>
      <c r="AQ5" s="132"/>
      <c r="AR5" s="132"/>
      <c r="AS5" s="132"/>
      <c r="AT5" s="133"/>
      <c r="AU5" s="131" t="s">
        <v>445</v>
      </c>
      <c r="AV5" s="132"/>
      <c r="AW5" s="132"/>
      <c r="AX5" s="132"/>
      <c r="AY5" s="132"/>
      <c r="AZ5" s="132"/>
      <c r="BA5" s="133"/>
      <c r="BB5" s="131" t="s">
        <v>446</v>
      </c>
      <c r="BC5" s="132"/>
      <c r="BD5" s="132"/>
      <c r="BE5" s="132"/>
      <c r="BF5" s="132"/>
      <c r="BG5" s="132"/>
      <c r="BH5" s="133"/>
      <c r="BI5" s="131" t="s">
        <v>447</v>
      </c>
      <c r="BJ5" s="132"/>
      <c r="BK5" s="132"/>
      <c r="BL5" s="132"/>
      <c r="BM5" s="132"/>
      <c r="BN5" s="132"/>
      <c r="BO5" s="133"/>
      <c r="BP5" s="131" t="s">
        <v>448</v>
      </c>
      <c r="BQ5" s="132"/>
      <c r="BR5" s="132"/>
      <c r="BS5" s="132"/>
      <c r="BT5" s="132"/>
      <c r="BU5" s="132"/>
      <c r="BV5" s="133"/>
      <c r="BW5" s="131" t="s">
        <v>449</v>
      </c>
      <c r="BX5" s="132"/>
      <c r="BY5" s="132"/>
      <c r="BZ5" s="132"/>
      <c r="CA5" s="132"/>
      <c r="CB5" s="132"/>
      <c r="CC5" s="133"/>
      <c r="CD5" s="131" t="s">
        <v>450</v>
      </c>
      <c r="CE5" s="132"/>
      <c r="CF5" s="132"/>
      <c r="CG5" s="132"/>
      <c r="CH5" s="132"/>
      <c r="CI5" s="132"/>
      <c r="CJ5" s="133"/>
      <c r="CK5" s="131" t="s">
        <v>451</v>
      </c>
      <c r="CL5" s="132"/>
      <c r="CM5" s="132"/>
      <c r="CN5" s="132"/>
      <c r="CO5" s="132"/>
      <c r="CP5" s="132"/>
      <c r="CQ5" s="133"/>
      <c r="CR5" s="131" t="s">
        <v>452</v>
      </c>
      <c r="CS5" s="132"/>
      <c r="CT5" s="132"/>
      <c r="CU5" s="132"/>
      <c r="CV5" s="132"/>
      <c r="CW5" s="132"/>
      <c r="CX5" s="133"/>
      <c r="CY5" s="131" t="s">
        <v>453</v>
      </c>
      <c r="CZ5" s="132"/>
      <c r="DA5" s="132"/>
      <c r="DB5" s="132"/>
      <c r="DC5" s="132"/>
      <c r="DD5" s="132"/>
      <c r="DE5" s="133"/>
      <c r="DF5" s="131" t="s">
        <v>454</v>
      </c>
      <c r="DG5" s="132"/>
      <c r="DH5" s="132"/>
      <c r="DI5" s="132"/>
      <c r="DJ5" s="132"/>
      <c r="DK5" s="132"/>
      <c r="DL5" s="133"/>
      <c r="DM5" s="131" t="s">
        <v>455</v>
      </c>
      <c r="DN5" s="132"/>
      <c r="DO5" s="132"/>
      <c r="DP5" s="132"/>
      <c r="DQ5" s="132"/>
      <c r="DR5" s="132"/>
      <c r="DS5" s="133"/>
      <c r="DT5" s="131" t="s">
        <v>456</v>
      </c>
      <c r="DU5" s="132"/>
      <c r="DV5" s="132"/>
      <c r="DW5" s="132"/>
      <c r="DX5" s="132"/>
      <c r="DY5" s="132"/>
      <c r="DZ5" s="132"/>
      <c r="EA5" s="131" t="s">
        <v>457</v>
      </c>
      <c r="EB5" s="132"/>
      <c r="EC5" s="132"/>
      <c r="ED5" s="132"/>
      <c r="EE5" s="132"/>
      <c r="EF5" s="132"/>
      <c r="EG5" s="133"/>
      <c r="EH5" s="131" t="s">
        <v>458</v>
      </c>
      <c r="EI5" s="132"/>
      <c r="EJ5" s="132"/>
      <c r="EK5" s="132"/>
      <c r="EL5" s="132"/>
      <c r="EM5" s="132"/>
      <c r="EN5" s="133"/>
      <c r="EO5" s="131" t="s">
        <v>459</v>
      </c>
      <c r="EP5" s="132"/>
      <c r="EQ5" s="132"/>
      <c r="ER5" s="132"/>
      <c r="ES5" s="132"/>
      <c r="ET5" s="132"/>
      <c r="EU5" s="133"/>
      <c r="EV5" s="162" t="s">
        <v>460</v>
      </c>
      <c r="EW5" s="163"/>
      <c r="EX5" s="163"/>
      <c r="EY5" s="163"/>
      <c r="EZ5" s="163"/>
      <c r="FA5" s="163"/>
      <c r="FB5" s="164"/>
      <c r="FC5" s="162" t="s">
        <v>461</v>
      </c>
      <c r="FD5" s="163"/>
      <c r="FE5" s="163"/>
      <c r="FF5" s="163"/>
      <c r="FG5" s="163"/>
      <c r="FH5" s="163"/>
      <c r="FI5" s="164"/>
      <c r="FJ5" s="162" t="s">
        <v>462</v>
      </c>
      <c r="FK5" s="163"/>
      <c r="FL5" s="163"/>
      <c r="FM5" s="163"/>
      <c r="FN5" s="163"/>
      <c r="FO5" s="163"/>
      <c r="FP5" s="164"/>
      <c r="FQ5" s="162" t="s">
        <v>463</v>
      </c>
      <c r="FR5" s="163"/>
      <c r="FS5" s="163"/>
      <c r="FT5" s="163"/>
      <c r="FU5" s="163"/>
      <c r="FV5" s="163"/>
      <c r="FW5" s="164"/>
      <c r="FX5" s="162" t="s">
        <v>464</v>
      </c>
      <c r="FY5" s="163"/>
      <c r="FZ5" s="163"/>
      <c r="GA5" s="163"/>
      <c r="GB5" s="163"/>
      <c r="GC5" s="163"/>
      <c r="GD5" s="164"/>
      <c r="GE5" s="162" t="s">
        <v>465</v>
      </c>
      <c r="GF5" s="163"/>
      <c r="GG5" s="163"/>
      <c r="GH5" s="163"/>
      <c r="GI5" s="163"/>
      <c r="GJ5" s="163"/>
      <c r="GK5" s="164"/>
      <c r="GL5" s="162" t="s">
        <v>466</v>
      </c>
      <c r="GM5" s="163"/>
      <c r="GN5" s="163"/>
      <c r="GO5" s="163"/>
      <c r="GP5" s="163"/>
      <c r="GQ5" s="163"/>
      <c r="GR5" s="164"/>
      <c r="GS5" s="162" t="s">
        <v>467</v>
      </c>
      <c r="GT5" s="163"/>
      <c r="GU5" s="163"/>
      <c r="GV5" s="163"/>
      <c r="GW5" s="163"/>
      <c r="GX5" s="163"/>
      <c r="GY5" s="164"/>
      <c r="GZ5" s="162" t="s">
        <v>468</v>
      </c>
      <c r="HA5" s="163"/>
      <c r="HB5" s="163"/>
      <c r="HC5" s="163"/>
      <c r="HD5" s="163"/>
      <c r="HE5" s="163"/>
      <c r="HF5" s="164"/>
      <c r="HG5" s="162" t="s">
        <v>469</v>
      </c>
      <c r="HH5" s="163"/>
      <c r="HI5" s="163"/>
      <c r="HJ5" s="163"/>
      <c r="HK5" s="163"/>
      <c r="HL5" s="163"/>
      <c r="HM5" s="164"/>
      <c r="HN5" s="162" t="s">
        <v>470</v>
      </c>
      <c r="HO5" s="163"/>
      <c r="HP5" s="163"/>
      <c r="HQ5" s="163"/>
      <c r="HR5" s="163"/>
      <c r="HS5" s="163"/>
      <c r="HT5" s="164"/>
      <c r="HU5" s="162" t="s">
        <v>471</v>
      </c>
      <c r="HV5" s="163"/>
      <c r="HW5" s="163"/>
      <c r="HX5" s="163"/>
      <c r="HY5" s="163"/>
      <c r="HZ5" s="163"/>
      <c r="IA5" s="164"/>
      <c r="IB5" s="162" t="s">
        <v>472</v>
      </c>
      <c r="IC5" s="163"/>
      <c r="ID5" s="163"/>
      <c r="IE5" s="163"/>
      <c r="IF5" s="163"/>
      <c r="IG5" s="163"/>
      <c r="IH5" s="164"/>
      <c r="II5" s="162" t="s">
        <v>473</v>
      </c>
      <c r="IJ5" s="163"/>
      <c r="IK5" s="163"/>
      <c r="IL5" s="163"/>
      <c r="IM5" s="163"/>
      <c r="IN5" s="163"/>
      <c r="IO5" s="164"/>
      <c r="IP5" s="162" t="s">
        <v>474</v>
      </c>
      <c r="IQ5" s="163"/>
      <c r="IR5" s="163"/>
      <c r="IS5" s="163"/>
      <c r="IT5" s="163"/>
      <c r="IU5" s="163"/>
      <c r="IV5" s="164"/>
      <c r="IW5" s="162" t="s">
        <v>475</v>
      </c>
      <c r="IX5" s="163"/>
      <c r="IY5" s="163"/>
      <c r="IZ5" s="163"/>
      <c r="JA5" s="163"/>
      <c r="JB5" s="163"/>
      <c r="JC5" s="164"/>
      <c r="JD5" s="162" t="s">
        <v>476</v>
      </c>
      <c r="JE5" s="163"/>
      <c r="JF5" s="163"/>
      <c r="JG5" s="163"/>
      <c r="JH5" s="163"/>
      <c r="JI5" s="163"/>
      <c r="JJ5" s="164"/>
      <c r="JK5" s="162" t="s">
        <v>477</v>
      </c>
      <c r="JL5" s="163"/>
      <c r="JM5" s="163"/>
      <c r="JN5" s="163"/>
      <c r="JO5" s="163"/>
      <c r="JP5" s="163"/>
      <c r="JQ5" s="164"/>
      <c r="JR5" s="162" t="s">
        <v>478</v>
      </c>
      <c r="JS5" s="163"/>
      <c r="JT5" s="163"/>
      <c r="JU5" s="163"/>
      <c r="JV5" s="163"/>
      <c r="JW5" s="163"/>
      <c r="JX5" s="164"/>
      <c r="JY5" s="162" t="s">
        <v>479</v>
      </c>
      <c r="JZ5" s="163"/>
      <c r="KA5" s="163"/>
      <c r="KB5" s="163"/>
      <c r="KC5" s="163"/>
      <c r="KD5" s="163"/>
      <c r="KE5" s="164"/>
      <c r="KF5" s="162" t="s">
        <v>480</v>
      </c>
      <c r="KG5" s="163"/>
      <c r="KH5" s="163"/>
      <c r="KI5" s="163"/>
      <c r="KJ5" s="163"/>
      <c r="KK5" s="163"/>
      <c r="KL5" s="164"/>
      <c r="KM5" s="162" t="s">
        <v>481</v>
      </c>
      <c r="KN5" s="163"/>
      <c r="KO5" s="163"/>
      <c r="KP5" s="163"/>
      <c r="KQ5" s="163"/>
      <c r="KR5" s="163"/>
      <c r="KS5" s="164"/>
      <c r="KT5" s="162" t="s">
        <v>482</v>
      </c>
      <c r="KU5" s="163"/>
      <c r="KV5" s="163"/>
      <c r="KW5" s="163"/>
      <c r="KX5" s="163"/>
      <c r="KY5" s="163"/>
      <c r="KZ5" s="164"/>
      <c r="LA5" s="162" t="s">
        <v>483</v>
      </c>
      <c r="LB5" s="163"/>
      <c r="LC5" s="163"/>
      <c r="LD5" s="163"/>
      <c r="LE5" s="163"/>
      <c r="LF5" s="163"/>
      <c r="LG5" s="164"/>
      <c r="LH5" s="162" t="s">
        <v>484</v>
      </c>
      <c r="LI5" s="163"/>
      <c r="LJ5" s="163"/>
      <c r="LK5" s="163"/>
      <c r="LL5" s="163"/>
      <c r="LM5" s="163"/>
      <c r="LN5" s="164"/>
      <c r="LO5" s="162" t="s">
        <v>485</v>
      </c>
      <c r="LP5" s="163"/>
      <c r="LQ5" s="163"/>
      <c r="LR5" s="163"/>
      <c r="LS5" s="163"/>
      <c r="LT5" s="163"/>
      <c r="LU5" s="164"/>
      <c r="LV5" s="162" t="s">
        <v>486</v>
      </c>
      <c r="LW5" s="163"/>
      <c r="LX5" s="163"/>
      <c r="LY5" s="163"/>
      <c r="LZ5" s="163"/>
      <c r="MA5" s="163"/>
      <c r="MB5" s="164"/>
      <c r="MC5" s="162" t="s">
        <v>487</v>
      </c>
      <c r="MD5" s="163"/>
      <c r="ME5" s="163"/>
      <c r="MF5" s="163"/>
      <c r="MG5" s="163"/>
      <c r="MH5" s="163"/>
      <c r="MI5" s="164"/>
      <c r="MJ5" s="162" t="s">
        <v>488</v>
      </c>
      <c r="MK5" s="163"/>
      <c r="ML5" s="163"/>
      <c r="MM5" s="163"/>
      <c r="MN5" s="163"/>
      <c r="MO5" s="163"/>
      <c r="MP5" s="164"/>
      <c r="MQ5" s="162" t="s">
        <v>489</v>
      </c>
      <c r="MR5" s="163"/>
      <c r="MS5" s="163"/>
      <c r="MT5" s="163"/>
      <c r="MU5" s="163"/>
      <c r="MV5" s="163"/>
      <c r="MW5" s="164"/>
      <c r="MX5" s="162" t="s">
        <v>490</v>
      </c>
      <c r="MY5" s="163"/>
      <c r="MZ5" s="163"/>
      <c r="NA5" s="163"/>
      <c r="NB5" s="163"/>
      <c r="NC5" s="163"/>
      <c r="ND5" s="164"/>
      <c r="NE5" s="162" t="s">
        <v>491</v>
      </c>
      <c r="NF5" s="163"/>
      <c r="NG5" s="163"/>
      <c r="NH5" s="163"/>
      <c r="NI5" s="163"/>
      <c r="NJ5" s="163"/>
      <c r="NK5" s="164"/>
      <c r="NL5" s="162" t="s">
        <v>492</v>
      </c>
      <c r="NM5" s="163"/>
      <c r="NN5" s="163"/>
      <c r="NO5" s="163"/>
      <c r="NP5" s="163"/>
      <c r="NQ5" s="163"/>
      <c r="NR5" s="164"/>
      <c r="NS5" s="162" t="s">
        <v>493</v>
      </c>
      <c r="NT5" s="163"/>
      <c r="NU5" s="163"/>
      <c r="NV5" s="163"/>
      <c r="NW5" s="163"/>
      <c r="NX5" s="163"/>
      <c r="NY5" s="164"/>
      <c r="NZ5" s="162" t="s">
        <v>442</v>
      </c>
      <c r="OA5" s="163"/>
      <c r="OB5" s="163"/>
      <c r="OC5" s="163"/>
      <c r="OD5" s="163"/>
      <c r="OE5" s="163"/>
      <c r="OF5" s="163"/>
    </row>
    <row r="6" spans="1:399" ht="20.25" customHeight="1">
      <c r="K6" s="16"/>
      <c r="R6" s="75"/>
      <c r="S6" s="73"/>
      <c r="T6" s="73"/>
      <c r="U6" s="73"/>
      <c r="V6" s="17"/>
      <c r="W6" s="17"/>
      <c r="AF6" s="129" t="s">
        <v>41</v>
      </c>
      <c r="AG6" s="129"/>
      <c r="AH6" s="129"/>
      <c r="AI6" s="129"/>
      <c r="AJ6" s="129"/>
      <c r="AK6" s="129"/>
      <c r="AL6" s="129"/>
      <c r="AM6" s="129"/>
      <c r="AN6" s="129"/>
      <c r="AO6" s="129"/>
      <c r="AP6" s="129"/>
      <c r="AQ6" s="129"/>
      <c r="AR6" s="129"/>
      <c r="AS6" s="129"/>
      <c r="AT6" s="129"/>
      <c r="AU6" s="129"/>
      <c r="AV6" s="129"/>
      <c r="AW6" s="129"/>
      <c r="AX6" s="129"/>
      <c r="AY6" s="129"/>
      <c r="AZ6" s="129"/>
      <c r="BA6" s="129"/>
      <c r="BB6" s="129"/>
      <c r="BC6" s="129"/>
      <c r="BD6" s="129"/>
      <c r="BE6" s="129"/>
      <c r="BF6" s="129"/>
      <c r="BG6" s="129"/>
      <c r="BH6" s="129"/>
      <c r="BI6" s="129"/>
      <c r="BJ6" s="129"/>
      <c r="BK6" s="130" t="s">
        <v>213</v>
      </c>
      <c r="BL6" s="130"/>
      <c r="BM6" s="130"/>
      <c r="BN6" s="130"/>
      <c r="BO6" s="130"/>
      <c r="BP6" s="130"/>
      <c r="BQ6" s="130"/>
      <c r="BR6" s="130"/>
      <c r="BS6" s="130"/>
      <c r="BT6" s="130"/>
      <c r="BU6" s="130"/>
      <c r="BV6" s="130"/>
      <c r="BW6" s="130"/>
      <c r="BX6" s="130"/>
      <c r="BY6" s="130"/>
      <c r="BZ6" s="130"/>
      <c r="CA6" s="130"/>
      <c r="CB6" s="130"/>
      <c r="CC6" s="130"/>
      <c r="CD6" s="130"/>
      <c r="CE6" s="130"/>
      <c r="CF6" s="130"/>
      <c r="CG6" s="130"/>
      <c r="CH6" s="130"/>
      <c r="CI6" s="130"/>
      <c r="CJ6" s="130"/>
      <c r="CK6" s="130"/>
      <c r="CL6" s="130"/>
      <c r="CM6" s="130" t="s">
        <v>214</v>
      </c>
      <c r="CN6" s="130"/>
      <c r="CO6" s="130"/>
      <c r="CP6" s="130"/>
      <c r="CQ6" s="130"/>
      <c r="CR6" s="130"/>
      <c r="CS6" s="130"/>
      <c r="CT6" s="130"/>
      <c r="CU6" s="130"/>
      <c r="CV6" s="130"/>
      <c r="CW6" s="130"/>
      <c r="CX6" s="130"/>
      <c r="CY6" s="130"/>
      <c r="CZ6" s="130"/>
      <c r="DA6" s="130"/>
      <c r="DB6" s="130"/>
      <c r="DC6" s="130"/>
      <c r="DD6" s="130"/>
      <c r="DE6" s="130"/>
      <c r="DF6" s="130"/>
      <c r="DG6" s="130"/>
      <c r="DH6" s="130"/>
      <c r="DI6" s="130"/>
      <c r="DJ6" s="130"/>
      <c r="DK6" s="130"/>
      <c r="DL6" s="130"/>
      <c r="DM6" s="130"/>
      <c r="DN6" s="130"/>
      <c r="DO6" s="130"/>
      <c r="DP6" s="130"/>
      <c r="DQ6" s="130"/>
      <c r="DR6" s="130" t="s">
        <v>215</v>
      </c>
      <c r="DS6" s="130"/>
      <c r="DT6" s="130"/>
      <c r="DU6" s="130"/>
      <c r="DV6" s="130"/>
      <c r="DW6" s="130"/>
      <c r="DX6" s="130"/>
      <c r="DY6" s="130"/>
      <c r="DZ6" s="130"/>
      <c r="EA6" s="130"/>
      <c r="EB6" s="130"/>
      <c r="EC6" s="130"/>
      <c r="ED6" s="130"/>
      <c r="EE6" s="130"/>
      <c r="EF6" s="130"/>
      <c r="EG6" s="130"/>
      <c r="EH6" s="130"/>
      <c r="EI6" s="130"/>
      <c r="EJ6" s="130"/>
      <c r="EK6" s="130"/>
      <c r="EL6" s="130"/>
      <c r="EM6" s="130"/>
      <c r="EN6" s="130"/>
      <c r="EO6" s="130"/>
      <c r="EP6" s="130"/>
      <c r="EQ6" s="130"/>
      <c r="ER6" s="130"/>
      <c r="ES6" s="130"/>
      <c r="ET6" s="130"/>
      <c r="EU6" s="130"/>
      <c r="EV6" s="130" t="s">
        <v>216</v>
      </c>
      <c r="EW6" s="130"/>
      <c r="EX6" s="130"/>
      <c r="EY6" s="130"/>
      <c r="EZ6" s="130"/>
      <c r="FA6" s="130"/>
      <c r="FB6" s="130"/>
      <c r="FC6" s="130"/>
      <c r="FD6" s="130"/>
      <c r="FE6" s="130"/>
      <c r="FF6" s="130"/>
      <c r="FG6" s="130"/>
      <c r="FH6" s="130"/>
      <c r="FI6" s="130"/>
      <c r="FJ6" s="130"/>
      <c r="FK6" s="130"/>
      <c r="FL6" s="130"/>
      <c r="FM6" s="130"/>
      <c r="FN6" s="130"/>
      <c r="FO6" s="130"/>
      <c r="FP6" s="130"/>
      <c r="FQ6" s="130"/>
      <c r="FR6" s="130"/>
      <c r="FS6" s="130"/>
      <c r="FT6" s="130"/>
      <c r="FU6" s="130"/>
      <c r="FV6" s="130"/>
      <c r="FW6" s="130"/>
      <c r="FX6" s="130"/>
      <c r="FY6" s="130"/>
      <c r="FZ6" s="130"/>
      <c r="GA6" s="129" t="s">
        <v>406</v>
      </c>
      <c r="GB6" s="129"/>
      <c r="GC6" s="129"/>
      <c r="GD6" s="129"/>
      <c r="GE6" s="129"/>
      <c r="GF6" s="129"/>
      <c r="GG6" s="129"/>
      <c r="GH6" s="129"/>
      <c r="GI6" s="129"/>
      <c r="GJ6" s="129"/>
      <c r="GK6" s="129"/>
      <c r="GL6" s="129"/>
      <c r="GM6" s="129"/>
      <c r="GN6" s="129"/>
      <c r="GO6" s="129"/>
      <c r="GP6" s="129"/>
      <c r="GQ6" s="129"/>
      <c r="GR6" s="129"/>
      <c r="GS6" s="129"/>
      <c r="GT6" s="129"/>
      <c r="GU6" s="129"/>
      <c r="GV6" s="129"/>
      <c r="GW6" s="129"/>
      <c r="GX6" s="129"/>
      <c r="GY6" s="129"/>
      <c r="GZ6" s="129"/>
      <c r="HA6" s="129"/>
      <c r="HB6" s="129"/>
      <c r="HC6" s="129"/>
      <c r="HD6" s="129"/>
      <c r="HE6" s="129" t="s">
        <v>407</v>
      </c>
      <c r="HF6" s="129"/>
      <c r="HG6" s="129"/>
      <c r="HH6" s="129"/>
      <c r="HI6" s="129"/>
      <c r="HJ6" s="129"/>
      <c r="HK6" s="129"/>
      <c r="HL6" s="129"/>
      <c r="HM6" s="129"/>
      <c r="HN6" s="129"/>
      <c r="HO6" s="129"/>
      <c r="HP6" s="129"/>
      <c r="HQ6" s="129"/>
      <c r="HR6" s="129"/>
      <c r="HS6" s="129"/>
      <c r="HT6" s="129"/>
      <c r="HU6" s="129"/>
      <c r="HV6" s="129"/>
      <c r="HW6" s="129"/>
      <c r="HX6" s="129"/>
      <c r="HY6" s="129"/>
      <c r="HZ6" s="129"/>
      <c r="IA6" s="129"/>
      <c r="IB6" s="129"/>
      <c r="IC6" s="129"/>
      <c r="ID6" s="129"/>
      <c r="IE6" s="129"/>
      <c r="IF6" s="129"/>
      <c r="IG6" s="129"/>
      <c r="IH6" s="129"/>
      <c r="II6" s="129"/>
      <c r="IJ6" s="129" t="s">
        <v>408</v>
      </c>
      <c r="IK6" s="129"/>
      <c r="IL6" s="129"/>
      <c r="IM6" s="129"/>
      <c r="IN6" s="129"/>
      <c r="IO6" s="129"/>
      <c r="IP6" s="129"/>
      <c r="IQ6" s="129"/>
      <c r="IR6" s="129"/>
      <c r="IS6" s="129"/>
      <c r="IT6" s="129"/>
      <c r="IU6" s="129"/>
      <c r="IV6" s="129"/>
      <c r="IW6" s="129"/>
      <c r="IX6" s="129"/>
      <c r="IY6" s="129"/>
      <c r="IZ6" s="129"/>
      <c r="JA6" s="129"/>
      <c r="JB6" s="129"/>
      <c r="JC6" s="129"/>
      <c r="JD6" s="129"/>
      <c r="JE6" s="129"/>
      <c r="JF6" s="129"/>
      <c r="JG6" s="129"/>
      <c r="JH6" s="129"/>
      <c r="JI6" s="129"/>
      <c r="JJ6" s="129"/>
      <c r="JK6" s="129"/>
      <c r="JL6" s="129"/>
      <c r="JM6" s="129"/>
      <c r="JN6" s="129"/>
      <c r="JO6" s="129" t="s">
        <v>409</v>
      </c>
      <c r="JP6" s="129"/>
      <c r="JQ6" s="129"/>
      <c r="JR6" s="129"/>
      <c r="JS6" s="129"/>
      <c r="JT6" s="129"/>
      <c r="JU6" s="129"/>
      <c r="JV6" s="129"/>
      <c r="JW6" s="129"/>
      <c r="JX6" s="129"/>
      <c r="JY6" s="129"/>
      <c r="JZ6" s="129"/>
      <c r="KA6" s="129"/>
      <c r="KB6" s="129"/>
      <c r="KC6" s="129"/>
      <c r="KD6" s="129"/>
      <c r="KE6" s="129"/>
      <c r="KF6" s="129"/>
      <c r="KG6" s="129"/>
      <c r="KH6" s="129"/>
      <c r="KI6" s="129"/>
      <c r="KJ6" s="129"/>
      <c r="KK6" s="129"/>
      <c r="KL6" s="129"/>
      <c r="KM6" s="129"/>
      <c r="KN6" s="129"/>
      <c r="KO6" s="129"/>
      <c r="KP6" s="129"/>
      <c r="KQ6" s="129"/>
      <c r="KR6" s="129"/>
      <c r="KS6" s="129" t="s">
        <v>410</v>
      </c>
      <c r="KT6" s="129"/>
      <c r="KU6" s="129"/>
      <c r="KV6" s="129"/>
      <c r="KW6" s="129"/>
      <c r="KX6" s="129"/>
      <c r="KY6" s="129"/>
      <c r="KZ6" s="129"/>
      <c r="LA6" s="129"/>
      <c r="LB6" s="129"/>
      <c r="LC6" s="129"/>
      <c r="LD6" s="129"/>
      <c r="LE6" s="129"/>
      <c r="LF6" s="129"/>
      <c r="LG6" s="129"/>
      <c r="LH6" s="129"/>
      <c r="LI6" s="129"/>
      <c r="LJ6" s="129"/>
      <c r="LK6" s="129"/>
      <c r="LL6" s="129"/>
      <c r="LM6" s="129"/>
      <c r="LN6" s="129"/>
      <c r="LO6" s="129"/>
      <c r="LP6" s="129"/>
      <c r="LQ6" s="129"/>
      <c r="LR6" s="129"/>
      <c r="LS6" s="129"/>
      <c r="LT6" s="129"/>
      <c r="LU6" s="129"/>
      <c r="LV6" s="129"/>
      <c r="LW6" s="129"/>
      <c r="LX6" s="129" t="s">
        <v>411</v>
      </c>
      <c r="LY6" s="129"/>
      <c r="LZ6" s="129"/>
      <c r="MA6" s="129"/>
      <c r="MB6" s="129"/>
      <c r="MC6" s="129"/>
      <c r="MD6" s="129"/>
      <c r="ME6" s="129"/>
      <c r="MF6" s="129"/>
      <c r="MG6" s="129"/>
      <c r="MH6" s="129"/>
      <c r="MI6" s="129"/>
      <c r="MJ6" s="129"/>
      <c r="MK6" s="129"/>
      <c r="ML6" s="129"/>
      <c r="MM6" s="129"/>
      <c r="MN6" s="129"/>
      <c r="MO6" s="129"/>
      <c r="MP6" s="129"/>
      <c r="MQ6" s="129"/>
      <c r="MR6" s="129"/>
      <c r="MS6" s="129"/>
      <c r="MT6" s="129"/>
      <c r="MU6" s="129"/>
      <c r="MV6" s="129"/>
      <c r="MW6" s="129"/>
      <c r="MX6" s="129"/>
      <c r="MY6" s="129"/>
      <c r="MZ6" s="129"/>
      <c r="NA6" s="129"/>
      <c r="NB6" s="129" t="s">
        <v>412</v>
      </c>
      <c r="NC6" s="129"/>
      <c r="ND6" s="129"/>
      <c r="NE6" s="129"/>
      <c r="NF6" s="129"/>
      <c r="NG6" s="129"/>
      <c r="NH6" s="129"/>
      <c r="NI6" s="129"/>
      <c r="NJ6" s="129"/>
      <c r="NK6" s="129"/>
      <c r="NL6" s="129"/>
      <c r="NM6" s="129"/>
      <c r="NN6" s="129"/>
      <c r="NO6" s="129"/>
      <c r="NP6" s="129"/>
      <c r="NQ6" s="129"/>
      <c r="NR6" s="129"/>
      <c r="NS6" s="129"/>
      <c r="NT6" s="129"/>
      <c r="NU6" s="129"/>
      <c r="NV6" s="129"/>
      <c r="NW6" s="129"/>
      <c r="NX6" s="129"/>
      <c r="NY6" s="129"/>
      <c r="NZ6" s="129"/>
      <c r="OA6" s="129"/>
      <c r="OB6" s="129"/>
      <c r="OC6" s="129"/>
      <c r="OD6" s="129"/>
      <c r="OE6" s="129"/>
      <c r="OF6" s="129"/>
    </row>
    <row r="7" spans="1:399" s="40" customFormat="1">
      <c r="A7" s="39"/>
      <c r="B7" s="143" t="s">
        <v>11</v>
      </c>
      <c r="C7" s="144"/>
      <c r="D7" s="144"/>
      <c r="E7" s="144"/>
      <c r="F7" s="143" t="s">
        <v>14</v>
      </c>
      <c r="G7" s="144"/>
      <c r="H7" s="144"/>
      <c r="I7" s="144"/>
      <c r="J7" s="145"/>
      <c r="K7" s="146" t="s">
        <v>13</v>
      </c>
      <c r="L7" s="147"/>
      <c r="M7" s="147"/>
      <c r="N7" s="147"/>
      <c r="O7" s="148"/>
      <c r="P7" s="146" t="s">
        <v>0</v>
      </c>
      <c r="Q7" s="148"/>
      <c r="R7" s="43" t="s">
        <v>18</v>
      </c>
      <c r="S7" s="144" t="s">
        <v>422</v>
      </c>
      <c r="T7" s="144"/>
      <c r="U7" s="144"/>
      <c r="V7" s="145"/>
      <c r="W7" s="123"/>
      <c r="X7" s="43"/>
      <c r="Y7" s="58"/>
      <c r="Z7" s="43"/>
      <c r="AA7" s="43"/>
      <c r="AB7" s="43"/>
      <c r="AC7" s="43"/>
      <c r="AD7" s="58"/>
      <c r="AE7" s="58"/>
      <c r="AF7" s="38" t="s">
        <v>29</v>
      </c>
      <c r="AG7" s="38" t="s">
        <v>30</v>
      </c>
      <c r="AH7" s="38" t="s">
        <v>31</v>
      </c>
      <c r="AI7" s="38" t="s">
        <v>31</v>
      </c>
      <c r="AJ7" s="38" t="s">
        <v>32</v>
      </c>
      <c r="AK7" s="38" t="s">
        <v>33</v>
      </c>
      <c r="AL7" s="38" t="s">
        <v>34</v>
      </c>
      <c r="AM7" s="38" t="s">
        <v>29</v>
      </c>
      <c r="AN7" s="38" t="s">
        <v>30</v>
      </c>
      <c r="AO7" s="38" t="s">
        <v>31</v>
      </c>
      <c r="AP7" s="38" t="s">
        <v>31</v>
      </c>
      <c r="AQ7" s="38" t="s">
        <v>32</v>
      </c>
      <c r="AR7" s="38" t="s">
        <v>33</v>
      </c>
      <c r="AS7" s="38" t="s">
        <v>34</v>
      </c>
      <c r="AT7" s="38" t="s">
        <v>29</v>
      </c>
      <c r="AU7" s="38" t="s">
        <v>30</v>
      </c>
      <c r="AV7" s="38" t="s">
        <v>31</v>
      </c>
      <c r="AW7" s="38" t="s">
        <v>31</v>
      </c>
      <c r="AX7" s="38" t="s">
        <v>32</v>
      </c>
      <c r="AY7" s="38" t="s">
        <v>33</v>
      </c>
      <c r="AZ7" s="38" t="s">
        <v>34</v>
      </c>
      <c r="BA7" s="38" t="s">
        <v>29</v>
      </c>
      <c r="BB7" s="38" t="s">
        <v>30</v>
      </c>
      <c r="BC7" s="38" t="s">
        <v>31</v>
      </c>
      <c r="BD7" s="38" t="s">
        <v>31</v>
      </c>
      <c r="BE7" s="38" t="s">
        <v>32</v>
      </c>
      <c r="BF7" s="38" t="s">
        <v>33</v>
      </c>
      <c r="BG7" s="38" t="s">
        <v>34</v>
      </c>
      <c r="BH7" s="38" t="s">
        <v>29</v>
      </c>
      <c r="BI7" s="38" t="s">
        <v>30</v>
      </c>
      <c r="BJ7" s="38" t="s">
        <v>31</v>
      </c>
      <c r="BK7" s="38" t="s">
        <v>31</v>
      </c>
      <c r="BL7" s="38" t="s">
        <v>32</v>
      </c>
      <c r="BM7" s="38" t="s">
        <v>33</v>
      </c>
      <c r="BN7" s="38" t="s">
        <v>34</v>
      </c>
      <c r="BO7" s="38" t="s">
        <v>29</v>
      </c>
      <c r="BP7" s="38" t="s">
        <v>30</v>
      </c>
      <c r="BQ7" s="38" t="s">
        <v>31</v>
      </c>
      <c r="BR7" s="38" t="s">
        <v>31</v>
      </c>
      <c r="BS7" s="38" t="s">
        <v>32</v>
      </c>
      <c r="BT7" s="38" t="s">
        <v>33</v>
      </c>
      <c r="BU7" s="38" t="s">
        <v>34</v>
      </c>
      <c r="BV7" s="38" t="s">
        <v>29</v>
      </c>
      <c r="BW7" s="38" t="s">
        <v>30</v>
      </c>
      <c r="BX7" s="38" t="s">
        <v>31</v>
      </c>
      <c r="BY7" s="38" t="s">
        <v>31</v>
      </c>
      <c r="BZ7" s="38" t="s">
        <v>32</v>
      </c>
      <c r="CA7" s="38" t="s">
        <v>33</v>
      </c>
      <c r="CB7" s="38" t="s">
        <v>34</v>
      </c>
      <c r="CC7" s="38" t="s">
        <v>29</v>
      </c>
      <c r="CD7" s="38" t="s">
        <v>30</v>
      </c>
      <c r="CE7" s="38" t="s">
        <v>31</v>
      </c>
      <c r="CF7" s="38" t="s">
        <v>31</v>
      </c>
      <c r="CG7" s="38" t="s">
        <v>32</v>
      </c>
      <c r="CH7" s="38" t="s">
        <v>33</v>
      </c>
      <c r="CI7" s="38" t="s">
        <v>34</v>
      </c>
      <c r="CJ7" s="38" t="s">
        <v>29</v>
      </c>
      <c r="CK7" s="38" t="s">
        <v>30</v>
      </c>
      <c r="CL7" s="38" t="s">
        <v>31</v>
      </c>
      <c r="CM7" s="38" t="s">
        <v>31</v>
      </c>
      <c r="CN7" s="38" t="s">
        <v>32</v>
      </c>
      <c r="CO7" s="38" t="s">
        <v>33</v>
      </c>
      <c r="CP7" s="38" t="s">
        <v>34</v>
      </c>
      <c r="CQ7" s="38" t="s">
        <v>29</v>
      </c>
      <c r="CR7" s="38" t="s">
        <v>30</v>
      </c>
      <c r="CS7" s="38" t="s">
        <v>31</v>
      </c>
      <c r="CT7" s="38" t="s">
        <v>31</v>
      </c>
      <c r="CU7" s="38" t="s">
        <v>32</v>
      </c>
      <c r="CV7" s="38" t="s">
        <v>33</v>
      </c>
      <c r="CW7" s="38" t="s">
        <v>34</v>
      </c>
      <c r="CX7" s="38" t="s">
        <v>29</v>
      </c>
      <c r="CY7" s="38" t="s">
        <v>30</v>
      </c>
      <c r="CZ7" s="38" t="s">
        <v>31</v>
      </c>
      <c r="DA7" s="38" t="s">
        <v>31</v>
      </c>
      <c r="DB7" s="38" t="s">
        <v>32</v>
      </c>
      <c r="DC7" s="38" t="s">
        <v>33</v>
      </c>
      <c r="DD7" s="38" t="s">
        <v>34</v>
      </c>
      <c r="DE7" s="38" t="s">
        <v>29</v>
      </c>
      <c r="DF7" s="38" t="s">
        <v>30</v>
      </c>
      <c r="DG7" s="38" t="s">
        <v>31</v>
      </c>
      <c r="DH7" s="38" t="s">
        <v>31</v>
      </c>
      <c r="DI7" s="38" t="s">
        <v>32</v>
      </c>
      <c r="DJ7" s="38" t="s">
        <v>33</v>
      </c>
      <c r="DK7" s="38" t="s">
        <v>34</v>
      </c>
      <c r="DL7" s="38" t="s">
        <v>29</v>
      </c>
      <c r="DM7" s="38" t="s">
        <v>30</v>
      </c>
      <c r="DN7" s="38" t="s">
        <v>31</v>
      </c>
      <c r="DO7" s="38" t="s">
        <v>31</v>
      </c>
      <c r="DP7" s="38" t="s">
        <v>32</v>
      </c>
      <c r="DQ7" s="38" t="s">
        <v>33</v>
      </c>
      <c r="DR7" s="38" t="s">
        <v>34</v>
      </c>
      <c r="DS7" s="38" t="s">
        <v>29</v>
      </c>
      <c r="DT7" s="38" t="s">
        <v>30</v>
      </c>
      <c r="DU7" s="38" t="s">
        <v>31</v>
      </c>
      <c r="DV7" s="38" t="s">
        <v>31</v>
      </c>
      <c r="DW7" s="38" t="s">
        <v>32</v>
      </c>
      <c r="DX7" s="38" t="s">
        <v>33</v>
      </c>
      <c r="DY7" s="38" t="s">
        <v>34</v>
      </c>
      <c r="DZ7" s="38" t="s">
        <v>29</v>
      </c>
      <c r="EA7" s="38" t="s">
        <v>30</v>
      </c>
      <c r="EB7" s="38" t="s">
        <v>31</v>
      </c>
      <c r="EC7" s="38" t="s">
        <v>31</v>
      </c>
      <c r="ED7" s="38" t="s">
        <v>32</v>
      </c>
      <c r="EE7" s="38" t="s">
        <v>33</v>
      </c>
      <c r="EF7" s="38" t="s">
        <v>34</v>
      </c>
      <c r="EG7" s="38" t="s">
        <v>29</v>
      </c>
      <c r="EH7" s="38" t="s">
        <v>30</v>
      </c>
      <c r="EI7" s="38" t="s">
        <v>31</v>
      </c>
      <c r="EJ7" s="38" t="s">
        <v>31</v>
      </c>
      <c r="EK7" s="38" t="s">
        <v>32</v>
      </c>
      <c r="EL7" s="38" t="s">
        <v>33</v>
      </c>
      <c r="EM7" s="38" t="s">
        <v>34</v>
      </c>
      <c r="EN7" s="38" t="s">
        <v>29</v>
      </c>
      <c r="EO7" s="57" t="s">
        <v>30</v>
      </c>
      <c r="EP7" s="57" t="s">
        <v>31</v>
      </c>
      <c r="EQ7" s="57" t="s">
        <v>31</v>
      </c>
      <c r="ER7" s="57" t="s">
        <v>32</v>
      </c>
      <c r="ES7" s="57" t="s">
        <v>33</v>
      </c>
      <c r="ET7" s="57" t="s">
        <v>34</v>
      </c>
      <c r="EU7" s="57" t="s">
        <v>29</v>
      </c>
      <c r="EV7" s="57" t="s">
        <v>30</v>
      </c>
      <c r="EW7" s="57" t="s">
        <v>31</v>
      </c>
      <c r="EX7" s="57" t="s">
        <v>31</v>
      </c>
      <c r="EY7" s="57" t="s">
        <v>32</v>
      </c>
      <c r="EZ7" s="57" t="s">
        <v>33</v>
      </c>
      <c r="FA7" s="57" t="s">
        <v>34</v>
      </c>
      <c r="FB7" s="57" t="s">
        <v>29</v>
      </c>
      <c r="FC7" s="57" t="s">
        <v>30</v>
      </c>
      <c r="FD7" s="57" t="s">
        <v>31</v>
      </c>
      <c r="FE7" s="57" t="s">
        <v>31</v>
      </c>
      <c r="FF7" s="57" t="s">
        <v>32</v>
      </c>
      <c r="FG7" s="57" t="s">
        <v>33</v>
      </c>
      <c r="FH7" s="57" t="s">
        <v>34</v>
      </c>
      <c r="FI7" s="57" t="s">
        <v>29</v>
      </c>
      <c r="FJ7" s="57" t="s">
        <v>30</v>
      </c>
      <c r="FK7" s="57" t="s">
        <v>31</v>
      </c>
      <c r="FL7" s="57" t="s">
        <v>31</v>
      </c>
      <c r="FM7" s="57" t="s">
        <v>32</v>
      </c>
      <c r="FN7" s="57" t="s">
        <v>33</v>
      </c>
      <c r="FO7" s="57" t="s">
        <v>34</v>
      </c>
      <c r="FP7" s="57" t="s">
        <v>29</v>
      </c>
      <c r="FQ7" s="57" t="s">
        <v>30</v>
      </c>
      <c r="FR7" s="57" t="s">
        <v>31</v>
      </c>
      <c r="FS7" s="57" t="s">
        <v>31</v>
      </c>
      <c r="FT7" s="57" t="s">
        <v>32</v>
      </c>
      <c r="FU7" s="57" t="s">
        <v>33</v>
      </c>
      <c r="FV7" s="57" t="s">
        <v>34</v>
      </c>
      <c r="FW7" s="57" t="s">
        <v>29</v>
      </c>
      <c r="FX7" s="57" t="s">
        <v>30</v>
      </c>
      <c r="FY7" s="57" t="s">
        <v>31</v>
      </c>
      <c r="FZ7" s="57" t="s">
        <v>31</v>
      </c>
      <c r="GA7" s="57" t="s">
        <v>32</v>
      </c>
      <c r="GB7" s="57" t="s">
        <v>33</v>
      </c>
      <c r="GC7" s="57" t="s">
        <v>34</v>
      </c>
      <c r="GD7" s="57" t="s">
        <v>29</v>
      </c>
      <c r="GE7" s="57" t="s">
        <v>30</v>
      </c>
      <c r="GF7" s="57" t="s">
        <v>31</v>
      </c>
      <c r="GG7" s="57" t="s">
        <v>31</v>
      </c>
      <c r="GH7" s="57" t="s">
        <v>32</v>
      </c>
      <c r="GI7" s="57" t="s">
        <v>33</v>
      </c>
      <c r="GJ7" s="57" t="s">
        <v>34</v>
      </c>
      <c r="GK7" s="57" t="s">
        <v>29</v>
      </c>
      <c r="GL7" s="57" t="s">
        <v>30</v>
      </c>
      <c r="GM7" s="57" t="s">
        <v>31</v>
      </c>
      <c r="GN7" s="57" t="s">
        <v>31</v>
      </c>
      <c r="GO7" s="57" t="s">
        <v>32</v>
      </c>
      <c r="GP7" s="57" t="s">
        <v>33</v>
      </c>
      <c r="GQ7" s="57" t="s">
        <v>34</v>
      </c>
      <c r="GR7" s="57" t="s">
        <v>29</v>
      </c>
      <c r="GS7" s="57" t="s">
        <v>30</v>
      </c>
      <c r="GT7" s="57" t="s">
        <v>31</v>
      </c>
      <c r="GU7" s="57" t="s">
        <v>31</v>
      </c>
      <c r="GV7" s="57" t="s">
        <v>32</v>
      </c>
      <c r="GW7" s="57" t="s">
        <v>33</v>
      </c>
      <c r="GX7" s="57" t="s">
        <v>34</v>
      </c>
      <c r="GY7" s="57" t="s">
        <v>29</v>
      </c>
      <c r="GZ7" s="57" t="s">
        <v>30</v>
      </c>
      <c r="HA7" s="57" t="s">
        <v>31</v>
      </c>
      <c r="HB7" s="57" t="s">
        <v>31</v>
      </c>
      <c r="HC7" s="57" t="s">
        <v>32</v>
      </c>
      <c r="HD7" s="57" t="s">
        <v>33</v>
      </c>
      <c r="HE7" s="57" t="s">
        <v>34</v>
      </c>
      <c r="HF7" s="57" t="s">
        <v>29</v>
      </c>
      <c r="HG7" s="57" t="s">
        <v>30</v>
      </c>
      <c r="HH7" s="57" t="s">
        <v>31</v>
      </c>
      <c r="HI7" s="57" t="s">
        <v>31</v>
      </c>
      <c r="HJ7" s="57" t="s">
        <v>32</v>
      </c>
      <c r="HK7" s="57" t="s">
        <v>33</v>
      </c>
      <c r="HL7" s="57" t="s">
        <v>34</v>
      </c>
      <c r="HM7" s="57" t="s">
        <v>29</v>
      </c>
      <c r="HN7" s="57" t="s">
        <v>30</v>
      </c>
      <c r="HO7" s="57" t="s">
        <v>31</v>
      </c>
      <c r="HP7" s="57" t="s">
        <v>31</v>
      </c>
      <c r="HQ7" s="57" t="s">
        <v>32</v>
      </c>
      <c r="HR7" s="57" t="s">
        <v>33</v>
      </c>
      <c r="HS7" s="57" t="s">
        <v>34</v>
      </c>
      <c r="HT7" s="57" t="s">
        <v>29</v>
      </c>
      <c r="HU7" s="57" t="s">
        <v>30</v>
      </c>
      <c r="HV7" s="57" t="s">
        <v>31</v>
      </c>
      <c r="HW7" s="57" t="s">
        <v>31</v>
      </c>
      <c r="HX7" s="57" t="s">
        <v>32</v>
      </c>
      <c r="HY7" s="57" t="s">
        <v>33</v>
      </c>
      <c r="HZ7" s="57" t="s">
        <v>34</v>
      </c>
      <c r="IA7" s="57" t="s">
        <v>29</v>
      </c>
      <c r="IB7" s="57" t="s">
        <v>30</v>
      </c>
      <c r="IC7" s="57" t="s">
        <v>31</v>
      </c>
      <c r="ID7" s="57" t="s">
        <v>31</v>
      </c>
      <c r="IE7" s="57" t="s">
        <v>32</v>
      </c>
      <c r="IF7" s="57" t="s">
        <v>33</v>
      </c>
      <c r="IG7" s="57" t="s">
        <v>34</v>
      </c>
      <c r="IH7" s="57" t="s">
        <v>29</v>
      </c>
      <c r="II7" s="57" t="s">
        <v>30</v>
      </c>
      <c r="IJ7" s="57" t="s">
        <v>31</v>
      </c>
      <c r="IK7" s="57" t="s">
        <v>31</v>
      </c>
      <c r="IL7" s="57" t="s">
        <v>32</v>
      </c>
      <c r="IM7" s="57" t="s">
        <v>33</v>
      </c>
      <c r="IN7" s="57" t="s">
        <v>34</v>
      </c>
      <c r="IO7" s="57" t="s">
        <v>29</v>
      </c>
      <c r="IP7" s="57" t="s">
        <v>30</v>
      </c>
      <c r="IQ7" s="57" t="s">
        <v>31</v>
      </c>
      <c r="IR7" s="57" t="s">
        <v>31</v>
      </c>
      <c r="IS7" s="57" t="s">
        <v>32</v>
      </c>
      <c r="IT7" s="57" t="s">
        <v>33</v>
      </c>
      <c r="IU7" s="57" t="s">
        <v>34</v>
      </c>
      <c r="IV7" s="57" t="s">
        <v>29</v>
      </c>
      <c r="IW7" s="57" t="s">
        <v>30</v>
      </c>
      <c r="IX7" s="57" t="s">
        <v>31</v>
      </c>
      <c r="IY7" s="57" t="s">
        <v>31</v>
      </c>
      <c r="IZ7" s="57" t="s">
        <v>32</v>
      </c>
      <c r="JA7" s="57" t="s">
        <v>33</v>
      </c>
      <c r="JB7" s="57" t="s">
        <v>34</v>
      </c>
      <c r="JC7" s="57" t="s">
        <v>29</v>
      </c>
      <c r="JD7" s="57" t="s">
        <v>30</v>
      </c>
      <c r="JE7" s="57" t="s">
        <v>31</v>
      </c>
      <c r="JF7" s="57" t="s">
        <v>31</v>
      </c>
      <c r="JG7" s="57" t="s">
        <v>32</v>
      </c>
      <c r="JH7" s="57" t="s">
        <v>33</v>
      </c>
      <c r="JI7" s="57" t="s">
        <v>34</v>
      </c>
      <c r="JJ7" s="57" t="s">
        <v>29</v>
      </c>
      <c r="JK7" s="57" t="s">
        <v>30</v>
      </c>
      <c r="JL7" s="57" t="s">
        <v>31</v>
      </c>
      <c r="JM7" s="57" t="s">
        <v>31</v>
      </c>
      <c r="JN7" s="57" t="s">
        <v>32</v>
      </c>
      <c r="JO7" s="57" t="s">
        <v>33</v>
      </c>
      <c r="JP7" s="57" t="s">
        <v>34</v>
      </c>
      <c r="JQ7" s="57" t="s">
        <v>29</v>
      </c>
      <c r="JR7" s="57" t="s">
        <v>30</v>
      </c>
      <c r="JS7" s="57" t="s">
        <v>31</v>
      </c>
      <c r="JT7" s="57" t="s">
        <v>31</v>
      </c>
      <c r="JU7" s="57" t="s">
        <v>32</v>
      </c>
      <c r="JV7" s="57" t="s">
        <v>33</v>
      </c>
      <c r="JW7" s="57" t="s">
        <v>34</v>
      </c>
      <c r="JX7" s="57" t="s">
        <v>29</v>
      </c>
      <c r="JY7" s="57" t="s">
        <v>30</v>
      </c>
      <c r="JZ7" s="57" t="s">
        <v>31</v>
      </c>
      <c r="KA7" s="57" t="s">
        <v>31</v>
      </c>
      <c r="KB7" s="57" t="s">
        <v>32</v>
      </c>
      <c r="KC7" s="57" t="s">
        <v>33</v>
      </c>
      <c r="KD7" s="57" t="s">
        <v>34</v>
      </c>
      <c r="KE7" s="57" t="s">
        <v>29</v>
      </c>
      <c r="KF7" s="57" t="s">
        <v>30</v>
      </c>
      <c r="KG7" s="57" t="s">
        <v>31</v>
      </c>
      <c r="KH7" s="57" t="s">
        <v>31</v>
      </c>
      <c r="KI7" s="57" t="s">
        <v>32</v>
      </c>
      <c r="KJ7" s="57" t="s">
        <v>33</v>
      </c>
      <c r="KK7" s="57" t="s">
        <v>34</v>
      </c>
      <c r="KL7" s="57" t="s">
        <v>29</v>
      </c>
      <c r="KM7" s="57" t="s">
        <v>30</v>
      </c>
      <c r="KN7" s="57" t="s">
        <v>31</v>
      </c>
      <c r="KO7" s="57" t="s">
        <v>31</v>
      </c>
      <c r="KP7" s="57" t="s">
        <v>32</v>
      </c>
      <c r="KQ7" s="57" t="s">
        <v>33</v>
      </c>
      <c r="KR7" s="57" t="s">
        <v>34</v>
      </c>
      <c r="KS7" s="57" t="s">
        <v>29</v>
      </c>
      <c r="KT7" s="57" t="s">
        <v>30</v>
      </c>
      <c r="KU7" s="57" t="s">
        <v>31</v>
      </c>
      <c r="KV7" s="57" t="s">
        <v>31</v>
      </c>
      <c r="KW7" s="57" t="s">
        <v>32</v>
      </c>
      <c r="KX7" s="57" t="s">
        <v>33</v>
      </c>
      <c r="KY7" s="57" t="s">
        <v>34</v>
      </c>
      <c r="KZ7" s="57" t="s">
        <v>29</v>
      </c>
      <c r="LA7" s="57" t="s">
        <v>30</v>
      </c>
      <c r="LB7" s="57" t="s">
        <v>31</v>
      </c>
      <c r="LC7" s="57" t="s">
        <v>31</v>
      </c>
      <c r="LD7" s="57" t="s">
        <v>32</v>
      </c>
      <c r="LE7" s="57" t="s">
        <v>33</v>
      </c>
      <c r="LF7" s="57" t="s">
        <v>34</v>
      </c>
      <c r="LG7" s="57" t="s">
        <v>29</v>
      </c>
      <c r="LH7" s="57" t="s">
        <v>30</v>
      </c>
      <c r="LI7" s="57" t="s">
        <v>31</v>
      </c>
      <c r="LJ7" s="57" t="s">
        <v>31</v>
      </c>
      <c r="LK7" s="57" t="s">
        <v>32</v>
      </c>
      <c r="LL7" s="57" t="s">
        <v>33</v>
      </c>
      <c r="LM7" s="57" t="s">
        <v>34</v>
      </c>
      <c r="LN7" s="57" t="s">
        <v>29</v>
      </c>
      <c r="LO7" s="57" t="s">
        <v>30</v>
      </c>
      <c r="LP7" s="57" t="s">
        <v>31</v>
      </c>
      <c r="LQ7" s="57" t="s">
        <v>31</v>
      </c>
      <c r="LR7" s="57" t="s">
        <v>32</v>
      </c>
      <c r="LS7" s="57" t="s">
        <v>33</v>
      </c>
      <c r="LT7" s="57" t="s">
        <v>34</v>
      </c>
      <c r="LU7" s="57" t="s">
        <v>29</v>
      </c>
      <c r="LV7" s="57" t="s">
        <v>30</v>
      </c>
      <c r="LW7" s="57" t="s">
        <v>31</v>
      </c>
      <c r="LX7" s="57" t="s">
        <v>31</v>
      </c>
      <c r="LY7" s="57" t="s">
        <v>32</v>
      </c>
      <c r="LZ7" s="57" t="s">
        <v>33</v>
      </c>
      <c r="MA7" s="57" t="s">
        <v>34</v>
      </c>
      <c r="MB7" s="57" t="s">
        <v>29</v>
      </c>
      <c r="MC7" s="57" t="s">
        <v>30</v>
      </c>
      <c r="MD7" s="57" t="s">
        <v>31</v>
      </c>
      <c r="ME7" s="57" t="s">
        <v>31</v>
      </c>
      <c r="MF7" s="57" t="s">
        <v>32</v>
      </c>
      <c r="MG7" s="57" t="s">
        <v>33</v>
      </c>
      <c r="MH7" s="57" t="s">
        <v>34</v>
      </c>
      <c r="MI7" s="57" t="s">
        <v>29</v>
      </c>
      <c r="MJ7" s="57" t="s">
        <v>30</v>
      </c>
      <c r="MK7" s="57" t="s">
        <v>31</v>
      </c>
      <c r="ML7" s="57" t="s">
        <v>31</v>
      </c>
      <c r="MM7" s="57" t="s">
        <v>32</v>
      </c>
      <c r="MN7" s="57" t="s">
        <v>33</v>
      </c>
      <c r="MO7" s="57" t="s">
        <v>34</v>
      </c>
      <c r="MP7" s="57" t="s">
        <v>29</v>
      </c>
      <c r="MQ7" s="57" t="s">
        <v>30</v>
      </c>
      <c r="MR7" s="57" t="s">
        <v>31</v>
      </c>
      <c r="MS7" s="57" t="s">
        <v>31</v>
      </c>
      <c r="MT7" s="57" t="s">
        <v>32</v>
      </c>
      <c r="MU7" s="57" t="s">
        <v>33</v>
      </c>
      <c r="MV7" s="57" t="s">
        <v>34</v>
      </c>
      <c r="MW7" s="57" t="s">
        <v>29</v>
      </c>
      <c r="MX7" s="57" t="s">
        <v>30</v>
      </c>
      <c r="MY7" s="57" t="s">
        <v>31</v>
      </c>
      <c r="MZ7" s="57" t="s">
        <v>31</v>
      </c>
      <c r="NA7" s="57" t="s">
        <v>32</v>
      </c>
      <c r="NB7" s="57" t="s">
        <v>33</v>
      </c>
      <c r="NC7" s="57" t="s">
        <v>34</v>
      </c>
      <c r="ND7" s="57" t="s">
        <v>29</v>
      </c>
      <c r="NE7" s="57" t="s">
        <v>30</v>
      </c>
      <c r="NF7" s="57" t="s">
        <v>31</v>
      </c>
      <c r="NG7" s="57" t="s">
        <v>31</v>
      </c>
      <c r="NH7" s="57" t="s">
        <v>32</v>
      </c>
      <c r="NI7" s="57" t="s">
        <v>33</v>
      </c>
      <c r="NJ7" s="57" t="s">
        <v>34</v>
      </c>
      <c r="NK7" s="57" t="s">
        <v>29</v>
      </c>
      <c r="NL7" s="57" t="s">
        <v>30</v>
      </c>
      <c r="NM7" s="57" t="s">
        <v>31</v>
      </c>
      <c r="NN7" s="57" t="s">
        <v>31</v>
      </c>
      <c r="NO7" s="57" t="s">
        <v>32</v>
      </c>
      <c r="NP7" s="57" t="s">
        <v>33</v>
      </c>
      <c r="NQ7" s="57" t="s">
        <v>34</v>
      </c>
      <c r="NR7" s="57" t="s">
        <v>29</v>
      </c>
      <c r="NS7" s="57" t="s">
        <v>30</v>
      </c>
      <c r="NT7" s="57" t="s">
        <v>31</v>
      </c>
      <c r="NU7" s="57" t="s">
        <v>31</v>
      </c>
      <c r="NV7" s="57" t="s">
        <v>32</v>
      </c>
      <c r="NW7" s="57" t="s">
        <v>33</v>
      </c>
      <c r="NX7" s="57" t="s">
        <v>34</v>
      </c>
      <c r="NY7" s="57" t="s">
        <v>29</v>
      </c>
      <c r="NZ7" s="57" t="s">
        <v>30</v>
      </c>
      <c r="OA7" s="57" t="s">
        <v>31</v>
      </c>
      <c r="OB7" s="57" t="s">
        <v>31</v>
      </c>
      <c r="OC7" s="57" t="s">
        <v>32</v>
      </c>
      <c r="OD7" s="57" t="s">
        <v>33</v>
      </c>
      <c r="OE7" s="57" t="s">
        <v>34</v>
      </c>
      <c r="OF7" s="57" t="s">
        <v>29</v>
      </c>
    </row>
    <row r="8" spans="1:399" s="71" customFormat="1" ht="15" customHeight="1">
      <c r="A8" s="68" t="s">
        <v>10</v>
      </c>
      <c r="B8" s="69" t="s">
        <v>26</v>
      </c>
      <c r="C8" s="50" t="s">
        <v>16</v>
      </c>
      <c r="D8" s="50" t="s">
        <v>28</v>
      </c>
      <c r="E8" s="50" t="s">
        <v>12</v>
      </c>
      <c r="F8" s="50" t="s">
        <v>3</v>
      </c>
      <c r="G8" s="50" t="s">
        <v>4</v>
      </c>
      <c r="H8" s="50" t="s">
        <v>27</v>
      </c>
      <c r="I8" s="70" t="s">
        <v>5</v>
      </c>
      <c r="J8" s="70" t="s">
        <v>22</v>
      </c>
      <c r="K8" s="50" t="s">
        <v>7</v>
      </c>
      <c r="L8" s="50" t="s">
        <v>8</v>
      </c>
      <c r="M8" s="72" t="s">
        <v>431</v>
      </c>
      <c r="N8" s="50" t="s">
        <v>1</v>
      </c>
      <c r="O8" s="50" t="s">
        <v>2</v>
      </c>
      <c r="P8" s="50" t="s">
        <v>25</v>
      </c>
      <c r="Q8" s="50" t="s">
        <v>495</v>
      </c>
      <c r="R8" s="50" t="s">
        <v>24</v>
      </c>
      <c r="S8" s="50" t="s">
        <v>6</v>
      </c>
      <c r="T8" s="50" t="s">
        <v>421</v>
      </c>
      <c r="U8" s="50" t="s">
        <v>430</v>
      </c>
      <c r="V8" s="50" t="s">
        <v>516</v>
      </c>
      <c r="W8" s="50" t="s">
        <v>518</v>
      </c>
      <c r="X8" s="50" t="s">
        <v>413</v>
      </c>
      <c r="Y8" s="50" t="s">
        <v>427</v>
      </c>
      <c r="Z8" s="50" t="s">
        <v>414</v>
      </c>
      <c r="AA8" s="50" t="s">
        <v>415</v>
      </c>
      <c r="AB8" s="50" t="s">
        <v>416</v>
      </c>
      <c r="AC8" s="50" t="s">
        <v>417</v>
      </c>
      <c r="AD8" s="50" t="s">
        <v>429</v>
      </c>
      <c r="AE8" s="50" t="s">
        <v>432</v>
      </c>
      <c r="AF8" s="53" t="s">
        <v>35</v>
      </c>
      <c r="AG8" s="53" t="s">
        <v>37</v>
      </c>
      <c r="AH8" s="53" t="s">
        <v>80</v>
      </c>
      <c r="AI8" s="53" t="s">
        <v>79</v>
      </c>
      <c r="AJ8" s="53" t="s">
        <v>78</v>
      </c>
      <c r="AK8" s="53" t="s">
        <v>77</v>
      </c>
      <c r="AL8" s="53" t="s">
        <v>76</v>
      </c>
      <c r="AM8" s="53" t="s">
        <v>75</v>
      </c>
      <c r="AN8" s="53" t="s">
        <v>74</v>
      </c>
      <c r="AO8" s="53" t="s">
        <v>73</v>
      </c>
      <c r="AP8" s="53" t="s">
        <v>72</v>
      </c>
      <c r="AQ8" s="53" t="s">
        <v>71</v>
      </c>
      <c r="AR8" s="53" t="s">
        <v>70</v>
      </c>
      <c r="AS8" s="53" t="s">
        <v>69</v>
      </c>
      <c r="AT8" s="53" t="s">
        <v>68</v>
      </c>
      <c r="AU8" s="53" t="s">
        <v>67</v>
      </c>
      <c r="AV8" s="53" t="s">
        <v>66</v>
      </c>
      <c r="AW8" s="53" t="s">
        <v>65</v>
      </c>
      <c r="AX8" s="53" t="s">
        <v>64</v>
      </c>
      <c r="AY8" s="53" t="s">
        <v>63</v>
      </c>
      <c r="AZ8" s="53" t="s">
        <v>62</v>
      </c>
      <c r="BA8" s="53" t="s">
        <v>61</v>
      </c>
      <c r="BB8" s="53" t="s">
        <v>60</v>
      </c>
      <c r="BC8" s="53" t="s">
        <v>59</v>
      </c>
      <c r="BD8" s="53" t="s">
        <v>58</v>
      </c>
      <c r="BE8" s="53" t="s">
        <v>57</v>
      </c>
      <c r="BF8" s="53" t="s">
        <v>56</v>
      </c>
      <c r="BG8" s="53" t="s">
        <v>55</v>
      </c>
      <c r="BH8" s="53" t="s">
        <v>54</v>
      </c>
      <c r="BI8" s="53" t="s">
        <v>53</v>
      </c>
      <c r="BJ8" s="53" t="s">
        <v>52</v>
      </c>
      <c r="BK8" s="53" t="s">
        <v>36</v>
      </c>
      <c r="BL8" s="53" t="s">
        <v>38</v>
      </c>
      <c r="BM8" s="53" t="s">
        <v>97</v>
      </c>
      <c r="BN8" s="53" t="s">
        <v>98</v>
      </c>
      <c r="BO8" s="53" t="s">
        <v>99</v>
      </c>
      <c r="BP8" s="53" t="s">
        <v>100</v>
      </c>
      <c r="BQ8" s="53" t="s">
        <v>101</v>
      </c>
      <c r="BR8" s="53" t="s">
        <v>102</v>
      </c>
      <c r="BS8" s="53" t="s">
        <v>103</v>
      </c>
      <c r="BT8" s="53" t="s">
        <v>104</v>
      </c>
      <c r="BU8" s="53" t="s">
        <v>105</v>
      </c>
      <c r="BV8" s="53" t="s">
        <v>106</v>
      </c>
      <c r="BW8" s="53" t="s">
        <v>107</v>
      </c>
      <c r="BX8" s="53" t="s">
        <v>108</v>
      </c>
      <c r="BY8" s="53" t="s">
        <v>109</v>
      </c>
      <c r="BZ8" s="53" t="s">
        <v>110</v>
      </c>
      <c r="CA8" s="53" t="s">
        <v>111</v>
      </c>
      <c r="CB8" s="53" t="s">
        <v>112</v>
      </c>
      <c r="CC8" s="53" t="s">
        <v>113</v>
      </c>
      <c r="CD8" s="53" t="s">
        <v>114</v>
      </c>
      <c r="CE8" s="53" t="s">
        <v>115</v>
      </c>
      <c r="CF8" s="53" t="s">
        <v>116</v>
      </c>
      <c r="CG8" s="53" t="s">
        <v>117</v>
      </c>
      <c r="CH8" s="53" t="s">
        <v>118</v>
      </c>
      <c r="CI8" s="53" t="s">
        <v>119</v>
      </c>
      <c r="CJ8" s="53" t="s">
        <v>120</v>
      </c>
      <c r="CK8" s="53" t="s">
        <v>121</v>
      </c>
      <c r="CL8" s="53" t="s">
        <v>122</v>
      </c>
      <c r="CM8" s="53" t="s">
        <v>39</v>
      </c>
      <c r="CN8" s="53" t="s">
        <v>40</v>
      </c>
      <c r="CO8" s="53" t="s">
        <v>123</v>
      </c>
      <c r="CP8" s="53" t="s">
        <v>124</v>
      </c>
      <c r="CQ8" s="53" t="s">
        <v>125</v>
      </c>
      <c r="CR8" s="53" t="s">
        <v>126</v>
      </c>
      <c r="CS8" s="53" t="s">
        <v>127</v>
      </c>
      <c r="CT8" s="53" t="s">
        <v>128</v>
      </c>
      <c r="CU8" s="53" t="s">
        <v>129</v>
      </c>
      <c r="CV8" s="53" t="s">
        <v>130</v>
      </c>
      <c r="CW8" s="53" t="s">
        <v>131</v>
      </c>
      <c r="CX8" s="53" t="s">
        <v>132</v>
      </c>
      <c r="CY8" s="53" t="s">
        <v>133</v>
      </c>
      <c r="CZ8" s="53" t="s">
        <v>134</v>
      </c>
      <c r="DA8" s="53" t="s">
        <v>135</v>
      </c>
      <c r="DB8" s="53" t="s">
        <v>136</v>
      </c>
      <c r="DC8" s="53" t="s">
        <v>137</v>
      </c>
      <c r="DD8" s="53" t="s">
        <v>138</v>
      </c>
      <c r="DE8" s="53" t="s">
        <v>139</v>
      </c>
      <c r="DF8" s="53" t="s">
        <v>140</v>
      </c>
      <c r="DG8" s="53" t="s">
        <v>141</v>
      </c>
      <c r="DH8" s="53" t="s">
        <v>142</v>
      </c>
      <c r="DI8" s="53" t="s">
        <v>143</v>
      </c>
      <c r="DJ8" s="53" t="s">
        <v>144</v>
      </c>
      <c r="DK8" s="53" t="s">
        <v>145</v>
      </c>
      <c r="DL8" s="53" t="s">
        <v>146</v>
      </c>
      <c r="DM8" s="53" t="s">
        <v>147</v>
      </c>
      <c r="DN8" s="53" t="s">
        <v>148</v>
      </c>
      <c r="DO8" s="53" t="s">
        <v>149</v>
      </c>
      <c r="DP8" s="53" t="s">
        <v>81</v>
      </c>
      <c r="DQ8" s="53" t="s">
        <v>82</v>
      </c>
      <c r="DR8" s="53" t="s">
        <v>43</v>
      </c>
      <c r="DS8" s="53" t="s">
        <v>150</v>
      </c>
      <c r="DT8" s="53" t="s">
        <v>151</v>
      </c>
      <c r="DU8" s="53" t="s">
        <v>152</v>
      </c>
      <c r="DV8" s="53" t="s">
        <v>153</v>
      </c>
      <c r="DW8" s="53" t="s">
        <v>154</v>
      </c>
      <c r="DX8" s="53" t="s">
        <v>155</v>
      </c>
      <c r="DY8" s="53" t="s">
        <v>156</v>
      </c>
      <c r="DZ8" s="53" t="s">
        <v>157</v>
      </c>
      <c r="EA8" s="53" t="s">
        <v>158</v>
      </c>
      <c r="EB8" s="53" t="s">
        <v>159</v>
      </c>
      <c r="EC8" s="53" t="s">
        <v>160</v>
      </c>
      <c r="ED8" s="53" t="s">
        <v>161</v>
      </c>
      <c r="EE8" s="53" t="s">
        <v>162</v>
      </c>
      <c r="EF8" s="53" t="s">
        <v>163</v>
      </c>
      <c r="EG8" s="53" t="s">
        <v>164</v>
      </c>
      <c r="EH8" s="53" t="s">
        <v>165</v>
      </c>
      <c r="EI8" s="53" t="s">
        <v>166</v>
      </c>
      <c r="EJ8" s="53" t="s">
        <v>167</v>
      </c>
      <c r="EK8" s="53" t="s">
        <v>168</v>
      </c>
      <c r="EL8" s="53" t="s">
        <v>169</v>
      </c>
      <c r="EM8" s="53" t="s">
        <v>170</v>
      </c>
      <c r="EN8" s="53" t="s">
        <v>171</v>
      </c>
      <c r="EO8" s="53" t="s">
        <v>172</v>
      </c>
      <c r="EP8" s="53" t="s">
        <v>173</v>
      </c>
      <c r="EQ8" s="53" t="s">
        <v>174</v>
      </c>
      <c r="ER8" s="53" t="s">
        <v>175</v>
      </c>
      <c r="ES8" s="53" t="s">
        <v>176</v>
      </c>
      <c r="ET8" s="53" t="s">
        <v>177</v>
      </c>
      <c r="EU8" s="53" t="s">
        <v>83</v>
      </c>
      <c r="EV8" s="53" t="s">
        <v>44</v>
      </c>
      <c r="EW8" s="53" t="s">
        <v>178</v>
      </c>
      <c r="EX8" s="53" t="s">
        <v>179</v>
      </c>
      <c r="EY8" s="53" t="s">
        <v>180</v>
      </c>
      <c r="EZ8" s="53" t="s">
        <v>181</v>
      </c>
      <c r="FA8" s="53" t="s">
        <v>182</v>
      </c>
      <c r="FB8" s="53" t="s">
        <v>183</v>
      </c>
      <c r="FC8" s="53" t="s">
        <v>184</v>
      </c>
      <c r="FD8" s="53" t="s">
        <v>185</v>
      </c>
      <c r="FE8" s="53" t="s">
        <v>186</v>
      </c>
      <c r="FF8" s="53" t="s">
        <v>187</v>
      </c>
      <c r="FG8" s="53" t="s">
        <v>188</v>
      </c>
      <c r="FH8" s="53" t="s">
        <v>189</v>
      </c>
      <c r="FI8" s="53" t="s">
        <v>190</v>
      </c>
      <c r="FJ8" s="53" t="s">
        <v>191</v>
      </c>
      <c r="FK8" s="53" t="s">
        <v>192</v>
      </c>
      <c r="FL8" s="53" t="s">
        <v>193</v>
      </c>
      <c r="FM8" s="53" t="s">
        <v>194</v>
      </c>
      <c r="FN8" s="53" t="s">
        <v>195</v>
      </c>
      <c r="FO8" s="53" t="s">
        <v>196</v>
      </c>
      <c r="FP8" s="53" t="s">
        <v>197</v>
      </c>
      <c r="FQ8" s="53" t="s">
        <v>198</v>
      </c>
      <c r="FR8" s="53" t="s">
        <v>199</v>
      </c>
      <c r="FS8" s="53" t="s">
        <v>200</v>
      </c>
      <c r="FT8" s="53" t="s">
        <v>201</v>
      </c>
      <c r="FU8" s="53" t="s">
        <v>202</v>
      </c>
      <c r="FV8" s="53" t="s">
        <v>203</v>
      </c>
      <c r="FW8" s="53" t="s">
        <v>204</v>
      </c>
      <c r="FX8" s="53" t="s">
        <v>205</v>
      </c>
      <c r="FY8" s="53" t="s">
        <v>84</v>
      </c>
      <c r="FZ8" s="53" t="s">
        <v>85</v>
      </c>
      <c r="GA8" s="53" t="s">
        <v>45</v>
      </c>
      <c r="GB8" s="53" t="s">
        <v>206</v>
      </c>
      <c r="GC8" s="53" t="s">
        <v>207</v>
      </c>
      <c r="GD8" s="53" t="s">
        <v>208</v>
      </c>
      <c r="GE8" s="53" t="s">
        <v>209</v>
      </c>
      <c r="GF8" s="53" t="s">
        <v>210</v>
      </c>
      <c r="GG8" s="53" t="s">
        <v>211</v>
      </c>
      <c r="GH8" s="53" t="s">
        <v>212</v>
      </c>
      <c r="GI8" s="53" t="s">
        <v>253</v>
      </c>
      <c r="GJ8" s="53" t="s">
        <v>254</v>
      </c>
      <c r="GK8" s="53" t="s">
        <v>255</v>
      </c>
      <c r="GL8" s="53" t="s">
        <v>256</v>
      </c>
      <c r="GM8" s="53" t="s">
        <v>257</v>
      </c>
      <c r="GN8" s="53" t="s">
        <v>258</v>
      </c>
      <c r="GO8" s="53" t="s">
        <v>259</v>
      </c>
      <c r="GP8" s="53" t="s">
        <v>260</v>
      </c>
      <c r="GQ8" s="53" t="s">
        <v>261</v>
      </c>
      <c r="GR8" s="53" t="s">
        <v>262</v>
      </c>
      <c r="GS8" s="53" t="s">
        <v>263</v>
      </c>
      <c r="GT8" s="53" t="s">
        <v>264</v>
      </c>
      <c r="GU8" s="53" t="s">
        <v>265</v>
      </c>
      <c r="GV8" s="53" t="s">
        <v>266</v>
      </c>
      <c r="GW8" s="53" t="s">
        <v>267</v>
      </c>
      <c r="GX8" s="53" t="s">
        <v>268</v>
      </c>
      <c r="GY8" s="53" t="s">
        <v>269</v>
      </c>
      <c r="GZ8" s="53" t="s">
        <v>270</v>
      </c>
      <c r="HA8" s="53" t="s">
        <v>271</v>
      </c>
      <c r="HB8" s="53" t="s">
        <v>272</v>
      </c>
      <c r="HC8" s="53" t="s">
        <v>273</v>
      </c>
      <c r="HD8" s="53" t="s">
        <v>86</v>
      </c>
      <c r="HE8" s="53" t="s">
        <v>46</v>
      </c>
      <c r="HF8" s="53" t="s">
        <v>274</v>
      </c>
      <c r="HG8" s="53" t="s">
        <v>217</v>
      </c>
      <c r="HH8" s="53" t="s">
        <v>218</v>
      </c>
      <c r="HI8" s="53" t="s">
        <v>219</v>
      </c>
      <c r="HJ8" s="53" t="s">
        <v>220</v>
      </c>
      <c r="HK8" s="53" t="s">
        <v>221</v>
      </c>
      <c r="HL8" s="53" t="s">
        <v>222</v>
      </c>
      <c r="HM8" s="53" t="s">
        <v>275</v>
      </c>
      <c r="HN8" s="53" t="s">
        <v>276</v>
      </c>
      <c r="HO8" s="53" t="s">
        <v>277</v>
      </c>
      <c r="HP8" s="53" t="s">
        <v>278</v>
      </c>
      <c r="HQ8" s="53" t="s">
        <v>279</v>
      </c>
      <c r="HR8" s="53" t="s">
        <v>280</v>
      </c>
      <c r="HS8" s="53" t="s">
        <v>281</v>
      </c>
      <c r="HT8" s="53" t="s">
        <v>282</v>
      </c>
      <c r="HU8" s="53" t="s">
        <v>283</v>
      </c>
      <c r="HV8" s="53" t="s">
        <v>284</v>
      </c>
      <c r="HW8" s="53" t="s">
        <v>285</v>
      </c>
      <c r="HX8" s="53" t="s">
        <v>286</v>
      </c>
      <c r="HY8" s="53" t="s">
        <v>287</v>
      </c>
      <c r="HZ8" s="53" t="s">
        <v>288</v>
      </c>
      <c r="IA8" s="53" t="s">
        <v>289</v>
      </c>
      <c r="IB8" s="53" t="s">
        <v>290</v>
      </c>
      <c r="IC8" s="53" t="s">
        <v>291</v>
      </c>
      <c r="ID8" s="53" t="s">
        <v>292</v>
      </c>
      <c r="IE8" s="53" t="s">
        <v>293</v>
      </c>
      <c r="IF8" s="53" t="s">
        <v>294</v>
      </c>
      <c r="IG8" s="53" t="s">
        <v>295</v>
      </c>
      <c r="IH8" s="53" t="s">
        <v>87</v>
      </c>
      <c r="II8" s="53" t="s">
        <v>88</v>
      </c>
      <c r="IJ8" s="53" t="s">
        <v>47</v>
      </c>
      <c r="IK8" s="53" t="s">
        <v>296</v>
      </c>
      <c r="IL8" s="53" t="s">
        <v>223</v>
      </c>
      <c r="IM8" s="53" t="s">
        <v>224</v>
      </c>
      <c r="IN8" s="53" t="s">
        <v>225</v>
      </c>
      <c r="IO8" s="53" t="s">
        <v>226</v>
      </c>
      <c r="IP8" s="53" t="s">
        <v>227</v>
      </c>
      <c r="IQ8" s="53" t="s">
        <v>228</v>
      </c>
      <c r="IR8" s="53" t="s">
        <v>297</v>
      </c>
      <c r="IS8" s="53" t="s">
        <v>298</v>
      </c>
      <c r="IT8" s="53" t="s">
        <v>299</v>
      </c>
      <c r="IU8" s="53" t="s">
        <v>300</v>
      </c>
      <c r="IV8" s="53" t="s">
        <v>301</v>
      </c>
      <c r="IW8" s="53" t="s">
        <v>302</v>
      </c>
      <c r="IX8" s="53" t="s">
        <v>303</v>
      </c>
      <c r="IY8" s="53" t="s">
        <v>304</v>
      </c>
      <c r="IZ8" s="53" t="s">
        <v>305</v>
      </c>
      <c r="JA8" s="53" t="s">
        <v>306</v>
      </c>
      <c r="JB8" s="53" t="s">
        <v>307</v>
      </c>
      <c r="JC8" s="53" t="s">
        <v>308</v>
      </c>
      <c r="JD8" s="53" t="s">
        <v>309</v>
      </c>
      <c r="JE8" s="53" t="s">
        <v>310</v>
      </c>
      <c r="JF8" s="53" t="s">
        <v>311</v>
      </c>
      <c r="JG8" s="53" t="s">
        <v>312</v>
      </c>
      <c r="JH8" s="53" t="s">
        <v>313</v>
      </c>
      <c r="JI8" s="53" t="s">
        <v>314</v>
      </c>
      <c r="JJ8" s="53" t="s">
        <v>315</v>
      </c>
      <c r="JK8" s="53" t="s">
        <v>316</v>
      </c>
      <c r="JL8" s="53" t="s">
        <v>317</v>
      </c>
      <c r="JM8" s="53" t="s">
        <v>89</v>
      </c>
      <c r="JN8" s="53" t="s">
        <v>90</v>
      </c>
      <c r="JO8" s="53" t="s">
        <v>48</v>
      </c>
      <c r="JP8" s="53" t="s">
        <v>318</v>
      </c>
      <c r="JQ8" s="53" t="s">
        <v>229</v>
      </c>
      <c r="JR8" s="53" t="s">
        <v>230</v>
      </c>
      <c r="JS8" s="53" t="s">
        <v>231</v>
      </c>
      <c r="JT8" s="53" t="s">
        <v>232</v>
      </c>
      <c r="JU8" s="53" t="s">
        <v>233</v>
      </c>
      <c r="JV8" s="53" t="s">
        <v>234</v>
      </c>
      <c r="JW8" s="53" t="s">
        <v>319</v>
      </c>
      <c r="JX8" s="53" t="s">
        <v>320</v>
      </c>
      <c r="JY8" s="53" t="s">
        <v>321</v>
      </c>
      <c r="JZ8" s="53" t="s">
        <v>322</v>
      </c>
      <c r="KA8" s="53" t="s">
        <v>323</v>
      </c>
      <c r="KB8" s="53" t="s">
        <v>324</v>
      </c>
      <c r="KC8" s="53" t="s">
        <v>325</v>
      </c>
      <c r="KD8" s="53" t="s">
        <v>326</v>
      </c>
      <c r="KE8" s="53" t="s">
        <v>327</v>
      </c>
      <c r="KF8" s="53" t="s">
        <v>328</v>
      </c>
      <c r="KG8" s="53" t="s">
        <v>329</v>
      </c>
      <c r="KH8" s="53" t="s">
        <v>330</v>
      </c>
      <c r="KI8" s="53" t="s">
        <v>331</v>
      </c>
      <c r="KJ8" s="53" t="s">
        <v>332</v>
      </c>
      <c r="KK8" s="53" t="s">
        <v>333</v>
      </c>
      <c r="KL8" s="53" t="s">
        <v>334</v>
      </c>
      <c r="KM8" s="53" t="s">
        <v>335</v>
      </c>
      <c r="KN8" s="53" t="s">
        <v>336</v>
      </c>
      <c r="KO8" s="53" t="s">
        <v>337</v>
      </c>
      <c r="KP8" s="53" t="s">
        <v>338</v>
      </c>
      <c r="KQ8" s="53" t="s">
        <v>339</v>
      </c>
      <c r="KR8" s="53" t="s">
        <v>91</v>
      </c>
      <c r="KS8" s="53" t="s">
        <v>49</v>
      </c>
      <c r="KT8" s="53" t="s">
        <v>340</v>
      </c>
      <c r="KU8" s="53" t="s">
        <v>235</v>
      </c>
      <c r="KV8" s="53" t="s">
        <v>236</v>
      </c>
      <c r="KW8" s="53" t="s">
        <v>237</v>
      </c>
      <c r="KX8" s="53" t="s">
        <v>238</v>
      </c>
      <c r="KY8" s="53" t="s">
        <v>239</v>
      </c>
      <c r="KZ8" s="53" t="s">
        <v>240</v>
      </c>
      <c r="LA8" s="53" t="s">
        <v>341</v>
      </c>
      <c r="LB8" s="53" t="s">
        <v>342</v>
      </c>
      <c r="LC8" s="53" t="s">
        <v>343</v>
      </c>
      <c r="LD8" s="53" t="s">
        <v>344</v>
      </c>
      <c r="LE8" s="53" t="s">
        <v>345</v>
      </c>
      <c r="LF8" s="53" t="s">
        <v>346</v>
      </c>
      <c r="LG8" s="53" t="s">
        <v>347</v>
      </c>
      <c r="LH8" s="53" t="s">
        <v>348</v>
      </c>
      <c r="LI8" s="53" t="s">
        <v>349</v>
      </c>
      <c r="LJ8" s="53" t="s">
        <v>350</v>
      </c>
      <c r="LK8" s="53" t="s">
        <v>351</v>
      </c>
      <c r="LL8" s="53" t="s">
        <v>352</v>
      </c>
      <c r="LM8" s="53" t="s">
        <v>353</v>
      </c>
      <c r="LN8" s="53" t="s">
        <v>354</v>
      </c>
      <c r="LO8" s="53" t="s">
        <v>355</v>
      </c>
      <c r="LP8" s="53" t="s">
        <v>356</v>
      </c>
      <c r="LQ8" s="53" t="s">
        <v>357</v>
      </c>
      <c r="LR8" s="53" t="s">
        <v>358</v>
      </c>
      <c r="LS8" s="53" t="s">
        <v>359</v>
      </c>
      <c r="LT8" s="53" t="s">
        <v>360</v>
      </c>
      <c r="LU8" s="53" t="s">
        <v>361</v>
      </c>
      <c r="LV8" s="53" t="s">
        <v>92</v>
      </c>
      <c r="LW8" s="53" t="s">
        <v>93</v>
      </c>
      <c r="LX8" s="53" t="s">
        <v>50</v>
      </c>
      <c r="LY8" s="53" t="s">
        <v>362</v>
      </c>
      <c r="LZ8" s="53" t="s">
        <v>241</v>
      </c>
      <c r="MA8" s="53" t="s">
        <v>242</v>
      </c>
      <c r="MB8" s="53" t="s">
        <v>243</v>
      </c>
      <c r="MC8" s="53" t="s">
        <v>244</v>
      </c>
      <c r="MD8" s="53" t="s">
        <v>245</v>
      </c>
      <c r="ME8" s="53" t="s">
        <v>246</v>
      </c>
      <c r="MF8" s="53" t="s">
        <v>363</v>
      </c>
      <c r="MG8" s="53" t="s">
        <v>364</v>
      </c>
      <c r="MH8" s="53" t="s">
        <v>365</v>
      </c>
      <c r="MI8" s="53" t="s">
        <v>366</v>
      </c>
      <c r="MJ8" s="53" t="s">
        <v>367</v>
      </c>
      <c r="MK8" s="53" t="s">
        <v>368</v>
      </c>
      <c r="ML8" s="53" t="s">
        <v>369</v>
      </c>
      <c r="MM8" s="53" t="s">
        <v>370</v>
      </c>
      <c r="MN8" s="53" t="s">
        <v>371</v>
      </c>
      <c r="MO8" s="53" t="s">
        <v>372</v>
      </c>
      <c r="MP8" s="53" t="s">
        <v>373</v>
      </c>
      <c r="MQ8" s="53" t="s">
        <v>374</v>
      </c>
      <c r="MR8" s="53" t="s">
        <v>375</v>
      </c>
      <c r="MS8" s="53" t="s">
        <v>376</v>
      </c>
      <c r="MT8" s="53" t="s">
        <v>377</v>
      </c>
      <c r="MU8" s="53" t="s">
        <v>378</v>
      </c>
      <c r="MV8" s="53" t="s">
        <v>379</v>
      </c>
      <c r="MW8" s="53" t="s">
        <v>380</v>
      </c>
      <c r="MX8" s="53" t="s">
        <v>381</v>
      </c>
      <c r="MY8" s="53" t="s">
        <v>382</v>
      </c>
      <c r="MZ8" s="53" t="s">
        <v>383</v>
      </c>
      <c r="NA8" s="53" t="s">
        <v>94</v>
      </c>
      <c r="NB8" s="53" t="s">
        <v>51</v>
      </c>
      <c r="NC8" s="53" t="s">
        <v>384</v>
      </c>
      <c r="ND8" s="53" t="s">
        <v>247</v>
      </c>
      <c r="NE8" s="53" t="s">
        <v>248</v>
      </c>
      <c r="NF8" s="53" t="s">
        <v>249</v>
      </c>
      <c r="NG8" s="53" t="s">
        <v>250</v>
      </c>
      <c r="NH8" s="53" t="s">
        <v>251</v>
      </c>
      <c r="NI8" s="53" t="s">
        <v>252</v>
      </c>
      <c r="NJ8" s="53" t="s">
        <v>385</v>
      </c>
      <c r="NK8" s="53" t="s">
        <v>386</v>
      </c>
      <c r="NL8" s="53" t="s">
        <v>387</v>
      </c>
      <c r="NM8" s="53" t="s">
        <v>388</v>
      </c>
      <c r="NN8" s="53" t="s">
        <v>389</v>
      </c>
      <c r="NO8" s="53" t="s">
        <v>390</v>
      </c>
      <c r="NP8" s="53" t="s">
        <v>391</v>
      </c>
      <c r="NQ8" s="53" t="s">
        <v>392</v>
      </c>
      <c r="NR8" s="53" t="s">
        <v>393</v>
      </c>
      <c r="NS8" s="53" t="s">
        <v>394</v>
      </c>
      <c r="NT8" s="53" t="s">
        <v>395</v>
      </c>
      <c r="NU8" s="53" t="s">
        <v>396</v>
      </c>
      <c r="NV8" s="53" t="s">
        <v>397</v>
      </c>
      <c r="NW8" s="53" t="s">
        <v>398</v>
      </c>
      <c r="NX8" s="53" t="s">
        <v>399</v>
      </c>
      <c r="NY8" s="53" t="s">
        <v>400</v>
      </c>
      <c r="NZ8" s="53" t="s">
        <v>401</v>
      </c>
      <c r="OA8" s="53" t="s">
        <v>402</v>
      </c>
      <c r="OB8" s="53" t="s">
        <v>403</v>
      </c>
      <c r="OC8" s="53" t="s">
        <v>404</v>
      </c>
      <c r="OD8" s="53" t="s">
        <v>405</v>
      </c>
      <c r="OE8" s="53" t="s">
        <v>95</v>
      </c>
      <c r="OF8" s="53" t="s">
        <v>96</v>
      </c>
    </row>
    <row r="9" spans="1:399" s="9" customFormat="1">
      <c r="A9" s="22" t="s">
        <v>424</v>
      </c>
      <c r="B9" s="19"/>
      <c r="C9" s="21">
        <v>40000064</v>
      </c>
      <c r="D9" s="42" t="s">
        <v>423</v>
      </c>
      <c r="E9" s="41" t="s">
        <v>520</v>
      </c>
      <c r="F9" s="24"/>
      <c r="G9" s="23" t="s">
        <v>15</v>
      </c>
      <c r="H9" s="21" t="s">
        <v>15</v>
      </c>
      <c r="I9" s="21" t="s">
        <v>15</v>
      </c>
      <c r="J9" s="37">
        <v>43551</v>
      </c>
      <c r="K9" s="67">
        <v>42819</v>
      </c>
      <c r="L9" s="87">
        <v>42820</v>
      </c>
      <c r="M9" s="87">
        <v>42820</v>
      </c>
      <c r="N9" s="21" t="s">
        <v>15</v>
      </c>
      <c r="O9" s="90">
        <v>42820</v>
      </c>
      <c r="P9" s="23"/>
      <c r="Q9" s="36"/>
      <c r="R9" s="20"/>
      <c r="S9" s="65">
        <v>43549</v>
      </c>
      <c r="T9" s="65">
        <v>42817</v>
      </c>
      <c r="U9" s="65">
        <v>42823</v>
      </c>
      <c r="V9" s="65"/>
      <c r="W9" s="165" t="s">
        <v>519</v>
      </c>
      <c r="X9" s="20">
        <f ca="1">IF(Tableau2[[#This Row],[BADGE ROUGE]]&lt;TODAY(),2,IF(Tableau2[[#This Row],[BADGE ROUGE]]&lt;TODAY()+Administrateur!D17,1,0))</f>
        <v>0</v>
      </c>
      <c r="Y9" s="20">
        <f ca="1">IF(Tableau2[[#This Row],[PERMIS T]]&lt;TODAY(),2,IF(Tableau2[[#This Row],[PERMIS T]]&lt;TODAY()+Administrateur!D19,1,0))</f>
        <v>2</v>
      </c>
      <c r="Z9" s="20">
        <f ca="1">IF(Tableau2[[#This Row],[EXPIRE]]&lt;TODAY(),2,IF(Tableau2[[#This Row],[EXPIRE]]&lt;TODAY()+Administrateur!D21,1,0))</f>
        <v>0</v>
      </c>
      <c r="AA9" s="20">
        <f ca="1">IF(Tableau2[[#This Row],[EWIS]]&lt;TODAY(),2,IF(Tableau2[[#This Row],[EWIS]]&lt;TODAY()+Administrateur!D22,1,0))</f>
        <v>2</v>
      </c>
      <c r="AB9" s="20">
        <f ca="1">IF(Tableau2[[#This Row],[HUMAN FACTOR]]&lt;TODAY(),2,IF(Tableau2[[#This Row],[HUMAN FACTOR]]&lt;TODAY()+Administrateur!D22,1,0))</f>
        <v>1</v>
      </c>
      <c r="AC9" s="20">
        <f ca="1">IF(Tableau2[[#This Row],[ FUEL TANK FACTOR]]&lt;TODAY(),2,IF(Tableau2[[#This Row],[ FUEL TANK FACTOR]]&lt;TODAY()+Administrateur!D24,1,0))</f>
        <v>1</v>
      </c>
      <c r="AD9" s="20">
        <f ca="1">IF(Tableau2[[#This Row],[PEMP]]&lt;TODAY(),2,IF(Tableau2[[#This Row],[PEMP]]&lt;TODAY()+Administrateur!D25,1,0))</f>
        <v>1</v>
      </c>
      <c r="AE9" s="20">
        <f ca="1">IF(Tableau2[[#This Row],[MEDECINE DU TRAVAIL]]&lt;TODAY(),2,IF(Tableau2[[#This Row],[MEDECINE DU TRAVAIL]]&lt;TODAY()+Administrateur!D18,1,0))</f>
        <v>1</v>
      </c>
      <c r="AF9" s="51" t="s">
        <v>42</v>
      </c>
      <c r="AG9" s="25" t="s">
        <v>494</v>
      </c>
      <c r="AH9" s="44"/>
      <c r="AI9" s="44"/>
      <c r="AJ9" s="44"/>
      <c r="AK9" s="44"/>
      <c r="AL9" s="25"/>
      <c r="AM9" s="48"/>
      <c r="AN9" s="46"/>
      <c r="AO9" s="44"/>
      <c r="AP9" s="44"/>
      <c r="AQ9" s="44"/>
      <c r="AR9" s="44"/>
      <c r="AS9" s="44"/>
      <c r="AT9" s="49"/>
      <c r="AU9" s="46"/>
      <c r="AV9" s="44"/>
      <c r="AW9" s="44"/>
      <c r="AX9" s="44"/>
      <c r="AY9" s="44"/>
      <c r="AZ9" s="44"/>
      <c r="BA9" s="49"/>
      <c r="BB9" s="46"/>
      <c r="BC9" s="44"/>
      <c r="BD9" s="44"/>
      <c r="BE9" s="44"/>
      <c r="BF9" s="44"/>
      <c r="BG9" s="44"/>
      <c r="BH9" s="49"/>
      <c r="BI9" s="46"/>
      <c r="BJ9" s="44"/>
      <c r="BK9" s="44"/>
      <c r="BL9" s="44"/>
      <c r="BM9" s="44"/>
      <c r="BN9" s="44"/>
      <c r="BO9" s="49"/>
      <c r="BP9" s="46"/>
      <c r="BQ9" s="44"/>
      <c r="BR9" s="44"/>
      <c r="BS9" s="44"/>
      <c r="BT9" s="44"/>
      <c r="BU9" s="44"/>
      <c r="BV9" s="49"/>
      <c r="BW9" s="46"/>
      <c r="BX9" s="44"/>
      <c r="BY9" s="44"/>
      <c r="BZ9" s="44"/>
      <c r="CA9" s="44"/>
      <c r="CB9" s="44"/>
      <c r="CC9" s="49"/>
      <c r="CD9" s="46"/>
      <c r="CE9" s="44"/>
      <c r="CF9" s="44"/>
      <c r="CG9" s="44"/>
      <c r="CH9" s="44"/>
      <c r="CI9" s="44"/>
      <c r="CJ9" s="49"/>
      <c r="CK9" s="46"/>
      <c r="CL9" s="44"/>
      <c r="CM9" s="44"/>
      <c r="CN9" s="44"/>
      <c r="CO9" s="44"/>
      <c r="CP9" s="44"/>
      <c r="CQ9" s="49"/>
      <c r="CR9" s="46"/>
      <c r="CS9" s="44"/>
      <c r="CT9" s="44"/>
      <c r="CU9" s="44"/>
      <c r="CV9" s="44"/>
      <c r="CW9" s="44"/>
      <c r="CX9" s="49"/>
      <c r="CY9" s="46"/>
      <c r="CZ9" s="44"/>
      <c r="DA9" s="44"/>
      <c r="DB9" s="44"/>
      <c r="DC9" s="44"/>
      <c r="DD9" s="44"/>
      <c r="DE9" s="49"/>
      <c r="DF9" s="46"/>
      <c r="DG9" s="44"/>
      <c r="DH9" s="44"/>
      <c r="DI9" s="44"/>
      <c r="DJ9" s="44"/>
      <c r="DK9" s="44"/>
      <c r="DL9" s="49"/>
      <c r="DM9" s="46"/>
      <c r="DN9" s="44"/>
      <c r="DO9" s="44"/>
      <c r="DP9" s="44"/>
      <c r="DQ9" s="44"/>
      <c r="DR9" s="44"/>
      <c r="DS9" s="49"/>
      <c r="DT9" s="46"/>
      <c r="DU9" s="44"/>
      <c r="DV9" s="44"/>
      <c r="DW9" s="44"/>
      <c r="DX9" s="44"/>
      <c r="DY9" s="44"/>
      <c r="DZ9" s="49"/>
      <c r="EA9" s="46"/>
      <c r="EB9" s="44"/>
      <c r="EC9" s="44"/>
      <c r="ED9" s="44"/>
      <c r="EE9" s="44"/>
      <c r="EF9" s="44"/>
      <c r="EG9" s="49"/>
      <c r="EH9" s="46"/>
      <c r="EI9" s="45"/>
      <c r="EJ9" s="45"/>
      <c r="EK9" s="45"/>
      <c r="EL9" s="45"/>
      <c r="EM9" s="45"/>
      <c r="EN9" s="45"/>
      <c r="EO9" s="45"/>
      <c r="EP9" s="45"/>
      <c r="EQ9" s="45"/>
      <c r="ER9" s="45"/>
      <c r="ES9" s="45"/>
      <c r="ET9" s="45"/>
      <c r="EU9" s="45"/>
      <c r="EV9" s="45"/>
      <c r="EW9" s="45"/>
      <c r="EX9" s="45"/>
      <c r="EY9" s="45"/>
      <c r="EZ9" s="45"/>
      <c r="FA9" s="45"/>
      <c r="FB9" s="45"/>
      <c r="FC9" s="45"/>
      <c r="FD9" s="45"/>
      <c r="FE9" s="45"/>
      <c r="FF9" s="45"/>
      <c r="FG9" s="45"/>
      <c r="FH9" s="45"/>
      <c r="FI9" s="45"/>
      <c r="FJ9" s="45"/>
      <c r="FK9" s="45"/>
      <c r="FL9" s="45"/>
      <c r="FM9" s="45"/>
      <c r="FN9" s="45"/>
      <c r="FO9" s="45"/>
      <c r="FP9" s="45"/>
      <c r="FQ9" s="45"/>
      <c r="FR9" s="45"/>
      <c r="FS9" s="45"/>
      <c r="FT9" s="45"/>
      <c r="FU9" s="45"/>
      <c r="FV9" s="45"/>
      <c r="FW9" s="45"/>
      <c r="FX9" s="45"/>
      <c r="FY9" s="45"/>
      <c r="FZ9" s="45"/>
      <c r="GA9" s="45"/>
      <c r="GB9" s="45"/>
      <c r="GC9" s="45"/>
      <c r="GD9" s="45"/>
      <c r="GE9" s="45"/>
      <c r="GF9" s="45"/>
      <c r="GG9" s="45"/>
      <c r="GH9" s="45"/>
      <c r="GI9" s="45"/>
      <c r="GJ9" s="45"/>
      <c r="GK9" s="45"/>
      <c r="GL9" s="45"/>
      <c r="GM9" s="45"/>
      <c r="GN9" s="45"/>
      <c r="GO9" s="45"/>
      <c r="GP9" s="45"/>
      <c r="GQ9" s="45"/>
      <c r="GR9" s="45"/>
      <c r="GS9" s="45"/>
      <c r="GT9" s="45"/>
      <c r="GU9" s="45"/>
      <c r="GV9" s="45"/>
      <c r="GW9" s="45"/>
      <c r="GX9" s="45"/>
      <c r="GY9" s="45"/>
      <c r="GZ9" s="45"/>
      <c r="HA9" s="45"/>
      <c r="HB9" s="45"/>
      <c r="HC9" s="45"/>
      <c r="HD9" s="45"/>
      <c r="HE9" s="45"/>
      <c r="HF9" s="45"/>
      <c r="HG9" s="45"/>
      <c r="HH9" s="45"/>
      <c r="HI9" s="45"/>
      <c r="HJ9" s="45"/>
      <c r="HK9" s="45"/>
      <c r="HL9" s="45"/>
      <c r="HM9" s="45"/>
      <c r="HN9" s="45"/>
      <c r="HO9" s="45"/>
      <c r="HP9" s="45"/>
      <c r="HQ9" s="45"/>
      <c r="HR9" s="45"/>
      <c r="HS9" s="45"/>
      <c r="HT9" s="45"/>
      <c r="HU9" s="45"/>
      <c r="HV9" s="45"/>
      <c r="HW9" s="45"/>
      <c r="HX9" s="45"/>
      <c r="HY9" s="45"/>
      <c r="HZ9" s="45"/>
      <c r="IA9" s="45"/>
      <c r="IB9" s="45"/>
      <c r="IC9" s="45"/>
      <c r="ID9" s="45"/>
      <c r="IE9" s="45"/>
      <c r="IF9" s="45"/>
      <c r="IG9" s="45"/>
      <c r="IH9" s="45"/>
      <c r="II9" s="45"/>
      <c r="IJ9" s="45"/>
      <c r="IK9" s="45"/>
      <c r="IL9" s="45"/>
      <c r="IM9" s="45"/>
      <c r="IN9" s="45"/>
      <c r="IO9" s="45"/>
      <c r="IP9" s="45"/>
      <c r="IQ9" s="45"/>
      <c r="IR9" s="45"/>
      <c r="IS9" s="45"/>
      <c r="IT9" s="45"/>
      <c r="IU9" s="45"/>
      <c r="IV9" s="45"/>
      <c r="IW9" s="45"/>
      <c r="IX9" s="45"/>
      <c r="IY9" s="45"/>
      <c r="IZ9" s="45"/>
      <c r="JA9" s="45"/>
      <c r="JB9" s="45"/>
      <c r="JC9" s="45"/>
      <c r="JD9" s="45"/>
      <c r="JE9" s="45"/>
      <c r="JF9" s="45"/>
      <c r="JG9" s="45"/>
      <c r="JH9" s="45"/>
      <c r="JI9" s="45"/>
      <c r="JJ9" s="45"/>
      <c r="JK9" s="45"/>
      <c r="JL9" s="45"/>
      <c r="JM9" s="45"/>
      <c r="JN9" s="45"/>
      <c r="JO9" s="45"/>
      <c r="JP9" s="45"/>
      <c r="JQ9" s="45"/>
      <c r="JR9" s="45"/>
      <c r="JS9" s="45"/>
      <c r="JT9" s="45"/>
      <c r="JU9" s="45"/>
      <c r="JV9" s="45"/>
      <c r="JW9" s="45"/>
      <c r="JX9" s="45"/>
      <c r="JY9" s="45"/>
      <c r="JZ9" s="45"/>
      <c r="KA9" s="45"/>
      <c r="KB9" s="45"/>
      <c r="KC9" s="45"/>
      <c r="KD9" s="45"/>
      <c r="KE9" s="45"/>
      <c r="KF9" s="45"/>
      <c r="KG9" s="45"/>
      <c r="KH9" s="45"/>
      <c r="KI9" s="45"/>
      <c r="KJ9" s="45"/>
      <c r="KK9" s="45"/>
      <c r="KL9" s="45"/>
      <c r="KM9" s="45"/>
      <c r="KN9" s="45"/>
      <c r="KO9" s="45"/>
      <c r="KP9" s="45"/>
      <c r="KQ9" s="45"/>
      <c r="KR9" s="45"/>
      <c r="KS9" s="45"/>
      <c r="KT9" s="45"/>
      <c r="KU9" s="45"/>
      <c r="KV9" s="45"/>
      <c r="KW9" s="45"/>
      <c r="KX9" s="45"/>
      <c r="KY9" s="45"/>
      <c r="KZ9" s="45"/>
      <c r="LA9" s="45"/>
      <c r="LB9" s="45"/>
      <c r="LC9" s="45"/>
      <c r="LD9" s="45"/>
      <c r="LE9" s="45"/>
      <c r="LF9" s="45"/>
      <c r="LG9" s="45"/>
      <c r="LH9" s="45"/>
      <c r="LI9" s="45"/>
      <c r="LJ9" s="45"/>
      <c r="LK9" s="45"/>
      <c r="LL9" s="45"/>
      <c r="LM9" s="45"/>
      <c r="LN9" s="45"/>
      <c r="LO9" s="45"/>
      <c r="LP9" s="45"/>
      <c r="LQ9" s="45"/>
      <c r="LR9" s="45"/>
      <c r="LS9" s="45"/>
      <c r="LT9" s="45"/>
      <c r="LU9" s="45"/>
      <c r="LV9" s="45"/>
      <c r="LW9" s="45"/>
      <c r="LX9" s="45"/>
      <c r="LY9" s="45"/>
      <c r="LZ9" s="45"/>
      <c r="MA9" s="45"/>
      <c r="MB9" s="45"/>
      <c r="MC9" s="45"/>
      <c r="MD9" s="45"/>
      <c r="ME9" s="45"/>
      <c r="MF9" s="45"/>
      <c r="MG9" s="45"/>
      <c r="MH9" s="45"/>
      <c r="MI9" s="45"/>
      <c r="MJ9" s="45"/>
      <c r="MK9" s="45"/>
      <c r="ML9" s="45"/>
      <c r="MM9" s="45"/>
      <c r="MN9" s="45"/>
      <c r="MO9" s="45"/>
      <c r="MP9" s="45"/>
      <c r="MQ9" s="45"/>
      <c r="MR9" s="45"/>
      <c r="MS9" s="45"/>
      <c r="MT9" s="45"/>
      <c r="MU9" s="45"/>
      <c r="MV9" s="45"/>
      <c r="MW9" s="45"/>
      <c r="MX9" s="45"/>
      <c r="MY9" s="45"/>
      <c r="MZ9" s="45"/>
      <c r="NA9" s="45"/>
      <c r="NB9" s="45"/>
      <c r="NC9" s="45"/>
      <c r="ND9" s="45"/>
      <c r="NE9" s="45"/>
      <c r="NF9" s="45"/>
      <c r="NG9" s="45"/>
      <c r="NH9" s="45"/>
      <c r="NI9" s="45"/>
      <c r="NJ9" s="45"/>
      <c r="NK9" s="45"/>
      <c r="NL9" s="45"/>
      <c r="NM9" s="45"/>
      <c r="NN9" s="45"/>
      <c r="NO9" s="45"/>
      <c r="NP9" s="45"/>
      <c r="NQ9" s="45"/>
      <c r="NR9" s="45"/>
      <c r="NS9" s="45"/>
      <c r="NT9" s="45"/>
      <c r="NU9" s="45"/>
      <c r="NV9" s="45"/>
      <c r="NW9" s="45"/>
      <c r="NX9" s="45"/>
      <c r="NY9" s="45"/>
      <c r="NZ9" s="45"/>
      <c r="OA9" s="45"/>
      <c r="OB9" s="45"/>
      <c r="OC9" s="45"/>
      <c r="OD9" s="45"/>
      <c r="OE9" s="45"/>
      <c r="OF9" s="45"/>
    </row>
    <row r="10" spans="1:399" s="9" customFormat="1">
      <c r="A10" s="22"/>
      <c r="B10" s="19"/>
      <c r="C10" s="21">
        <v>40000031</v>
      </c>
      <c r="D10" s="36" t="s">
        <v>510</v>
      </c>
      <c r="E10" s="41" t="s">
        <v>511</v>
      </c>
      <c r="F10" s="24"/>
      <c r="G10" s="23" t="s">
        <v>15</v>
      </c>
      <c r="H10" s="21" t="s">
        <v>15</v>
      </c>
      <c r="I10" s="21"/>
      <c r="J10" s="37">
        <v>42817</v>
      </c>
      <c r="K10" s="67">
        <v>42817</v>
      </c>
      <c r="L10" s="87">
        <v>42818</v>
      </c>
      <c r="M10" s="87">
        <v>42818</v>
      </c>
      <c r="N10" s="21"/>
      <c r="O10" s="90">
        <v>42818</v>
      </c>
      <c r="P10" s="23"/>
      <c r="Q10" s="36"/>
      <c r="R10" s="24"/>
      <c r="S10" s="66">
        <v>42818</v>
      </c>
      <c r="T10" s="19"/>
      <c r="U10" s="66">
        <v>42818</v>
      </c>
      <c r="V10" s="66"/>
      <c r="W10" s="66"/>
      <c r="X10" s="20">
        <f ca="1">IF(Tableau2[[#This Row],[BADGE ROUGE]]&lt;TODAY(),2,IF(Tableau2[[#This Row],[BADGE ROUGE]]&lt;TODAY()+Administrateur!D19,1,0))</f>
        <v>2</v>
      </c>
      <c r="Y10" s="20">
        <f ca="1">IF(Tableau2[[#This Row],[PERMIS T]]&lt;TODAY(),2,IF(Tableau2[[#This Row],[PERMIS T]]&lt;TODAY()+Administrateur!D19,1,0))</f>
        <v>2</v>
      </c>
      <c r="Z10" s="20">
        <f ca="1">IF(Tableau2[[#This Row],[EXPIRE]]&lt;TODAY(),2,IF(Tableau2[[#This Row],[EXPIRE]]&lt;TODAY()+Administrateur!D21,1,0))</f>
        <v>2</v>
      </c>
      <c r="AA10" s="20">
        <f ca="1">IF(Tableau2[[#This Row],[EWIS]]&lt;TODAY(),2,IF(Tableau2[[#This Row],[EWIS]]&lt;TODAY()+Administrateur!D22,1,0))</f>
        <v>2</v>
      </c>
      <c r="AB10" s="20">
        <f ca="1">IF(Tableau2[[#This Row],[HUMAN FACTOR]]&lt;TODAY(),2,IF(Tableau2[[#This Row],[HUMAN FACTOR]]&lt;TODAY()+Administrateur!D23,1,0))</f>
        <v>2</v>
      </c>
      <c r="AC10" s="20">
        <f ca="1">IF(Tableau2[[#This Row],[ FUEL TANK FACTOR]]&lt;TODAY(),2,IF(Tableau2[[#This Row],[ FUEL TANK FACTOR]]&lt;TODAY()+Administrateur!D24,1,0))</f>
        <v>2</v>
      </c>
      <c r="AD10" s="20">
        <f ca="1">IF(Tableau2[[#This Row],[PEMP]]&lt;TODAY(),2,IF(Tableau2[[#This Row],[PEMP]]&lt;TODAY()+Administrateur!D25,1,0))</f>
        <v>2</v>
      </c>
      <c r="AE10" s="20">
        <f ca="1">IF(Tableau2[[#This Row],[ IDLE]]&lt;TODAY(),2,IF(Tableau2[[#This Row],[ IDLE]]&lt;TODAY()+Administrateur!D18,1,0))</f>
        <v>2</v>
      </c>
      <c r="AF10" s="54" t="s">
        <v>42</v>
      </c>
      <c r="AG10" s="20" t="s">
        <v>418</v>
      </c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47"/>
      <c r="AV10" s="45"/>
      <c r="AW10" s="45"/>
      <c r="AX10" s="45"/>
      <c r="AY10" s="45"/>
      <c r="AZ10" s="45"/>
      <c r="BA10" s="49"/>
      <c r="BB10" s="47"/>
      <c r="BC10" s="45"/>
      <c r="BD10" s="45"/>
      <c r="BE10" s="45"/>
      <c r="BF10" s="45"/>
      <c r="BG10" s="45"/>
      <c r="BH10" s="49"/>
      <c r="BI10" s="47"/>
      <c r="BJ10" s="45"/>
      <c r="BK10" s="45"/>
      <c r="BL10" s="45"/>
      <c r="BM10" s="45"/>
      <c r="BN10" s="45"/>
      <c r="BO10" s="49"/>
      <c r="BP10" s="47"/>
      <c r="BQ10" s="45"/>
      <c r="BR10" s="45"/>
      <c r="BS10" s="45"/>
      <c r="BT10" s="45"/>
      <c r="BU10" s="45"/>
      <c r="BV10" s="49"/>
      <c r="BW10" s="47"/>
      <c r="BX10" s="45"/>
      <c r="BY10" s="45"/>
      <c r="BZ10" s="45"/>
      <c r="CA10" s="45"/>
      <c r="CB10" s="45"/>
      <c r="CC10" s="49"/>
      <c r="CD10" s="47"/>
      <c r="CE10" s="45"/>
      <c r="CF10" s="45"/>
      <c r="CG10" s="45"/>
      <c r="CH10" s="45"/>
      <c r="CI10" s="45"/>
      <c r="CJ10" s="49"/>
      <c r="CK10" s="47"/>
      <c r="CL10" s="45"/>
      <c r="CM10" s="45"/>
      <c r="CN10" s="45"/>
      <c r="CO10" s="45"/>
      <c r="CP10" s="45"/>
      <c r="CQ10" s="49"/>
      <c r="CR10" s="47"/>
      <c r="CS10" s="45"/>
      <c r="CT10" s="45"/>
      <c r="CU10" s="45"/>
      <c r="CV10" s="45"/>
      <c r="CW10" s="45"/>
      <c r="CX10" s="49"/>
      <c r="CY10" s="47"/>
      <c r="CZ10" s="45"/>
      <c r="DA10" s="45"/>
      <c r="DB10" s="45"/>
      <c r="DC10" s="45"/>
      <c r="DD10" s="45"/>
      <c r="DE10" s="49"/>
      <c r="DF10" s="47"/>
      <c r="DG10" s="45"/>
      <c r="DH10" s="45"/>
      <c r="DI10" s="45"/>
      <c r="DJ10" s="45"/>
      <c r="DK10" s="45"/>
      <c r="DL10" s="49"/>
      <c r="DM10" s="47"/>
      <c r="DN10" s="45"/>
      <c r="DO10" s="45"/>
      <c r="DP10" s="45"/>
      <c r="DQ10" s="45"/>
      <c r="DR10" s="45"/>
      <c r="DS10" s="49"/>
      <c r="DT10" s="47"/>
      <c r="DU10" s="45"/>
      <c r="DV10" s="45"/>
      <c r="DW10" s="45"/>
      <c r="DX10" s="45"/>
      <c r="DY10" s="45"/>
      <c r="DZ10" s="49"/>
      <c r="EA10" s="47"/>
      <c r="EB10" s="45"/>
      <c r="EC10" s="45"/>
      <c r="ED10" s="45"/>
      <c r="EE10" s="45"/>
      <c r="EF10" s="45"/>
      <c r="EG10" s="49"/>
      <c r="EH10" s="47"/>
      <c r="EI10" s="45"/>
      <c r="EJ10" s="45"/>
      <c r="EK10" s="45"/>
      <c r="EL10" s="45"/>
      <c r="EM10" s="45"/>
      <c r="EN10" s="45"/>
      <c r="EO10" s="45"/>
      <c r="EP10" s="45"/>
      <c r="EQ10" s="45"/>
      <c r="ER10" s="45"/>
      <c r="ES10" s="45"/>
      <c r="ET10" s="45"/>
      <c r="EU10" s="45"/>
      <c r="EV10" s="45"/>
      <c r="EW10" s="45"/>
      <c r="EX10" s="45"/>
      <c r="EY10" s="45"/>
      <c r="EZ10" s="45"/>
      <c r="FA10" s="45"/>
      <c r="FB10" s="45"/>
      <c r="FC10" s="45"/>
      <c r="FD10" s="45"/>
      <c r="FE10" s="45"/>
      <c r="FF10" s="45"/>
      <c r="FG10" s="45"/>
      <c r="FH10" s="45"/>
      <c r="FI10" s="45"/>
      <c r="FJ10" s="45"/>
      <c r="FK10" s="45"/>
      <c r="FL10" s="45"/>
      <c r="FM10" s="45"/>
      <c r="FN10" s="45"/>
      <c r="FO10" s="45"/>
      <c r="FP10" s="45"/>
      <c r="FQ10" s="45"/>
      <c r="FR10" s="45"/>
      <c r="FS10" s="45"/>
      <c r="FT10" s="45"/>
      <c r="FU10" s="45"/>
      <c r="FV10" s="45"/>
      <c r="FW10" s="45"/>
      <c r="FX10" s="45"/>
      <c r="FY10" s="45"/>
      <c r="FZ10" s="45"/>
      <c r="GA10" s="45"/>
      <c r="GB10" s="45"/>
      <c r="GC10" s="45"/>
      <c r="GD10" s="45"/>
      <c r="GE10" s="45"/>
      <c r="GF10" s="45"/>
      <c r="GG10" s="45"/>
      <c r="GH10" s="45"/>
      <c r="GI10" s="45"/>
      <c r="GJ10" s="45"/>
      <c r="GK10" s="45"/>
      <c r="GL10" s="45"/>
      <c r="GM10" s="45"/>
      <c r="GN10" s="45"/>
      <c r="GO10" s="45"/>
      <c r="GP10" s="45"/>
      <c r="GQ10" s="45"/>
      <c r="GR10" s="45"/>
      <c r="GS10" s="45"/>
      <c r="GT10" s="45"/>
      <c r="GU10" s="45"/>
      <c r="GV10" s="45"/>
      <c r="GW10" s="45"/>
      <c r="GX10" s="45"/>
      <c r="GY10" s="45"/>
      <c r="GZ10" s="45"/>
      <c r="HA10" s="45"/>
      <c r="HB10" s="45"/>
      <c r="HC10" s="45"/>
      <c r="HD10" s="45"/>
      <c r="HE10" s="45"/>
      <c r="HF10" s="45"/>
      <c r="HG10" s="45"/>
      <c r="HH10" s="45"/>
      <c r="HI10" s="45"/>
      <c r="HJ10" s="45"/>
      <c r="HK10" s="45"/>
      <c r="HL10" s="45"/>
      <c r="HM10" s="45"/>
      <c r="HN10" s="45"/>
      <c r="HO10" s="45"/>
      <c r="HP10" s="45"/>
      <c r="HQ10" s="45"/>
      <c r="HR10" s="45"/>
      <c r="HS10" s="45"/>
      <c r="HT10" s="45"/>
      <c r="HU10" s="45"/>
      <c r="HV10" s="45"/>
      <c r="HW10" s="45"/>
      <c r="HX10" s="45"/>
      <c r="HY10" s="45"/>
      <c r="HZ10" s="45"/>
      <c r="IA10" s="45"/>
      <c r="IB10" s="45"/>
      <c r="IC10" s="45"/>
      <c r="ID10" s="45"/>
      <c r="IE10" s="45"/>
      <c r="IF10" s="45"/>
      <c r="IG10" s="45"/>
      <c r="IH10" s="45"/>
      <c r="II10" s="45"/>
      <c r="IJ10" s="45"/>
      <c r="IK10" s="45"/>
      <c r="IL10" s="45"/>
      <c r="IM10" s="45"/>
      <c r="IN10" s="45"/>
      <c r="IO10" s="45"/>
      <c r="IP10" s="45"/>
      <c r="IQ10" s="45"/>
      <c r="IR10" s="45"/>
      <c r="IS10" s="45"/>
      <c r="IT10" s="45"/>
      <c r="IU10" s="45"/>
      <c r="IV10" s="45"/>
      <c r="IW10" s="45"/>
      <c r="IX10" s="45"/>
      <c r="IY10" s="45"/>
      <c r="IZ10" s="45"/>
      <c r="JA10" s="45"/>
      <c r="JB10" s="45"/>
      <c r="JC10" s="45"/>
      <c r="JD10" s="45"/>
      <c r="JE10" s="45"/>
      <c r="JF10" s="45"/>
      <c r="JG10" s="45"/>
      <c r="JH10" s="45"/>
      <c r="JI10" s="45"/>
      <c r="JJ10" s="45"/>
      <c r="JK10" s="45"/>
      <c r="JL10" s="45"/>
      <c r="JM10" s="45"/>
      <c r="JN10" s="45"/>
      <c r="JO10" s="45"/>
      <c r="JP10" s="45"/>
      <c r="JQ10" s="45"/>
      <c r="JR10" s="45"/>
      <c r="JS10" s="45"/>
      <c r="JT10" s="45"/>
      <c r="JU10" s="45"/>
      <c r="JV10" s="45"/>
      <c r="JW10" s="45"/>
      <c r="JX10" s="45"/>
      <c r="JY10" s="45"/>
      <c r="JZ10" s="45"/>
      <c r="KA10" s="45"/>
      <c r="KB10" s="45"/>
      <c r="KC10" s="45"/>
      <c r="KD10" s="45"/>
      <c r="KE10" s="45"/>
      <c r="KF10" s="45"/>
      <c r="KG10" s="45"/>
      <c r="KH10" s="45"/>
      <c r="KI10" s="45"/>
      <c r="KJ10" s="45"/>
      <c r="KK10" s="45"/>
      <c r="KL10" s="45"/>
      <c r="KM10" s="45"/>
      <c r="KN10" s="45"/>
      <c r="KO10" s="45"/>
      <c r="KP10" s="45"/>
      <c r="KQ10" s="45"/>
      <c r="KR10" s="45"/>
      <c r="KS10" s="45"/>
      <c r="KT10" s="45"/>
      <c r="KU10" s="45"/>
      <c r="KV10" s="45"/>
      <c r="KW10" s="45"/>
      <c r="KX10" s="45"/>
      <c r="KY10" s="45"/>
      <c r="KZ10" s="45"/>
      <c r="LA10" s="45"/>
      <c r="LB10" s="45"/>
      <c r="LC10" s="45"/>
      <c r="LD10" s="45"/>
      <c r="LE10" s="45"/>
      <c r="LF10" s="45"/>
      <c r="LG10" s="45"/>
      <c r="LH10" s="45"/>
      <c r="LI10" s="45"/>
      <c r="LJ10" s="45"/>
      <c r="LK10" s="45"/>
      <c r="LL10" s="45"/>
      <c r="LM10" s="45"/>
      <c r="LN10" s="45"/>
      <c r="LO10" s="45"/>
      <c r="LP10" s="45"/>
      <c r="LQ10" s="45"/>
      <c r="LR10" s="45"/>
      <c r="LS10" s="45"/>
      <c r="LT10" s="45"/>
      <c r="LU10" s="45"/>
      <c r="LV10" s="45"/>
      <c r="LW10" s="45"/>
      <c r="LX10" s="45"/>
      <c r="LY10" s="45"/>
      <c r="LZ10" s="45"/>
      <c r="MA10" s="45"/>
      <c r="MB10" s="45"/>
      <c r="MC10" s="45"/>
      <c r="MD10" s="45"/>
      <c r="ME10" s="45"/>
      <c r="MF10" s="45"/>
      <c r="MG10" s="45"/>
      <c r="MH10" s="45"/>
      <c r="MI10" s="45"/>
      <c r="MJ10" s="45"/>
      <c r="MK10" s="45"/>
      <c r="ML10" s="45"/>
      <c r="MM10" s="45"/>
      <c r="MN10" s="45"/>
      <c r="MO10" s="45"/>
      <c r="MP10" s="45"/>
      <c r="MQ10" s="45"/>
      <c r="MR10" s="45"/>
      <c r="MS10" s="45"/>
      <c r="MT10" s="45"/>
      <c r="MU10" s="45"/>
      <c r="MV10" s="45"/>
      <c r="MW10" s="45"/>
      <c r="MX10" s="45"/>
      <c r="MY10" s="45"/>
      <c r="MZ10" s="45"/>
      <c r="NA10" s="45"/>
      <c r="NB10" s="45"/>
      <c r="NC10" s="45"/>
      <c r="ND10" s="45"/>
      <c r="NE10" s="45"/>
      <c r="NF10" s="45"/>
      <c r="NG10" s="45"/>
      <c r="NH10" s="45"/>
      <c r="NI10" s="45"/>
      <c r="NJ10" s="45"/>
      <c r="NK10" s="45"/>
      <c r="NL10" s="45"/>
      <c r="NM10" s="45"/>
      <c r="NN10" s="45"/>
      <c r="NO10" s="45"/>
      <c r="NP10" s="45"/>
      <c r="NQ10" s="45"/>
      <c r="NR10" s="45"/>
      <c r="NS10" s="45"/>
      <c r="NT10" s="45"/>
      <c r="NU10" s="45"/>
      <c r="NV10" s="45"/>
      <c r="NW10" s="45"/>
      <c r="NX10" s="45"/>
      <c r="NY10" s="45"/>
      <c r="NZ10" s="45"/>
      <c r="OA10" s="45"/>
      <c r="OB10" s="45"/>
      <c r="OC10" s="45"/>
      <c r="OD10" s="45"/>
      <c r="OE10" s="45"/>
      <c r="OF10" s="45"/>
    </row>
    <row r="11" spans="1:399" s="9" customFormat="1">
      <c r="T11" s="56"/>
      <c r="U11" s="56"/>
      <c r="V11" s="111"/>
      <c r="W11" s="121"/>
      <c r="Y11" s="56"/>
      <c r="AD11" s="56"/>
      <c r="AE11" s="56"/>
      <c r="AG11" s="35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</row>
    <row r="12" spans="1:399" s="9" customFormat="1">
      <c r="T12" s="56"/>
      <c r="U12" s="56"/>
      <c r="V12" s="111"/>
      <c r="W12" s="121"/>
      <c r="Y12" s="56"/>
      <c r="AD12" s="56"/>
      <c r="AE12" s="56"/>
      <c r="AG12" s="35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</row>
    <row r="13" spans="1:399" s="9" customFormat="1" ht="10.5" customHeight="1">
      <c r="E13" s="149" t="s">
        <v>434</v>
      </c>
      <c r="F13" s="134" t="s">
        <v>435</v>
      </c>
      <c r="G13" s="135"/>
      <c r="H13" s="135"/>
      <c r="I13" s="136"/>
      <c r="V13" s="111"/>
      <c r="W13" s="121"/>
      <c r="Y13" s="56"/>
      <c r="AD13" s="56"/>
      <c r="AE13" s="56"/>
      <c r="AF13" s="85">
        <f t="shared" ref="AF13:CQ13" si="0">COUNTIF(AF9:AF10,"AM")+COUNTIF(AF9:AF10,"PM")</f>
        <v>0</v>
      </c>
      <c r="AG13" s="85">
        <f t="shared" si="0"/>
        <v>1</v>
      </c>
      <c r="AH13" s="85">
        <f t="shared" si="0"/>
        <v>0</v>
      </c>
      <c r="AI13" s="85">
        <f t="shared" si="0"/>
        <v>0</v>
      </c>
      <c r="AJ13" s="85">
        <f t="shared" si="0"/>
        <v>0</v>
      </c>
      <c r="AK13" s="85">
        <f t="shared" si="0"/>
        <v>0</v>
      </c>
      <c r="AL13" s="85">
        <f t="shared" si="0"/>
        <v>0</v>
      </c>
      <c r="AM13" s="85">
        <f t="shared" si="0"/>
        <v>0</v>
      </c>
      <c r="AN13" s="85">
        <f t="shared" si="0"/>
        <v>0</v>
      </c>
      <c r="AO13" s="85">
        <f t="shared" si="0"/>
        <v>0</v>
      </c>
      <c r="AP13" s="85">
        <f t="shared" si="0"/>
        <v>0</v>
      </c>
      <c r="AQ13" s="85">
        <f t="shared" si="0"/>
        <v>0</v>
      </c>
      <c r="AR13" s="85">
        <f t="shared" si="0"/>
        <v>0</v>
      </c>
      <c r="AS13" s="85">
        <f t="shared" si="0"/>
        <v>0</v>
      </c>
      <c r="AT13" s="85">
        <f t="shared" si="0"/>
        <v>0</v>
      </c>
      <c r="AU13" s="85">
        <f t="shared" si="0"/>
        <v>0</v>
      </c>
      <c r="AV13" s="85">
        <f t="shared" si="0"/>
        <v>0</v>
      </c>
      <c r="AW13" s="85">
        <f t="shared" si="0"/>
        <v>0</v>
      </c>
      <c r="AX13" s="85">
        <f t="shared" si="0"/>
        <v>0</v>
      </c>
      <c r="AY13" s="85">
        <f t="shared" si="0"/>
        <v>0</v>
      </c>
      <c r="AZ13" s="85">
        <f t="shared" si="0"/>
        <v>0</v>
      </c>
      <c r="BA13" s="85">
        <f t="shared" si="0"/>
        <v>0</v>
      </c>
      <c r="BB13" s="85">
        <f t="shared" si="0"/>
        <v>0</v>
      </c>
      <c r="BC13" s="85">
        <f t="shared" si="0"/>
        <v>0</v>
      </c>
      <c r="BD13" s="85">
        <f t="shared" si="0"/>
        <v>0</v>
      </c>
      <c r="BE13" s="85">
        <f t="shared" si="0"/>
        <v>0</v>
      </c>
      <c r="BF13" s="85">
        <f t="shared" si="0"/>
        <v>0</v>
      </c>
      <c r="BG13" s="85">
        <f t="shared" si="0"/>
        <v>0</v>
      </c>
      <c r="BH13" s="85">
        <f t="shared" si="0"/>
        <v>0</v>
      </c>
      <c r="BI13" s="85">
        <f t="shared" si="0"/>
        <v>0</v>
      </c>
      <c r="BJ13" s="85">
        <f t="shared" si="0"/>
        <v>0</v>
      </c>
      <c r="BK13" s="85">
        <f t="shared" si="0"/>
        <v>0</v>
      </c>
      <c r="BL13" s="85">
        <f t="shared" si="0"/>
        <v>0</v>
      </c>
      <c r="BM13" s="85">
        <f t="shared" si="0"/>
        <v>0</v>
      </c>
      <c r="BN13" s="85">
        <f t="shared" si="0"/>
        <v>0</v>
      </c>
      <c r="BO13" s="85">
        <f t="shared" si="0"/>
        <v>0</v>
      </c>
      <c r="BP13" s="85">
        <f t="shared" si="0"/>
        <v>0</v>
      </c>
      <c r="BQ13" s="85">
        <f t="shared" si="0"/>
        <v>0</v>
      </c>
      <c r="BR13" s="85">
        <f t="shared" si="0"/>
        <v>0</v>
      </c>
      <c r="BS13" s="85">
        <f t="shared" si="0"/>
        <v>0</v>
      </c>
      <c r="BT13" s="85">
        <f t="shared" si="0"/>
        <v>0</v>
      </c>
      <c r="BU13" s="85">
        <f t="shared" si="0"/>
        <v>0</v>
      </c>
      <c r="BV13" s="85">
        <f t="shared" si="0"/>
        <v>0</v>
      </c>
      <c r="BW13" s="85">
        <f t="shared" si="0"/>
        <v>0</v>
      </c>
      <c r="BX13" s="85">
        <f t="shared" si="0"/>
        <v>0</v>
      </c>
      <c r="BY13" s="85">
        <f t="shared" si="0"/>
        <v>0</v>
      </c>
      <c r="BZ13" s="85">
        <f t="shared" si="0"/>
        <v>0</v>
      </c>
      <c r="CA13" s="85">
        <f t="shared" si="0"/>
        <v>0</v>
      </c>
      <c r="CB13" s="85">
        <f t="shared" si="0"/>
        <v>0</v>
      </c>
      <c r="CC13" s="85">
        <f t="shared" si="0"/>
        <v>0</v>
      </c>
      <c r="CD13" s="85">
        <f t="shared" si="0"/>
        <v>0</v>
      </c>
      <c r="CE13" s="85">
        <f t="shared" si="0"/>
        <v>0</v>
      </c>
      <c r="CF13" s="85">
        <f t="shared" si="0"/>
        <v>0</v>
      </c>
      <c r="CG13" s="85">
        <f t="shared" si="0"/>
        <v>0</v>
      </c>
      <c r="CH13" s="85">
        <f t="shared" si="0"/>
        <v>0</v>
      </c>
      <c r="CI13" s="85">
        <f t="shared" si="0"/>
        <v>0</v>
      </c>
      <c r="CJ13" s="85">
        <f t="shared" si="0"/>
        <v>0</v>
      </c>
      <c r="CK13" s="85">
        <f t="shared" si="0"/>
        <v>0</v>
      </c>
      <c r="CL13" s="85">
        <f t="shared" si="0"/>
        <v>0</v>
      </c>
      <c r="CM13" s="85">
        <f t="shared" si="0"/>
        <v>0</v>
      </c>
      <c r="CN13" s="85">
        <f t="shared" si="0"/>
        <v>0</v>
      </c>
      <c r="CO13" s="85">
        <f t="shared" si="0"/>
        <v>0</v>
      </c>
      <c r="CP13" s="85">
        <f t="shared" si="0"/>
        <v>0</v>
      </c>
      <c r="CQ13" s="85">
        <f t="shared" si="0"/>
        <v>0</v>
      </c>
      <c r="CR13" s="85">
        <f t="shared" ref="CR13:FC13" si="1">COUNTIF(CR9:CR10,"AM")+COUNTIF(CR9:CR10,"PM")</f>
        <v>0</v>
      </c>
      <c r="CS13" s="85">
        <f t="shared" si="1"/>
        <v>0</v>
      </c>
      <c r="CT13" s="85">
        <f t="shared" si="1"/>
        <v>0</v>
      </c>
      <c r="CU13" s="85">
        <f t="shared" si="1"/>
        <v>0</v>
      </c>
      <c r="CV13" s="85">
        <f t="shared" si="1"/>
        <v>0</v>
      </c>
      <c r="CW13" s="85">
        <f t="shared" si="1"/>
        <v>0</v>
      </c>
      <c r="CX13" s="85">
        <f t="shared" si="1"/>
        <v>0</v>
      </c>
      <c r="CY13" s="85">
        <f t="shared" si="1"/>
        <v>0</v>
      </c>
      <c r="CZ13" s="85">
        <f t="shared" si="1"/>
        <v>0</v>
      </c>
      <c r="DA13" s="85">
        <f t="shared" si="1"/>
        <v>0</v>
      </c>
      <c r="DB13" s="85">
        <f t="shared" si="1"/>
        <v>0</v>
      </c>
      <c r="DC13" s="85">
        <f t="shared" si="1"/>
        <v>0</v>
      </c>
      <c r="DD13" s="85">
        <f t="shared" si="1"/>
        <v>0</v>
      </c>
      <c r="DE13" s="85">
        <f t="shared" si="1"/>
        <v>0</v>
      </c>
      <c r="DF13" s="85">
        <f t="shared" si="1"/>
        <v>0</v>
      </c>
      <c r="DG13" s="85">
        <f t="shared" si="1"/>
        <v>0</v>
      </c>
      <c r="DH13" s="85">
        <f t="shared" si="1"/>
        <v>0</v>
      </c>
      <c r="DI13" s="85">
        <f t="shared" si="1"/>
        <v>0</v>
      </c>
      <c r="DJ13" s="85">
        <f t="shared" si="1"/>
        <v>0</v>
      </c>
      <c r="DK13" s="85">
        <f t="shared" si="1"/>
        <v>0</v>
      </c>
      <c r="DL13" s="85">
        <f t="shared" si="1"/>
        <v>0</v>
      </c>
      <c r="DM13" s="85">
        <f t="shared" si="1"/>
        <v>0</v>
      </c>
      <c r="DN13" s="85">
        <f t="shared" si="1"/>
        <v>0</v>
      </c>
      <c r="DO13" s="85">
        <f t="shared" si="1"/>
        <v>0</v>
      </c>
      <c r="DP13" s="85">
        <f t="shared" si="1"/>
        <v>0</v>
      </c>
      <c r="DQ13" s="85">
        <f t="shared" si="1"/>
        <v>0</v>
      </c>
      <c r="DR13" s="85">
        <f t="shared" si="1"/>
        <v>0</v>
      </c>
      <c r="DS13" s="85">
        <f t="shared" si="1"/>
        <v>0</v>
      </c>
      <c r="DT13" s="85">
        <f t="shared" si="1"/>
        <v>0</v>
      </c>
      <c r="DU13" s="85">
        <f t="shared" si="1"/>
        <v>0</v>
      </c>
      <c r="DV13" s="85">
        <f t="shared" si="1"/>
        <v>0</v>
      </c>
      <c r="DW13" s="85">
        <f t="shared" si="1"/>
        <v>0</v>
      </c>
      <c r="DX13" s="85">
        <f t="shared" si="1"/>
        <v>0</v>
      </c>
      <c r="DY13" s="85">
        <f t="shared" si="1"/>
        <v>0</v>
      </c>
      <c r="DZ13" s="85">
        <f t="shared" si="1"/>
        <v>0</v>
      </c>
      <c r="EA13" s="85">
        <f t="shared" si="1"/>
        <v>0</v>
      </c>
      <c r="EB13" s="85">
        <f t="shared" si="1"/>
        <v>0</v>
      </c>
      <c r="EC13" s="85">
        <f t="shared" si="1"/>
        <v>0</v>
      </c>
      <c r="ED13" s="85">
        <f t="shared" si="1"/>
        <v>0</v>
      </c>
      <c r="EE13" s="85">
        <f t="shared" si="1"/>
        <v>0</v>
      </c>
      <c r="EF13" s="85">
        <f t="shared" si="1"/>
        <v>0</v>
      </c>
      <c r="EG13" s="85">
        <f t="shared" si="1"/>
        <v>0</v>
      </c>
      <c r="EH13" s="85">
        <f t="shared" si="1"/>
        <v>0</v>
      </c>
      <c r="EI13" s="85">
        <f t="shared" si="1"/>
        <v>0</v>
      </c>
      <c r="EJ13" s="85">
        <f t="shared" si="1"/>
        <v>0</v>
      </c>
      <c r="EK13" s="85">
        <f t="shared" si="1"/>
        <v>0</v>
      </c>
      <c r="EL13" s="85">
        <f t="shared" si="1"/>
        <v>0</v>
      </c>
      <c r="EM13" s="85">
        <f t="shared" si="1"/>
        <v>0</v>
      </c>
      <c r="EN13" s="85">
        <f t="shared" si="1"/>
        <v>0</v>
      </c>
      <c r="EO13" s="85">
        <f t="shared" si="1"/>
        <v>0</v>
      </c>
      <c r="EP13" s="85">
        <f t="shared" si="1"/>
        <v>0</v>
      </c>
      <c r="EQ13" s="85">
        <f t="shared" si="1"/>
        <v>0</v>
      </c>
      <c r="ER13" s="85">
        <f t="shared" si="1"/>
        <v>0</v>
      </c>
      <c r="ES13" s="85">
        <f t="shared" si="1"/>
        <v>0</v>
      </c>
      <c r="ET13" s="85">
        <f t="shared" si="1"/>
        <v>0</v>
      </c>
      <c r="EU13" s="85">
        <f t="shared" si="1"/>
        <v>0</v>
      </c>
      <c r="EV13" s="85">
        <f t="shared" si="1"/>
        <v>0</v>
      </c>
      <c r="EW13" s="85">
        <f t="shared" si="1"/>
        <v>0</v>
      </c>
      <c r="EX13" s="85">
        <f t="shared" si="1"/>
        <v>0</v>
      </c>
      <c r="EY13" s="85">
        <f t="shared" si="1"/>
        <v>0</v>
      </c>
      <c r="EZ13" s="85">
        <f t="shared" si="1"/>
        <v>0</v>
      </c>
      <c r="FA13" s="85">
        <f t="shared" si="1"/>
        <v>0</v>
      </c>
      <c r="FB13" s="85">
        <f t="shared" si="1"/>
        <v>0</v>
      </c>
      <c r="FC13" s="85">
        <f t="shared" si="1"/>
        <v>0</v>
      </c>
      <c r="FD13" s="85">
        <f t="shared" ref="FD13:HO13" si="2">COUNTIF(FD9:FD10,"AM")+COUNTIF(FD9:FD10,"PM")</f>
        <v>0</v>
      </c>
      <c r="FE13" s="85">
        <f t="shared" si="2"/>
        <v>0</v>
      </c>
      <c r="FF13" s="85">
        <f t="shared" si="2"/>
        <v>0</v>
      </c>
      <c r="FG13" s="85">
        <f t="shared" si="2"/>
        <v>0</v>
      </c>
      <c r="FH13" s="85">
        <f t="shared" si="2"/>
        <v>0</v>
      </c>
      <c r="FI13" s="85">
        <f t="shared" si="2"/>
        <v>0</v>
      </c>
      <c r="FJ13" s="85">
        <f t="shared" si="2"/>
        <v>0</v>
      </c>
      <c r="FK13" s="85">
        <f t="shared" si="2"/>
        <v>0</v>
      </c>
      <c r="FL13" s="85">
        <f t="shared" si="2"/>
        <v>0</v>
      </c>
      <c r="FM13" s="85">
        <f t="shared" si="2"/>
        <v>0</v>
      </c>
      <c r="FN13" s="85">
        <f t="shared" si="2"/>
        <v>0</v>
      </c>
      <c r="FO13" s="85">
        <f t="shared" si="2"/>
        <v>0</v>
      </c>
      <c r="FP13" s="85">
        <f t="shared" si="2"/>
        <v>0</v>
      </c>
      <c r="FQ13" s="85">
        <f t="shared" si="2"/>
        <v>0</v>
      </c>
      <c r="FR13" s="85">
        <f t="shared" si="2"/>
        <v>0</v>
      </c>
      <c r="FS13" s="85">
        <f t="shared" si="2"/>
        <v>0</v>
      </c>
      <c r="FT13" s="85">
        <f t="shared" si="2"/>
        <v>0</v>
      </c>
      <c r="FU13" s="85">
        <f t="shared" si="2"/>
        <v>0</v>
      </c>
      <c r="FV13" s="85">
        <f t="shared" si="2"/>
        <v>0</v>
      </c>
      <c r="FW13" s="85">
        <f t="shared" si="2"/>
        <v>0</v>
      </c>
      <c r="FX13" s="85">
        <f t="shared" si="2"/>
        <v>0</v>
      </c>
      <c r="FY13" s="85">
        <f t="shared" si="2"/>
        <v>0</v>
      </c>
      <c r="FZ13" s="85">
        <f t="shared" si="2"/>
        <v>0</v>
      </c>
      <c r="GA13" s="85">
        <f t="shared" si="2"/>
        <v>0</v>
      </c>
      <c r="GB13" s="85">
        <f t="shared" si="2"/>
        <v>0</v>
      </c>
      <c r="GC13" s="85">
        <f t="shared" si="2"/>
        <v>0</v>
      </c>
      <c r="GD13" s="85">
        <f t="shared" si="2"/>
        <v>0</v>
      </c>
      <c r="GE13" s="85">
        <f t="shared" si="2"/>
        <v>0</v>
      </c>
      <c r="GF13" s="85">
        <f t="shared" si="2"/>
        <v>0</v>
      </c>
      <c r="GG13" s="85">
        <f t="shared" si="2"/>
        <v>0</v>
      </c>
      <c r="GH13" s="85">
        <f t="shared" si="2"/>
        <v>0</v>
      </c>
      <c r="GI13" s="85">
        <f t="shared" si="2"/>
        <v>0</v>
      </c>
      <c r="GJ13" s="85">
        <f t="shared" si="2"/>
        <v>0</v>
      </c>
      <c r="GK13" s="85">
        <f t="shared" si="2"/>
        <v>0</v>
      </c>
      <c r="GL13" s="85">
        <f t="shared" si="2"/>
        <v>0</v>
      </c>
      <c r="GM13" s="85">
        <f t="shared" si="2"/>
        <v>0</v>
      </c>
      <c r="GN13" s="85">
        <f t="shared" si="2"/>
        <v>0</v>
      </c>
      <c r="GO13" s="85">
        <f t="shared" si="2"/>
        <v>0</v>
      </c>
      <c r="GP13" s="85">
        <f t="shared" si="2"/>
        <v>0</v>
      </c>
      <c r="GQ13" s="85">
        <f t="shared" si="2"/>
        <v>0</v>
      </c>
      <c r="GR13" s="85">
        <f t="shared" si="2"/>
        <v>0</v>
      </c>
      <c r="GS13" s="85">
        <f t="shared" si="2"/>
        <v>0</v>
      </c>
      <c r="GT13" s="85">
        <f t="shared" si="2"/>
        <v>0</v>
      </c>
      <c r="GU13" s="85">
        <f t="shared" si="2"/>
        <v>0</v>
      </c>
      <c r="GV13" s="85">
        <f t="shared" si="2"/>
        <v>0</v>
      </c>
      <c r="GW13" s="85">
        <f t="shared" si="2"/>
        <v>0</v>
      </c>
      <c r="GX13" s="85">
        <f t="shared" si="2"/>
        <v>0</v>
      </c>
      <c r="GY13" s="85">
        <f t="shared" si="2"/>
        <v>0</v>
      </c>
      <c r="GZ13" s="85">
        <f t="shared" si="2"/>
        <v>0</v>
      </c>
      <c r="HA13" s="85">
        <f t="shared" si="2"/>
        <v>0</v>
      </c>
      <c r="HB13" s="85">
        <f t="shared" si="2"/>
        <v>0</v>
      </c>
      <c r="HC13" s="85">
        <f t="shared" si="2"/>
        <v>0</v>
      </c>
      <c r="HD13" s="85">
        <f t="shared" si="2"/>
        <v>0</v>
      </c>
      <c r="HE13" s="85">
        <f t="shared" si="2"/>
        <v>0</v>
      </c>
      <c r="HF13" s="85">
        <f t="shared" si="2"/>
        <v>0</v>
      </c>
      <c r="HG13" s="85">
        <f t="shared" si="2"/>
        <v>0</v>
      </c>
      <c r="HH13" s="85">
        <f t="shared" si="2"/>
        <v>0</v>
      </c>
      <c r="HI13" s="85">
        <f t="shared" si="2"/>
        <v>0</v>
      </c>
      <c r="HJ13" s="85">
        <f t="shared" si="2"/>
        <v>0</v>
      </c>
      <c r="HK13" s="85">
        <f t="shared" si="2"/>
        <v>0</v>
      </c>
      <c r="HL13" s="85">
        <f t="shared" si="2"/>
        <v>0</v>
      </c>
      <c r="HM13" s="85">
        <f t="shared" si="2"/>
        <v>0</v>
      </c>
      <c r="HN13" s="85">
        <f t="shared" si="2"/>
        <v>0</v>
      </c>
      <c r="HO13" s="85">
        <f t="shared" si="2"/>
        <v>0</v>
      </c>
      <c r="HP13" s="85">
        <f t="shared" ref="HP13:KA13" si="3">COUNTIF(HP9:HP10,"AM")+COUNTIF(HP9:HP10,"PM")</f>
        <v>0</v>
      </c>
      <c r="HQ13" s="85">
        <f t="shared" si="3"/>
        <v>0</v>
      </c>
      <c r="HR13" s="85">
        <f t="shared" si="3"/>
        <v>0</v>
      </c>
      <c r="HS13" s="85">
        <f t="shared" si="3"/>
        <v>0</v>
      </c>
      <c r="HT13" s="85">
        <f t="shared" si="3"/>
        <v>0</v>
      </c>
      <c r="HU13" s="85">
        <f t="shared" si="3"/>
        <v>0</v>
      </c>
      <c r="HV13" s="85">
        <f t="shared" si="3"/>
        <v>0</v>
      </c>
      <c r="HW13" s="85">
        <f t="shared" si="3"/>
        <v>0</v>
      </c>
      <c r="HX13" s="109">
        <f t="shared" si="3"/>
        <v>0</v>
      </c>
      <c r="HY13" s="85">
        <f t="shared" si="3"/>
        <v>0</v>
      </c>
      <c r="HZ13" s="85">
        <f t="shared" si="3"/>
        <v>0</v>
      </c>
      <c r="IA13" s="85">
        <f t="shared" si="3"/>
        <v>0</v>
      </c>
      <c r="IB13" s="85">
        <f t="shared" si="3"/>
        <v>0</v>
      </c>
      <c r="IC13" s="85">
        <f t="shared" si="3"/>
        <v>0</v>
      </c>
      <c r="ID13" s="85">
        <f t="shared" si="3"/>
        <v>0</v>
      </c>
      <c r="IE13" s="85">
        <f t="shared" si="3"/>
        <v>0</v>
      </c>
      <c r="IF13" s="85">
        <f t="shared" si="3"/>
        <v>0</v>
      </c>
      <c r="IG13" s="85">
        <f t="shared" si="3"/>
        <v>0</v>
      </c>
      <c r="IH13" s="85">
        <f t="shared" si="3"/>
        <v>0</v>
      </c>
      <c r="II13" s="85">
        <f t="shared" si="3"/>
        <v>0</v>
      </c>
      <c r="IJ13" s="85">
        <f t="shared" si="3"/>
        <v>0</v>
      </c>
      <c r="IK13" s="85">
        <f t="shared" si="3"/>
        <v>0</v>
      </c>
      <c r="IL13" s="85">
        <f t="shared" si="3"/>
        <v>0</v>
      </c>
      <c r="IM13" s="85">
        <f t="shared" si="3"/>
        <v>0</v>
      </c>
      <c r="IN13" s="85">
        <f t="shared" si="3"/>
        <v>0</v>
      </c>
      <c r="IO13" s="85">
        <f t="shared" si="3"/>
        <v>0</v>
      </c>
      <c r="IP13" s="85">
        <f t="shared" si="3"/>
        <v>0</v>
      </c>
      <c r="IQ13" s="85">
        <f t="shared" si="3"/>
        <v>0</v>
      </c>
      <c r="IR13" s="85">
        <f t="shared" si="3"/>
        <v>0</v>
      </c>
      <c r="IS13" s="85">
        <f t="shared" si="3"/>
        <v>0</v>
      </c>
      <c r="IT13" s="85">
        <f t="shared" si="3"/>
        <v>0</v>
      </c>
      <c r="IU13" s="85">
        <f t="shared" si="3"/>
        <v>0</v>
      </c>
      <c r="IV13" s="85">
        <f t="shared" si="3"/>
        <v>0</v>
      </c>
      <c r="IW13" s="85">
        <f t="shared" si="3"/>
        <v>0</v>
      </c>
      <c r="IX13" s="85">
        <f t="shared" si="3"/>
        <v>0</v>
      </c>
      <c r="IY13" s="85">
        <f t="shared" si="3"/>
        <v>0</v>
      </c>
      <c r="IZ13" s="85">
        <f t="shared" si="3"/>
        <v>0</v>
      </c>
      <c r="JA13" s="85">
        <f t="shared" si="3"/>
        <v>0</v>
      </c>
      <c r="JB13" s="85">
        <f t="shared" si="3"/>
        <v>0</v>
      </c>
      <c r="JC13" s="85">
        <f t="shared" si="3"/>
        <v>0</v>
      </c>
      <c r="JD13" s="85">
        <f t="shared" si="3"/>
        <v>0</v>
      </c>
      <c r="JE13" s="85">
        <f t="shared" si="3"/>
        <v>0</v>
      </c>
      <c r="JF13" s="85">
        <f t="shared" si="3"/>
        <v>0</v>
      </c>
      <c r="JG13" s="85">
        <f t="shared" si="3"/>
        <v>0</v>
      </c>
      <c r="JH13" s="85">
        <f t="shared" si="3"/>
        <v>0</v>
      </c>
      <c r="JI13" s="85">
        <f t="shared" si="3"/>
        <v>0</v>
      </c>
      <c r="JJ13" s="85">
        <f t="shared" si="3"/>
        <v>0</v>
      </c>
      <c r="JK13" s="85">
        <f t="shared" si="3"/>
        <v>0</v>
      </c>
      <c r="JL13" s="85">
        <f t="shared" si="3"/>
        <v>0</v>
      </c>
      <c r="JM13" s="85">
        <f t="shared" si="3"/>
        <v>0</v>
      </c>
      <c r="JN13" s="85">
        <f t="shared" si="3"/>
        <v>0</v>
      </c>
      <c r="JO13" s="85">
        <f t="shared" si="3"/>
        <v>0</v>
      </c>
      <c r="JP13" s="85">
        <f t="shared" si="3"/>
        <v>0</v>
      </c>
      <c r="JQ13" s="85">
        <f t="shared" si="3"/>
        <v>0</v>
      </c>
      <c r="JR13" s="85">
        <f t="shared" si="3"/>
        <v>0</v>
      </c>
      <c r="JS13" s="85">
        <f t="shared" si="3"/>
        <v>0</v>
      </c>
      <c r="JT13" s="85">
        <f t="shared" si="3"/>
        <v>0</v>
      </c>
      <c r="JU13" s="85">
        <f t="shared" si="3"/>
        <v>0</v>
      </c>
      <c r="JV13" s="85">
        <f t="shared" si="3"/>
        <v>0</v>
      </c>
      <c r="JW13" s="85">
        <f t="shared" si="3"/>
        <v>0</v>
      </c>
      <c r="JX13" s="85">
        <f t="shared" si="3"/>
        <v>0</v>
      </c>
      <c r="JY13" s="85">
        <f t="shared" si="3"/>
        <v>0</v>
      </c>
      <c r="JZ13" s="85">
        <f t="shared" si="3"/>
        <v>0</v>
      </c>
      <c r="KA13" s="85">
        <f t="shared" si="3"/>
        <v>0</v>
      </c>
      <c r="KB13" s="85">
        <f t="shared" ref="KB13:MM13" si="4">COUNTIF(KB9:KB10,"AM")+COUNTIF(KB9:KB10,"PM")</f>
        <v>0</v>
      </c>
      <c r="KC13" s="85">
        <f t="shared" si="4"/>
        <v>0</v>
      </c>
      <c r="KD13" s="85">
        <f t="shared" si="4"/>
        <v>0</v>
      </c>
      <c r="KE13" s="85">
        <f t="shared" si="4"/>
        <v>0</v>
      </c>
      <c r="KF13" s="85">
        <f t="shared" si="4"/>
        <v>0</v>
      </c>
      <c r="KG13" s="85">
        <f t="shared" si="4"/>
        <v>0</v>
      </c>
      <c r="KH13" s="85">
        <f t="shared" si="4"/>
        <v>0</v>
      </c>
      <c r="KI13" s="85">
        <f t="shared" si="4"/>
        <v>0</v>
      </c>
      <c r="KJ13" s="85">
        <f t="shared" si="4"/>
        <v>0</v>
      </c>
      <c r="KK13" s="85">
        <f t="shared" si="4"/>
        <v>0</v>
      </c>
      <c r="KL13" s="85">
        <f t="shared" si="4"/>
        <v>0</v>
      </c>
      <c r="KM13" s="85">
        <f t="shared" si="4"/>
        <v>0</v>
      </c>
      <c r="KN13" s="85">
        <f t="shared" si="4"/>
        <v>0</v>
      </c>
      <c r="KO13" s="85">
        <f t="shared" si="4"/>
        <v>0</v>
      </c>
      <c r="KP13" s="85">
        <f t="shared" si="4"/>
        <v>0</v>
      </c>
      <c r="KQ13" s="85">
        <f t="shared" si="4"/>
        <v>0</v>
      </c>
      <c r="KR13" s="85">
        <f t="shared" si="4"/>
        <v>0</v>
      </c>
      <c r="KS13" s="85">
        <f t="shared" si="4"/>
        <v>0</v>
      </c>
      <c r="KT13" s="85">
        <f t="shared" si="4"/>
        <v>0</v>
      </c>
      <c r="KU13" s="85">
        <f t="shared" si="4"/>
        <v>0</v>
      </c>
      <c r="KV13" s="85">
        <f t="shared" si="4"/>
        <v>0</v>
      </c>
      <c r="KW13" s="85">
        <f t="shared" si="4"/>
        <v>0</v>
      </c>
      <c r="KX13" s="85">
        <f t="shared" si="4"/>
        <v>0</v>
      </c>
      <c r="KY13" s="85">
        <f t="shared" si="4"/>
        <v>0</v>
      </c>
      <c r="KZ13" s="85">
        <f t="shared" si="4"/>
        <v>0</v>
      </c>
      <c r="LA13" s="85">
        <f t="shared" si="4"/>
        <v>0</v>
      </c>
      <c r="LB13" s="85">
        <f t="shared" si="4"/>
        <v>0</v>
      </c>
      <c r="LC13" s="85">
        <f t="shared" si="4"/>
        <v>0</v>
      </c>
      <c r="LD13" s="85">
        <f t="shared" si="4"/>
        <v>0</v>
      </c>
      <c r="LE13" s="85">
        <f t="shared" si="4"/>
        <v>0</v>
      </c>
      <c r="LF13" s="85">
        <f t="shared" si="4"/>
        <v>0</v>
      </c>
      <c r="LG13" s="85">
        <f t="shared" si="4"/>
        <v>0</v>
      </c>
      <c r="LH13" s="85">
        <f t="shared" si="4"/>
        <v>0</v>
      </c>
      <c r="LI13" s="85">
        <f t="shared" si="4"/>
        <v>0</v>
      </c>
      <c r="LJ13" s="85">
        <f t="shared" si="4"/>
        <v>0</v>
      </c>
      <c r="LK13" s="85">
        <f t="shared" si="4"/>
        <v>0</v>
      </c>
      <c r="LL13" s="85">
        <f t="shared" si="4"/>
        <v>0</v>
      </c>
      <c r="LM13" s="85">
        <f t="shared" si="4"/>
        <v>0</v>
      </c>
      <c r="LN13" s="85">
        <f t="shared" si="4"/>
        <v>0</v>
      </c>
      <c r="LO13" s="85">
        <f t="shared" si="4"/>
        <v>0</v>
      </c>
      <c r="LP13" s="85">
        <f t="shared" si="4"/>
        <v>0</v>
      </c>
      <c r="LQ13" s="85">
        <f t="shared" si="4"/>
        <v>0</v>
      </c>
      <c r="LR13" s="85">
        <f t="shared" si="4"/>
        <v>0</v>
      </c>
      <c r="LS13" s="85">
        <f t="shared" si="4"/>
        <v>0</v>
      </c>
      <c r="LT13" s="85">
        <f t="shared" si="4"/>
        <v>0</v>
      </c>
      <c r="LU13" s="85">
        <f t="shared" si="4"/>
        <v>0</v>
      </c>
      <c r="LV13" s="85">
        <f t="shared" si="4"/>
        <v>0</v>
      </c>
      <c r="LW13" s="85">
        <f t="shared" si="4"/>
        <v>0</v>
      </c>
      <c r="LX13" s="85">
        <f t="shared" si="4"/>
        <v>0</v>
      </c>
      <c r="LY13" s="85">
        <f t="shared" si="4"/>
        <v>0</v>
      </c>
      <c r="LZ13" s="85">
        <f t="shared" si="4"/>
        <v>0</v>
      </c>
      <c r="MA13" s="85">
        <f t="shared" si="4"/>
        <v>0</v>
      </c>
      <c r="MB13" s="85">
        <f t="shared" si="4"/>
        <v>0</v>
      </c>
      <c r="MC13" s="85">
        <f t="shared" si="4"/>
        <v>0</v>
      </c>
      <c r="MD13" s="85">
        <f t="shared" si="4"/>
        <v>0</v>
      </c>
      <c r="ME13" s="85">
        <f t="shared" si="4"/>
        <v>0</v>
      </c>
      <c r="MF13" s="85">
        <f t="shared" si="4"/>
        <v>0</v>
      </c>
      <c r="MG13" s="85">
        <f t="shared" si="4"/>
        <v>0</v>
      </c>
      <c r="MH13" s="85">
        <f t="shared" si="4"/>
        <v>0</v>
      </c>
      <c r="MI13" s="85">
        <f t="shared" si="4"/>
        <v>0</v>
      </c>
      <c r="MJ13" s="85">
        <f t="shared" si="4"/>
        <v>0</v>
      </c>
      <c r="MK13" s="85">
        <f t="shared" si="4"/>
        <v>0</v>
      </c>
      <c r="ML13" s="85">
        <f t="shared" si="4"/>
        <v>0</v>
      </c>
      <c r="MM13" s="85">
        <f t="shared" si="4"/>
        <v>0</v>
      </c>
      <c r="MN13" s="85">
        <f t="shared" ref="MN13:OF13" si="5">COUNTIF(MN9:MN10,"AM")+COUNTIF(MN9:MN10,"PM")</f>
        <v>0</v>
      </c>
      <c r="MO13" s="85">
        <f t="shared" si="5"/>
        <v>0</v>
      </c>
      <c r="MP13" s="85">
        <f t="shared" si="5"/>
        <v>0</v>
      </c>
      <c r="MQ13" s="85">
        <f t="shared" si="5"/>
        <v>0</v>
      </c>
      <c r="MR13" s="85">
        <f t="shared" si="5"/>
        <v>0</v>
      </c>
      <c r="MS13" s="85">
        <f t="shared" si="5"/>
        <v>0</v>
      </c>
      <c r="MT13" s="85">
        <f t="shared" si="5"/>
        <v>0</v>
      </c>
      <c r="MU13" s="85">
        <f t="shared" si="5"/>
        <v>0</v>
      </c>
      <c r="MV13" s="85">
        <f t="shared" si="5"/>
        <v>0</v>
      </c>
      <c r="MW13" s="85">
        <f t="shared" si="5"/>
        <v>0</v>
      </c>
      <c r="MX13" s="85">
        <f t="shared" si="5"/>
        <v>0</v>
      </c>
      <c r="MY13" s="85">
        <f t="shared" si="5"/>
        <v>0</v>
      </c>
      <c r="MZ13" s="85">
        <f t="shared" si="5"/>
        <v>0</v>
      </c>
      <c r="NA13" s="85">
        <f t="shared" si="5"/>
        <v>0</v>
      </c>
      <c r="NB13" s="85">
        <f t="shared" si="5"/>
        <v>0</v>
      </c>
      <c r="NC13" s="85">
        <f t="shared" si="5"/>
        <v>0</v>
      </c>
      <c r="ND13" s="85">
        <f t="shared" si="5"/>
        <v>0</v>
      </c>
      <c r="NE13" s="85">
        <f t="shared" si="5"/>
        <v>0</v>
      </c>
      <c r="NF13" s="85">
        <f t="shared" si="5"/>
        <v>0</v>
      </c>
      <c r="NG13" s="85">
        <f t="shared" si="5"/>
        <v>0</v>
      </c>
      <c r="NH13" s="85">
        <f t="shared" si="5"/>
        <v>0</v>
      </c>
      <c r="NI13" s="85">
        <f t="shared" si="5"/>
        <v>0</v>
      </c>
      <c r="NJ13" s="85">
        <f t="shared" si="5"/>
        <v>0</v>
      </c>
      <c r="NK13" s="85">
        <f t="shared" si="5"/>
        <v>0</v>
      </c>
      <c r="NL13" s="85">
        <f t="shared" si="5"/>
        <v>0</v>
      </c>
      <c r="NM13" s="85">
        <f t="shared" si="5"/>
        <v>0</v>
      </c>
      <c r="NN13" s="85">
        <f t="shared" si="5"/>
        <v>0</v>
      </c>
      <c r="NO13" s="85">
        <f t="shared" si="5"/>
        <v>0</v>
      </c>
      <c r="NP13" s="85">
        <f t="shared" si="5"/>
        <v>0</v>
      </c>
      <c r="NQ13" s="85">
        <f t="shared" si="5"/>
        <v>0</v>
      </c>
      <c r="NR13" s="85">
        <f t="shared" si="5"/>
        <v>0</v>
      </c>
      <c r="NS13" s="85">
        <f t="shared" si="5"/>
        <v>0</v>
      </c>
      <c r="NT13" s="85">
        <f t="shared" si="5"/>
        <v>0</v>
      </c>
      <c r="NU13" s="85">
        <f t="shared" si="5"/>
        <v>0</v>
      </c>
      <c r="NV13" s="85">
        <f t="shared" si="5"/>
        <v>0</v>
      </c>
      <c r="NW13" s="85">
        <f t="shared" si="5"/>
        <v>0</v>
      </c>
      <c r="NX13" s="85">
        <f t="shared" si="5"/>
        <v>0</v>
      </c>
      <c r="NY13" s="85">
        <f t="shared" si="5"/>
        <v>0</v>
      </c>
      <c r="NZ13" s="85">
        <f t="shared" si="5"/>
        <v>0</v>
      </c>
      <c r="OA13" s="85">
        <f t="shared" si="5"/>
        <v>0</v>
      </c>
      <c r="OB13" s="85">
        <f t="shared" si="5"/>
        <v>0</v>
      </c>
      <c r="OC13" s="85">
        <f t="shared" si="5"/>
        <v>0</v>
      </c>
      <c r="OD13" s="85">
        <f t="shared" si="5"/>
        <v>0</v>
      </c>
      <c r="OE13" s="85">
        <f t="shared" si="5"/>
        <v>0</v>
      </c>
      <c r="OF13" s="85">
        <f t="shared" si="5"/>
        <v>0</v>
      </c>
      <c r="OG13" s="55"/>
      <c r="OH13" s="55"/>
      <c r="OI13" s="55"/>
    </row>
    <row r="14" spans="1:399" s="9" customFormat="1" ht="10.5" customHeight="1">
      <c r="E14" s="149"/>
      <c r="F14" s="137" t="s">
        <v>436</v>
      </c>
      <c r="G14" s="138"/>
      <c r="H14" s="138"/>
      <c r="I14" s="139"/>
      <c r="V14" s="111"/>
      <c r="W14" s="121"/>
      <c r="Y14" s="56"/>
      <c r="AD14" s="56"/>
      <c r="AE14" s="56"/>
      <c r="AF14" s="78">
        <f>COUNTIFS(Tableau2[APRS],"X",Tableau2[1/1],"AM")+COUNTIFS(Tableau2[APRS],"X",Tableau2[1/1],"PM")</f>
        <v>0</v>
      </c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8"/>
      <c r="EL14" s="78"/>
      <c r="EM14" s="78"/>
      <c r="EN14" s="78"/>
      <c r="EO14" s="78"/>
      <c r="EP14" s="78"/>
      <c r="EQ14" s="78"/>
      <c r="ER14" s="78"/>
      <c r="ES14" s="78"/>
      <c r="ET14" s="78"/>
      <c r="EU14" s="78"/>
      <c r="EV14" s="78"/>
      <c r="EW14" s="78"/>
      <c r="EX14" s="78"/>
      <c r="EY14" s="78"/>
      <c r="EZ14" s="78"/>
      <c r="FA14" s="78"/>
      <c r="FB14" s="78"/>
      <c r="FC14" s="78"/>
      <c r="FD14" s="78"/>
      <c r="FE14" s="78"/>
      <c r="FF14" s="78"/>
      <c r="FG14" s="78"/>
      <c r="FH14" s="78"/>
      <c r="FI14" s="78"/>
      <c r="FJ14" s="78"/>
      <c r="FK14" s="78"/>
      <c r="FL14" s="78"/>
      <c r="FM14" s="78"/>
      <c r="FN14" s="78"/>
      <c r="FO14" s="78"/>
      <c r="FP14" s="78"/>
      <c r="FQ14" s="78"/>
      <c r="FR14" s="78"/>
      <c r="FS14" s="78"/>
      <c r="FT14" s="78"/>
      <c r="FU14" s="78"/>
      <c r="FV14" s="78"/>
      <c r="FW14" s="78"/>
      <c r="FX14" s="78"/>
      <c r="FY14" s="78"/>
      <c r="FZ14" s="78"/>
      <c r="GA14" s="78"/>
      <c r="GB14" s="78"/>
      <c r="GC14" s="78"/>
      <c r="GD14" s="78"/>
      <c r="GE14" s="78"/>
      <c r="GF14" s="78"/>
      <c r="GG14" s="78"/>
      <c r="GH14" s="78"/>
      <c r="GI14" s="78"/>
      <c r="GJ14" s="78"/>
      <c r="GK14" s="78"/>
      <c r="GL14" s="78"/>
      <c r="GM14" s="78"/>
      <c r="GN14" s="78"/>
      <c r="GO14" s="78"/>
      <c r="GP14" s="78"/>
      <c r="GQ14" s="78"/>
      <c r="GR14" s="78"/>
      <c r="GS14" s="78"/>
      <c r="GT14" s="78"/>
      <c r="GU14" s="78"/>
      <c r="GV14" s="78"/>
      <c r="GW14" s="78"/>
      <c r="GX14" s="78"/>
      <c r="GY14" s="78"/>
      <c r="GZ14" s="78"/>
      <c r="HA14" s="78"/>
      <c r="HB14" s="78"/>
      <c r="HC14" s="78"/>
      <c r="HD14" s="78"/>
      <c r="HE14" s="78"/>
      <c r="HF14" s="78"/>
      <c r="HG14" s="78"/>
      <c r="HH14" s="78"/>
      <c r="HI14" s="78"/>
      <c r="HJ14" s="78"/>
      <c r="HK14" s="78"/>
      <c r="HL14" s="78"/>
      <c r="HM14" s="78"/>
      <c r="HN14" s="78"/>
      <c r="HO14" s="78"/>
      <c r="HP14" s="78"/>
      <c r="HQ14" s="78"/>
      <c r="HR14" s="78"/>
      <c r="HS14" s="78"/>
      <c r="HT14" s="78"/>
      <c r="HU14" s="78"/>
      <c r="HV14" s="78"/>
      <c r="HW14" s="78"/>
      <c r="HX14" s="78"/>
      <c r="HY14" s="78"/>
      <c r="HZ14" s="78"/>
      <c r="IA14" s="78"/>
      <c r="IB14" s="78"/>
      <c r="IC14" s="78"/>
      <c r="ID14" s="78"/>
      <c r="IE14" s="78"/>
      <c r="IF14" s="78"/>
      <c r="IG14" s="78"/>
      <c r="IH14" s="78"/>
      <c r="II14" s="78"/>
      <c r="IJ14" s="78"/>
      <c r="IK14" s="78"/>
      <c r="IL14" s="78"/>
      <c r="IM14" s="78"/>
      <c r="IN14" s="78"/>
      <c r="IO14" s="78"/>
      <c r="IP14" s="78"/>
      <c r="IQ14" s="78"/>
      <c r="IR14" s="78"/>
      <c r="IS14" s="78"/>
      <c r="IT14" s="78"/>
      <c r="IU14" s="78"/>
      <c r="IV14" s="78"/>
      <c r="IW14" s="78"/>
      <c r="IX14" s="78"/>
      <c r="IY14" s="78"/>
      <c r="IZ14" s="78"/>
      <c r="JA14" s="78"/>
      <c r="JB14" s="78"/>
      <c r="JC14" s="78"/>
      <c r="JD14" s="78"/>
      <c r="JE14" s="78"/>
      <c r="JF14" s="78"/>
      <c r="JG14" s="78"/>
      <c r="JH14" s="78"/>
      <c r="JI14" s="78"/>
      <c r="JJ14" s="78"/>
      <c r="JK14" s="78"/>
      <c r="JL14" s="78"/>
      <c r="JM14" s="78"/>
      <c r="JN14" s="78"/>
      <c r="JO14" s="78"/>
      <c r="JP14" s="78"/>
      <c r="JQ14" s="78"/>
      <c r="JR14" s="78"/>
      <c r="JS14" s="78"/>
      <c r="JT14" s="78"/>
      <c r="JU14" s="78"/>
      <c r="JV14" s="78"/>
      <c r="JW14" s="78"/>
      <c r="JX14" s="78"/>
      <c r="JY14" s="78"/>
      <c r="JZ14" s="78"/>
      <c r="KA14" s="78"/>
      <c r="KB14" s="78"/>
      <c r="KC14" s="78"/>
      <c r="KD14" s="78"/>
      <c r="KE14" s="78"/>
      <c r="KF14" s="78"/>
      <c r="KG14" s="78"/>
      <c r="KH14" s="78"/>
      <c r="KI14" s="78"/>
      <c r="KJ14" s="78"/>
      <c r="KK14" s="78"/>
      <c r="KL14" s="78"/>
      <c r="KM14" s="78"/>
      <c r="KN14" s="78"/>
      <c r="KO14" s="78"/>
      <c r="KP14" s="78"/>
      <c r="KQ14" s="78"/>
      <c r="KR14" s="78"/>
      <c r="KS14" s="78"/>
      <c r="KT14" s="78"/>
      <c r="KU14" s="78"/>
      <c r="KV14" s="78"/>
      <c r="KW14" s="78"/>
      <c r="KX14" s="78"/>
      <c r="KY14" s="78"/>
      <c r="KZ14" s="78"/>
      <c r="LA14" s="78"/>
      <c r="LB14" s="78"/>
      <c r="LC14" s="78"/>
      <c r="LD14" s="78"/>
      <c r="LE14" s="78"/>
      <c r="LF14" s="78"/>
      <c r="LG14" s="78"/>
      <c r="LH14" s="78"/>
      <c r="LI14" s="78"/>
      <c r="LJ14" s="78"/>
      <c r="LK14" s="78"/>
      <c r="LL14" s="78"/>
      <c r="LM14" s="78"/>
      <c r="LN14" s="78"/>
      <c r="LO14" s="78"/>
      <c r="LP14" s="78"/>
      <c r="LQ14" s="78"/>
      <c r="LR14" s="78"/>
      <c r="LS14" s="78"/>
      <c r="LT14" s="78"/>
      <c r="LU14" s="78"/>
      <c r="LV14" s="78"/>
      <c r="LW14" s="78"/>
      <c r="LX14" s="78"/>
      <c r="LY14" s="78"/>
      <c r="LZ14" s="78"/>
      <c r="MA14" s="78"/>
      <c r="MB14" s="78"/>
      <c r="MC14" s="78"/>
      <c r="MD14" s="78"/>
      <c r="ME14" s="78"/>
      <c r="MF14" s="78"/>
      <c r="MG14" s="78"/>
      <c r="MH14" s="78"/>
      <c r="MI14" s="78"/>
      <c r="MJ14" s="78"/>
      <c r="MK14" s="78"/>
      <c r="ML14" s="78"/>
      <c r="MM14" s="78"/>
      <c r="MN14" s="78"/>
      <c r="MO14" s="78"/>
      <c r="MP14" s="78"/>
      <c r="MQ14" s="78"/>
      <c r="MR14" s="78"/>
      <c r="MS14" s="78"/>
      <c r="MT14" s="78"/>
      <c r="MU14" s="78"/>
      <c r="MV14" s="78"/>
      <c r="MW14" s="78"/>
      <c r="MX14" s="78"/>
      <c r="MY14" s="78"/>
      <c r="MZ14" s="78"/>
      <c r="NA14" s="78"/>
      <c r="NB14" s="78"/>
      <c r="NC14" s="78"/>
      <c r="ND14" s="78"/>
      <c r="NE14" s="78"/>
      <c r="NF14" s="78"/>
      <c r="NG14" s="78"/>
      <c r="NH14" s="78"/>
      <c r="NI14" s="78"/>
      <c r="NJ14" s="78"/>
      <c r="NK14" s="78"/>
      <c r="NL14" s="78"/>
      <c r="NM14" s="78"/>
      <c r="NN14" s="78"/>
      <c r="NO14" s="78"/>
      <c r="NP14" s="78"/>
      <c r="NQ14" s="78"/>
      <c r="NR14" s="78"/>
      <c r="NS14" s="78"/>
      <c r="NT14" s="78"/>
      <c r="NU14" s="78"/>
      <c r="NV14" s="78"/>
      <c r="NW14" s="78"/>
      <c r="NX14" s="78"/>
      <c r="NY14" s="78"/>
      <c r="NZ14" s="78"/>
      <c r="OA14" s="78"/>
      <c r="OB14" s="78"/>
      <c r="OC14" s="78"/>
      <c r="OD14" s="78"/>
      <c r="OE14" s="78"/>
      <c r="OF14" s="78"/>
      <c r="OG14" s="55"/>
      <c r="OH14" s="55"/>
      <c r="OI14" s="55"/>
    </row>
    <row r="15" spans="1:399" s="9" customFormat="1" ht="10.5" customHeight="1">
      <c r="E15" s="149"/>
      <c r="F15" s="140" t="s">
        <v>437</v>
      </c>
      <c r="G15" s="141"/>
      <c r="H15" s="141"/>
      <c r="I15" s="142"/>
      <c r="V15" s="111"/>
      <c r="W15" s="121"/>
      <c r="AD15" s="56"/>
      <c r="AE15" s="56"/>
      <c r="AF15" s="77">
        <f>COUNTIFS(Tableau2[APRS],"",Tableau2[1/1],"AM")+COUNTIFS(Tableau2[APRS],"",Tableau2[1/1],"PM")</f>
        <v>0</v>
      </c>
      <c r="AG15" s="77"/>
      <c r="AH15" s="77"/>
      <c r="AI15" s="77"/>
      <c r="AJ15" s="77"/>
      <c r="AK15" s="77"/>
      <c r="AL15" s="77"/>
      <c r="AM15" s="77"/>
      <c r="AN15" s="77"/>
      <c r="AO15" s="77"/>
      <c r="AP15" s="77"/>
      <c r="AQ15" s="77"/>
      <c r="AR15" s="77"/>
      <c r="AS15" s="77"/>
      <c r="AT15" s="77"/>
      <c r="AU15" s="77"/>
      <c r="AV15" s="77"/>
      <c r="AW15" s="77"/>
      <c r="AX15" s="77"/>
      <c r="AY15" s="77"/>
      <c r="AZ15" s="77"/>
      <c r="BA15" s="77"/>
      <c r="BB15" s="77"/>
      <c r="BC15" s="77"/>
      <c r="BD15" s="77"/>
      <c r="BE15" s="77"/>
      <c r="BF15" s="77"/>
      <c r="BG15" s="77"/>
      <c r="BH15" s="77"/>
      <c r="BI15" s="77"/>
      <c r="BJ15" s="77"/>
      <c r="BK15" s="77"/>
      <c r="BL15" s="77"/>
      <c r="BM15" s="77"/>
      <c r="BN15" s="77"/>
      <c r="BO15" s="77"/>
      <c r="BP15" s="77"/>
      <c r="BQ15" s="77"/>
      <c r="BR15" s="77"/>
      <c r="BS15" s="77"/>
      <c r="BT15" s="77"/>
      <c r="BU15" s="77"/>
      <c r="BV15" s="77"/>
      <c r="BW15" s="77"/>
      <c r="BX15" s="77"/>
      <c r="BY15" s="77"/>
      <c r="BZ15" s="77"/>
      <c r="CA15" s="77"/>
      <c r="CB15" s="77"/>
      <c r="CC15" s="77"/>
      <c r="CD15" s="77"/>
      <c r="CE15" s="77"/>
      <c r="CF15" s="77"/>
      <c r="CG15" s="77"/>
      <c r="CH15" s="77"/>
      <c r="CI15" s="77"/>
      <c r="CJ15" s="77"/>
      <c r="CK15" s="77"/>
      <c r="CL15" s="77"/>
      <c r="CM15" s="77"/>
      <c r="CN15" s="77"/>
      <c r="CO15" s="77"/>
      <c r="CP15" s="77"/>
      <c r="CQ15" s="77"/>
      <c r="CR15" s="77"/>
      <c r="CS15" s="77"/>
      <c r="CT15" s="77"/>
      <c r="CU15" s="77"/>
      <c r="CV15" s="77"/>
      <c r="CW15" s="77"/>
      <c r="CX15" s="77"/>
      <c r="CY15" s="77"/>
      <c r="CZ15" s="77"/>
      <c r="DA15" s="77"/>
      <c r="DB15" s="77"/>
      <c r="DC15" s="77"/>
      <c r="DD15" s="77"/>
      <c r="DE15" s="77"/>
      <c r="DF15" s="77"/>
      <c r="DG15" s="77"/>
      <c r="DH15" s="77"/>
      <c r="DI15" s="77"/>
      <c r="DJ15" s="77"/>
      <c r="DK15" s="77"/>
      <c r="DL15" s="77"/>
      <c r="DM15" s="77"/>
      <c r="DN15" s="77"/>
      <c r="DO15" s="77"/>
      <c r="DP15" s="77"/>
      <c r="DQ15" s="77"/>
      <c r="DR15" s="77"/>
      <c r="DS15" s="77"/>
      <c r="DT15" s="77"/>
      <c r="DU15" s="77"/>
      <c r="DV15" s="77"/>
      <c r="DW15" s="77"/>
      <c r="DX15" s="77"/>
      <c r="DY15" s="77"/>
      <c r="DZ15" s="77"/>
      <c r="EA15" s="77"/>
      <c r="EB15" s="77"/>
      <c r="EC15" s="77"/>
      <c r="ED15" s="77"/>
      <c r="EE15" s="77"/>
      <c r="EF15" s="77"/>
      <c r="EG15" s="77"/>
      <c r="EH15" s="77"/>
      <c r="EI15" s="77"/>
      <c r="EJ15" s="77"/>
      <c r="EK15" s="77"/>
      <c r="EL15" s="77"/>
      <c r="EM15" s="77"/>
      <c r="EN15" s="77"/>
      <c r="EO15" s="77"/>
      <c r="EP15" s="77"/>
      <c r="EQ15" s="77"/>
      <c r="ER15" s="77"/>
      <c r="ES15" s="77"/>
      <c r="ET15" s="77"/>
      <c r="EU15" s="77"/>
      <c r="EV15" s="77"/>
      <c r="EW15" s="77"/>
      <c r="EX15" s="77"/>
      <c r="EY15" s="77"/>
      <c r="EZ15" s="77"/>
      <c r="FA15" s="77"/>
      <c r="FB15" s="77"/>
      <c r="FC15" s="77"/>
      <c r="FD15" s="77"/>
      <c r="FE15" s="77"/>
      <c r="FF15" s="77"/>
      <c r="FG15" s="77"/>
      <c r="FH15" s="77"/>
      <c r="FI15" s="77"/>
      <c r="FJ15" s="77"/>
      <c r="FK15" s="77"/>
      <c r="FL15" s="77"/>
      <c r="FM15" s="77"/>
      <c r="FN15" s="77"/>
      <c r="FO15" s="77"/>
      <c r="FP15" s="77"/>
      <c r="FQ15" s="77"/>
      <c r="FR15" s="77"/>
      <c r="FS15" s="77"/>
      <c r="FT15" s="77"/>
      <c r="FU15" s="77"/>
      <c r="FV15" s="77"/>
      <c r="FW15" s="77"/>
      <c r="FX15" s="77"/>
      <c r="FY15" s="77"/>
      <c r="FZ15" s="77"/>
      <c r="GA15" s="77"/>
      <c r="GB15" s="77"/>
      <c r="GC15" s="77"/>
      <c r="GD15" s="77"/>
      <c r="GE15" s="77"/>
      <c r="GF15" s="77"/>
      <c r="GG15" s="77"/>
      <c r="GH15" s="77"/>
      <c r="GI15" s="77"/>
      <c r="GJ15" s="77"/>
      <c r="GK15" s="77"/>
      <c r="GL15" s="77"/>
      <c r="GM15" s="77"/>
      <c r="GN15" s="77"/>
      <c r="GO15" s="77"/>
      <c r="GP15" s="77"/>
      <c r="GQ15" s="77"/>
      <c r="GR15" s="77"/>
      <c r="GS15" s="77"/>
      <c r="GT15" s="77"/>
      <c r="GU15" s="77"/>
      <c r="GV15" s="77"/>
      <c r="GW15" s="77"/>
      <c r="GX15" s="77"/>
      <c r="GY15" s="77"/>
      <c r="GZ15" s="77"/>
      <c r="HA15" s="77"/>
      <c r="HB15" s="77"/>
      <c r="HC15" s="77"/>
      <c r="HD15" s="77"/>
      <c r="HE15" s="77"/>
      <c r="HF15" s="77"/>
      <c r="HG15" s="77"/>
      <c r="HH15" s="77"/>
      <c r="HI15" s="77"/>
      <c r="HJ15" s="77"/>
      <c r="HK15" s="77"/>
      <c r="HL15" s="77"/>
      <c r="HM15" s="77"/>
      <c r="HN15" s="77"/>
      <c r="HO15" s="77"/>
      <c r="HP15" s="77"/>
      <c r="HQ15" s="77"/>
      <c r="HR15" s="77"/>
      <c r="HS15" s="77"/>
      <c r="HT15" s="77"/>
      <c r="HU15" s="77"/>
      <c r="HV15" s="77"/>
      <c r="HW15" s="77"/>
      <c r="HX15" s="77"/>
      <c r="HY15" s="77"/>
      <c r="HZ15" s="77"/>
      <c r="IA15" s="77"/>
      <c r="IB15" s="77"/>
      <c r="IC15" s="77"/>
      <c r="ID15" s="77"/>
      <c r="IE15" s="77"/>
      <c r="IF15" s="77"/>
      <c r="IG15" s="77"/>
      <c r="IH15" s="77"/>
      <c r="II15" s="77"/>
      <c r="IJ15" s="77"/>
      <c r="IK15" s="77"/>
      <c r="IL15" s="77"/>
      <c r="IM15" s="77"/>
      <c r="IN15" s="77"/>
      <c r="IO15" s="77"/>
      <c r="IP15" s="77"/>
      <c r="IQ15" s="77"/>
      <c r="IR15" s="77"/>
      <c r="IS15" s="77"/>
      <c r="IT15" s="77"/>
      <c r="IU15" s="77"/>
      <c r="IV15" s="77"/>
      <c r="IW15" s="77"/>
      <c r="IX15" s="77"/>
      <c r="IY15" s="77"/>
      <c r="IZ15" s="77"/>
      <c r="JA15" s="77"/>
      <c r="JB15" s="77"/>
      <c r="JC15" s="77"/>
      <c r="JD15" s="77"/>
      <c r="JE15" s="77"/>
      <c r="JF15" s="77"/>
      <c r="JG15" s="77"/>
      <c r="JH15" s="77"/>
      <c r="JI15" s="77"/>
      <c r="JJ15" s="77"/>
      <c r="JK15" s="77"/>
      <c r="JL15" s="77"/>
      <c r="JM15" s="77"/>
      <c r="JN15" s="77"/>
      <c r="JO15" s="77"/>
      <c r="JP15" s="77"/>
      <c r="JQ15" s="77"/>
      <c r="JR15" s="77"/>
      <c r="JS15" s="77"/>
      <c r="JT15" s="77"/>
      <c r="JU15" s="77"/>
      <c r="JV15" s="77"/>
      <c r="JW15" s="77"/>
      <c r="JX15" s="77"/>
      <c r="JY15" s="77"/>
      <c r="JZ15" s="77"/>
      <c r="KA15" s="77"/>
      <c r="KB15" s="77"/>
      <c r="KC15" s="77"/>
      <c r="KD15" s="77"/>
      <c r="KE15" s="77"/>
      <c r="KF15" s="77"/>
      <c r="KG15" s="77"/>
      <c r="KH15" s="77"/>
      <c r="KI15" s="77"/>
      <c r="KJ15" s="77"/>
      <c r="KK15" s="77"/>
      <c r="KL15" s="77"/>
      <c r="KM15" s="77"/>
      <c r="KN15" s="77"/>
      <c r="KO15" s="77"/>
      <c r="KP15" s="77"/>
      <c r="KQ15" s="77"/>
      <c r="KR15" s="77"/>
      <c r="KS15" s="77"/>
      <c r="KT15" s="77"/>
      <c r="KU15" s="77"/>
      <c r="KV15" s="77"/>
      <c r="KW15" s="77"/>
      <c r="KX15" s="77"/>
      <c r="KY15" s="77"/>
      <c r="KZ15" s="77"/>
      <c r="LA15" s="77"/>
      <c r="LB15" s="77"/>
      <c r="LC15" s="77"/>
      <c r="LD15" s="77"/>
      <c r="LE15" s="77"/>
      <c r="LF15" s="77"/>
      <c r="LG15" s="77"/>
      <c r="LH15" s="77"/>
      <c r="LI15" s="77"/>
      <c r="LJ15" s="77"/>
      <c r="LK15" s="77"/>
      <c r="LL15" s="77"/>
      <c r="LM15" s="77"/>
      <c r="LN15" s="77"/>
      <c r="LO15" s="77"/>
      <c r="LP15" s="77"/>
      <c r="LQ15" s="77"/>
      <c r="LR15" s="77"/>
      <c r="LS15" s="77"/>
      <c r="LT15" s="77"/>
      <c r="LU15" s="77"/>
      <c r="LV15" s="77"/>
      <c r="LW15" s="77"/>
      <c r="LX15" s="77"/>
      <c r="LY15" s="77"/>
      <c r="LZ15" s="77"/>
      <c r="MA15" s="77"/>
      <c r="MB15" s="77"/>
      <c r="MC15" s="77"/>
      <c r="MD15" s="77"/>
      <c r="ME15" s="77"/>
      <c r="MF15" s="77"/>
      <c r="MG15" s="77"/>
      <c r="MH15" s="77"/>
      <c r="MI15" s="77"/>
      <c r="MJ15" s="77"/>
      <c r="MK15" s="77"/>
      <c r="ML15" s="77"/>
      <c r="MM15" s="77"/>
      <c r="MN15" s="77"/>
      <c r="MO15" s="77"/>
      <c r="MP15" s="77"/>
      <c r="MQ15" s="77"/>
      <c r="MR15" s="77"/>
      <c r="MS15" s="77"/>
      <c r="MT15" s="77"/>
      <c r="MU15" s="77"/>
      <c r="MV15" s="77"/>
      <c r="MW15" s="77"/>
      <c r="MX15" s="77"/>
      <c r="MY15" s="77"/>
      <c r="MZ15" s="77"/>
      <c r="NA15" s="77"/>
      <c r="NB15" s="77"/>
      <c r="NC15" s="77"/>
      <c r="ND15" s="77"/>
      <c r="NE15" s="77"/>
      <c r="NF15" s="77"/>
      <c r="NG15" s="77"/>
      <c r="NH15" s="77"/>
      <c r="NI15" s="77"/>
      <c r="NJ15" s="77"/>
      <c r="NK15" s="77"/>
      <c r="NL15" s="77"/>
      <c r="NM15" s="77"/>
      <c r="NN15" s="77"/>
      <c r="NO15" s="77"/>
      <c r="NP15" s="77"/>
      <c r="NQ15" s="77"/>
      <c r="NR15" s="77"/>
      <c r="NS15" s="77"/>
      <c r="NT15" s="77"/>
      <c r="NU15" s="77"/>
      <c r="NV15" s="77"/>
      <c r="NW15" s="77"/>
      <c r="NX15" s="77"/>
      <c r="NY15" s="77"/>
      <c r="NZ15" s="77"/>
      <c r="OA15" s="77"/>
      <c r="OB15" s="77"/>
      <c r="OC15" s="77"/>
      <c r="OD15" s="77"/>
      <c r="OE15" s="77"/>
      <c r="OF15" s="77"/>
      <c r="OG15" s="55"/>
      <c r="OH15" s="55"/>
      <c r="OI15" s="55"/>
    </row>
    <row r="16" spans="1:399" s="9" customFormat="1" ht="10.5" customHeight="1">
      <c r="V16" s="111"/>
      <c r="W16" s="121"/>
      <c r="AD16" s="56"/>
      <c r="AE16" s="56"/>
      <c r="AF16" s="80"/>
      <c r="AG16" s="81"/>
      <c r="AH16" s="80"/>
      <c r="AI16" s="80"/>
      <c r="AJ16" s="80"/>
      <c r="AK16" s="81"/>
      <c r="AL16" s="80"/>
      <c r="AM16" s="80"/>
      <c r="AN16" s="80"/>
      <c r="AO16" s="81"/>
      <c r="AP16" s="80"/>
      <c r="AQ16" s="80"/>
      <c r="AR16" s="80"/>
      <c r="AS16" s="81"/>
      <c r="AT16" s="80"/>
      <c r="AU16" s="80"/>
      <c r="AV16" s="80"/>
      <c r="AW16" s="81"/>
      <c r="AX16" s="80"/>
      <c r="AY16" s="80"/>
      <c r="AZ16" s="80"/>
      <c r="BA16" s="81"/>
      <c r="BB16" s="80"/>
      <c r="BC16" s="80"/>
      <c r="BD16" s="80"/>
      <c r="BE16" s="81"/>
      <c r="BF16" s="80"/>
      <c r="BG16" s="80"/>
      <c r="BH16" s="80"/>
      <c r="BI16" s="81"/>
      <c r="BJ16" s="80"/>
      <c r="BK16" s="80"/>
      <c r="BL16" s="80"/>
      <c r="BM16" s="81"/>
      <c r="BN16" s="80"/>
      <c r="BO16" s="80"/>
      <c r="BP16" s="80"/>
      <c r="BQ16" s="81"/>
      <c r="BR16" s="80"/>
      <c r="BS16" s="80"/>
      <c r="BT16" s="80"/>
      <c r="BU16" s="81"/>
      <c r="BV16" s="80"/>
      <c r="BW16" s="80"/>
      <c r="BX16" s="80"/>
      <c r="BY16" s="81"/>
      <c r="BZ16" s="80"/>
      <c r="CA16" s="80"/>
      <c r="CB16" s="80"/>
      <c r="CC16" s="81"/>
      <c r="CD16" s="80"/>
      <c r="CE16" s="80"/>
      <c r="CF16" s="80"/>
      <c r="CG16" s="81"/>
      <c r="CH16" s="80"/>
      <c r="CI16" s="80"/>
      <c r="CJ16" s="80"/>
      <c r="CK16" s="81"/>
      <c r="CL16" s="80"/>
      <c r="CM16" s="80"/>
      <c r="CN16" s="80"/>
      <c r="CO16" s="81"/>
      <c r="CP16" s="80"/>
      <c r="CQ16" s="80"/>
      <c r="CR16" s="80"/>
      <c r="CS16" s="81"/>
      <c r="CT16" s="80"/>
      <c r="CU16" s="80"/>
      <c r="CV16" s="80"/>
      <c r="CW16" s="81"/>
      <c r="CX16" s="80"/>
      <c r="CY16" s="80"/>
      <c r="CZ16" s="80"/>
      <c r="DA16" s="81"/>
      <c r="DB16" s="80"/>
      <c r="DC16" s="80"/>
      <c r="DD16" s="80"/>
      <c r="DE16" s="81"/>
      <c r="DF16" s="80"/>
      <c r="DG16" s="80"/>
      <c r="DH16" s="80"/>
      <c r="DI16" s="81"/>
      <c r="DJ16" s="80"/>
      <c r="DK16" s="80"/>
      <c r="DL16" s="80"/>
      <c r="DM16" s="81"/>
      <c r="DN16" s="80"/>
      <c r="DO16" s="80"/>
      <c r="DP16" s="80"/>
      <c r="DQ16" s="81"/>
      <c r="DR16" s="80"/>
      <c r="DS16" s="80"/>
      <c r="DT16" s="80"/>
      <c r="DU16" s="81"/>
      <c r="DV16" s="80"/>
      <c r="DW16" s="80"/>
      <c r="DX16" s="80"/>
      <c r="DY16" s="81"/>
      <c r="DZ16" s="80"/>
      <c r="EA16" s="80"/>
      <c r="EB16" s="80"/>
      <c r="EC16" s="81"/>
      <c r="ED16" s="80"/>
      <c r="EE16" s="80"/>
      <c r="EF16" s="80"/>
      <c r="EG16" s="81"/>
      <c r="EH16" s="80"/>
      <c r="EI16" s="80"/>
      <c r="EJ16" s="80"/>
      <c r="EK16" s="81"/>
      <c r="EL16" s="80"/>
      <c r="EM16" s="80"/>
      <c r="EN16" s="80"/>
      <c r="EO16" s="81"/>
      <c r="EP16" s="80"/>
      <c r="EQ16" s="80"/>
      <c r="ER16" s="80"/>
      <c r="ES16" s="81"/>
      <c r="ET16" s="80"/>
      <c r="EU16" s="80"/>
      <c r="EV16" s="80"/>
      <c r="EW16" s="81"/>
      <c r="EX16" s="80"/>
      <c r="EY16" s="80"/>
      <c r="EZ16" s="80"/>
      <c r="FA16" s="81"/>
      <c r="FB16" s="80"/>
      <c r="FC16" s="80"/>
      <c r="FD16" s="80"/>
      <c r="FE16" s="81"/>
      <c r="FF16" s="80"/>
      <c r="FG16" s="80"/>
      <c r="FH16" s="80"/>
      <c r="FI16" s="81"/>
      <c r="FJ16" s="80"/>
      <c r="FK16" s="80"/>
      <c r="FL16" s="80"/>
      <c r="FM16" s="81"/>
      <c r="FN16" s="80"/>
      <c r="FO16" s="80"/>
      <c r="FP16" s="80"/>
      <c r="FQ16" s="81"/>
      <c r="FR16" s="80"/>
      <c r="FS16" s="80"/>
      <c r="FT16" s="80"/>
      <c r="FU16" s="81"/>
      <c r="FV16" s="80"/>
      <c r="FW16" s="80"/>
      <c r="FX16" s="80"/>
      <c r="FY16" s="81"/>
      <c r="FZ16" s="80"/>
      <c r="GA16" s="80"/>
      <c r="GB16" s="80"/>
      <c r="GC16" s="81"/>
      <c r="GD16" s="80"/>
      <c r="GE16" s="80"/>
      <c r="GF16" s="80"/>
      <c r="GG16" s="81"/>
      <c r="GH16" s="80"/>
      <c r="GI16" s="80"/>
      <c r="GJ16" s="80"/>
      <c r="GK16" s="81"/>
      <c r="GL16" s="80"/>
      <c r="GM16" s="80"/>
      <c r="GN16" s="80"/>
      <c r="GO16" s="81"/>
      <c r="GP16" s="80"/>
      <c r="GQ16" s="80"/>
      <c r="GR16" s="80"/>
      <c r="GS16" s="81"/>
      <c r="GT16" s="80"/>
      <c r="GU16" s="80"/>
      <c r="GV16" s="80"/>
      <c r="GW16" s="81"/>
      <c r="GX16" s="80"/>
      <c r="GY16" s="80"/>
      <c r="GZ16" s="80"/>
      <c r="HA16" s="81"/>
      <c r="HB16" s="80"/>
      <c r="HC16" s="80"/>
      <c r="HD16" s="80"/>
      <c r="HE16" s="81"/>
      <c r="HF16" s="80"/>
      <c r="HG16" s="80"/>
      <c r="HH16" s="80"/>
      <c r="HI16" s="81"/>
      <c r="HJ16" s="80"/>
      <c r="HK16" s="80"/>
      <c r="HL16" s="80"/>
      <c r="HM16" s="81"/>
      <c r="HN16" s="80"/>
      <c r="HO16" s="80"/>
      <c r="HP16" s="80"/>
      <c r="HQ16" s="81"/>
      <c r="HR16" s="80"/>
      <c r="HS16" s="80"/>
      <c r="HT16" s="80"/>
      <c r="HU16" s="81"/>
      <c r="HV16" s="80"/>
      <c r="HW16" s="80"/>
      <c r="HX16" s="80"/>
      <c r="HY16" s="81"/>
      <c r="HZ16" s="80"/>
      <c r="IA16" s="80"/>
      <c r="IB16" s="80"/>
      <c r="IC16" s="81"/>
      <c r="ID16" s="80"/>
      <c r="IE16" s="80"/>
      <c r="IF16" s="80"/>
      <c r="IG16" s="81"/>
      <c r="IH16" s="80"/>
      <c r="II16" s="80"/>
      <c r="IJ16" s="80"/>
      <c r="IK16" s="81"/>
      <c r="IL16" s="80"/>
      <c r="IM16" s="80"/>
      <c r="IN16" s="80"/>
      <c r="IO16" s="81"/>
      <c r="IP16" s="80"/>
      <c r="IQ16" s="80"/>
      <c r="IR16" s="80"/>
      <c r="IS16" s="81"/>
      <c r="IT16" s="80"/>
      <c r="IU16" s="80"/>
      <c r="IV16" s="80"/>
      <c r="IW16" s="81"/>
      <c r="IX16" s="80"/>
      <c r="IY16" s="80"/>
      <c r="IZ16" s="80"/>
      <c r="JA16" s="81"/>
      <c r="JB16" s="80"/>
      <c r="JC16" s="80"/>
      <c r="JD16" s="80"/>
      <c r="JE16" s="81"/>
      <c r="JF16" s="80"/>
      <c r="JG16" s="80"/>
      <c r="JH16" s="80"/>
      <c r="JI16" s="81"/>
      <c r="JJ16" s="80"/>
      <c r="JK16" s="80"/>
      <c r="JL16" s="80"/>
      <c r="JM16" s="81"/>
      <c r="JN16" s="80"/>
      <c r="JO16" s="80"/>
      <c r="JP16" s="80"/>
      <c r="JQ16" s="81"/>
      <c r="JR16" s="80"/>
      <c r="JS16" s="80"/>
      <c r="JT16" s="80"/>
      <c r="JU16" s="81"/>
      <c r="JV16" s="80"/>
      <c r="JW16" s="80"/>
      <c r="JX16" s="80"/>
      <c r="JY16" s="81"/>
      <c r="JZ16" s="80"/>
      <c r="KA16" s="80"/>
      <c r="KB16" s="80"/>
      <c r="KC16" s="81"/>
      <c r="KD16" s="80"/>
      <c r="KE16" s="80"/>
      <c r="KF16" s="80"/>
      <c r="KG16" s="81"/>
      <c r="KH16" s="80"/>
      <c r="KI16" s="80"/>
      <c r="KJ16" s="80"/>
      <c r="KK16" s="81"/>
      <c r="KL16" s="80"/>
      <c r="KM16" s="80"/>
      <c r="KN16" s="80"/>
      <c r="KO16" s="81"/>
      <c r="KP16" s="80"/>
      <c r="KQ16" s="80"/>
      <c r="KR16" s="80"/>
      <c r="KS16" s="81"/>
      <c r="KT16" s="80"/>
      <c r="KU16" s="80"/>
      <c r="KV16" s="80"/>
      <c r="KW16" s="81"/>
      <c r="KX16" s="80"/>
      <c r="KY16" s="80"/>
      <c r="KZ16" s="80"/>
      <c r="LA16" s="81"/>
      <c r="LB16" s="80"/>
      <c r="LC16" s="80"/>
      <c r="LD16" s="80"/>
      <c r="LE16" s="81"/>
      <c r="LF16" s="80"/>
      <c r="LG16" s="80"/>
      <c r="LH16" s="80"/>
      <c r="LI16" s="81"/>
      <c r="LJ16" s="80"/>
      <c r="LK16" s="80"/>
      <c r="LL16" s="80"/>
      <c r="LM16" s="81"/>
      <c r="LN16" s="80"/>
      <c r="LO16" s="80"/>
      <c r="LP16" s="80"/>
      <c r="LQ16" s="81"/>
      <c r="LR16" s="80"/>
      <c r="LS16" s="80"/>
      <c r="LT16" s="80"/>
      <c r="LU16" s="81"/>
      <c r="LV16" s="80"/>
      <c r="LW16" s="80"/>
      <c r="LX16" s="80"/>
      <c r="LY16" s="81"/>
      <c r="LZ16" s="80"/>
      <c r="MA16" s="80"/>
      <c r="MB16" s="80"/>
      <c r="MC16" s="81"/>
      <c r="MD16" s="80"/>
      <c r="ME16" s="80"/>
      <c r="MF16" s="80"/>
      <c r="MG16" s="81"/>
      <c r="MH16" s="80"/>
      <c r="MI16" s="80"/>
      <c r="MJ16" s="80"/>
      <c r="MK16" s="81"/>
      <c r="ML16" s="80"/>
      <c r="MM16" s="80"/>
      <c r="MN16" s="80"/>
      <c r="MO16" s="81"/>
      <c r="MP16" s="80"/>
      <c r="MQ16" s="80"/>
      <c r="MR16" s="80"/>
      <c r="MS16" s="81"/>
      <c r="MT16" s="80"/>
      <c r="MU16" s="80"/>
      <c r="MV16" s="80"/>
      <c r="MW16" s="81"/>
      <c r="MX16" s="80"/>
      <c r="MY16" s="80"/>
      <c r="MZ16" s="80"/>
      <c r="NA16" s="81"/>
      <c r="NB16" s="80"/>
      <c r="NC16" s="80"/>
      <c r="ND16" s="80"/>
      <c r="NE16" s="81"/>
      <c r="NF16" s="80"/>
      <c r="NG16" s="80"/>
      <c r="NH16" s="80"/>
      <c r="NI16" s="81"/>
      <c r="NJ16" s="80"/>
      <c r="NK16" s="80"/>
      <c r="NL16" s="80"/>
      <c r="NM16" s="81"/>
      <c r="NN16" s="80"/>
      <c r="NO16" s="80"/>
      <c r="NP16" s="80"/>
      <c r="NQ16" s="81"/>
      <c r="NR16" s="80"/>
      <c r="NS16" s="80"/>
      <c r="NT16" s="80"/>
      <c r="NU16" s="81"/>
      <c r="NV16" s="80"/>
      <c r="NW16" s="80"/>
      <c r="NX16" s="80"/>
      <c r="NY16" s="81"/>
      <c r="NZ16" s="80"/>
      <c r="OA16" s="80"/>
      <c r="OB16" s="80"/>
      <c r="OC16" s="81"/>
      <c r="OD16" s="80"/>
      <c r="OE16" s="80"/>
      <c r="OF16" s="80"/>
      <c r="OG16" s="55"/>
      <c r="OH16" s="55"/>
      <c r="OI16" s="55"/>
    </row>
    <row r="17" spans="5:399" s="9" customFormat="1" ht="10.5" customHeight="1">
      <c r="E17" s="150" t="s">
        <v>438</v>
      </c>
      <c r="F17" s="134" t="s">
        <v>435</v>
      </c>
      <c r="G17" s="135"/>
      <c r="H17" s="135"/>
      <c r="I17" s="136"/>
      <c r="V17" s="111"/>
      <c r="W17" s="121"/>
      <c r="AD17" s="56"/>
      <c r="AE17" s="76"/>
      <c r="AF17" s="82">
        <f>COUNTIF(Tableau2[1/1],"A1")+COUNTIF(Tableau2[1/1],"a2")</f>
        <v>2</v>
      </c>
      <c r="AG17" s="82">
        <f>COUNTIF(Tableau2[2/1],"A1")+COUNTIF(Tableau2[2/1],"a2")</f>
        <v>1</v>
      </c>
      <c r="AH17" s="82">
        <f>COUNTIF(Tableau2[3/1],"A1")+COUNTIF(Tableau2[3/1],"a2")</f>
        <v>0</v>
      </c>
      <c r="AI17" s="82">
        <f>COUNTIF(Tableau2[4/1],"A1")+COUNTIF(Tableau2[4/1],"a2")</f>
        <v>0</v>
      </c>
      <c r="AJ17" s="82">
        <f>COUNTIF(Tableau2[5/1],"A1")+COUNTIF(Tableau2[5/1],"a2")</f>
        <v>0</v>
      </c>
      <c r="AK17" s="82">
        <f>COUNTIF(Tableau2[6/1],"A1")+COUNTIF(Tableau2[6/1],"a2")</f>
        <v>0</v>
      </c>
      <c r="AL17" s="82">
        <f>COUNTIF(Tableau2[7/1],"A1")+COUNTIF(Tableau2[7/1],"a2")</f>
        <v>0</v>
      </c>
      <c r="AM17" s="82">
        <f>COUNTIF(Tableau2[8/1],"A1")+COUNTIF(Tableau2[8/1],"a2")</f>
        <v>0</v>
      </c>
      <c r="AN17" s="82">
        <f>COUNTIF(Tableau2[9/1],"A1")+COUNTIF(Tableau2[9/1],"a2")</f>
        <v>0</v>
      </c>
      <c r="AO17" s="82">
        <f>COUNTIF(Tableau2[10/1],"A1")+COUNTIF(Tableau2[10/1],"a2")</f>
        <v>0</v>
      </c>
      <c r="AP17" s="82">
        <f>COUNTIF(Tableau2[11/1],"A1")+COUNTIF(Tableau2[11/1],"a2")</f>
        <v>0</v>
      </c>
      <c r="AQ17" s="82">
        <f>COUNTIF(Tableau2[12/1],"A1")+COUNTIF(Tableau2[12/1],"a2")</f>
        <v>0</v>
      </c>
      <c r="AR17" s="82">
        <f>COUNTIF(Tableau2[13/1],"A1")+COUNTIF(Tableau2[13/1],"a2")</f>
        <v>0</v>
      </c>
      <c r="AS17" s="82">
        <f>COUNTIF(Tableau2[14/1],"A1")+COUNTIF(Tableau2[14/1],"a2")</f>
        <v>0</v>
      </c>
      <c r="AT17" s="82">
        <f>COUNTIF(Tableau2[15/1],"A1")+COUNTIF(Tableau2[15/1],"a2")</f>
        <v>0</v>
      </c>
      <c r="AU17" s="82">
        <f>COUNTIF(Tableau2[16/1],"A1")+COUNTIF(Tableau2[16/1],"a2")</f>
        <v>0</v>
      </c>
      <c r="AV17" s="82">
        <f>COUNTIF(Tableau2[17/1],"A1")+COUNTIF(Tableau2[17/1],"a2")</f>
        <v>0</v>
      </c>
      <c r="AW17" s="82">
        <f>COUNTIF(Tableau2[18/1],"A1")+COUNTIF(Tableau2[18/1],"a2")</f>
        <v>0</v>
      </c>
      <c r="AX17" s="82">
        <f>COUNTIF(Tableau2[19/1],"A1")+COUNTIF(Tableau2[19/1],"a2")</f>
        <v>0</v>
      </c>
      <c r="AY17" s="82">
        <f>COUNTIF(Tableau2[20/1],"A1")+COUNTIF(Tableau2[20/1],"a2")</f>
        <v>0</v>
      </c>
      <c r="AZ17" s="82">
        <f>COUNTIF(Tableau2[21/1],"A1")+COUNTIF(Tableau2[21/1],"a2")</f>
        <v>0</v>
      </c>
      <c r="BA17" s="82">
        <f>COUNTIF(Tableau2[22/1],"A1")+COUNTIF(Tableau2[22/1],"a2")</f>
        <v>0</v>
      </c>
      <c r="BB17" s="82">
        <f>COUNTIF(Tableau2[23/1],"A1")+COUNTIF(Tableau2[23/1],"a2")</f>
        <v>0</v>
      </c>
      <c r="BC17" s="82">
        <f>COUNTIF(Tableau2[24/1],"A1")+COUNTIF(Tableau2[24/1],"a2")</f>
        <v>0</v>
      </c>
      <c r="BD17" s="82">
        <f>COUNTIF(Tableau2[25/1],"A1")+COUNTIF(Tableau2[25/1],"a2")</f>
        <v>0</v>
      </c>
      <c r="BE17" s="82">
        <f>COUNTIF(Tableau2[26/1],"A1")+COUNTIF(Tableau2[26/1],"a2")</f>
        <v>0</v>
      </c>
      <c r="BF17" s="82">
        <f>COUNTIF(Tableau2[27/1],"A1")+COUNTIF(Tableau2[27/1],"a2")</f>
        <v>0</v>
      </c>
      <c r="BG17" s="82">
        <f>COUNTIF(Tableau2[28/1],"A1")+COUNTIF(Tableau2[28/1],"a2")</f>
        <v>0</v>
      </c>
      <c r="BH17" s="82">
        <f>COUNTIF(Tableau2[29/1],"A1")+COUNTIF(Tableau2[29/1],"a2")</f>
        <v>0</v>
      </c>
      <c r="BI17" s="82">
        <f>COUNTIF(Tableau2[30/1],"A1")+COUNTIF(Tableau2[30/1],"a2")</f>
        <v>0</v>
      </c>
      <c r="BJ17" s="82">
        <f>COUNTIF(Tableau2[31/1],"A1")+COUNTIF(Tableau2[31/1],"a2")</f>
        <v>0</v>
      </c>
      <c r="BK17" s="82">
        <f>COUNTIF(Tableau2[1/2],"A1")+COUNTIF(Tableau2[1/2],"a2")</f>
        <v>0</v>
      </c>
      <c r="BL17" s="82">
        <f>COUNTIF(Tableau2[2/2],"A1")+COUNTIF(Tableau2[2/2],"a2")</f>
        <v>0</v>
      </c>
      <c r="BM17" s="82">
        <f>COUNTIF(Tableau2[3/2],"A1")+COUNTIF(Tableau2[3/2],"a2")</f>
        <v>0</v>
      </c>
      <c r="BN17" s="82">
        <f>COUNTIF(Tableau2[4/2],"A1")+COUNTIF(Tableau2[4/2],"a2")</f>
        <v>0</v>
      </c>
      <c r="BO17" s="82">
        <f>COUNTIF(Tableau2[5/2],"A1")+COUNTIF(Tableau2[5/2],"a2")</f>
        <v>0</v>
      </c>
      <c r="BP17" s="82">
        <f>COUNTIF(Tableau2[6/2],"A1")+COUNTIF(Tableau2[6/2],"a2")</f>
        <v>0</v>
      </c>
      <c r="BQ17" s="82">
        <f>COUNTIF(Tableau2[7/2],"A1")+COUNTIF(Tableau2[7/2],"a2")</f>
        <v>0</v>
      </c>
      <c r="BR17" s="82">
        <f>COUNTIF(Tableau2[8/2],"A1")+COUNTIF(Tableau2[8/2],"a2")</f>
        <v>0</v>
      </c>
      <c r="BS17" s="82">
        <f>COUNTIF(Tableau2[9/2],"A1")+COUNTIF(Tableau2[9/2],"a2")</f>
        <v>0</v>
      </c>
      <c r="BT17" s="82">
        <f>COUNTIF(Tableau2[10/2],"A1")+COUNTIF(Tableau2[10/2],"a2")</f>
        <v>0</v>
      </c>
      <c r="BU17" s="82">
        <f>COUNTIF(Tableau2[11/2],"A1")+COUNTIF(Tableau2[11/2],"a2")</f>
        <v>0</v>
      </c>
      <c r="BV17" s="82">
        <f>COUNTIF(Tableau2[12/2],"A1")+COUNTIF(Tableau2[12/2],"a2")</f>
        <v>0</v>
      </c>
      <c r="BW17" s="82">
        <f>COUNTIF(Tableau2[13/2],"A1")+COUNTIF(Tableau2[13/2],"a2")</f>
        <v>0</v>
      </c>
      <c r="BX17" s="82">
        <f>COUNTIF(Tableau2[14/2],"A1")+COUNTIF(Tableau2[14/2],"a2")</f>
        <v>0</v>
      </c>
      <c r="BY17" s="82">
        <f>COUNTIF(Tableau2[15/2],"A1")+COUNTIF(Tableau2[15/2],"a2")</f>
        <v>0</v>
      </c>
      <c r="BZ17" s="82">
        <f>COUNTIF(Tableau2[16/2],"A1")+COUNTIF(Tableau2[16/2],"a2")</f>
        <v>0</v>
      </c>
      <c r="CA17" s="82">
        <f>COUNTIF(Tableau2[17/2],"A1")+COUNTIF(Tableau2[17/2],"a2")</f>
        <v>0</v>
      </c>
      <c r="CB17" s="82">
        <f>COUNTIF(Tableau2[18/2],"A1")+COUNTIF(Tableau2[18/2],"a2")</f>
        <v>0</v>
      </c>
      <c r="CC17" s="82">
        <f>COUNTIF(Tableau2[19/2],"A1")+COUNTIF(Tableau2[19/2],"a2")</f>
        <v>0</v>
      </c>
      <c r="CD17" s="82">
        <f>COUNTIF(Tableau2[20/2],"A1")+COUNTIF(Tableau2[20/2],"a2")</f>
        <v>0</v>
      </c>
      <c r="CE17" s="82">
        <f>COUNTIF(Tableau2[21/2],"A1")+COUNTIF(Tableau2[21/2],"a2")</f>
        <v>0</v>
      </c>
      <c r="CF17" s="82">
        <f>COUNTIF(Tableau2[22/2],"A1")+COUNTIF(Tableau2[22/2],"a2")</f>
        <v>0</v>
      </c>
      <c r="CG17" s="82">
        <f>COUNTIF(Tableau2[23/2],"A1")+COUNTIF(Tableau2[23/2],"a2")</f>
        <v>0</v>
      </c>
      <c r="CH17" s="82">
        <f>COUNTIF(Tableau2[24/2],"A1")+COUNTIF(Tableau2[24/2],"a2")</f>
        <v>0</v>
      </c>
      <c r="CI17" s="82">
        <f>COUNTIF(Tableau2[25/2],"A1")+COUNTIF(Tableau2[25/2],"a2")</f>
        <v>0</v>
      </c>
      <c r="CJ17" s="82">
        <f>COUNTIF(Tableau2[26/2],"A1")+COUNTIF(Tableau2[26/2],"a2")</f>
        <v>0</v>
      </c>
      <c r="CK17" s="82">
        <f>COUNTIF(Tableau2[27/2],"A1")+COUNTIF(Tableau2[27/2],"a2")</f>
        <v>0</v>
      </c>
      <c r="CL17" s="82">
        <f>COUNTIF(Tableau2[28/2],"A1")+COUNTIF(Tableau2[28/2],"a2")</f>
        <v>0</v>
      </c>
      <c r="CM17" s="82">
        <f>COUNTIF(Tableau2[1/3],"A1")+COUNTIF(Tableau2[1/3],"a2")</f>
        <v>0</v>
      </c>
      <c r="CN17" s="82">
        <f>COUNTIF(Tableau2[2/3],"A1")+COUNTIF(Tableau2[2/3],"a2")</f>
        <v>0</v>
      </c>
      <c r="CO17" s="82">
        <f>COUNTIF(Tableau2[3/3],"A1")+COUNTIF(Tableau2[3/3],"a2")</f>
        <v>0</v>
      </c>
      <c r="CP17" s="82">
        <f>COUNTIF(Tableau2[4/3],"A1")+COUNTIF(Tableau2[4/3],"a2")</f>
        <v>0</v>
      </c>
      <c r="CQ17" s="82">
        <f>COUNTIF(Tableau2[5/3],"A1")+COUNTIF(Tableau2[5/3],"a2")</f>
        <v>0</v>
      </c>
      <c r="CR17" s="82">
        <f>COUNTIF(Tableau2[6/3],"A1")+COUNTIF(Tableau2[6/3],"a2")</f>
        <v>0</v>
      </c>
      <c r="CS17" s="82">
        <f>COUNTIF(Tableau2[7/3],"A1")+COUNTIF(Tableau2[7/3],"a2")</f>
        <v>0</v>
      </c>
      <c r="CT17" s="82">
        <f>COUNTIF(Tableau2[8/3],"A1")+COUNTIF(Tableau2[8/3],"a2")</f>
        <v>0</v>
      </c>
      <c r="CU17" s="82">
        <f>COUNTIF(Tableau2[9/3],"A1")+COUNTIF(Tableau2[9/3],"a2")</f>
        <v>0</v>
      </c>
      <c r="CV17" s="82">
        <f>COUNTIF(Tableau2[10/3],"A1")+COUNTIF(Tableau2[10/3],"a2")</f>
        <v>0</v>
      </c>
      <c r="CW17" s="82">
        <f>COUNTIF(Tableau2[11/3],"A1")+COUNTIF(Tableau2[11/3],"a2")</f>
        <v>0</v>
      </c>
      <c r="CX17" s="82">
        <f>COUNTIF(Tableau2[12/3],"A1")+COUNTIF(Tableau2[12/3],"a2")</f>
        <v>0</v>
      </c>
      <c r="CY17" s="82">
        <f>COUNTIF(Tableau2[13/3],"A1")+COUNTIF(Tableau2[13/3],"a2")</f>
        <v>0</v>
      </c>
      <c r="CZ17" s="82">
        <f>COUNTIF(Tableau2[14/3],"A1")+COUNTIF(Tableau2[14/3],"a2")</f>
        <v>0</v>
      </c>
      <c r="DA17" s="82">
        <f>COUNTIF(Tableau2[15/3],"A1")+COUNTIF(Tableau2[15/3],"a2")</f>
        <v>0</v>
      </c>
      <c r="DB17" s="82">
        <f>COUNTIF(Tableau2[16/3],"A1")+COUNTIF(Tableau2[16/3],"a2")</f>
        <v>0</v>
      </c>
      <c r="DC17" s="82">
        <f>COUNTIF(Tableau2[17/3],"A1")+COUNTIF(Tableau2[17/3],"a2")</f>
        <v>0</v>
      </c>
      <c r="DD17" s="82">
        <f>COUNTIF(Tableau2[18/3],"A1")+COUNTIF(Tableau2[18/3],"a2")</f>
        <v>0</v>
      </c>
      <c r="DE17" s="82">
        <f>COUNTIF(Tableau2[19/3],"A1")+COUNTIF(Tableau2[19/3],"a2")</f>
        <v>0</v>
      </c>
      <c r="DF17" s="82">
        <f>COUNTIF(Tableau2[20/3],"A1")+COUNTIF(Tableau2[20/3],"a2")</f>
        <v>0</v>
      </c>
      <c r="DG17" s="82">
        <f>COUNTIF(Tableau2[21/3],"A1")+COUNTIF(Tableau2[21/3],"a2")</f>
        <v>0</v>
      </c>
      <c r="DH17" s="82">
        <f>COUNTIF(Tableau2[22/3],"A1")+COUNTIF(Tableau2[22/3],"a2")</f>
        <v>0</v>
      </c>
      <c r="DI17" s="82">
        <f>COUNTIF(Tableau2[23/3],"A1")+COUNTIF(Tableau2[23/3],"a2")</f>
        <v>0</v>
      </c>
      <c r="DJ17" s="82">
        <f>COUNTIF(Tableau2[24/3],"A1")+COUNTIF(Tableau2[24/3],"a2")</f>
        <v>0</v>
      </c>
      <c r="DK17" s="82">
        <f>COUNTIF(Tableau2[25/3],"A1")+COUNTIF(Tableau2[25/3],"a2")</f>
        <v>0</v>
      </c>
      <c r="DL17" s="82">
        <f>COUNTIF(Tableau2[26/3],"A1")+COUNTIF(Tableau2[26/3],"a2")</f>
        <v>0</v>
      </c>
      <c r="DM17" s="82">
        <f>COUNTIF(Tableau2[27/3],"A1")+COUNTIF(Tableau2[27/3],"a2")</f>
        <v>0</v>
      </c>
      <c r="DN17" s="82">
        <f>COUNTIF(Tableau2[28/3],"A1")+COUNTIF(Tableau2[28/3],"a2")</f>
        <v>0</v>
      </c>
      <c r="DO17" s="82">
        <f>COUNTIF(Tableau2[29/3],"A1")+COUNTIF(Tableau2[29/3],"a2")</f>
        <v>0</v>
      </c>
      <c r="DP17" s="82">
        <f>COUNTIF(Tableau2[30/3],"A1")+COUNTIF(Tableau2[30/3],"a2")</f>
        <v>0</v>
      </c>
      <c r="DQ17" s="82">
        <f>COUNTIF(Tableau2[31/3],"A1")+COUNTIF(Tableau2[31/3],"a2")</f>
        <v>0</v>
      </c>
      <c r="DR17" s="82">
        <f>COUNTIF(Tableau2[1/4],"A1")+COUNTIF(Tableau2[1/4],"a2")</f>
        <v>0</v>
      </c>
      <c r="DS17" s="82">
        <f>COUNTIF(Tableau2[2/4],"A1")+COUNTIF(Tableau2[2/4],"a2")</f>
        <v>0</v>
      </c>
      <c r="DT17" s="82">
        <f>COUNTIF(Tableau2[3/4],"A1")+COUNTIF(Tableau2[3/4],"a2")</f>
        <v>0</v>
      </c>
      <c r="DU17" s="82">
        <f>COUNTIF(Tableau2[4/4],"A1")+COUNTIF(Tableau2[4/4],"a2")</f>
        <v>0</v>
      </c>
      <c r="DV17" s="82">
        <f>COUNTIF(Tableau2[5/4],"A1")+COUNTIF(Tableau2[5/4],"a2")</f>
        <v>0</v>
      </c>
      <c r="DW17" s="82">
        <f>COUNTIF(Tableau2[6/4],"A1")+COUNTIF(Tableau2[6/4],"a2")</f>
        <v>0</v>
      </c>
      <c r="DX17" s="82">
        <f>COUNTIF(Tableau2[7/4],"A1")+COUNTIF(Tableau2[7/4],"a2")</f>
        <v>0</v>
      </c>
      <c r="DY17" s="82">
        <f>COUNTIF(Tableau2[8/4],"A1")+COUNTIF(Tableau2[8/4],"a2")</f>
        <v>0</v>
      </c>
      <c r="DZ17" s="82">
        <f>COUNTIF(Tableau2[9/4],"A1")+COUNTIF(Tableau2[9/4],"a2")</f>
        <v>0</v>
      </c>
      <c r="EA17" s="82">
        <f>COUNTIF(Tableau2[10/4],"A1")+COUNTIF(Tableau2[10/4],"a2")</f>
        <v>0</v>
      </c>
      <c r="EB17" s="82">
        <f>COUNTIF(Tableau2[11/4],"A1")+COUNTIF(Tableau2[11/4],"a2")</f>
        <v>0</v>
      </c>
      <c r="EC17" s="82">
        <f>COUNTIF(Tableau2[12/4],"A1")+COUNTIF(Tableau2[12/4],"a2")</f>
        <v>0</v>
      </c>
      <c r="ED17" s="82">
        <f>COUNTIF(Tableau2[13/4],"A1")+COUNTIF(Tableau2[13/4],"a2")</f>
        <v>0</v>
      </c>
      <c r="EE17" s="82">
        <f>COUNTIF(Tableau2[14/4],"A1")+COUNTIF(Tableau2[14/4],"a2")</f>
        <v>0</v>
      </c>
      <c r="EF17" s="82">
        <f>COUNTIF(Tableau2[15/4],"A1")+COUNTIF(Tableau2[15/4],"a2")</f>
        <v>0</v>
      </c>
      <c r="EG17" s="82">
        <f>COUNTIF(Tableau2[16/4],"A1")+COUNTIF(Tableau2[16/4],"a2")</f>
        <v>0</v>
      </c>
      <c r="EH17" s="82">
        <f>COUNTIF(Tableau2[17/4],"A1")+COUNTIF(Tableau2[17/4],"a2")</f>
        <v>0</v>
      </c>
      <c r="EI17" s="82">
        <f>COUNTIF(Tableau2[18/4],"A1")+COUNTIF(Tableau2[18/4],"a2")</f>
        <v>0</v>
      </c>
      <c r="EJ17" s="82">
        <f>COUNTIF(Tableau2[19/4],"A1")+COUNTIF(Tableau2[19/4],"a2")</f>
        <v>0</v>
      </c>
      <c r="EK17" s="82">
        <f>COUNTIF(Tableau2[20/4],"A1")+COUNTIF(Tableau2[20/4],"a2")</f>
        <v>0</v>
      </c>
      <c r="EL17" s="82">
        <f>COUNTIF(Tableau2[21/4],"A1")+COUNTIF(Tableau2[21/4],"a2")</f>
        <v>0</v>
      </c>
      <c r="EM17" s="82">
        <f>COUNTIF(Tableau2[22/4],"A1")+COUNTIF(Tableau2[22/4],"a2")</f>
        <v>0</v>
      </c>
      <c r="EN17" s="82">
        <f>COUNTIF(Tableau2[23/4],"A1")+COUNTIF(Tableau2[23/4],"a2")</f>
        <v>0</v>
      </c>
      <c r="EO17" s="82">
        <f>COUNTIF(Tableau2[24/4],"A1")+COUNTIF(Tableau2[24/4],"a2")</f>
        <v>0</v>
      </c>
      <c r="EP17" s="82">
        <f>COUNTIF(Tableau2[25/4],"A1")+COUNTIF(Tableau2[25/4],"a2")</f>
        <v>0</v>
      </c>
      <c r="EQ17" s="82">
        <f>COUNTIF(Tableau2[26/4],"A1")+COUNTIF(Tableau2[26/4],"a2")</f>
        <v>0</v>
      </c>
      <c r="ER17" s="82">
        <f>COUNTIF(Tableau2[27/4],"A1")+COUNTIF(Tableau2[27/4],"a2")</f>
        <v>0</v>
      </c>
      <c r="ES17" s="82">
        <f>COUNTIF(Tableau2[28/4],"A1")+COUNTIF(Tableau2[28/4],"a2")</f>
        <v>0</v>
      </c>
      <c r="ET17" s="82">
        <f>COUNTIF(Tableau2[29/4],"A1")+COUNTIF(Tableau2[29/4],"a2")</f>
        <v>0</v>
      </c>
      <c r="EU17" s="82">
        <f>COUNTIF(Tableau2[30/4],"A1")+COUNTIF(Tableau2[30/4],"a2")</f>
        <v>0</v>
      </c>
      <c r="EV17" s="82">
        <f>COUNTIF(Tableau2[1/5],"A1")+COUNTIF(Tableau2[1/5],"a2")</f>
        <v>0</v>
      </c>
      <c r="EW17" s="82">
        <f>COUNTIF(Tableau2[2/5],"A1")+COUNTIF(Tableau2[2/5],"a2")</f>
        <v>0</v>
      </c>
      <c r="EX17" s="82">
        <f>COUNTIF(Tableau2[3/5],"A1")+COUNTIF(Tableau2[3/5],"a2")</f>
        <v>0</v>
      </c>
      <c r="EY17" s="82">
        <f>COUNTIF(Tableau2[4/5],"A1")+COUNTIF(Tableau2[4/5],"a2")</f>
        <v>0</v>
      </c>
      <c r="EZ17" s="82">
        <f>COUNTIF(Tableau2[5/5],"A1")+COUNTIF(Tableau2[5/5],"a2")</f>
        <v>0</v>
      </c>
      <c r="FA17" s="82">
        <f>COUNTIF(Tableau2[6/5],"A1")+COUNTIF(Tableau2[6/5],"a2")</f>
        <v>0</v>
      </c>
      <c r="FB17" s="82">
        <f>COUNTIF(Tableau2[7/5],"A1")+COUNTIF(Tableau2[7/5],"a2")</f>
        <v>0</v>
      </c>
      <c r="FC17" s="82">
        <f>COUNTIF(Tableau2[8/5],"A1")+COUNTIF(Tableau2[8/5],"a2")</f>
        <v>0</v>
      </c>
      <c r="FD17" s="82">
        <f>COUNTIF(Tableau2[9/5],"A1")+COUNTIF(Tableau2[9/5],"a2")</f>
        <v>0</v>
      </c>
      <c r="FE17" s="82">
        <f>COUNTIF(Tableau2[10/5],"A1")+COUNTIF(Tableau2[10/5],"a2")</f>
        <v>0</v>
      </c>
      <c r="FF17" s="82">
        <f>COUNTIF(Tableau2[11/5],"A1")+COUNTIF(Tableau2[11/5],"a2")</f>
        <v>0</v>
      </c>
      <c r="FG17" s="82">
        <f>COUNTIF(Tableau2[12/5],"A1")+COUNTIF(Tableau2[12/5],"a2")</f>
        <v>0</v>
      </c>
      <c r="FH17" s="82">
        <f>COUNTIF(Tableau2[13/5],"A1")+COUNTIF(Tableau2[13/5],"a2")</f>
        <v>0</v>
      </c>
      <c r="FI17" s="82">
        <f>COUNTIF(Tableau2[14/5],"A1")+COUNTIF(Tableau2[14/5],"a2")</f>
        <v>0</v>
      </c>
      <c r="FJ17" s="82">
        <f>COUNTIF(Tableau2[15/5],"A1")+COUNTIF(Tableau2[15/5],"a2")</f>
        <v>0</v>
      </c>
      <c r="FK17" s="82">
        <f>COUNTIF(Tableau2[16/5],"A1")+COUNTIF(Tableau2[16/5],"a2")</f>
        <v>0</v>
      </c>
      <c r="FL17" s="82">
        <f>COUNTIF(Tableau2[17/5],"A1")+COUNTIF(Tableau2[17/5],"a2")</f>
        <v>0</v>
      </c>
      <c r="FM17" s="82">
        <f>COUNTIF(Tableau2[18/5],"A1")+COUNTIF(Tableau2[18/5],"a2")</f>
        <v>0</v>
      </c>
      <c r="FN17" s="82">
        <f>COUNTIF(Tableau2[19/5],"A1")+COUNTIF(Tableau2[19/5],"a2")</f>
        <v>0</v>
      </c>
      <c r="FO17" s="82">
        <f>COUNTIF(Tableau2[20/5],"A1")+COUNTIF(Tableau2[20/5],"a2")</f>
        <v>0</v>
      </c>
      <c r="FP17" s="82">
        <f>COUNTIF(Tableau2[21/5],"A1")+COUNTIF(Tableau2[21/5],"a2")</f>
        <v>0</v>
      </c>
      <c r="FQ17" s="82">
        <f>COUNTIF(Tableau2[22/5],"A1")+COUNTIF(Tableau2[22/5],"a2")</f>
        <v>0</v>
      </c>
      <c r="FR17" s="82">
        <f>COUNTIF(Tableau2[23/5],"A1")+COUNTIF(Tableau2[23/5],"a2")</f>
        <v>0</v>
      </c>
      <c r="FS17" s="82">
        <f>COUNTIF(Tableau2[24/5],"A1")+COUNTIF(Tableau2[24/5],"a2")</f>
        <v>0</v>
      </c>
      <c r="FT17" s="82">
        <f>COUNTIF(Tableau2[25/5],"A1")+COUNTIF(Tableau2[25/5],"a2")</f>
        <v>0</v>
      </c>
      <c r="FU17" s="82">
        <f>COUNTIF(Tableau2[26/5],"A1")+COUNTIF(Tableau2[26/5],"a2")</f>
        <v>0</v>
      </c>
      <c r="FV17" s="82">
        <f>COUNTIF(Tableau2[27/5],"A1")+COUNTIF(Tableau2[27/5],"a2")</f>
        <v>0</v>
      </c>
      <c r="FW17" s="82">
        <f>COUNTIF(Tableau2[28/5],"A1")+COUNTIF(Tableau2[28/5],"a2")</f>
        <v>0</v>
      </c>
      <c r="FX17" s="82">
        <f>COUNTIF(Tableau2[29/5],"A1")+COUNTIF(Tableau2[29/5],"a2")</f>
        <v>0</v>
      </c>
      <c r="FY17" s="82">
        <f>COUNTIF(Tableau2[30/5],"A1")+COUNTIF(Tableau2[30/5],"a2")</f>
        <v>0</v>
      </c>
      <c r="FZ17" s="82">
        <f>COUNTIF(Tableau2[31/5],"A1")+COUNTIF(Tableau2[31/5],"a2")</f>
        <v>0</v>
      </c>
      <c r="GA17" s="82">
        <f>COUNTIF(Tableau2[1/6],"A1")+COUNTIF(Tableau2[1/6],"a2")</f>
        <v>0</v>
      </c>
      <c r="GB17" s="82">
        <f>COUNTIF(Tableau2[2/6],"A1")+COUNTIF(Tableau2[2/6],"a2")</f>
        <v>0</v>
      </c>
      <c r="GC17" s="82">
        <f>COUNTIF(Tableau2[3/6],"A1")+COUNTIF(Tableau2[3/6],"a2")</f>
        <v>0</v>
      </c>
      <c r="GD17" s="82">
        <f>COUNTIF(Tableau2[4/6],"A1")+COUNTIF(Tableau2[4/6],"a2")</f>
        <v>0</v>
      </c>
      <c r="GE17" s="82">
        <f>COUNTIF(Tableau2[5/6],"A1")+COUNTIF(Tableau2[5/6],"a2")</f>
        <v>0</v>
      </c>
      <c r="GF17" s="82">
        <f>COUNTIF(Tableau2[6/6],"A1")+COUNTIF(Tableau2[6/6],"a2")</f>
        <v>0</v>
      </c>
      <c r="GG17" s="82">
        <f>COUNTIF(Tableau2[7/6],"A1")+COUNTIF(Tableau2[7/6],"a2")</f>
        <v>0</v>
      </c>
      <c r="GH17" s="82">
        <f>COUNTIF(Tableau2[8/6],"A1")+COUNTIF(Tableau2[8/6],"a2")</f>
        <v>0</v>
      </c>
      <c r="GI17" s="82">
        <f>COUNTIF(Tableau2[9/6],"A1")+COUNTIF(Tableau2[9/6],"a2")</f>
        <v>0</v>
      </c>
      <c r="GJ17" s="82">
        <f>COUNTIF(Tableau2[10/6],"A1")+COUNTIF(Tableau2[10/6],"a2")</f>
        <v>0</v>
      </c>
      <c r="GK17" s="82">
        <f>COUNTIF(Tableau2[11/6],"A1")+COUNTIF(Tableau2[11/6],"a2")</f>
        <v>0</v>
      </c>
      <c r="GL17" s="82">
        <f>COUNTIF(Tableau2[12/6],"A1")+COUNTIF(Tableau2[12/6],"a2")</f>
        <v>0</v>
      </c>
      <c r="GM17" s="82">
        <f>COUNTIF(Tableau2[13/6],"A1")+COUNTIF(Tableau2[13/6],"a2")</f>
        <v>0</v>
      </c>
      <c r="GN17" s="82">
        <f>COUNTIF(Tableau2[14/6],"A1")+COUNTIF(Tableau2[14/6],"a2")</f>
        <v>0</v>
      </c>
      <c r="GO17" s="82">
        <f>COUNTIF(Tableau2[15/6],"A1")+COUNTIF(Tableau2[15/6],"a2")</f>
        <v>0</v>
      </c>
      <c r="GP17" s="82">
        <f>COUNTIF(Tableau2[16/6],"A1")+COUNTIF(Tableau2[16/6],"a2")</f>
        <v>0</v>
      </c>
      <c r="GQ17" s="82">
        <f>COUNTIF(Tableau2[17/6],"A1")+COUNTIF(Tableau2[17/6],"a2")</f>
        <v>0</v>
      </c>
      <c r="GR17" s="82">
        <f>COUNTIF(Tableau2[18/6],"A1")+COUNTIF(Tableau2[18/6],"a2")</f>
        <v>0</v>
      </c>
      <c r="GS17" s="82">
        <f>COUNTIF(Tableau2[19/6],"A1")+COUNTIF(Tableau2[19/6],"a2")</f>
        <v>0</v>
      </c>
      <c r="GT17" s="82">
        <f>COUNTIF(Tableau2[20/6],"A1")+COUNTIF(Tableau2[20/6],"a2")</f>
        <v>0</v>
      </c>
      <c r="GU17" s="82">
        <f>COUNTIF(Tableau2[21/6],"A1")+COUNTIF(Tableau2[21/6],"a2")</f>
        <v>0</v>
      </c>
      <c r="GV17" s="82">
        <f>COUNTIF(Tableau2[22/6],"A1")+COUNTIF(Tableau2[22/6],"a2")</f>
        <v>0</v>
      </c>
      <c r="GW17" s="82">
        <f>COUNTIF(Tableau2[23/6],"A1")+COUNTIF(Tableau2[23/6],"a2")</f>
        <v>0</v>
      </c>
      <c r="GX17" s="82">
        <f>COUNTIF(Tableau2[24/6],"A1")+COUNTIF(Tableau2[24/6],"a2")</f>
        <v>0</v>
      </c>
      <c r="GY17" s="82">
        <f>COUNTIF(Tableau2[25/6],"A1")+COUNTIF(Tableau2[25/6],"a2")</f>
        <v>0</v>
      </c>
      <c r="GZ17" s="82">
        <f>COUNTIF(Tableau2[26/6],"A1")+COUNTIF(Tableau2[26/6],"a2")</f>
        <v>0</v>
      </c>
      <c r="HA17" s="82">
        <f>COUNTIF(Tableau2[27/6],"A1")+COUNTIF(Tableau2[27/6],"a2")</f>
        <v>0</v>
      </c>
      <c r="HB17" s="82">
        <f>COUNTIF(Tableau2[28/6],"A1")+COUNTIF(Tableau2[28/6],"a2")</f>
        <v>0</v>
      </c>
      <c r="HC17" s="82">
        <f>COUNTIF(Tableau2[29/6],"A1")+COUNTIF(Tableau2[29/6],"a2")</f>
        <v>0</v>
      </c>
      <c r="HD17" s="82">
        <f>COUNTIF(Tableau2[30/6],"A1")+COUNTIF(Tableau2[30/6],"a2")</f>
        <v>0</v>
      </c>
      <c r="HE17" s="82">
        <f>COUNTIF(Tableau2[1/7],"A1")+COUNTIF(Tableau2[1/7],"a2")</f>
        <v>0</v>
      </c>
      <c r="HF17" s="82">
        <f>COUNTIF(Tableau2[2/7],"A1")+COUNTIF(Tableau2[2/7],"a2")</f>
        <v>0</v>
      </c>
      <c r="HG17" s="82">
        <f>COUNTIF(Tableau2[3/7],"A1")+COUNTIF(Tableau2[3/7],"a2")</f>
        <v>0</v>
      </c>
      <c r="HH17" s="82">
        <f>COUNTIF(Tableau2[4/7],"A1")+COUNTIF(Tableau2[4/7],"a2")</f>
        <v>0</v>
      </c>
      <c r="HI17" s="82">
        <f>COUNTIF(Tableau2[5/7],"A1")+COUNTIF(Tableau2[5/7],"a2")</f>
        <v>0</v>
      </c>
      <c r="HJ17" s="82">
        <f>COUNTIF(Tableau2[6/7],"A1")+COUNTIF(Tableau2[6/7],"a2")</f>
        <v>0</v>
      </c>
      <c r="HK17" s="82">
        <f>COUNTIF(Tableau2[7/7],"A1")+COUNTIF(Tableau2[7/7],"a2")</f>
        <v>0</v>
      </c>
      <c r="HL17" s="82">
        <f>COUNTIF(Tableau2[8/7],"A1")+COUNTIF(Tableau2[8/7],"a2")</f>
        <v>0</v>
      </c>
      <c r="HM17" s="82">
        <f>COUNTIF(Tableau2[9/7],"A1")+COUNTIF(Tableau2[9/7],"a2")</f>
        <v>0</v>
      </c>
      <c r="HN17" s="82">
        <f>COUNTIF(Tableau2[10/7],"A1")+COUNTIF(Tableau2[10/7],"a2")</f>
        <v>0</v>
      </c>
      <c r="HO17" s="82">
        <f>COUNTIF(Tableau2[11/7],"A1")+COUNTIF(Tableau2[11/7],"a2")</f>
        <v>0</v>
      </c>
      <c r="HP17" s="82">
        <f>COUNTIF(Tableau2[12/7],"A1")+COUNTIF(Tableau2[12/7],"a2")</f>
        <v>0</v>
      </c>
      <c r="HQ17" s="82">
        <f>COUNTIF(Tableau2[13/7],"A1")+COUNTIF(Tableau2[13/7],"a2")</f>
        <v>0</v>
      </c>
      <c r="HR17" s="82">
        <f>COUNTIF(Tableau2[14/7],"A1")+COUNTIF(Tableau2[14/7],"a2")</f>
        <v>0</v>
      </c>
      <c r="HS17" s="82">
        <f>COUNTIF(Tableau2[15/7],"A1")+COUNTIF(Tableau2[15/7],"a2")</f>
        <v>0</v>
      </c>
      <c r="HT17" s="82">
        <f>COUNTIF(Tableau2[16/7],"A1")+COUNTIF(Tableau2[16/7],"a2")</f>
        <v>0</v>
      </c>
      <c r="HU17" s="82">
        <f>COUNTIF(Tableau2[17/7],"A1")+COUNTIF(Tableau2[17/7],"a2")</f>
        <v>0</v>
      </c>
      <c r="HV17" s="82">
        <f>COUNTIF(Tableau2[18/7],"A1")+COUNTIF(Tableau2[18/7],"a2")</f>
        <v>0</v>
      </c>
      <c r="HW17" s="82">
        <f>COUNTIF(Tableau2[19/7],"A1")+COUNTIF(Tableau2[19/7],"a2")</f>
        <v>0</v>
      </c>
      <c r="HX17" s="82">
        <f>COUNTIF(Tableau2[20/7],"A1")+COUNTIF(Tableau2[20/7],"a2")</f>
        <v>0</v>
      </c>
      <c r="HY17" s="82">
        <f>COUNTIF(Tableau2[21/7],"A1")+COUNTIF(Tableau2[21/7],"a2")</f>
        <v>0</v>
      </c>
      <c r="HZ17" s="82">
        <f>COUNTIF(Tableau2[22/7],"A1")+COUNTIF(Tableau2[22/7],"a2")</f>
        <v>0</v>
      </c>
      <c r="IA17" s="82">
        <f>COUNTIF(Tableau2[23/7],"A1")+COUNTIF(Tableau2[23/7],"a2")</f>
        <v>0</v>
      </c>
      <c r="IB17" s="82">
        <f>COUNTIF(Tableau2[24/7],"A1")+COUNTIF(Tableau2[24/7],"a2")</f>
        <v>0</v>
      </c>
      <c r="IC17" s="82">
        <f>COUNTIF(Tableau2[25/7],"A1")+COUNTIF(Tableau2[25/7],"a2")</f>
        <v>0</v>
      </c>
      <c r="ID17" s="82">
        <f>COUNTIF(Tableau2[26/7],"A1")+COUNTIF(Tableau2[26/7],"a2")</f>
        <v>0</v>
      </c>
      <c r="IE17" s="82">
        <f>COUNTIF(Tableau2[27/7],"A1")+COUNTIF(Tableau2[27/7],"a2")</f>
        <v>0</v>
      </c>
      <c r="IF17" s="82">
        <f>COUNTIF(Tableau2[28/7],"A1")+COUNTIF(Tableau2[28/7],"a2")</f>
        <v>0</v>
      </c>
      <c r="IG17" s="82">
        <f>COUNTIF(Tableau2[29/7],"A1")+COUNTIF(Tableau2[29/7],"a2")</f>
        <v>0</v>
      </c>
      <c r="IH17" s="82">
        <f>COUNTIF(Tableau2[30/7],"A1")+COUNTIF(Tableau2[30/7],"a2")</f>
        <v>0</v>
      </c>
      <c r="II17" s="82">
        <f>COUNTIF(Tableau2[31/7],"A1")+COUNTIF(Tableau2[31/7],"a2")</f>
        <v>0</v>
      </c>
      <c r="IJ17" s="82">
        <f>COUNTIF(Tableau2[1/8],"A1")+COUNTIF(Tableau2[1/8],"a2")</f>
        <v>0</v>
      </c>
      <c r="IK17" s="82">
        <f>COUNTIF(Tableau2[2/8],"A1")+COUNTIF(Tableau2[2/8],"a2")</f>
        <v>0</v>
      </c>
      <c r="IL17" s="82">
        <f>COUNTIF(Tableau2[3/8],"A1")+COUNTIF(Tableau2[3/8],"a2")</f>
        <v>0</v>
      </c>
      <c r="IM17" s="82">
        <f>COUNTIF(Tableau2[4/8],"A1")+COUNTIF(Tableau2[4/8],"a2")</f>
        <v>0</v>
      </c>
      <c r="IN17" s="82">
        <f>COUNTIF(Tableau2[5/8],"A1")+COUNTIF(Tableau2[5/8],"a2")</f>
        <v>0</v>
      </c>
      <c r="IO17" s="82">
        <f>COUNTIF(Tableau2[6/8],"A1")+COUNTIF(Tableau2[6/8],"a2")</f>
        <v>0</v>
      </c>
      <c r="IP17" s="82">
        <f>COUNTIF(Tableau2[7/8],"A1")+COUNTIF(Tableau2[7/8],"a2")</f>
        <v>0</v>
      </c>
      <c r="IQ17" s="82">
        <f>COUNTIF(Tableau2[8/8],"A1")+COUNTIF(Tableau2[8/8],"a2")</f>
        <v>0</v>
      </c>
      <c r="IR17" s="82">
        <f>COUNTIF(Tableau2[9/8],"A1")+COUNTIF(Tableau2[9/8],"a2")</f>
        <v>0</v>
      </c>
      <c r="IS17" s="82">
        <f>COUNTIF(Tableau2[10/8],"A1")+COUNTIF(Tableau2[10/8],"a2")</f>
        <v>0</v>
      </c>
      <c r="IT17" s="82">
        <f>COUNTIF(Tableau2[11/8],"A1")+COUNTIF(Tableau2[11/8],"a2")</f>
        <v>0</v>
      </c>
      <c r="IU17" s="82">
        <f>COUNTIF(Tableau2[12/8],"A1")+COUNTIF(Tableau2[12/8],"a2")</f>
        <v>0</v>
      </c>
      <c r="IV17" s="82">
        <f>COUNTIF(Tableau2[13/8],"A1")+COUNTIF(Tableau2[13/8],"a2")</f>
        <v>0</v>
      </c>
      <c r="IW17" s="82">
        <f>COUNTIF(Tableau2[14/8],"A1")+COUNTIF(Tableau2[14/8],"a2")</f>
        <v>0</v>
      </c>
      <c r="IX17" s="82">
        <f>COUNTIF(Tableau2[15/8],"A1")+COUNTIF(Tableau2[15/8],"a2")</f>
        <v>0</v>
      </c>
      <c r="IY17" s="82">
        <f>COUNTIF(Tableau2[16/8],"A1")+COUNTIF(Tableau2[16/8],"a2")</f>
        <v>0</v>
      </c>
      <c r="IZ17" s="82">
        <f>COUNTIF(Tableau2[17/8],"A1")+COUNTIF(Tableau2[17/8],"a2")</f>
        <v>0</v>
      </c>
      <c r="JA17" s="82">
        <f>COUNTIF(Tableau2[18/8],"A1")+COUNTIF(Tableau2[18/8],"a2")</f>
        <v>0</v>
      </c>
      <c r="JB17" s="82">
        <f>COUNTIF(Tableau2[19/8],"A1")+COUNTIF(Tableau2[19/8],"a2")</f>
        <v>0</v>
      </c>
      <c r="JC17" s="82">
        <f>COUNTIF(Tableau2[20/8],"A1")+COUNTIF(Tableau2[20/8],"a2")</f>
        <v>0</v>
      </c>
      <c r="JD17" s="82">
        <f>COUNTIF(Tableau2[21/8],"A1")+COUNTIF(Tableau2[21/8],"a2")</f>
        <v>0</v>
      </c>
      <c r="JE17" s="82">
        <f>COUNTIF(Tableau2[22/8],"A1")+COUNTIF(Tableau2[22/8],"a2")</f>
        <v>0</v>
      </c>
      <c r="JF17" s="82">
        <f>COUNTIF(Tableau2[23/8],"A1")+COUNTIF(Tableau2[23/8],"a2")</f>
        <v>0</v>
      </c>
      <c r="JG17" s="82">
        <f>COUNTIF(Tableau2[24/8],"A1")+COUNTIF(Tableau2[24/8],"a2")</f>
        <v>0</v>
      </c>
      <c r="JH17" s="82">
        <f>COUNTIF(Tableau2[25/8],"A1")+COUNTIF(Tableau2[25/8],"a2")</f>
        <v>0</v>
      </c>
      <c r="JI17" s="82">
        <f>COUNTIF(Tableau2[26/8],"A1")+COUNTIF(Tableau2[26/8],"a2")</f>
        <v>0</v>
      </c>
      <c r="JJ17" s="82">
        <f>COUNTIF(Tableau2[27/8],"A1")+COUNTIF(Tableau2[27/8],"a2")</f>
        <v>0</v>
      </c>
      <c r="JK17" s="82">
        <f>COUNTIF(Tableau2[28/8],"A1")+COUNTIF(Tableau2[28/8],"a2")</f>
        <v>0</v>
      </c>
      <c r="JL17" s="82">
        <f>COUNTIF(Tableau2[29/8],"A1")+COUNTIF(Tableau2[29/8],"a2")</f>
        <v>0</v>
      </c>
      <c r="JM17" s="82">
        <f>COUNTIF(Tableau2[30/8],"A1")+COUNTIF(Tableau2[30/8],"a2")</f>
        <v>0</v>
      </c>
      <c r="JN17" s="82">
        <f>COUNTIF(Tableau2[31/8],"A1")+COUNTIF(Tableau2[31/8],"a2")</f>
        <v>0</v>
      </c>
      <c r="JO17" s="82">
        <f>COUNTIF(Tableau2[1/9],"A1")+COUNTIF(Tableau2[1/9],"a2")</f>
        <v>0</v>
      </c>
      <c r="JP17" s="82">
        <f>COUNTIF(Tableau2[2/9],"A1")+COUNTIF(Tableau2[2/9],"a2")</f>
        <v>0</v>
      </c>
      <c r="JQ17" s="82">
        <f>COUNTIF(Tableau2[3/9],"A1")+COUNTIF(Tableau2[3/9],"a2")</f>
        <v>0</v>
      </c>
      <c r="JR17" s="82">
        <f>COUNTIF(Tableau2[4/9],"A1")+COUNTIF(Tableau2[4/9],"a2")</f>
        <v>0</v>
      </c>
      <c r="JS17" s="82">
        <f>COUNTIF(Tableau2[5/9],"A1")+COUNTIF(Tableau2[5/9],"a2")</f>
        <v>0</v>
      </c>
      <c r="JT17" s="82">
        <f>COUNTIF(Tableau2[6/9],"A1")+COUNTIF(Tableau2[6/9],"a2")</f>
        <v>0</v>
      </c>
      <c r="JU17" s="82">
        <f>COUNTIF(Tableau2[7/9],"A1")+COUNTIF(Tableau2[7/9],"a2")</f>
        <v>0</v>
      </c>
      <c r="JV17" s="82">
        <f>COUNTIF(Tableau2[8/9],"A1")+COUNTIF(Tableau2[8/9],"a2")</f>
        <v>0</v>
      </c>
      <c r="JW17" s="82">
        <f>COUNTIF(Tableau2[9/9],"A1")+COUNTIF(Tableau2[9/9],"a2")</f>
        <v>0</v>
      </c>
      <c r="JX17" s="82">
        <f>COUNTIF(Tableau2[10/9],"A1")+COUNTIF(Tableau2[10/9],"a2")</f>
        <v>0</v>
      </c>
      <c r="JY17" s="82">
        <f>COUNTIF(Tableau2[11/9],"A1")+COUNTIF(Tableau2[11/9],"a2")</f>
        <v>0</v>
      </c>
      <c r="JZ17" s="82">
        <f>COUNTIF(Tableau2[12/9],"A1")+COUNTIF(Tableau2[12/9],"a2")</f>
        <v>0</v>
      </c>
      <c r="KA17" s="82">
        <f>COUNTIF(Tableau2[13/9],"A1")+COUNTIF(Tableau2[13/9],"a2")</f>
        <v>0</v>
      </c>
      <c r="KB17" s="82">
        <f>COUNTIF(Tableau2[14/9],"A1")+COUNTIF(Tableau2[14/9],"a2")</f>
        <v>0</v>
      </c>
      <c r="KC17" s="82">
        <f>COUNTIF(Tableau2[15/9],"A1")+COUNTIF(Tableau2[15/9],"a2")</f>
        <v>0</v>
      </c>
      <c r="KD17" s="82">
        <f>COUNTIF(Tableau2[16/9],"A1")+COUNTIF(Tableau2[16/9],"a2")</f>
        <v>0</v>
      </c>
      <c r="KE17" s="82">
        <f>COUNTIF(Tableau2[17/9],"A1")+COUNTIF(Tableau2[17/9],"a2")</f>
        <v>0</v>
      </c>
      <c r="KF17" s="82">
        <f>COUNTIF(Tableau2[18/9],"A1")+COUNTIF(Tableau2[18/9],"a2")</f>
        <v>0</v>
      </c>
      <c r="KG17" s="82">
        <f>COUNTIF(Tableau2[19/9],"A1")+COUNTIF(Tableau2[19/9],"a2")</f>
        <v>0</v>
      </c>
      <c r="KH17" s="82">
        <f>COUNTIF(Tableau2[20/9],"A1")+COUNTIF(Tableau2[20/9],"a2")</f>
        <v>0</v>
      </c>
      <c r="KI17" s="82">
        <f>COUNTIF(Tableau2[21/9],"A1")+COUNTIF(Tableau2[21/9],"a2")</f>
        <v>0</v>
      </c>
      <c r="KJ17" s="82">
        <f>COUNTIF(Tableau2[22/9],"A1")+COUNTIF(Tableau2[22/9],"a2")</f>
        <v>0</v>
      </c>
      <c r="KK17" s="82">
        <f>COUNTIF(Tableau2[23/9],"A1")+COUNTIF(Tableau2[23/9],"a2")</f>
        <v>0</v>
      </c>
      <c r="KL17" s="82">
        <f>COUNTIF(Tableau2[24/9],"A1")+COUNTIF(Tableau2[24/9],"a2")</f>
        <v>0</v>
      </c>
      <c r="KM17" s="82">
        <f>COUNTIF(Tableau2[25/9],"A1")+COUNTIF(Tableau2[25/9],"a2")</f>
        <v>0</v>
      </c>
      <c r="KN17" s="82">
        <f>COUNTIF(Tableau2[26/9],"A1")+COUNTIF(Tableau2[26/9],"a2")</f>
        <v>0</v>
      </c>
      <c r="KO17" s="82">
        <f>COUNTIF(Tableau2[27/9],"A1")+COUNTIF(Tableau2[27/9],"a2")</f>
        <v>0</v>
      </c>
      <c r="KP17" s="82">
        <f>COUNTIF(Tableau2[28/9],"A1")+COUNTIF(Tableau2[28/9],"a2")</f>
        <v>0</v>
      </c>
      <c r="KQ17" s="82">
        <f>COUNTIF(Tableau2[29/9],"A1")+COUNTIF(Tableau2[29/9],"a2")</f>
        <v>0</v>
      </c>
      <c r="KR17" s="82">
        <f>COUNTIF(Tableau2[30/9],"A1")+COUNTIF(Tableau2[30/9],"a2")</f>
        <v>0</v>
      </c>
      <c r="KS17" s="82">
        <f>COUNTIF(Tableau2[1/10],"A1")+COUNTIF(Tableau2[1/10],"a2")</f>
        <v>0</v>
      </c>
      <c r="KT17" s="82">
        <f>COUNTIF(Tableau2[2/10],"A1")+COUNTIF(Tableau2[2/10],"a2")</f>
        <v>0</v>
      </c>
      <c r="KU17" s="82">
        <f>COUNTIF(Tableau2[3/10],"A1")+COUNTIF(Tableau2[3/10],"a2")</f>
        <v>0</v>
      </c>
      <c r="KV17" s="82">
        <f>COUNTIF(Tableau2[4/10],"A1")+COUNTIF(Tableau2[4/10],"a2")</f>
        <v>0</v>
      </c>
      <c r="KW17" s="82">
        <f>COUNTIF(Tableau2[5/10],"A1")+COUNTIF(Tableau2[5/10],"a2")</f>
        <v>0</v>
      </c>
      <c r="KX17" s="82">
        <f>COUNTIF(Tableau2[6/10],"A1")+COUNTIF(Tableau2[6/10],"a2")</f>
        <v>0</v>
      </c>
      <c r="KY17" s="82">
        <f>COUNTIF(Tableau2[7/10],"A1")+COUNTIF(Tableau2[7/10],"a2")</f>
        <v>0</v>
      </c>
      <c r="KZ17" s="82">
        <f>COUNTIF(Tableau2[8/10],"A1")+COUNTIF(Tableau2[8/10],"a2")</f>
        <v>0</v>
      </c>
      <c r="LA17" s="82">
        <f>COUNTIF(Tableau2[9/10],"A1")+COUNTIF(Tableau2[9/10],"a2")</f>
        <v>0</v>
      </c>
      <c r="LB17" s="82">
        <f>COUNTIF(Tableau2[10/10],"A1")+COUNTIF(Tableau2[10/10],"a2")</f>
        <v>0</v>
      </c>
      <c r="LC17" s="82">
        <f>COUNTIF(Tableau2[11/10],"A1")+COUNTIF(Tableau2[11/10],"a2")</f>
        <v>0</v>
      </c>
      <c r="LD17" s="82">
        <f>COUNTIF(Tableau2[12/10],"A1")+COUNTIF(Tableau2[12/10],"a2")</f>
        <v>0</v>
      </c>
      <c r="LE17" s="82">
        <f>COUNTIF(Tableau2[13/10],"A1")+COUNTIF(Tableau2[13/10],"a2")</f>
        <v>0</v>
      </c>
      <c r="LF17" s="82">
        <f>COUNTIF(Tableau2[14/10],"A1")+COUNTIF(Tableau2[14/10],"a2")</f>
        <v>0</v>
      </c>
      <c r="LG17" s="82">
        <f>COUNTIF(Tableau2[15/10],"A1")+COUNTIF(Tableau2[15/10],"a2")</f>
        <v>0</v>
      </c>
      <c r="LH17" s="82">
        <f>COUNTIF(Tableau2[16/10],"A1")+COUNTIF(Tableau2[16/10],"a2")</f>
        <v>0</v>
      </c>
      <c r="LI17" s="82">
        <f>COUNTIF(Tableau2[17/10],"A1")+COUNTIF(Tableau2[17/10],"a2")</f>
        <v>0</v>
      </c>
      <c r="LJ17" s="82">
        <f>COUNTIF(Tableau2[18/10],"A1")+COUNTIF(Tableau2[18/10],"a2")</f>
        <v>0</v>
      </c>
      <c r="LK17" s="82">
        <f>COUNTIF(Tableau2[19/10],"A1")+COUNTIF(Tableau2[19/10],"a2")</f>
        <v>0</v>
      </c>
      <c r="LL17" s="82">
        <f>COUNTIF(Tableau2[20/10],"A1")+COUNTIF(Tableau2[20/10],"a2")</f>
        <v>0</v>
      </c>
      <c r="LM17" s="82">
        <f>COUNTIF(Tableau2[21/10],"A1")+COUNTIF(Tableau2[21/10],"a2")</f>
        <v>0</v>
      </c>
      <c r="LN17" s="82">
        <f>COUNTIF(Tableau2[22/10],"A1")+COUNTIF(Tableau2[22/10],"a2")</f>
        <v>0</v>
      </c>
      <c r="LO17" s="82">
        <f>COUNTIF(Tableau2[23/10],"A1")+COUNTIF(Tableau2[23/10],"a2")</f>
        <v>0</v>
      </c>
      <c r="LP17" s="82">
        <f>COUNTIF(Tableau2[24/10],"A1")+COUNTIF(Tableau2[24/10],"a2")</f>
        <v>0</v>
      </c>
      <c r="LQ17" s="82">
        <f>COUNTIF(Tableau2[25/10],"A1")+COUNTIF(Tableau2[25/10],"a2")</f>
        <v>0</v>
      </c>
      <c r="LR17" s="82">
        <f>COUNTIF(Tableau2[26/10],"A1")+COUNTIF(Tableau2[26/10],"a2")</f>
        <v>0</v>
      </c>
      <c r="LS17" s="82">
        <f>COUNTIF(Tableau2[27/10],"A1")+COUNTIF(Tableau2[27/10],"a2")</f>
        <v>0</v>
      </c>
      <c r="LT17" s="82">
        <f>COUNTIF(Tableau2[28/10],"A1")+COUNTIF(Tableau2[28/10],"a2")</f>
        <v>0</v>
      </c>
      <c r="LU17" s="82">
        <f>COUNTIF(Tableau2[29/10],"A1")+COUNTIF(Tableau2[29/10],"a2")</f>
        <v>0</v>
      </c>
      <c r="LV17" s="82">
        <f>COUNTIF(Tableau2[30/10],"A1")+COUNTIF(Tableau2[30/10],"a2")</f>
        <v>0</v>
      </c>
      <c r="LW17" s="82">
        <f>COUNTIF(Tableau2[31/10],"A1")+COUNTIF(Tableau2[31/10],"a2")</f>
        <v>0</v>
      </c>
      <c r="LX17" s="82">
        <f>COUNTIF(Tableau2[1/11],"A1")+COUNTIF(Tableau2[1/11],"a2")</f>
        <v>0</v>
      </c>
      <c r="LY17" s="82">
        <f>COUNTIF(Tableau2[2/11],"A1")+COUNTIF(Tableau2[2/11],"a2")</f>
        <v>0</v>
      </c>
      <c r="LZ17" s="82">
        <f>COUNTIF(Tableau2[3/11],"A1")+COUNTIF(Tableau2[3/11],"a2")</f>
        <v>0</v>
      </c>
      <c r="MA17" s="82">
        <f>COUNTIF(Tableau2[4/11],"A1")+COUNTIF(Tableau2[4/11],"a2")</f>
        <v>0</v>
      </c>
      <c r="MB17" s="82">
        <f>COUNTIF(Tableau2[5/11],"A1")+COUNTIF(Tableau2[5/11],"a2")</f>
        <v>0</v>
      </c>
      <c r="MC17" s="82">
        <f>COUNTIF(Tableau2[6/11],"A1")+COUNTIF(Tableau2[6/11],"a2")</f>
        <v>0</v>
      </c>
      <c r="MD17" s="82">
        <f>COUNTIF(Tableau2[7/11],"A1")+COUNTIF(Tableau2[7/11],"a2")</f>
        <v>0</v>
      </c>
      <c r="ME17" s="82">
        <f>COUNTIF(Tableau2[8/11],"A1")+COUNTIF(Tableau2[8/11],"a2")</f>
        <v>0</v>
      </c>
      <c r="MF17" s="82">
        <f>COUNTIF(Tableau2[9/11],"A1")+COUNTIF(Tableau2[9/11],"a2")</f>
        <v>0</v>
      </c>
      <c r="MG17" s="82">
        <f>COUNTIF(Tableau2[10/11],"A1")+COUNTIF(Tableau2[10/11],"a2")</f>
        <v>0</v>
      </c>
      <c r="MH17" s="82">
        <f>COUNTIF(Tableau2[11/11],"A1")+COUNTIF(Tableau2[11/11],"a2")</f>
        <v>0</v>
      </c>
      <c r="MI17" s="82">
        <f>COUNTIF(Tableau2[12/11],"A1")+COUNTIF(Tableau2[12/11],"a2")</f>
        <v>0</v>
      </c>
      <c r="MJ17" s="82">
        <f>COUNTIF(Tableau2[13/11],"A1")+COUNTIF(Tableau2[13/11],"a2")</f>
        <v>0</v>
      </c>
      <c r="MK17" s="82">
        <f>COUNTIF(Tableau2[14/11],"A1")+COUNTIF(Tableau2[14/11],"a2")</f>
        <v>0</v>
      </c>
      <c r="ML17" s="82">
        <f>COUNTIF(Tableau2[15/11],"A1")+COUNTIF(Tableau2[15/11],"a2")</f>
        <v>0</v>
      </c>
      <c r="MM17" s="82">
        <f>COUNTIF(Tableau2[16/11],"A1")+COUNTIF(Tableau2[16/11],"a2")</f>
        <v>0</v>
      </c>
      <c r="MN17" s="82">
        <f>COUNTIF(Tableau2[17/11],"A1")+COUNTIF(Tableau2[17/11],"a2")</f>
        <v>0</v>
      </c>
      <c r="MO17" s="82">
        <f>COUNTIF(Tableau2[18/11],"A1")+COUNTIF(Tableau2[18/11],"a2")</f>
        <v>0</v>
      </c>
      <c r="MP17" s="82">
        <f>COUNTIF(Tableau2[19/11],"A1")+COUNTIF(Tableau2[19/11],"a2")</f>
        <v>0</v>
      </c>
      <c r="MQ17" s="82">
        <f>COUNTIF(Tableau2[20/11],"A1")+COUNTIF(Tableau2[20/11],"a2")</f>
        <v>0</v>
      </c>
      <c r="MR17" s="82">
        <f>COUNTIF(Tableau2[21/11],"A1")+COUNTIF(Tableau2[21/11],"a2")</f>
        <v>0</v>
      </c>
      <c r="MS17" s="82">
        <f>COUNTIF(Tableau2[22/11],"A1")+COUNTIF(Tableau2[22/11],"a2")</f>
        <v>0</v>
      </c>
      <c r="MT17" s="82">
        <f>COUNTIF(Tableau2[23/11],"A1")+COUNTIF(Tableau2[23/11],"a2")</f>
        <v>0</v>
      </c>
      <c r="MU17" s="82">
        <f>COUNTIF(Tableau2[24/11],"A1")+COUNTIF(Tableau2[24/11],"a2")</f>
        <v>0</v>
      </c>
      <c r="MV17" s="82">
        <f>COUNTIF(Tableau2[25/11],"A1")+COUNTIF(Tableau2[25/11],"a2")</f>
        <v>0</v>
      </c>
      <c r="MW17" s="82">
        <f>COUNTIF(Tableau2[26/11],"A1")+COUNTIF(Tableau2[26/11],"a2")</f>
        <v>0</v>
      </c>
      <c r="MX17" s="82">
        <f>COUNTIF(Tableau2[27/11],"A1")+COUNTIF(Tableau2[27/11],"a2")</f>
        <v>0</v>
      </c>
      <c r="MY17" s="82">
        <f>COUNTIF(Tableau2[28/11],"A1")+COUNTIF(Tableau2[28/11],"a2")</f>
        <v>0</v>
      </c>
      <c r="MZ17" s="82">
        <f>COUNTIF(Tableau2[29/11],"A1")+COUNTIF(Tableau2[29/11],"a2")</f>
        <v>0</v>
      </c>
      <c r="NA17" s="82">
        <f>COUNTIF(Tableau2[30/11],"A1")+COUNTIF(Tableau2[30/11],"a2")</f>
        <v>0</v>
      </c>
      <c r="NB17" s="82">
        <f>COUNTIF(Tableau2[1/12],"A1")+COUNTIF(Tableau2[1/12],"a2")</f>
        <v>0</v>
      </c>
      <c r="NC17" s="82">
        <f>COUNTIF(Tableau2[2/12],"A1")+COUNTIF(Tableau2[2/12],"a2")</f>
        <v>0</v>
      </c>
      <c r="ND17" s="82">
        <f>COUNTIF(Tableau2[3/12],"A1")+COUNTIF(Tableau2[3/12],"a2")</f>
        <v>0</v>
      </c>
      <c r="NE17" s="82">
        <f>COUNTIF(Tableau2[4/12],"A1")+COUNTIF(Tableau2[4/12],"a2")</f>
        <v>0</v>
      </c>
      <c r="NF17" s="82">
        <f>COUNTIF(Tableau2[5/12],"A1")+COUNTIF(Tableau2[5/12],"a2")</f>
        <v>0</v>
      </c>
      <c r="NG17" s="82">
        <f>COUNTIF(Tableau2[6/12],"A1")+COUNTIF(Tableau2[6/12],"a2")</f>
        <v>0</v>
      </c>
      <c r="NH17" s="82">
        <f>COUNTIF(Tableau2[7/12],"A1")+COUNTIF(Tableau2[7/12],"a2")</f>
        <v>0</v>
      </c>
      <c r="NI17" s="82">
        <f>COUNTIF(Tableau2[8/12],"A1")+COUNTIF(Tableau2[8/12],"a2")</f>
        <v>0</v>
      </c>
      <c r="NJ17" s="82">
        <f>COUNTIF(Tableau2[9/12],"A1")+COUNTIF(Tableau2[9/12],"a2")</f>
        <v>0</v>
      </c>
      <c r="NK17" s="82">
        <f>COUNTIF(Tableau2[10/12],"A1")+COUNTIF(Tableau2[10/12],"a2")</f>
        <v>0</v>
      </c>
      <c r="NL17" s="82">
        <f>COUNTIF(Tableau2[11/12],"A1")+COUNTIF(Tableau2[11/12],"a2")</f>
        <v>0</v>
      </c>
      <c r="NM17" s="82">
        <f>COUNTIF(Tableau2[12/12],"A1")+COUNTIF(Tableau2[12/12],"a2")</f>
        <v>0</v>
      </c>
      <c r="NN17" s="82">
        <f>COUNTIF(Tableau2[13/12],"A1")+COUNTIF(Tableau2[13/12],"a2")</f>
        <v>0</v>
      </c>
      <c r="NO17" s="82">
        <f>COUNTIF(Tableau2[14/12],"A1")+COUNTIF(Tableau2[14/12],"a2")</f>
        <v>0</v>
      </c>
      <c r="NP17" s="82">
        <f>COUNTIF(Tableau2[15/12],"A1")+COUNTIF(Tableau2[15/12],"a2")</f>
        <v>0</v>
      </c>
      <c r="NQ17" s="82">
        <f>COUNTIF(Tableau2[16/12],"A1")+COUNTIF(Tableau2[16/12],"a2")</f>
        <v>0</v>
      </c>
      <c r="NR17" s="82">
        <f>COUNTIF(Tableau2[17/12],"A1")+COUNTIF(Tableau2[17/12],"a2")</f>
        <v>0</v>
      </c>
      <c r="NS17" s="82">
        <f>COUNTIF(Tableau2[18/12],"A1")+COUNTIF(Tableau2[18/12],"a2")</f>
        <v>0</v>
      </c>
      <c r="NT17" s="82">
        <f>COUNTIF(Tableau2[19/12],"A1")+COUNTIF(Tableau2[19/12],"a2")</f>
        <v>0</v>
      </c>
      <c r="NU17" s="82">
        <f>COUNTIF(Tableau2[20/12],"A1")+COUNTIF(Tableau2[20/12],"a2")</f>
        <v>0</v>
      </c>
      <c r="NV17" s="82">
        <f>COUNTIF(Tableau2[21/12],"A1")+COUNTIF(Tableau2[21/12],"a2")</f>
        <v>0</v>
      </c>
      <c r="NW17" s="82">
        <f>COUNTIF(Tableau2[22/12],"A1")+COUNTIF(Tableau2[22/12],"a2")</f>
        <v>0</v>
      </c>
      <c r="NX17" s="82">
        <f>COUNTIF(Tableau2[23/12],"A1")+COUNTIF(Tableau2[23/12],"a2")</f>
        <v>0</v>
      </c>
      <c r="NY17" s="82">
        <f>COUNTIF(Tableau2[24/12],"A1")+COUNTIF(Tableau2[24/12],"a2")</f>
        <v>0</v>
      </c>
      <c r="NZ17" s="82">
        <f>COUNTIF(Tableau2[25/12],"A1")+COUNTIF(Tableau2[25/12],"a2")</f>
        <v>0</v>
      </c>
      <c r="OA17" s="82">
        <f>COUNTIF(Tableau2[26/12],"A1")+COUNTIF(Tableau2[26/12],"a2")</f>
        <v>0</v>
      </c>
      <c r="OB17" s="82">
        <f>COUNTIF(Tableau2[27/12],"A1")+COUNTIF(Tableau2[27/12],"a2")</f>
        <v>0</v>
      </c>
      <c r="OC17" s="82">
        <f>COUNTIF(Tableau2[28/12],"A1")+COUNTIF(Tableau2[28/12],"a2")</f>
        <v>0</v>
      </c>
      <c r="OD17" s="82">
        <f>COUNTIF(Tableau2[29/12],"A1")+COUNTIF(Tableau2[29/12],"a2")</f>
        <v>0</v>
      </c>
      <c r="OE17" s="82">
        <f>COUNTIF(Tableau2[30/12],"A1")+COUNTIF(Tableau2[30/12],"a2")</f>
        <v>0</v>
      </c>
      <c r="OF17" s="82">
        <f>COUNTIF(Tableau2[31/12],"A1")+COUNTIF(Tableau2[31/12],"a2")</f>
        <v>0</v>
      </c>
      <c r="OG17" s="55"/>
      <c r="OH17" s="55"/>
      <c r="OI17" s="55"/>
    </row>
    <row r="18" spans="5:399" s="9" customFormat="1" ht="10.5" customHeight="1">
      <c r="E18" s="151"/>
      <c r="F18" s="137" t="s">
        <v>436</v>
      </c>
      <c r="G18" s="138"/>
      <c r="H18" s="138"/>
      <c r="I18" s="139"/>
      <c r="V18" s="111"/>
      <c r="W18" s="121"/>
      <c r="AD18" s="56"/>
      <c r="AE18" s="76"/>
      <c r="AF18" s="83">
        <f>COUNTIFS(Tableau2[APRS],"X",Tableau2[1/1],"A1")+COUNTIFS(Tableau2[APRS],"X",Tableau2[1/1],"A2")</f>
        <v>1</v>
      </c>
      <c r="AG18" s="83">
        <f>COUNTIFS(Tableau2[EXPIRE],"X",Tableau2[2/1],"A1")+COUNTIFS(Tableau2[EXPIRE],"X",Tableau2[2/1],"A2")</f>
        <v>0</v>
      </c>
      <c r="AH18" s="83">
        <f>COUNTIFS(Tableau2[EWIS],"X",Tableau2[3/1],"A1")+COUNTIFS(Tableau2[EWIS],"X",Tableau2[3/1],"A2")</f>
        <v>0</v>
      </c>
      <c r="AI18" s="83">
        <f>COUNTIFS(Tableau2[HUMAN FACTOR],"X",Tableau2[4/1],"A1")+COUNTIFS(Tableau2[HUMAN FACTOR],"X",Tableau2[4/1],"A2")</f>
        <v>0</v>
      </c>
      <c r="AJ18" s="83">
        <f>COUNTIFS(Tableau2[[ FUEL TANK FACTOR]],"X",Tableau2[5/1],"A1")+COUNTIFS(Tableau2[[ FUEL TANK FACTOR]],"X",Tableau2[5/1],"A2")</f>
        <v>0</v>
      </c>
      <c r="AK18" s="83">
        <f>COUNTIFS(Tableau2[EFB],"X",Tableau2[6/1],"A1")+COUNTIFS(Tableau2[EFB],"X",Tableau2[6/1],"A2")</f>
        <v>0</v>
      </c>
      <c r="AL18" s="83">
        <f>COUNTIFS(Tableau2[PEMP],"X",Tableau2[7/1],"A1")+COUNTIFS(Tableau2[PEMP],"X",Tableau2[7/1],"A2")</f>
        <v>0</v>
      </c>
      <c r="AM18" s="83">
        <f>COUNTIFS(Tableau2[[ IDLE]],"X",Tableau2[8/1],"A1")+COUNTIFS(Tableau2[[ IDLE]],"X",Tableau2[8/1],"A2")</f>
        <v>0</v>
      </c>
      <c r="AN18" s="83">
        <f>COUNTIFS(Tableau2[[ FULL]],"X",Tableau2[9/1],"A1")+COUNTIFS(Tableau2[[ FULL]],"X",Tableau2[9/1],"A2")</f>
        <v>0</v>
      </c>
      <c r="AO18" s="83">
        <f>COUNTIFS(Tableau2[-],"X",Tableau2[10/1],"A1")+COUNTIFS(Tableau2[-],"X",Tableau2[10/1],"A2")</f>
        <v>0</v>
      </c>
      <c r="AP18" s="83">
        <f>COUNTIFS(Tableau2[BADGE ROUGE],"X",Tableau2[11/1],"A1")+COUNTIFS(Tableau2[BADGE ROUGE],"X",Tableau2[11/1],"A2")</f>
        <v>0</v>
      </c>
      <c r="AQ18" s="83">
        <f>COUNTIFS(Tableau2[PERMIS T],"X",Tableau2[12/1],"A1")+COUNTIFS(Tableau2[PERMIS T],"X",Tableau2[12/1],"A2")</f>
        <v>0</v>
      </c>
      <c r="AR18" s="83">
        <f>COUNTIFS(Tableau2[MEDECINE DU TRAVAIL],"X",Tableau2[13/1],"A1")+COUNTIFS(Tableau2[MEDECINE DU TRAVAIL],"X",Tableau2[13/1],"A2")</f>
        <v>0</v>
      </c>
      <c r="AS18" s="83">
        <f ca="1">COUNTIFS(Tableau2[EXPIRE BADGE ROUGE],"X",Tableau2[14/1],"A1")+COUNTIFS(Tableau2[EXPIRE BADGE ROUGE],"X",Tableau2[14/1],"A2")</f>
        <v>0</v>
      </c>
      <c r="AT18" s="83">
        <f ca="1">COUNTIFS(Tableau2[EXPIRE PERMIS T],"X",Tableau2[15/1],"A1")+COUNTIFS(Tableau2[EXPIRE PERMIS T],"X",Tableau2[15/1],"A2")</f>
        <v>0</v>
      </c>
      <c r="AU18" s="83">
        <f ca="1">COUNTIFS(Tableau2[EXPIRE LICENCE],"X",Tableau2[16/1],"A1")+COUNTIFS(Tableau2[EXPIRE LICENCE],"X",Tableau2[16/1],"A2")</f>
        <v>0</v>
      </c>
      <c r="AV18" s="83">
        <f ca="1">COUNTIFS(Tableau2[EXPIRE EWIS],"X",Tableau2[17/1],"A1")+COUNTIFS(Tableau2[EXPIRE EWIS],"X",Tableau2[17/1],"A2")</f>
        <v>0</v>
      </c>
      <c r="AW18" s="83">
        <f ca="1">COUNTIFS(Tableau2[EXPIRE HUMAN FACTOR],"X",Tableau2[18/1],"A1")+COUNTIFS(Tableau2[EXPIRE HUMAN FACTOR],"X",Tableau2[18/1],"A2")</f>
        <v>0</v>
      </c>
      <c r="AX18" s="83">
        <f ca="1">COUNTIFS(Tableau2[[EXPIRE FUEL TANK FACTOR ]],"X",Tableau2[19/1],"A1")+COUNTIFS(Tableau2[[EXPIRE FUEL TANK FACTOR ]],"X",Tableau2[19/1],"A2")</f>
        <v>0</v>
      </c>
      <c r="AY18" s="83">
        <f ca="1">COUNTIFS(Tableau2[EXPIRE PEMP],"X",Tableau2[20/1],"A1")+COUNTIFS(Tableau2[EXPIRE PEMP],"X",Tableau2[20/1],"A2")</f>
        <v>0</v>
      </c>
      <c r="AZ18" s="83">
        <f ca="1">COUNTIFS(Tableau2[EXPIRE MEDECINE DU TRAVAIL],"X",Tableau2[21/1],"A1")+COUNTIFS(Tableau2[EXPIRE MEDECINE DU TRAVAIL],"X",Tableau2[21/1],"A2")</f>
        <v>0</v>
      </c>
      <c r="BA18" s="83">
        <f>COUNTIFS(Tableau2[1/1],"X",Tableau2[22/1],"A1")+COUNTIFS(Tableau2[1/1],"X",Tableau2[22/1],"A2")</f>
        <v>0</v>
      </c>
      <c r="BB18" s="83">
        <f>COUNTIFS(Tableau2[2/1],"X",Tableau2[23/1],"A1")+COUNTIFS(Tableau2[2/1],"X",Tableau2[23/1],"A2")</f>
        <v>0</v>
      </c>
      <c r="BC18" s="83">
        <f>COUNTIFS(Tableau2[3/1],"X",Tableau2[24/1],"A1")+COUNTIFS(Tableau2[3/1],"X",Tableau2[24/1],"A2")</f>
        <v>0</v>
      </c>
      <c r="BD18" s="83">
        <f>COUNTIFS(Tableau2[4/1],"X",Tableau2[25/1],"A1")+COUNTIFS(Tableau2[4/1],"X",Tableau2[25/1],"A2")</f>
        <v>0</v>
      </c>
      <c r="BE18" s="83">
        <f>COUNTIFS(Tableau2[5/1],"X",Tableau2[26/1],"A1")+COUNTIFS(Tableau2[5/1],"X",Tableau2[26/1],"A2")</f>
        <v>0</v>
      </c>
      <c r="BF18" s="83">
        <f>COUNTIFS(Tableau2[6/1],"X",Tableau2[27/1],"A1")+COUNTIFS(Tableau2[6/1],"X",Tableau2[27/1],"A2")</f>
        <v>0</v>
      </c>
      <c r="BG18" s="83">
        <f>COUNTIFS(Tableau2[7/1],"X",Tableau2[28/1],"A1")+COUNTIFS(Tableau2[7/1],"X",Tableau2[28/1],"A2")</f>
        <v>0</v>
      </c>
      <c r="BH18" s="83">
        <f>COUNTIFS(Tableau2[8/1],"X",Tableau2[29/1],"A1")+COUNTIFS(Tableau2[8/1],"X",Tableau2[29/1],"A2")</f>
        <v>0</v>
      </c>
      <c r="BI18" s="83">
        <f>COUNTIFS(Tableau2[9/1],"X",Tableau2[30/1],"A1")+COUNTIFS(Tableau2[9/1],"X",Tableau2[30/1],"A2")</f>
        <v>0</v>
      </c>
      <c r="BJ18" s="83">
        <f>COUNTIFS(Tableau2[10/1],"X",Tableau2[31/1],"A1")+COUNTIFS(Tableau2[10/1],"X",Tableau2[31/1],"A2")</f>
        <v>0</v>
      </c>
      <c r="BK18" s="83">
        <f>COUNTIFS(Tableau2[11/1],"X",Tableau2[1/2],"A1")+COUNTIFS(Tableau2[11/1],"X",Tableau2[1/2],"A2")</f>
        <v>0</v>
      </c>
      <c r="BL18" s="83">
        <f>COUNTIFS(Tableau2[12/1],"X",Tableau2[2/2],"A1")+COUNTIFS(Tableau2[12/1],"X",Tableau2[2/2],"A2")</f>
        <v>0</v>
      </c>
      <c r="BM18" s="83">
        <f>COUNTIFS(Tableau2[13/1],"X",Tableau2[3/2],"A1")+COUNTIFS(Tableau2[13/1],"X",Tableau2[3/2],"A2")</f>
        <v>0</v>
      </c>
      <c r="BN18" s="83">
        <f>COUNTIFS(Tableau2[14/1],"X",Tableau2[4/2],"A1")+COUNTIFS(Tableau2[14/1],"X",Tableau2[4/2],"A2")</f>
        <v>0</v>
      </c>
      <c r="BO18" s="83">
        <f>COUNTIFS(Tableau2[15/1],"X",Tableau2[5/2],"A1")+COUNTIFS(Tableau2[15/1],"X",Tableau2[5/2],"A2")</f>
        <v>0</v>
      </c>
      <c r="BP18" s="83">
        <f>COUNTIFS(Tableau2[16/1],"X",Tableau2[6/2],"A1")+COUNTIFS(Tableau2[16/1],"X",Tableau2[6/2],"A2")</f>
        <v>0</v>
      </c>
      <c r="BQ18" s="83">
        <f>COUNTIFS(Tableau2[17/1],"X",Tableau2[7/2],"A1")+COUNTIFS(Tableau2[17/1],"X",Tableau2[7/2],"A2")</f>
        <v>0</v>
      </c>
      <c r="BR18" s="83">
        <f>COUNTIFS(Tableau2[18/1],"X",Tableau2[8/2],"A1")+COUNTIFS(Tableau2[18/1],"X",Tableau2[8/2],"A2")</f>
        <v>0</v>
      </c>
      <c r="BS18" s="83">
        <f>COUNTIFS(Tableau2[19/1],"X",Tableau2[9/2],"A1")+COUNTIFS(Tableau2[19/1],"X",Tableau2[9/2],"A2")</f>
        <v>0</v>
      </c>
      <c r="BT18" s="83">
        <f>COUNTIFS(Tableau2[20/1],"X",Tableau2[10/2],"A1")+COUNTIFS(Tableau2[20/1],"X",Tableau2[10/2],"A2")</f>
        <v>0</v>
      </c>
      <c r="BU18" s="83">
        <f>COUNTIFS(Tableau2[21/1],"X",Tableau2[11/2],"A1")+COUNTIFS(Tableau2[21/1],"X",Tableau2[11/2],"A2")</f>
        <v>0</v>
      </c>
      <c r="BV18" s="83">
        <f>COUNTIFS(Tableau2[22/1],"X",Tableau2[12/2],"A1")+COUNTIFS(Tableau2[22/1],"X",Tableau2[12/2],"A2")</f>
        <v>0</v>
      </c>
      <c r="BW18" s="83">
        <f>COUNTIFS(Tableau2[23/1],"X",Tableau2[13/2],"A1")+COUNTIFS(Tableau2[23/1],"X",Tableau2[13/2],"A2")</f>
        <v>0</v>
      </c>
      <c r="BX18" s="83">
        <f>COUNTIFS(Tableau2[24/1],"X",Tableau2[14/2],"A1")+COUNTIFS(Tableau2[24/1],"X",Tableau2[14/2],"A2")</f>
        <v>0</v>
      </c>
      <c r="BY18" s="83">
        <f>COUNTIFS(Tableau2[25/1],"X",Tableau2[15/2],"A1")+COUNTIFS(Tableau2[25/1],"X",Tableau2[15/2],"A2")</f>
        <v>0</v>
      </c>
      <c r="BZ18" s="83">
        <f>COUNTIFS(Tableau2[26/1],"X",Tableau2[16/2],"A1")+COUNTIFS(Tableau2[26/1],"X",Tableau2[16/2],"A2")</f>
        <v>0</v>
      </c>
      <c r="CA18" s="83">
        <f>COUNTIFS(Tableau2[27/1],"X",Tableau2[17/2],"A1")+COUNTIFS(Tableau2[27/1],"X",Tableau2[17/2],"A2")</f>
        <v>0</v>
      </c>
      <c r="CB18" s="83">
        <f>COUNTIFS(Tableau2[28/1],"X",Tableau2[18/2],"A1")+COUNTIFS(Tableau2[28/1],"X",Tableau2[18/2],"A2")</f>
        <v>0</v>
      </c>
      <c r="CC18" s="83">
        <f>COUNTIFS(Tableau2[29/1],"X",Tableau2[19/2],"A1")+COUNTIFS(Tableau2[29/1],"X",Tableau2[19/2],"A2")</f>
        <v>0</v>
      </c>
      <c r="CD18" s="83">
        <f>COUNTIFS(Tableau2[30/1],"X",Tableau2[20/2],"A1")+COUNTIFS(Tableau2[30/1],"X",Tableau2[20/2],"A2")</f>
        <v>0</v>
      </c>
      <c r="CE18" s="83">
        <f>COUNTIFS(Tableau2[31/1],"X",Tableau2[21/2],"A1")+COUNTIFS(Tableau2[31/1],"X",Tableau2[21/2],"A2")</f>
        <v>0</v>
      </c>
      <c r="CF18" s="83">
        <f>COUNTIFS(Tableau2[1/2],"X",Tableau2[22/2],"A1")+COUNTIFS(Tableau2[1/2],"X",Tableau2[22/2],"A2")</f>
        <v>0</v>
      </c>
      <c r="CG18" s="83">
        <f>COUNTIFS(Tableau2[2/2],"X",Tableau2[23/2],"A1")+COUNTIFS(Tableau2[2/2],"X",Tableau2[23/2],"A2")</f>
        <v>0</v>
      </c>
      <c r="CH18" s="83">
        <f>COUNTIFS(Tableau2[3/2],"X",Tableau2[24/2],"A1")+COUNTIFS(Tableau2[3/2],"X",Tableau2[24/2],"A2")</f>
        <v>0</v>
      </c>
      <c r="CI18" s="83">
        <f>COUNTIFS(Tableau2[4/2],"X",Tableau2[25/2],"A1")+COUNTIFS(Tableau2[4/2],"X",Tableau2[25/2],"A2")</f>
        <v>0</v>
      </c>
      <c r="CJ18" s="83">
        <f>COUNTIFS(Tableau2[5/2],"X",Tableau2[26/2],"A1")+COUNTIFS(Tableau2[5/2],"X",Tableau2[26/2],"A2")</f>
        <v>0</v>
      </c>
      <c r="CK18" s="83">
        <f>COUNTIFS(Tableau2[6/2],"X",Tableau2[27/2],"A1")+COUNTIFS(Tableau2[6/2],"X",Tableau2[27/2],"A2")</f>
        <v>0</v>
      </c>
      <c r="CL18" s="83">
        <f>COUNTIFS(Tableau2[7/2],"X",Tableau2[28/2],"A1")+COUNTIFS(Tableau2[7/2],"X",Tableau2[28/2],"A2")</f>
        <v>0</v>
      </c>
      <c r="CM18" s="83">
        <f>COUNTIFS(Tableau2[8/2],"X",Tableau2[1/3],"A1")+COUNTIFS(Tableau2[8/2],"X",Tableau2[1/3],"A2")</f>
        <v>0</v>
      </c>
      <c r="CN18" s="83">
        <f>COUNTIFS(Tableau2[9/2],"X",Tableau2[2/3],"A1")+COUNTIFS(Tableau2[9/2],"X",Tableau2[2/3],"A2")</f>
        <v>0</v>
      </c>
      <c r="CO18" s="83">
        <f>COUNTIFS(Tableau2[10/2],"X",Tableau2[3/3],"A1")+COUNTIFS(Tableau2[10/2],"X",Tableau2[3/3],"A2")</f>
        <v>0</v>
      </c>
      <c r="CP18" s="83">
        <f>COUNTIFS(Tableau2[11/2],"X",Tableau2[4/3],"A1")+COUNTIFS(Tableau2[11/2],"X",Tableau2[4/3],"A2")</f>
        <v>0</v>
      </c>
      <c r="CQ18" s="83">
        <f>COUNTIFS(Tableau2[12/2],"X",Tableau2[5/3],"A1")+COUNTIFS(Tableau2[12/2],"X",Tableau2[5/3],"A2")</f>
        <v>0</v>
      </c>
      <c r="CR18" s="83">
        <f>COUNTIFS(Tableau2[13/2],"X",Tableau2[6/3],"A1")+COUNTIFS(Tableau2[13/2],"X",Tableau2[6/3],"A2")</f>
        <v>0</v>
      </c>
      <c r="CS18" s="83">
        <f>COUNTIFS(Tableau2[14/2],"X",Tableau2[7/3],"A1")+COUNTIFS(Tableau2[14/2],"X",Tableau2[7/3],"A2")</f>
        <v>0</v>
      </c>
      <c r="CT18" s="83">
        <f>COUNTIFS(Tableau2[15/2],"X",Tableau2[8/3],"A1")+COUNTIFS(Tableau2[15/2],"X",Tableau2[8/3],"A2")</f>
        <v>0</v>
      </c>
      <c r="CU18" s="83">
        <f>COUNTIFS(Tableau2[16/2],"X",Tableau2[9/3],"A1")+COUNTIFS(Tableau2[16/2],"X",Tableau2[9/3],"A2")</f>
        <v>0</v>
      </c>
      <c r="CV18" s="83">
        <f>COUNTIFS(Tableau2[17/2],"X",Tableau2[10/3],"A1")+COUNTIFS(Tableau2[17/2],"X",Tableau2[10/3],"A2")</f>
        <v>0</v>
      </c>
      <c r="CW18" s="83">
        <f>COUNTIFS(Tableau2[18/2],"X",Tableau2[11/3],"A1")+COUNTIFS(Tableau2[18/2],"X",Tableau2[11/3],"A2")</f>
        <v>0</v>
      </c>
      <c r="CX18" s="83">
        <f>COUNTIFS(Tableau2[19/2],"X",Tableau2[12/3],"A1")+COUNTIFS(Tableau2[19/2],"X",Tableau2[12/3],"A2")</f>
        <v>0</v>
      </c>
      <c r="CY18" s="83">
        <f>COUNTIFS(Tableau2[20/2],"X",Tableau2[13/3],"A1")+COUNTIFS(Tableau2[20/2],"X",Tableau2[13/3],"A2")</f>
        <v>0</v>
      </c>
      <c r="CZ18" s="83">
        <f>COUNTIFS(Tableau2[21/2],"X",Tableau2[14/3],"A1")+COUNTIFS(Tableau2[21/2],"X",Tableau2[14/3],"A2")</f>
        <v>0</v>
      </c>
      <c r="DA18" s="83">
        <f>COUNTIFS(Tableau2[22/2],"X",Tableau2[15/3],"A1")+COUNTIFS(Tableau2[22/2],"X",Tableau2[15/3],"A2")</f>
        <v>0</v>
      </c>
      <c r="DB18" s="83">
        <f>COUNTIFS(Tableau2[23/2],"X",Tableau2[16/3],"A1")+COUNTIFS(Tableau2[23/2],"X",Tableau2[16/3],"A2")</f>
        <v>0</v>
      </c>
      <c r="DC18" s="83">
        <f>COUNTIFS(Tableau2[24/2],"X",Tableau2[17/3],"A1")+COUNTIFS(Tableau2[24/2],"X",Tableau2[17/3],"A2")</f>
        <v>0</v>
      </c>
      <c r="DD18" s="83">
        <f>COUNTIFS(Tableau2[25/2],"X",Tableau2[18/3],"A1")+COUNTIFS(Tableau2[25/2],"X",Tableau2[18/3],"A2")</f>
        <v>0</v>
      </c>
      <c r="DE18" s="83">
        <f>COUNTIFS(Tableau2[26/2],"X",Tableau2[19/3],"A1")+COUNTIFS(Tableau2[26/2],"X",Tableau2[19/3],"A2")</f>
        <v>0</v>
      </c>
      <c r="DF18" s="83">
        <f>COUNTIFS(Tableau2[27/2],"X",Tableau2[20/3],"A1")+COUNTIFS(Tableau2[27/2],"X",Tableau2[20/3],"A2")</f>
        <v>0</v>
      </c>
      <c r="DG18" s="83">
        <f>COUNTIFS(Tableau2[28/2],"X",Tableau2[21/3],"A1")+COUNTIFS(Tableau2[28/2],"X",Tableau2[21/3],"A2")</f>
        <v>0</v>
      </c>
      <c r="DH18" s="83">
        <f>COUNTIFS(Tableau2[1/3],"X",Tableau2[22/3],"A1")+COUNTIFS(Tableau2[1/3],"X",Tableau2[22/3],"A2")</f>
        <v>0</v>
      </c>
      <c r="DI18" s="83">
        <f>COUNTIFS(Tableau2[2/3],"X",Tableau2[23/3],"A1")+COUNTIFS(Tableau2[2/3],"X",Tableau2[23/3],"A2")</f>
        <v>0</v>
      </c>
      <c r="DJ18" s="83">
        <f>COUNTIFS(Tableau2[3/3],"X",Tableau2[24/3],"A1")+COUNTIFS(Tableau2[3/3],"X",Tableau2[24/3],"A2")</f>
        <v>0</v>
      </c>
      <c r="DK18" s="83">
        <f>COUNTIFS(Tableau2[4/3],"X",Tableau2[25/3],"A1")+COUNTIFS(Tableau2[4/3],"X",Tableau2[25/3],"A2")</f>
        <v>0</v>
      </c>
      <c r="DL18" s="83">
        <f>COUNTIFS(Tableau2[5/3],"X",Tableau2[26/3],"A1")+COUNTIFS(Tableau2[5/3],"X",Tableau2[26/3],"A2")</f>
        <v>0</v>
      </c>
      <c r="DM18" s="83">
        <f>COUNTIFS(Tableau2[6/3],"X",Tableau2[27/3],"A1")+COUNTIFS(Tableau2[6/3],"X",Tableau2[27/3],"A2")</f>
        <v>0</v>
      </c>
      <c r="DN18" s="83">
        <f>COUNTIFS(Tableau2[7/3],"X",Tableau2[28/3],"A1")+COUNTIFS(Tableau2[7/3],"X",Tableau2[28/3],"A2")</f>
        <v>0</v>
      </c>
      <c r="DO18" s="83">
        <f>COUNTIFS(Tableau2[8/3],"X",Tableau2[29/3],"A1")+COUNTIFS(Tableau2[8/3],"X",Tableau2[29/3],"A2")</f>
        <v>0</v>
      </c>
      <c r="DP18" s="83">
        <f>COUNTIFS(Tableau2[9/3],"X",Tableau2[30/3],"A1")+COUNTIFS(Tableau2[9/3],"X",Tableau2[30/3],"A2")</f>
        <v>0</v>
      </c>
      <c r="DQ18" s="83">
        <f>COUNTIFS(Tableau2[10/3],"X",Tableau2[31/3],"A1")+COUNTIFS(Tableau2[10/3],"X",Tableau2[31/3],"A2")</f>
        <v>0</v>
      </c>
      <c r="DR18" s="83">
        <f>COUNTIFS(Tableau2[11/3],"X",Tableau2[1/4],"A1")+COUNTIFS(Tableau2[11/3],"X",Tableau2[1/4],"A2")</f>
        <v>0</v>
      </c>
      <c r="DS18" s="83">
        <f>COUNTIFS(Tableau2[12/3],"X",Tableau2[2/4],"A1")+COUNTIFS(Tableau2[12/3],"X",Tableau2[2/4],"A2")</f>
        <v>0</v>
      </c>
      <c r="DT18" s="83">
        <f>COUNTIFS(Tableau2[13/3],"X",Tableau2[3/4],"A1")+COUNTIFS(Tableau2[13/3],"X",Tableau2[3/4],"A2")</f>
        <v>0</v>
      </c>
      <c r="DU18" s="83">
        <f>COUNTIFS(Tableau2[14/3],"X",Tableau2[4/4],"A1")+COUNTIFS(Tableau2[14/3],"X",Tableau2[4/4],"A2")</f>
        <v>0</v>
      </c>
      <c r="DV18" s="83">
        <f>COUNTIFS(Tableau2[15/3],"X",Tableau2[5/4],"A1")+COUNTIFS(Tableau2[15/3],"X",Tableau2[5/4],"A2")</f>
        <v>0</v>
      </c>
      <c r="DW18" s="83">
        <f>COUNTIFS(Tableau2[16/3],"X",Tableau2[6/4],"A1")+COUNTIFS(Tableau2[16/3],"X",Tableau2[6/4],"A2")</f>
        <v>0</v>
      </c>
      <c r="DX18" s="83">
        <f>COUNTIFS(Tableau2[17/3],"X",Tableau2[7/4],"A1")+COUNTIFS(Tableau2[17/3],"X",Tableau2[7/4],"A2")</f>
        <v>0</v>
      </c>
      <c r="DY18" s="83">
        <f>COUNTIFS(Tableau2[18/3],"X",Tableau2[8/4],"A1")+COUNTIFS(Tableau2[18/3],"X",Tableau2[8/4],"A2")</f>
        <v>0</v>
      </c>
      <c r="DZ18" s="83">
        <f>COUNTIFS(Tableau2[19/3],"X",Tableau2[9/4],"A1")+COUNTIFS(Tableau2[19/3],"X",Tableau2[9/4],"A2")</f>
        <v>0</v>
      </c>
      <c r="EA18" s="83">
        <f>COUNTIFS(Tableau2[20/3],"X",Tableau2[10/4],"A1")+COUNTIFS(Tableau2[20/3],"X",Tableau2[10/4],"A2")</f>
        <v>0</v>
      </c>
      <c r="EB18" s="83">
        <f>COUNTIFS(Tableau2[21/3],"X",Tableau2[11/4],"A1")+COUNTIFS(Tableau2[21/3],"X",Tableau2[11/4],"A2")</f>
        <v>0</v>
      </c>
      <c r="EC18" s="83">
        <f>COUNTIFS(Tableau2[22/3],"X",Tableau2[12/4],"A1")+COUNTIFS(Tableau2[22/3],"X",Tableau2[12/4],"A2")</f>
        <v>0</v>
      </c>
      <c r="ED18" s="83">
        <f>COUNTIFS(Tableau2[23/3],"X",Tableau2[13/4],"A1")+COUNTIFS(Tableau2[23/3],"X",Tableau2[13/4],"A2")</f>
        <v>0</v>
      </c>
      <c r="EE18" s="83">
        <f>COUNTIFS(Tableau2[24/3],"X",Tableau2[14/4],"A1")+COUNTIFS(Tableau2[24/3],"X",Tableau2[14/4],"A2")</f>
        <v>0</v>
      </c>
      <c r="EF18" s="83">
        <f>COUNTIFS(Tableau2[25/3],"X",Tableau2[15/4],"A1")+COUNTIFS(Tableau2[25/3],"X",Tableau2[15/4],"A2")</f>
        <v>0</v>
      </c>
      <c r="EG18" s="83">
        <f>COUNTIFS(Tableau2[26/3],"X",Tableau2[16/4],"A1")+COUNTIFS(Tableau2[26/3],"X",Tableau2[16/4],"A2")</f>
        <v>0</v>
      </c>
      <c r="EH18" s="83">
        <f>COUNTIFS(Tableau2[27/3],"X",Tableau2[17/4],"A1")+COUNTIFS(Tableau2[27/3],"X",Tableau2[17/4],"A2")</f>
        <v>0</v>
      </c>
      <c r="EI18" s="83">
        <f>COUNTIFS(Tableau2[28/3],"X",Tableau2[18/4],"A1")+COUNTIFS(Tableau2[28/3],"X",Tableau2[18/4],"A2")</f>
        <v>0</v>
      </c>
      <c r="EJ18" s="83">
        <f>COUNTIFS(Tableau2[29/3],"X",Tableau2[19/4],"A1")+COUNTIFS(Tableau2[29/3],"X",Tableau2[19/4],"A2")</f>
        <v>0</v>
      </c>
      <c r="EK18" s="83">
        <f>COUNTIFS(Tableau2[30/3],"X",Tableau2[20/4],"A1")+COUNTIFS(Tableau2[30/3],"X",Tableau2[20/4],"A2")</f>
        <v>0</v>
      </c>
      <c r="EL18" s="83">
        <f>COUNTIFS(Tableau2[31/3],"X",Tableau2[21/4],"A1")+COUNTIFS(Tableau2[31/3],"X",Tableau2[21/4],"A2")</f>
        <v>0</v>
      </c>
      <c r="EM18" s="83">
        <f>COUNTIFS(Tableau2[1/4],"X",Tableau2[22/4],"A1")+COUNTIFS(Tableau2[1/4],"X",Tableau2[22/4],"A2")</f>
        <v>0</v>
      </c>
      <c r="EN18" s="83">
        <f>COUNTIFS(Tableau2[2/4],"X",Tableau2[23/4],"A1")+COUNTIFS(Tableau2[2/4],"X",Tableau2[23/4],"A2")</f>
        <v>0</v>
      </c>
      <c r="EO18" s="83">
        <f>COUNTIFS(Tableau2[3/4],"X",Tableau2[24/4],"A1")+COUNTIFS(Tableau2[3/4],"X",Tableau2[24/4],"A2")</f>
        <v>0</v>
      </c>
      <c r="EP18" s="83">
        <f>COUNTIFS(Tableau2[4/4],"X",Tableau2[25/4],"A1")+COUNTIFS(Tableau2[4/4],"X",Tableau2[25/4],"A2")</f>
        <v>0</v>
      </c>
      <c r="EQ18" s="83">
        <f>COUNTIFS(Tableau2[5/4],"X",Tableau2[26/4],"A1")+COUNTIFS(Tableau2[5/4],"X",Tableau2[26/4],"A2")</f>
        <v>0</v>
      </c>
      <c r="ER18" s="83">
        <f>COUNTIFS(Tableau2[6/4],"X",Tableau2[27/4],"A1")+COUNTIFS(Tableau2[6/4],"X",Tableau2[27/4],"A2")</f>
        <v>0</v>
      </c>
      <c r="ES18" s="83">
        <f>COUNTIFS(Tableau2[7/4],"X",Tableau2[28/4],"A1")+COUNTIFS(Tableau2[7/4],"X",Tableau2[28/4],"A2")</f>
        <v>0</v>
      </c>
      <c r="ET18" s="83">
        <f>COUNTIFS(Tableau2[8/4],"X",Tableau2[29/4],"A1")+COUNTIFS(Tableau2[8/4],"X",Tableau2[29/4],"A2")</f>
        <v>0</v>
      </c>
      <c r="EU18" s="83">
        <f>COUNTIFS(Tableau2[9/4],"X",Tableau2[30/4],"A1")+COUNTIFS(Tableau2[9/4],"X",Tableau2[30/4],"A2")</f>
        <v>0</v>
      </c>
      <c r="EV18" s="83">
        <f>COUNTIFS(Tableau2[10/4],"X",Tableau2[1/5],"A1")+COUNTIFS(Tableau2[10/4],"X",Tableau2[1/5],"A2")</f>
        <v>0</v>
      </c>
      <c r="EW18" s="83">
        <f>COUNTIFS(Tableau2[11/4],"X",Tableau2[2/5],"A1")+COUNTIFS(Tableau2[11/4],"X",Tableau2[2/5],"A2")</f>
        <v>0</v>
      </c>
      <c r="EX18" s="83">
        <f>COUNTIFS(Tableau2[12/4],"X",Tableau2[3/5],"A1")+COUNTIFS(Tableau2[12/4],"X",Tableau2[3/5],"A2")</f>
        <v>0</v>
      </c>
      <c r="EY18" s="83">
        <f>COUNTIFS(Tableau2[13/4],"X",Tableau2[4/5],"A1")+COUNTIFS(Tableau2[13/4],"X",Tableau2[4/5],"A2")</f>
        <v>0</v>
      </c>
      <c r="EZ18" s="83">
        <f>COUNTIFS(Tableau2[14/4],"X",Tableau2[5/5],"A1")+COUNTIFS(Tableau2[14/4],"X",Tableau2[5/5],"A2")</f>
        <v>0</v>
      </c>
      <c r="FA18" s="83">
        <f>COUNTIFS(Tableau2[15/4],"X",Tableau2[6/5],"A1")+COUNTIFS(Tableau2[15/4],"X",Tableau2[6/5],"A2")</f>
        <v>0</v>
      </c>
      <c r="FB18" s="83">
        <f>COUNTIFS(Tableau2[16/4],"X",Tableau2[7/5],"A1")+COUNTIFS(Tableau2[16/4],"X",Tableau2[7/5],"A2")</f>
        <v>0</v>
      </c>
      <c r="FC18" s="83">
        <f>COUNTIFS(Tableau2[17/4],"X",Tableau2[8/5],"A1")+COUNTIFS(Tableau2[17/4],"X",Tableau2[8/5],"A2")</f>
        <v>0</v>
      </c>
      <c r="FD18" s="83">
        <f>COUNTIFS(Tableau2[18/4],"X",Tableau2[9/5],"A1")+COUNTIFS(Tableau2[18/4],"X",Tableau2[9/5],"A2")</f>
        <v>0</v>
      </c>
      <c r="FE18" s="83">
        <f>COUNTIFS(Tableau2[19/4],"X",Tableau2[10/5],"A1")+COUNTIFS(Tableau2[19/4],"X",Tableau2[10/5],"A2")</f>
        <v>0</v>
      </c>
      <c r="FF18" s="83">
        <f>COUNTIFS(Tableau2[20/4],"X",Tableau2[11/5],"A1")+COUNTIFS(Tableau2[20/4],"X",Tableau2[11/5],"A2")</f>
        <v>0</v>
      </c>
      <c r="FG18" s="83">
        <f>COUNTIFS(Tableau2[21/4],"X",Tableau2[12/5],"A1")+COUNTIFS(Tableau2[21/4],"X",Tableau2[12/5],"A2")</f>
        <v>0</v>
      </c>
      <c r="FH18" s="83">
        <f>COUNTIFS(Tableau2[22/4],"X",Tableau2[13/5],"A1")+COUNTIFS(Tableau2[22/4],"X",Tableau2[13/5],"A2")</f>
        <v>0</v>
      </c>
      <c r="FI18" s="83">
        <f>COUNTIFS(Tableau2[23/4],"X",Tableau2[14/5],"A1")+COUNTIFS(Tableau2[23/4],"X",Tableau2[14/5],"A2")</f>
        <v>0</v>
      </c>
      <c r="FJ18" s="83">
        <f>COUNTIFS(Tableau2[24/4],"X",Tableau2[15/5],"A1")+COUNTIFS(Tableau2[24/4],"X",Tableau2[15/5],"A2")</f>
        <v>0</v>
      </c>
      <c r="FK18" s="83">
        <f>COUNTIFS(Tableau2[25/4],"X",Tableau2[16/5],"A1")+COUNTIFS(Tableau2[25/4],"X",Tableau2[16/5],"A2")</f>
        <v>0</v>
      </c>
      <c r="FL18" s="83">
        <f>COUNTIFS(Tableau2[26/4],"X",Tableau2[17/5],"A1")+COUNTIFS(Tableau2[26/4],"X",Tableau2[17/5],"A2")</f>
        <v>0</v>
      </c>
      <c r="FM18" s="83">
        <f>COUNTIFS(Tableau2[27/4],"X",Tableau2[18/5],"A1")+COUNTIFS(Tableau2[27/4],"X",Tableau2[18/5],"A2")</f>
        <v>0</v>
      </c>
      <c r="FN18" s="83">
        <f>COUNTIFS(Tableau2[28/4],"X",Tableau2[19/5],"A1")+COUNTIFS(Tableau2[28/4],"X",Tableau2[19/5],"A2")</f>
        <v>0</v>
      </c>
      <c r="FO18" s="83">
        <f>COUNTIFS(Tableau2[29/4],"X",Tableau2[20/5],"A1")+COUNTIFS(Tableau2[29/4],"X",Tableau2[20/5],"A2")</f>
        <v>0</v>
      </c>
      <c r="FP18" s="83">
        <f>COUNTIFS(Tableau2[30/4],"X",Tableau2[21/5],"A1")+COUNTIFS(Tableau2[30/4],"X",Tableau2[21/5],"A2")</f>
        <v>0</v>
      </c>
      <c r="FQ18" s="83">
        <f>COUNTIFS(Tableau2[1/5],"X",Tableau2[22/5],"A1")+COUNTIFS(Tableau2[1/5],"X",Tableau2[22/5],"A2")</f>
        <v>0</v>
      </c>
      <c r="FR18" s="83">
        <f>COUNTIFS(Tableau2[2/5],"X",Tableau2[23/5],"A1")+COUNTIFS(Tableau2[2/5],"X",Tableau2[23/5],"A2")</f>
        <v>0</v>
      </c>
      <c r="FS18" s="83">
        <f>COUNTIFS(Tableau2[3/5],"X",Tableau2[24/5],"A1")+COUNTIFS(Tableau2[3/5],"X",Tableau2[24/5],"A2")</f>
        <v>0</v>
      </c>
      <c r="FT18" s="83">
        <f>COUNTIFS(Tableau2[4/5],"X",Tableau2[25/5],"A1")+COUNTIFS(Tableau2[4/5],"X",Tableau2[25/5],"A2")</f>
        <v>0</v>
      </c>
      <c r="FU18" s="83">
        <f>COUNTIFS(Tableau2[5/5],"X",Tableau2[26/5],"A1")+COUNTIFS(Tableau2[5/5],"X",Tableau2[26/5],"A2")</f>
        <v>0</v>
      </c>
      <c r="FV18" s="83">
        <f>COUNTIFS(Tableau2[6/5],"X",Tableau2[27/5],"A1")+COUNTIFS(Tableau2[6/5],"X",Tableau2[27/5],"A2")</f>
        <v>0</v>
      </c>
      <c r="FW18" s="83">
        <f>COUNTIFS(Tableau2[7/5],"X",Tableau2[28/5],"A1")+COUNTIFS(Tableau2[7/5],"X",Tableau2[28/5],"A2")</f>
        <v>0</v>
      </c>
      <c r="FX18" s="83">
        <f>COUNTIFS(Tableau2[8/5],"X",Tableau2[29/5],"A1")+COUNTIFS(Tableau2[8/5],"X",Tableau2[29/5],"A2")</f>
        <v>0</v>
      </c>
      <c r="FY18" s="83">
        <f>COUNTIFS(Tableau2[9/5],"X",Tableau2[30/5],"A1")+COUNTIFS(Tableau2[9/5],"X",Tableau2[30/5],"A2")</f>
        <v>0</v>
      </c>
      <c r="FZ18" s="83">
        <f>COUNTIFS(Tableau2[10/5],"X",Tableau2[31/5],"A1")+COUNTIFS(Tableau2[10/5],"X",Tableau2[31/5],"A2")</f>
        <v>0</v>
      </c>
      <c r="GA18" s="83">
        <f>COUNTIFS(Tableau2[11/5],"X",Tableau2[1/6],"A1")+COUNTIFS(Tableau2[11/5],"X",Tableau2[1/6],"A2")</f>
        <v>0</v>
      </c>
      <c r="GB18" s="83">
        <f>COUNTIFS(Tableau2[12/5],"X",Tableau2[2/6],"A1")+COUNTIFS(Tableau2[12/5],"X",Tableau2[2/6],"A2")</f>
        <v>0</v>
      </c>
      <c r="GC18" s="83">
        <f>COUNTIFS(Tableau2[13/5],"X",Tableau2[3/6],"A1")+COUNTIFS(Tableau2[13/5],"X",Tableau2[3/6],"A2")</f>
        <v>0</v>
      </c>
      <c r="GD18" s="83">
        <f>COUNTIFS(Tableau2[14/5],"X",Tableau2[4/6],"A1")+COUNTIFS(Tableau2[14/5],"X",Tableau2[4/6],"A2")</f>
        <v>0</v>
      </c>
      <c r="GE18" s="83">
        <f>COUNTIFS(Tableau2[15/5],"X",Tableau2[5/6],"A1")+COUNTIFS(Tableau2[15/5],"X",Tableau2[5/6],"A2")</f>
        <v>0</v>
      </c>
      <c r="GF18" s="83">
        <f>COUNTIFS(Tableau2[16/5],"X",Tableau2[6/6],"A1")+COUNTIFS(Tableau2[16/5],"X",Tableau2[6/6],"A2")</f>
        <v>0</v>
      </c>
      <c r="GG18" s="83">
        <f>COUNTIFS(Tableau2[17/5],"X",Tableau2[7/6],"A1")+COUNTIFS(Tableau2[17/5],"X",Tableau2[7/6],"A2")</f>
        <v>0</v>
      </c>
      <c r="GH18" s="83">
        <f>COUNTIFS(Tableau2[18/5],"X",Tableau2[8/6],"A1")+COUNTIFS(Tableau2[18/5],"X",Tableau2[8/6],"A2")</f>
        <v>0</v>
      </c>
      <c r="GI18" s="83">
        <f>COUNTIFS(Tableau2[19/5],"X",Tableau2[9/6],"A1")+COUNTIFS(Tableau2[19/5],"X",Tableau2[9/6],"A2")</f>
        <v>0</v>
      </c>
      <c r="GJ18" s="83">
        <f>COUNTIFS(Tableau2[20/5],"X",Tableau2[10/6],"A1")+COUNTIFS(Tableau2[20/5],"X",Tableau2[10/6],"A2")</f>
        <v>0</v>
      </c>
      <c r="GK18" s="83">
        <f>COUNTIFS(Tableau2[21/5],"X",Tableau2[11/6],"A1")+COUNTIFS(Tableau2[21/5],"X",Tableau2[11/6],"A2")</f>
        <v>0</v>
      </c>
      <c r="GL18" s="83">
        <f>COUNTIFS(Tableau2[22/5],"X",Tableau2[12/6],"A1")+COUNTIFS(Tableau2[22/5],"X",Tableau2[12/6],"A2")</f>
        <v>0</v>
      </c>
      <c r="GM18" s="83">
        <f>COUNTIFS(Tableau2[23/5],"X",Tableau2[13/6],"A1")+COUNTIFS(Tableau2[23/5],"X",Tableau2[13/6],"A2")</f>
        <v>0</v>
      </c>
      <c r="GN18" s="83">
        <f>COUNTIFS(Tableau2[24/5],"X",Tableau2[14/6],"A1")+COUNTIFS(Tableau2[24/5],"X",Tableau2[14/6],"A2")</f>
        <v>0</v>
      </c>
      <c r="GO18" s="83">
        <f>COUNTIFS(Tableau2[25/5],"X",Tableau2[15/6],"A1")+COUNTIFS(Tableau2[25/5],"X",Tableau2[15/6],"A2")</f>
        <v>0</v>
      </c>
      <c r="GP18" s="83">
        <f>COUNTIFS(Tableau2[26/5],"X",Tableau2[16/6],"A1")+COUNTIFS(Tableau2[26/5],"X",Tableau2[16/6],"A2")</f>
        <v>0</v>
      </c>
      <c r="GQ18" s="83">
        <f>COUNTIFS(Tableau2[27/5],"X",Tableau2[17/6],"A1")+COUNTIFS(Tableau2[27/5],"X",Tableau2[17/6],"A2")</f>
        <v>0</v>
      </c>
      <c r="GR18" s="83">
        <f>COUNTIFS(Tableau2[28/5],"X",Tableau2[18/6],"A1")+COUNTIFS(Tableau2[28/5],"X",Tableau2[18/6],"A2")</f>
        <v>0</v>
      </c>
      <c r="GS18" s="83">
        <f>COUNTIFS(Tableau2[29/5],"X",Tableau2[19/6],"A1")+COUNTIFS(Tableau2[29/5],"X",Tableau2[19/6],"A2")</f>
        <v>0</v>
      </c>
      <c r="GT18" s="83">
        <f>COUNTIFS(Tableau2[30/5],"X",Tableau2[20/6],"A1")+COUNTIFS(Tableau2[30/5],"X",Tableau2[20/6],"A2")</f>
        <v>0</v>
      </c>
      <c r="GU18" s="83">
        <f>COUNTIFS(Tableau2[31/5],"X",Tableau2[21/6],"A1")+COUNTIFS(Tableau2[31/5],"X",Tableau2[21/6],"A2")</f>
        <v>0</v>
      </c>
      <c r="GV18" s="83">
        <f>COUNTIFS(Tableau2[1/6],"X",Tableau2[22/6],"A1")+COUNTIFS(Tableau2[1/6],"X",Tableau2[22/6],"A2")</f>
        <v>0</v>
      </c>
      <c r="GW18" s="83">
        <f>COUNTIFS(Tableau2[2/6],"X",Tableau2[23/6],"A1")+COUNTIFS(Tableau2[2/6],"X",Tableau2[23/6],"A2")</f>
        <v>0</v>
      </c>
      <c r="GX18" s="83">
        <f>COUNTIFS(Tableau2[3/6],"X",Tableau2[24/6],"A1")+COUNTIFS(Tableau2[3/6],"X",Tableau2[24/6],"A2")</f>
        <v>0</v>
      </c>
      <c r="GY18" s="83">
        <f>COUNTIFS(Tableau2[4/6],"X",Tableau2[25/6],"A1")+COUNTIFS(Tableau2[4/6],"X",Tableau2[25/6],"A2")</f>
        <v>0</v>
      </c>
      <c r="GZ18" s="83">
        <f>COUNTIFS(Tableau2[5/6],"X",Tableau2[26/6],"A1")+COUNTIFS(Tableau2[5/6],"X",Tableau2[26/6],"A2")</f>
        <v>0</v>
      </c>
      <c r="HA18" s="83">
        <f>COUNTIFS(Tableau2[6/6],"X",Tableau2[27/6],"A1")+COUNTIFS(Tableau2[6/6],"X",Tableau2[27/6],"A2")</f>
        <v>0</v>
      </c>
      <c r="HB18" s="83">
        <f>COUNTIFS(Tableau2[7/6],"X",Tableau2[28/6],"A1")+COUNTIFS(Tableau2[7/6],"X",Tableau2[28/6],"A2")</f>
        <v>0</v>
      </c>
      <c r="HC18" s="83">
        <f>COUNTIFS(Tableau2[8/6],"X",Tableau2[29/6],"A1")+COUNTIFS(Tableau2[8/6],"X",Tableau2[29/6],"A2")</f>
        <v>0</v>
      </c>
      <c r="HD18" s="83">
        <f>COUNTIFS(Tableau2[9/6],"X",Tableau2[30/6],"A1")+COUNTIFS(Tableau2[9/6],"X",Tableau2[30/6],"A2")</f>
        <v>0</v>
      </c>
      <c r="HE18" s="83">
        <f>COUNTIFS(Tableau2[10/6],"X",Tableau2[1/7],"A1")+COUNTIFS(Tableau2[10/6],"X",Tableau2[1/7],"A2")</f>
        <v>0</v>
      </c>
      <c r="HF18" s="83">
        <f>COUNTIFS(Tableau2[11/6],"X",Tableau2[2/7],"A1")+COUNTIFS(Tableau2[11/6],"X",Tableau2[2/7],"A2")</f>
        <v>0</v>
      </c>
      <c r="HG18" s="83">
        <f>COUNTIFS(Tableau2[12/6],"X",Tableau2[3/7],"A1")+COUNTIFS(Tableau2[12/6],"X",Tableau2[3/7],"A2")</f>
        <v>0</v>
      </c>
      <c r="HH18" s="83">
        <f>COUNTIFS(Tableau2[13/6],"X",Tableau2[4/7],"A1")+COUNTIFS(Tableau2[13/6],"X",Tableau2[4/7],"A2")</f>
        <v>0</v>
      </c>
      <c r="HI18" s="83">
        <f>COUNTIFS(Tableau2[14/6],"X",Tableau2[5/7],"A1")+COUNTIFS(Tableau2[14/6],"X",Tableau2[5/7],"A2")</f>
        <v>0</v>
      </c>
      <c r="HJ18" s="83">
        <f>COUNTIFS(Tableau2[15/6],"X",Tableau2[6/7],"A1")+COUNTIFS(Tableau2[15/6],"X",Tableau2[6/7],"A2")</f>
        <v>0</v>
      </c>
      <c r="HK18" s="83">
        <f>COUNTIFS(Tableau2[16/6],"X",Tableau2[7/7],"A1")+COUNTIFS(Tableau2[16/6],"X",Tableau2[7/7],"A2")</f>
        <v>0</v>
      </c>
      <c r="HL18" s="83">
        <f>COUNTIFS(Tableau2[17/6],"X",Tableau2[8/7],"A1")+COUNTIFS(Tableau2[17/6],"X",Tableau2[8/7],"A2")</f>
        <v>0</v>
      </c>
      <c r="HM18" s="83">
        <f>COUNTIFS(Tableau2[18/6],"X",Tableau2[9/7],"A1")+COUNTIFS(Tableau2[18/6],"X",Tableau2[9/7],"A2")</f>
        <v>0</v>
      </c>
      <c r="HN18" s="83">
        <f>COUNTIFS(Tableau2[19/6],"X",Tableau2[10/7],"A1")+COUNTIFS(Tableau2[19/6],"X",Tableau2[10/7],"A2")</f>
        <v>0</v>
      </c>
      <c r="HO18" s="83">
        <f>COUNTIFS(Tableau2[20/6],"X",Tableau2[11/7],"A1")+COUNTIFS(Tableau2[20/6],"X",Tableau2[11/7],"A2")</f>
        <v>0</v>
      </c>
      <c r="HP18" s="83">
        <f>COUNTIFS(Tableau2[21/6],"X",Tableau2[12/7],"A1")+COUNTIFS(Tableau2[21/6],"X",Tableau2[12/7],"A2")</f>
        <v>0</v>
      </c>
      <c r="HQ18" s="83">
        <f>COUNTIFS(Tableau2[22/6],"X",Tableau2[13/7],"A1")+COUNTIFS(Tableau2[22/6],"X",Tableau2[13/7],"A2")</f>
        <v>0</v>
      </c>
      <c r="HR18" s="83">
        <f>COUNTIFS(Tableau2[23/6],"X",Tableau2[14/7],"A1")+COUNTIFS(Tableau2[23/6],"X",Tableau2[14/7],"A2")</f>
        <v>0</v>
      </c>
      <c r="HS18" s="83">
        <f>COUNTIFS(Tableau2[24/6],"X",Tableau2[15/7],"A1")+COUNTIFS(Tableau2[24/6],"X",Tableau2[15/7],"A2")</f>
        <v>0</v>
      </c>
      <c r="HT18" s="83">
        <f>COUNTIFS(Tableau2[25/6],"X",Tableau2[16/7],"A1")+COUNTIFS(Tableau2[25/6],"X",Tableau2[16/7],"A2")</f>
        <v>0</v>
      </c>
      <c r="HU18" s="83">
        <f>COUNTIFS(Tableau2[26/6],"X",Tableau2[17/7],"A1")+COUNTIFS(Tableau2[26/6],"X",Tableau2[17/7],"A2")</f>
        <v>0</v>
      </c>
      <c r="HV18" s="83">
        <f>COUNTIFS(Tableau2[27/6],"X",Tableau2[18/7],"A1")+COUNTIFS(Tableau2[27/6],"X",Tableau2[18/7],"A2")</f>
        <v>0</v>
      </c>
      <c r="HW18" s="83">
        <f>COUNTIFS(Tableau2[28/6],"X",Tableau2[19/7],"A1")+COUNTIFS(Tableau2[28/6],"X",Tableau2[19/7],"A2")</f>
        <v>0</v>
      </c>
      <c r="HX18" s="83">
        <f>COUNTIFS(Tableau2[29/6],"X",Tableau2[20/7],"A1")+COUNTIFS(Tableau2[29/6],"X",Tableau2[20/7],"A2")</f>
        <v>0</v>
      </c>
      <c r="HY18" s="83">
        <f>COUNTIFS(Tableau2[30/6],"X",Tableau2[21/7],"A1")+COUNTIFS(Tableau2[30/6],"X",Tableau2[21/7],"A2")</f>
        <v>0</v>
      </c>
      <c r="HZ18" s="83">
        <f>COUNTIFS(Tableau2[1/7],"X",Tableau2[22/7],"A1")+COUNTIFS(Tableau2[1/7],"X",Tableau2[22/7],"A2")</f>
        <v>0</v>
      </c>
      <c r="IA18" s="83">
        <f>COUNTIFS(Tableau2[2/7],"X",Tableau2[23/7],"A1")+COUNTIFS(Tableau2[2/7],"X",Tableau2[23/7],"A2")</f>
        <v>0</v>
      </c>
      <c r="IB18" s="83">
        <f>COUNTIFS(Tableau2[3/7],"X",Tableau2[24/7],"A1")+COUNTIFS(Tableau2[3/7],"X",Tableau2[24/7],"A2")</f>
        <v>0</v>
      </c>
      <c r="IC18" s="83">
        <f>COUNTIFS(Tableau2[4/7],"X",Tableau2[25/7],"A1")+COUNTIFS(Tableau2[4/7],"X",Tableau2[25/7],"A2")</f>
        <v>0</v>
      </c>
      <c r="ID18" s="83">
        <f>COUNTIFS(Tableau2[5/7],"X",Tableau2[26/7],"A1")+COUNTIFS(Tableau2[5/7],"X",Tableau2[26/7],"A2")</f>
        <v>0</v>
      </c>
      <c r="IE18" s="83">
        <f>COUNTIFS(Tableau2[6/7],"X",Tableau2[27/7],"A1")+COUNTIFS(Tableau2[6/7],"X",Tableau2[27/7],"A2")</f>
        <v>0</v>
      </c>
      <c r="IF18" s="83">
        <f>COUNTIFS(Tableau2[7/7],"X",Tableau2[28/7],"A1")+COUNTIFS(Tableau2[7/7],"X",Tableau2[28/7],"A2")</f>
        <v>0</v>
      </c>
      <c r="IG18" s="83">
        <f>COUNTIFS(Tableau2[8/7],"X",Tableau2[29/7],"A1")+COUNTIFS(Tableau2[8/7],"X",Tableau2[29/7],"A2")</f>
        <v>0</v>
      </c>
      <c r="IH18" s="83">
        <f>COUNTIFS(Tableau2[9/7],"X",Tableau2[30/7],"A1")+COUNTIFS(Tableau2[9/7],"X",Tableau2[30/7],"A2")</f>
        <v>0</v>
      </c>
      <c r="II18" s="83">
        <f>COUNTIFS(Tableau2[10/7],"X",Tableau2[31/7],"A1")+COUNTIFS(Tableau2[10/7],"X",Tableau2[31/7],"A2")</f>
        <v>0</v>
      </c>
      <c r="IJ18" s="83">
        <f>COUNTIFS(Tableau2[11/7],"X",Tableau2[1/8],"A1")+COUNTIFS(Tableau2[11/7],"X",Tableau2[1/8],"A2")</f>
        <v>0</v>
      </c>
      <c r="IK18" s="83">
        <f>COUNTIFS(Tableau2[12/7],"X",Tableau2[2/8],"A1")+COUNTIFS(Tableau2[12/7],"X",Tableau2[2/8],"A2")</f>
        <v>0</v>
      </c>
      <c r="IL18" s="83">
        <f>COUNTIFS(Tableau2[13/7],"X",Tableau2[3/8],"A1")+COUNTIFS(Tableau2[13/7],"X",Tableau2[3/8],"A2")</f>
        <v>0</v>
      </c>
      <c r="IM18" s="83">
        <f>COUNTIFS(Tableau2[14/7],"X",Tableau2[4/8],"A1")+COUNTIFS(Tableau2[14/7],"X",Tableau2[4/8],"A2")</f>
        <v>0</v>
      </c>
      <c r="IN18" s="83">
        <f>COUNTIFS(Tableau2[15/7],"X",Tableau2[5/8],"A1")+COUNTIFS(Tableau2[15/7],"X",Tableau2[5/8],"A2")</f>
        <v>0</v>
      </c>
      <c r="IO18" s="83">
        <f>COUNTIFS(Tableau2[16/7],"X",Tableau2[6/8],"A1")+COUNTIFS(Tableau2[16/7],"X",Tableau2[6/8],"A2")</f>
        <v>0</v>
      </c>
      <c r="IP18" s="83">
        <f>COUNTIFS(Tableau2[17/7],"X",Tableau2[7/8],"A1")+COUNTIFS(Tableau2[17/7],"X",Tableau2[7/8],"A2")</f>
        <v>0</v>
      </c>
      <c r="IQ18" s="83">
        <f>COUNTIFS(Tableau2[18/7],"X",Tableau2[8/8],"A1")+COUNTIFS(Tableau2[18/7],"X",Tableau2[8/8],"A2")</f>
        <v>0</v>
      </c>
      <c r="IR18" s="83">
        <f>COUNTIFS(Tableau2[19/7],"X",Tableau2[9/8],"A1")+COUNTIFS(Tableau2[19/7],"X",Tableau2[9/8],"A2")</f>
        <v>0</v>
      </c>
      <c r="IS18" s="83">
        <f>COUNTIFS(Tableau2[20/7],"X",Tableau2[10/8],"A1")+COUNTIFS(Tableau2[20/7],"X",Tableau2[10/8],"A2")</f>
        <v>0</v>
      </c>
      <c r="IT18" s="83">
        <f>COUNTIFS(Tableau2[21/7],"X",Tableau2[11/8],"A1")+COUNTIFS(Tableau2[21/7],"X",Tableau2[11/8],"A2")</f>
        <v>0</v>
      </c>
      <c r="IU18" s="83">
        <f>COUNTIFS(Tableau2[22/7],"X",Tableau2[12/8],"A1")+COUNTIFS(Tableau2[22/7],"X",Tableau2[12/8],"A2")</f>
        <v>0</v>
      </c>
      <c r="IV18" s="83">
        <f>COUNTIFS(Tableau2[23/7],"X",Tableau2[13/8],"A1")+COUNTIFS(Tableau2[23/7],"X",Tableau2[13/8],"A2")</f>
        <v>0</v>
      </c>
      <c r="IW18" s="83">
        <f>COUNTIFS(Tableau2[24/7],"X",Tableau2[14/8],"A1")+COUNTIFS(Tableau2[24/7],"X",Tableau2[14/8],"A2")</f>
        <v>0</v>
      </c>
      <c r="IX18" s="83">
        <f>COUNTIFS(Tableau2[25/7],"X",Tableau2[15/8],"A1")+COUNTIFS(Tableau2[25/7],"X",Tableau2[15/8],"A2")</f>
        <v>0</v>
      </c>
      <c r="IY18" s="83">
        <f>COUNTIFS(Tableau2[26/7],"X",Tableau2[16/8],"A1")+COUNTIFS(Tableau2[26/7],"X",Tableau2[16/8],"A2")</f>
        <v>0</v>
      </c>
      <c r="IZ18" s="83">
        <f>COUNTIFS(Tableau2[27/7],"X",Tableau2[17/8],"A1")+COUNTIFS(Tableau2[27/7],"X",Tableau2[17/8],"A2")</f>
        <v>0</v>
      </c>
      <c r="JA18" s="83">
        <f>COUNTIFS(Tableau2[28/7],"X",Tableau2[18/8],"A1")+COUNTIFS(Tableau2[28/7],"X",Tableau2[18/8],"A2")</f>
        <v>0</v>
      </c>
      <c r="JB18" s="83">
        <f>COUNTIFS(Tableau2[29/7],"X",Tableau2[19/8],"A1")+COUNTIFS(Tableau2[29/7],"X",Tableau2[19/8],"A2")</f>
        <v>0</v>
      </c>
      <c r="JC18" s="83">
        <f>COUNTIFS(Tableau2[30/7],"X",Tableau2[20/8],"A1")+COUNTIFS(Tableau2[30/7],"X",Tableau2[20/8],"A2")</f>
        <v>0</v>
      </c>
      <c r="JD18" s="83">
        <f>COUNTIFS(Tableau2[31/7],"X",Tableau2[21/8],"A1")+COUNTIFS(Tableau2[31/7],"X",Tableau2[21/8],"A2")</f>
        <v>0</v>
      </c>
      <c r="JE18" s="83">
        <f>COUNTIFS(Tableau2[1/8],"X",Tableau2[22/8],"A1")+COUNTIFS(Tableau2[1/8],"X",Tableau2[22/8],"A2")</f>
        <v>0</v>
      </c>
      <c r="JF18" s="83">
        <f>COUNTIFS(Tableau2[2/8],"X",Tableau2[23/8],"A1")+COUNTIFS(Tableau2[2/8],"X",Tableau2[23/8],"A2")</f>
        <v>0</v>
      </c>
      <c r="JG18" s="83">
        <f>COUNTIFS(Tableau2[3/8],"X",Tableau2[24/8],"A1")+COUNTIFS(Tableau2[3/8],"X",Tableau2[24/8],"A2")</f>
        <v>0</v>
      </c>
      <c r="JH18" s="83">
        <f>COUNTIFS(Tableau2[4/8],"X",Tableau2[25/8],"A1")+COUNTIFS(Tableau2[4/8],"X",Tableau2[25/8],"A2")</f>
        <v>0</v>
      </c>
      <c r="JI18" s="83">
        <f>COUNTIFS(Tableau2[5/8],"X",Tableau2[26/8],"A1")+COUNTIFS(Tableau2[5/8],"X",Tableau2[26/8],"A2")</f>
        <v>0</v>
      </c>
      <c r="JJ18" s="83">
        <f>COUNTIFS(Tableau2[6/8],"X",Tableau2[27/8],"A1")+COUNTIFS(Tableau2[6/8],"X",Tableau2[27/8],"A2")</f>
        <v>0</v>
      </c>
      <c r="JK18" s="83">
        <f>COUNTIFS(Tableau2[7/8],"X",Tableau2[28/8],"A1")+COUNTIFS(Tableau2[7/8],"X",Tableau2[28/8],"A2")</f>
        <v>0</v>
      </c>
      <c r="JL18" s="83">
        <f>COUNTIFS(Tableau2[8/8],"X",Tableau2[29/8],"A1")+COUNTIFS(Tableau2[8/8],"X",Tableau2[29/8],"A2")</f>
        <v>0</v>
      </c>
      <c r="JM18" s="83">
        <f>COUNTIFS(Tableau2[9/8],"X",Tableau2[30/8],"A1")+COUNTIFS(Tableau2[9/8],"X",Tableau2[30/8],"A2")</f>
        <v>0</v>
      </c>
      <c r="JN18" s="83">
        <f>COUNTIFS(Tableau2[10/8],"X",Tableau2[31/8],"A1")+COUNTIFS(Tableau2[10/8],"X",Tableau2[31/8],"A2")</f>
        <v>0</v>
      </c>
      <c r="JO18" s="83">
        <f>COUNTIFS(Tableau2[11/8],"X",Tableau2[1/9],"A1")+COUNTIFS(Tableau2[11/8],"X",Tableau2[1/9],"A2")</f>
        <v>0</v>
      </c>
      <c r="JP18" s="83">
        <f>COUNTIFS(Tableau2[12/8],"X",Tableau2[2/9],"A1")+COUNTIFS(Tableau2[12/8],"X",Tableau2[2/9],"A2")</f>
        <v>0</v>
      </c>
      <c r="JQ18" s="83">
        <f>COUNTIFS(Tableau2[13/8],"X",Tableau2[3/9],"A1")+COUNTIFS(Tableau2[13/8],"X",Tableau2[3/9],"A2")</f>
        <v>0</v>
      </c>
      <c r="JR18" s="83">
        <f>COUNTIFS(Tableau2[14/8],"X",Tableau2[4/9],"A1")+COUNTIFS(Tableau2[14/8],"X",Tableau2[4/9],"A2")</f>
        <v>0</v>
      </c>
      <c r="JS18" s="83">
        <f>COUNTIFS(Tableau2[15/8],"X",Tableau2[5/9],"A1")+COUNTIFS(Tableau2[15/8],"X",Tableau2[5/9],"A2")</f>
        <v>0</v>
      </c>
      <c r="JT18" s="83">
        <f>COUNTIFS(Tableau2[16/8],"X",Tableau2[6/9],"A1")+COUNTIFS(Tableau2[16/8],"X",Tableau2[6/9],"A2")</f>
        <v>0</v>
      </c>
      <c r="JU18" s="83">
        <f>COUNTIFS(Tableau2[17/8],"X",Tableau2[7/9],"A1")+COUNTIFS(Tableau2[17/8],"X",Tableau2[7/9],"A2")</f>
        <v>0</v>
      </c>
      <c r="JV18" s="83">
        <f>COUNTIFS(Tableau2[18/8],"X",Tableau2[8/9],"A1")+COUNTIFS(Tableau2[18/8],"X",Tableau2[8/9],"A2")</f>
        <v>0</v>
      </c>
      <c r="JW18" s="83">
        <f>COUNTIFS(Tableau2[19/8],"X",Tableau2[9/9],"A1")+COUNTIFS(Tableau2[19/8],"X",Tableau2[9/9],"A2")</f>
        <v>0</v>
      </c>
      <c r="JX18" s="83">
        <f>COUNTIFS(Tableau2[20/8],"X",Tableau2[10/9],"A1")+COUNTIFS(Tableau2[20/8],"X",Tableau2[10/9],"A2")</f>
        <v>0</v>
      </c>
      <c r="JY18" s="83">
        <f>COUNTIFS(Tableau2[21/8],"X",Tableau2[11/9],"A1")+COUNTIFS(Tableau2[21/8],"X",Tableau2[11/9],"A2")</f>
        <v>0</v>
      </c>
      <c r="JZ18" s="83">
        <f>COUNTIFS(Tableau2[22/8],"X",Tableau2[12/9],"A1")+COUNTIFS(Tableau2[22/8],"X",Tableau2[12/9],"A2")</f>
        <v>0</v>
      </c>
      <c r="KA18" s="83">
        <f>COUNTIFS(Tableau2[23/8],"X",Tableau2[13/9],"A1")+COUNTIFS(Tableau2[23/8],"X",Tableau2[13/9],"A2")</f>
        <v>0</v>
      </c>
      <c r="KB18" s="83">
        <f>COUNTIFS(Tableau2[24/8],"X",Tableau2[14/9],"A1")+COUNTIFS(Tableau2[24/8],"X",Tableau2[14/9],"A2")</f>
        <v>0</v>
      </c>
      <c r="KC18" s="83">
        <f>COUNTIFS(Tableau2[25/8],"X",Tableau2[15/9],"A1")+COUNTIFS(Tableau2[25/8],"X",Tableau2[15/9],"A2")</f>
        <v>0</v>
      </c>
      <c r="KD18" s="83">
        <f>COUNTIFS(Tableau2[26/8],"X",Tableau2[16/9],"A1")+COUNTIFS(Tableau2[26/8],"X",Tableau2[16/9],"A2")</f>
        <v>0</v>
      </c>
      <c r="KE18" s="83">
        <f>COUNTIFS(Tableau2[27/8],"X",Tableau2[17/9],"A1")+COUNTIFS(Tableau2[27/8],"X",Tableau2[17/9],"A2")</f>
        <v>0</v>
      </c>
      <c r="KF18" s="83">
        <f>COUNTIFS(Tableau2[28/8],"X",Tableau2[18/9],"A1")+COUNTIFS(Tableau2[28/8],"X",Tableau2[18/9],"A2")</f>
        <v>0</v>
      </c>
      <c r="KG18" s="83">
        <f>COUNTIFS(Tableau2[29/8],"X",Tableau2[19/9],"A1")+COUNTIFS(Tableau2[29/8],"X",Tableau2[19/9],"A2")</f>
        <v>0</v>
      </c>
      <c r="KH18" s="83">
        <f>COUNTIFS(Tableau2[30/8],"X",Tableau2[20/9],"A1")+COUNTIFS(Tableau2[30/8],"X",Tableau2[20/9],"A2")</f>
        <v>0</v>
      </c>
      <c r="KI18" s="83">
        <f>COUNTIFS(Tableau2[31/8],"X",Tableau2[21/9],"A1")+COUNTIFS(Tableau2[31/8],"X",Tableau2[21/9],"A2")</f>
        <v>0</v>
      </c>
      <c r="KJ18" s="83">
        <f>COUNTIFS(Tableau2[1/9],"X",Tableau2[22/9],"A1")+COUNTIFS(Tableau2[1/9],"X",Tableau2[22/9],"A2")</f>
        <v>0</v>
      </c>
      <c r="KK18" s="83">
        <f>COUNTIFS(Tableau2[2/9],"X",Tableau2[23/9],"A1")+COUNTIFS(Tableau2[2/9],"X",Tableau2[23/9],"A2")</f>
        <v>0</v>
      </c>
      <c r="KL18" s="83">
        <f>COUNTIFS(Tableau2[3/9],"X",Tableau2[24/9],"A1")+COUNTIFS(Tableau2[3/9],"X",Tableau2[24/9],"A2")</f>
        <v>0</v>
      </c>
      <c r="KM18" s="83">
        <f>COUNTIFS(Tableau2[4/9],"X",Tableau2[25/9],"A1")+COUNTIFS(Tableau2[4/9],"X",Tableau2[25/9],"A2")</f>
        <v>0</v>
      </c>
      <c r="KN18" s="83">
        <f>COUNTIFS(Tableau2[5/9],"X",Tableau2[26/9],"A1")+COUNTIFS(Tableau2[5/9],"X",Tableau2[26/9],"A2")</f>
        <v>0</v>
      </c>
      <c r="KO18" s="83">
        <f>COUNTIFS(Tableau2[6/9],"X",Tableau2[27/9],"A1")+COUNTIFS(Tableau2[6/9],"X",Tableau2[27/9],"A2")</f>
        <v>0</v>
      </c>
      <c r="KP18" s="83">
        <f>COUNTIFS(Tableau2[7/9],"X",Tableau2[28/9],"A1")+COUNTIFS(Tableau2[7/9],"X",Tableau2[28/9],"A2")</f>
        <v>0</v>
      </c>
      <c r="KQ18" s="83">
        <f>COUNTIFS(Tableau2[8/9],"X",Tableau2[29/9],"A1")+COUNTIFS(Tableau2[8/9],"X",Tableau2[29/9],"A2")</f>
        <v>0</v>
      </c>
      <c r="KR18" s="83">
        <f>COUNTIFS(Tableau2[9/9],"X",Tableau2[30/9],"A1")+COUNTIFS(Tableau2[9/9],"X",Tableau2[30/9],"A2")</f>
        <v>0</v>
      </c>
      <c r="KS18" s="83">
        <f>COUNTIFS(Tableau2[10/9],"X",Tableau2[1/10],"A1")+COUNTIFS(Tableau2[10/9],"X",Tableau2[1/10],"A2")</f>
        <v>0</v>
      </c>
      <c r="KT18" s="83">
        <f>COUNTIFS(Tableau2[11/9],"X",Tableau2[2/10],"A1")+COUNTIFS(Tableau2[11/9],"X",Tableau2[2/10],"A2")</f>
        <v>0</v>
      </c>
      <c r="KU18" s="83">
        <f>COUNTIFS(Tableau2[12/9],"X",Tableau2[3/10],"A1")+COUNTIFS(Tableau2[12/9],"X",Tableau2[3/10],"A2")</f>
        <v>0</v>
      </c>
      <c r="KV18" s="83">
        <f>COUNTIFS(Tableau2[13/9],"X",Tableau2[4/10],"A1")+COUNTIFS(Tableau2[13/9],"X",Tableau2[4/10],"A2")</f>
        <v>0</v>
      </c>
      <c r="KW18" s="83">
        <f>COUNTIFS(Tableau2[14/9],"X",Tableau2[5/10],"A1")+COUNTIFS(Tableau2[14/9],"X",Tableau2[5/10],"A2")</f>
        <v>0</v>
      </c>
      <c r="KX18" s="83">
        <f>COUNTIFS(Tableau2[15/9],"X",Tableau2[6/10],"A1")+COUNTIFS(Tableau2[15/9],"X",Tableau2[6/10],"A2")</f>
        <v>0</v>
      </c>
      <c r="KY18" s="83">
        <f>COUNTIFS(Tableau2[16/9],"X",Tableau2[7/10],"A1")+COUNTIFS(Tableau2[16/9],"X",Tableau2[7/10],"A2")</f>
        <v>0</v>
      </c>
      <c r="KZ18" s="83">
        <f>COUNTIFS(Tableau2[17/9],"X",Tableau2[8/10],"A1")+COUNTIFS(Tableau2[17/9],"X",Tableau2[8/10],"A2")</f>
        <v>0</v>
      </c>
      <c r="LA18" s="83">
        <f>COUNTIFS(Tableau2[18/9],"X",Tableau2[9/10],"A1")+COUNTIFS(Tableau2[18/9],"X",Tableau2[9/10],"A2")</f>
        <v>0</v>
      </c>
      <c r="LB18" s="83">
        <f>COUNTIFS(Tableau2[19/9],"X",Tableau2[10/10],"A1")+COUNTIFS(Tableau2[19/9],"X",Tableau2[10/10],"A2")</f>
        <v>0</v>
      </c>
      <c r="LC18" s="83">
        <f>COUNTIFS(Tableau2[20/9],"X",Tableau2[11/10],"A1")+COUNTIFS(Tableau2[20/9],"X",Tableau2[11/10],"A2")</f>
        <v>0</v>
      </c>
      <c r="LD18" s="83">
        <f>COUNTIFS(Tableau2[21/9],"X",Tableau2[12/10],"A1")+COUNTIFS(Tableau2[21/9],"X",Tableau2[12/10],"A2")</f>
        <v>0</v>
      </c>
      <c r="LE18" s="83">
        <f>COUNTIFS(Tableau2[22/9],"X",Tableau2[13/10],"A1")+COUNTIFS(Tableau2[22/9],"X",Tableau2[13/10],"A2")</f>
        <v>0</v>
      </c>
      <c r="LF18" s="83">
        <f>COUNTIFS(Tableau2[23/9],"X",Tableau2[14/10],"A1")+COUNTIFS(Tableau2[23/9],"X",Tableau2[14/10],"A2")</f>
        <v>0</v>
      </c>
      <c r="LG18" s="83">
        <f>COUNTIFS(Tableau2[24/9],"X",Tableau2[15/10],"A1")+COUNTIFS(Tableau2[24/9],"X",Tableau2[15/10],"A2")</f>
        <v>0</v>
      </c>
      <c r="LH18" s="83">
        <f>COUNTIFS(Tableau2[25/9],"X",Tableau2[16/10],"A1")+COUNTIFS(Tableau2[25/9],"X",Tableau2[16/10],"A2")</f>
        <v>0</v>
      </c>
      <c r="LI18" s="83">
        <f>COUNTIFS(Tableau2[26/9],"X",Tableau2[17/10],"A1")+COUNTIFS(Tableau2[26/9],"X",Tableau2[17/10],"A2")</f>
        <v>0</v>
      </c>
      <c r="LJ18" s="83">
        <f>COUNTIFS(Tableau2[27/9],"X",Tableau2[18/10],"A1")+COUNTIFS(Tableau2[27/9],"X",Tableau2[18/10],"A2")</f>
        <v>0</v>
      </c>
      <c r="LK18" s="83">
        <f>COUNTIFS(Tableau2[28/9],"X",Tableau2[19/10],"A1")+COUNTIFS(Tableau2[28/9],"X",Tableau2[19/10],"A2")</f>
        <v>0</v>
      </c>
      <c r="LL18" s="83">
        <f>COUNTIFS(Tableau2[29/9],"X",Tableau2[20/10],"A1")+COUNTIFS(Tableau2[29/9],"X",Tableau2[20/10],"A2")</f>
        <v>0</v>
      </c>
      <c r="LM18" s="83">
        <f>COUNTIFS(Tableau2[30/9],"X",Tableau2[21/10],"A1")+COUNTIFS(Tableau2[30/9],"X",Tableau2[21/10],"A2")</f>
        <v>0</v>
      </c>
      <c r="LN18" s="83">
        <f>COUNTIFS(Tableau2[1/10],"X",Tableau2[22/10],"A1")+COUNTIFS(Tableau2[1/10],"X",Tableau2[22/10],"A2")</f>
        <v>0</v>
      </c>
      <c r="LO18" s="83">
        <f>COUNTIFS(Tableau2[2/10],"X",Tableau2[23/10],"A1")+COUNTIFS(Tableau2[2/10],"X",Tableau2[23/10],"A2")</f>
        <v>0</v>
      </c>
      <c r="LP18" s="83">
        <f>COUNTIFS(Tableau2[3/10],"X",Tableau2[24/10],"A1")+COUNTIFS(Tableau2[3/10],"X",Tableau2[24/10],"A2")</f>
        <v>0</v>
      </c>
      <c r="LQ18" s="83">
        <f>COUNTIFS(Tableau2[4/10],"X",Tableau2[25/10],"A1")+COUNTIFS(Tableau2[4/10],"X",Tableau2[25/10],"A2")</f>
        <v>0</v>
      </c>
      <c r="LR18" s="83">
        <f>COUNTIFS(Tableau2[5/10],"X",Tableau2[26/10],"A1")+COUNTIFS(Tableau2[5/10],"X",Tableau2[26/10],"A2")</f>
        <v>0</v>
      </c>
      <c r="LS18" s="83">
        <f>COUNTIFS(Tableau2[6/10],"X",Tableau2[27/10],"A1")+COUNTIFS(Tableau2[6/10],"X",Tableau2[27/10],"A2")</f>
        <v>0</v>
      </c>
      <c r="LT18" s="83">
        <f>COUNTIFS(Tableau2[7/10],"X",Tableau2[28/10],"A1")+COUNTIFS(Tableau2[7/10],"X",Tableau2[28/10],"A2")</f>
        <v>0</v>
      </c>
      <c r="LU18" s="83">
        <f>COUNTIFS(Tableau2[8/10],"X",Tableau2[29/10],"A1")+COUNTIFS(Tableau2[8/10],"X",Tableau2[29/10],"A2")</f>
        <v>0</v>
      </c>
      <c r="LV18" s="83">
        <f>COUNTIFS(Tableau2[9/10],"X",Tableau2[30/10],"A1")+COUNTIFS(Tableau2[9/10],"X",Tableau2[30/10],"A2")</f>
        <v>0</v>
      </c>
      <c r="LW18" s="83">
        <f>COUNTIFS(Tableau2[10/10],"X",Tableau2[31/10],"A1")+COUNTIFS(Tableau2[10/10],"X",Tableau2[31/10],"A2")</f>
        <v>0</v>
      </c>
      <c r="LX18" s="83">
        <f>COUNTIFS(Tableau2[11/10],"X",Tableau2[1/11],"A1")+COUNTIFS(Tableau2[11/10],"X",Tableau2[1/11],"A2")</f>
        <v>0</v>
      </c>
      <c r="LY18" s="83">
        <f>COUNTIFS(Tableau2[12/10],"X",Tableau2[2/11],"A1")+COUNTIFS(Tableau2[12/10],"X",Tableau2[2/11],"A2")</f>
        <v>0</v>
      </c>
      <c r="LZ18" s="83">
        <f>COUNTIFS(Tableau2[13/10],"X",Tableau2[3/11],"A1")+COUNTIFS(Tableau2[13/10],"X",Tableau2[3/11],"A2")</f>
        <v>0</v>
      </c>
      <c r="MA18" s="83">
        <f>COUNTIFS(Tableau2[14/10],"X",Tableau2[4/11],"A1")+COUNTIFS(Tableau2[14/10],"X",Tableau2[4/11],"A2")</f>
        <v>0</v>
      </c>
      <c r="MB18" s="83">
        <f>COUNTIFS(Tableau2[15/10],"X",Tableau2[5/11],"A1")+COUNTIFS(Tableau2[15/10],"X",Tableau2[5/11],"A2")</f>
        <v>0</v>
      </c>
      <c r="MC18" s="83">
        <f>COUNTIFS(Tableau2[16/10],"X",Tableau2[6/11],"A1")+COUNTIFS(Tableau2[16/10],"X",Tableau2[6/11],"A2")</f>
        <v>0</v>
      </c>
      <c r="MD18" s="83">
        <f>COUNTIFS(Tableau2[17/10],"X",Tableau2[7/11],"A1")+COUNTIFS(Tableau2[17/10],"X",Tableau2[7/11],"A2")</f>
        <v>0</v>
      </c>
      <c r="ME18" s="83">
        <f>COUNTIFS(Tableau2[18/10],"X",Tableau2[8/11],"A1")+COUNTIFS(Tableau2[18/10],"X",Tableau2[8/11],"A2")</f>
        <v>0</v>
      </c>
      <c r="MF18" s="83">
        <f>COUNTIFS(Tableau2[19/10],"X",Tableau2[9/11],"A1")+COUNTIFS(Tableau2[19/10],"X",Tableau2[9/11],"A2")</f>
        <v>0</v>
      </c>
      <c r="MG18" s="83">
        <f>COUNTIFS(Tableau2[20/10],"X",Tableau2[10/11],"A1")+COUNTIFS(Tableau2[20/10],"X",Tableau2[10/11],"A2")</f>
        <v>0</v>
      </c>
      <c r="MH18" s="83">
        <f>COUNTIFS(Tableau2[21/10],"X",Tableau2[11/11],"A1")+COUNTIFS(Tableau2[21/10],"X",Tableau2[11/11],"A2")</f>
        <v>0</v>
      </c>
      <c r="MI18" s="83">
        <f>COUNTIFS(Tableau2[22/10],"X",Tableau2[12/11],"A1")+COUNTIFS(Tableau2[22/10],"X",Tableau2[12/11],"A2")</f>
        <v>0</v>
      </c>
      <c r="MJ18" s="83">
        <f>COUNTIFS(Tableau2[23/10],"X",Tableau2[13/11],"A1")+COUNTIFS(Tableau2[23/10],"X",Tableau2[13/11],"A2")</f>
        <v>0</v>
      </c>
      <c r="MK18" s="83">
        <f>COUNTIFS(Tableau2[24/10],"X",Tableau2[14/11],"A1")+COUNTIFS(Tableau2[24/10],"X",Tableau2[14/11],"A2")</f>
        <v>0</v>
      </c>
      <c r="ML18" s="83">
        <f>COUNTIFS(Tableau2[25/10],"X",Tableau2[15/11],"A1")+COUNTIFS(Tableau2[25/10],"X",Tableau2[15/11],"A2")</f>
        <v>0</v>
      </c>
      <c r="MM18" s="83">
        <f>COUNTIFS(Tableau2[26/10],"X",Tableau2[16/11],"A1")+COUNTIFS(Tableau2[26/10],"X",Tableau2[16/11],"A2")</f>
        <v>0</v>
      </c>
      <c r="MN18" s="83">
        <f>COUNTIFS(Tableau2[27/10],"X",Tableau2[17/11],"A1")+COUNTIFS(Tableau2[27/10],"X",Tableau2[17/11],"A2")</f>
        <v>0</v>
      </c>
      <c r="MO18" s="83">
        <f>COUNTIFS(Tableau2[28/10],"X",Tableau2[18/11],"A1")+COUNTIFS(Tableau2[28/10],"X",Tableau2[18/11],"A2")</f>
        <v>0</v>
      </c>
      <c r="MP18" s="83">
        <f>COUNTIFS(Tableau2[29/10],"X",Tableau2[19/11],"A1")+COUNTIFS(Tableau2[29/10],"X",Tableau2[19/11],"A2")</f>
        <v>0</v>
      </c>
      <c r="MQ18" s="83">
        <f>COUNTIFS(Tableau2[30/10],"X",Tableau2[20/11],"A1")+COUNTIFS(Tableau2[30/10],"X",Tableau2[20/11],"A2")</f>
        <v>0</v>
      </c>
      <c r="MR18" s="83">
        <f>COUNTIFS(Tableau2[31/10],"X",Tableau2[21/11],"A1")+COUNTIFS(Tableau2[31/10],"X",Tableau2[21/11],"A2")</f>
        <v>0</v>
      </c>
      <c r="MS18" s="83">
        <f>COUNTIFS(Tableau2[1/11],"X",Tableau2[22/11],"A1")+COUNTIFS(Tableau2[1/11],"X",Tableau2[22/11],"A2")</f>
        <v>0</v>
      </c>
      <c r="MT18" s="83">
        <f>COUNTIFS(Tableau2[2/11],"X",Tableau2[23/11],"A1")+COUNTIFS(Tableau2[2/11],"X",Tableau2[23/11],"A2")</f>
        <v>0</v>
      </c>
      <c r="MU18" s="83">
        <f>COUNTIFS(Tableau2[3/11],"X",Tableau2[24/11],"A1")+COUNTIFS(Tableau2[3/11],"X",Tableau2[24/11],"A2")</f>
        <v>0</v>
      </c>
      <c r="MV18" s="83">
        <f>COUNTIFS(Tableau2[4/11],"X",Tableau2[25/11],"A1")+COUNTIFS(Tableau2[4/11],"X",Tableau2[25/11],"A2")</f>
        <v>0</v>
      </c>
      <c r="MW18" s="83">
        <f>COUNTIFS(Tableau2[5/11],"X",Tableau2[26/11],"A1")+COUNTIFS(Tableau2[5/11],"X",Tableau2[26/11],"A2")</f>
        <v>0</v>
      </c>
      <c r="MX18" s="83">
        <f>COUNTIFS(Tableau2[6/11],"X",Tableau2[27/11],"A1")+COUNTIFS(Tableau2[6/11],"X",Tableau2[27/11],"A2")</f>
        <v>0</v>
      </c>
      <c r="MY18" s="83">
        <f>COUNTIFS(Tableau2[7/11],"X",Tableau2[28/11],"A1")+COUNTIFS(Tableau2[7/11],"X",Tableau2[28/11],"A2")</f>
        <v>0</v>
      </c>
      <c r="MZ18" s="83">
        <f>COUNTIFS(Tableau2[8/11],"X",Tableau2[29/11],"A1")+COUNTIFS(Tableau2[8/11],"X",Tableau2[29/11],"A2")</f>
        <v>0</v>
      </c>
      <c r="NA18" s="83">
        <f>COUNTIFS(Tableau2[9/11],"X",Tableau2[30/11],"A1")+COUNTIFS(Tableau2[9/11],"X",Tableau2[30/11],"A2")</f>
        <v>0</v>
      </c>
      <c r="NB18" s="83">
        <f>COUNTIFS(Tableau2[10/11],"X",Tableau2[1/12],"A1")+COUNTIFS(Tableau2[10/11],"X",Tableau2[1/12],"A2")</f>
        <v>0</v>
      </c>
      <c r="NC18" s="83">
        <f>COUNTIFS(Tableau2[11/11],"X",Tableau2[2/12],"A1")+COUNTIFS(Tableau2[11/11],"X",Tableau2[2/12],"A2")</f>
        <v>0</v>
      </c>
      <c r="ND18" s="83">
        <f>COUNTIFS(Tableau2[12/11],"X",Tableau2[3/12],"A1")+COUNTIFS(Tableau2[12/11],"X",Tableau2[3/12],"A2")</f>
        <v>0</v>
      </c>
      <c r="NE18" s="83">
        <f>COUNTIFS(Tableau2[13/11],"X",Tableau2[4/12],"A1")+COUNTIFS(Tableau2[13/11],"X",Tableau2[4/12],"A2")</f>
        <v>0</v>
      </c>
      <c r="NF18" s="83">
        <f>COUNTIFS(Tableau2[14/11],"X",Tableau2[5/12],"A1")+COUNTIFS(Tableau2[14/11],"X",Tableau2[5/12],"A2")</f>
        <v>0</v>
      </c>
      <c r="NG18" s="83">
        <f>COUNTIFS(Tableau2[15/11],"X",Tableau2[6/12],"A1")+COUNTIFS(Tableau2[15/11],"X",Tableau2[6/12],"A2")</f>
        <v>0</v>
      </c>
      <c r="NH18" s="83">
        <f>COUNTIFS(Tableau2[16/11],"X",Tableau2[7/12],"A1")+COUNTIFS(Tableau2[16/11],"X",Tableau2[7/12],"A2")</f>
        <v>0</v>
      </c>
      <c r="NI18" s="83">
        <f>COUNTIFS(Tableau2[17/11],"X",Tableau2[8/12],"A1")+COUNTIFS(Tableau2[17/11],"X",Tableau2[8/12],"A2")</f>
        <v>0</v>
      </c>
      <c r="NJ18" s="83">
        <f>COUNTIFS(Tableau2[18/11],"X",Tableau2[9/12],"A1")+COUNTIFS(Tableau2[18/11],"X",Tableau2[9/12],"A2")</f>
        <v>0</v>
      </c>
      <c r="NK18" s="83">
        <f>COUNTIFS(Tableau2[19/11],"X",Tableau2[10/12],"A1")+COUNTIFS(Tableau2[19/11],"X",Tableau2[10/12],"A2")</f>
        <v>0</v>
      </c>
      <c r="NL18" s="83">
        <f>COUNTIFS(Tableau2[20/11],"X",Tableau2[11/12],"A1")+COUNTIFS(Tableau2[20/11],"X",Tableau2[11/12],"A2")</f>
        <v>0</v>
      </c>
      <c r="NM18" s="83">
        <f>COUNTIFS(Tableau2[21/11],"X",Tableau2[12/12],"A1")+COUNTIFS(Tableau2[21/11],"X",Tableau2[12/12],"A2")</f>
        <v>0</v>
      </c>
      <c r="NN18" s="83">
        <f>COUNTIFS(Tableau2[22/11],"X",Tableau2[13/12],"A1")+COUNTIFS(Tableau2[22/11],"X",Tableau2[13/12],"A2")</f>
        <v>0</v>
      </c>
      <c r="NO18" s="83">
        <f>COUNTIFS(Tableau2[23/11],"X",Tableau2[14/12],"A1")+COUNTIFS(Tableau2[23/11],"X",Tableau2[14/12],"A2")</f>
        <v>0</v>
      </c>
      <c r="NP18" s="83">
        <f>COUNTIFS(Tableau2[24/11],"X",Tableau2[15/12],"A1")+COUNTIFS(Tableau2[24/11],"X",Tableau2[15/12],"A2")</f>
        <v>0</v>
      </c>
      <c r="NQ18" s="83">
        <f>COUNTIFS(Tableau2[25/11],"X",Tableau2[16/12],"A1")+COUNTIFS(Tableau2[25/11],"X",Tableau2[16/12],"A2")</f>
        <v>0</v>
      </c>
      <c r="NR18" s="83">
        <f>COUNTIFS(Tableau2[26/11],"X",Tableau2[17/12],"A1")+COUNTIFS(Tableau2[26/11],"X",Tableau2[17/12],"A2")</f>
        <v>0</v>
      </c>
      <c r="NS18" s="83">
        <f>COUNTIFS(Tableau2[27/11],"X",Tableau2[18/12],"A1")+COUNTIFS(Tableau2[27/11],"X",Tableau2[18/12],"A2")</f>
        <v>0</v>
      </c>
      <c r="NT18" s="83">
        <f>COUNTIFS(Tableau2[28/11],"X",Tableau2[19/12],"A1")+COUNTIFS(Tableau2[28/11],"X",Tableau2[19/12],"A2")</f>
        <v>0</v>
      </c>
      <c r="NU18" s="83">
        <f>COUNTIFS(Tableau2[29/11],"X",Tableau2[20/12],"A1")+COUNTIFS(Tableau2[29/11],"X",Tableau2[20/12],"A2")</f>
        <v>0</v>
      </c>
      <c r="NV18" s="83">
        <f>COUNTIFS(Tableau2[30/11],"X",Tableau2[21/12],"A1")+COUNTIFS(Tableau2[30/11],"X",Tableau2[21/12],"A2")</f>
        <v>0</v>
      </c>
      <c r="NW18" s="83">
        <f>COUNTIFS(Tableau2[1/12],"X",Tableau2[22/12],"A1")+COUNTIFS(Tableau2[1/12],"X",Tableau2[22/12],"A2")</f>
        <v>0</v>
      </c>
      <c r="NX18" s="83">
        <f>COUNTIFS(Tableau2[2/12],"X",Tableau2[23/12],"A1")+COUNTIFS(Tableau2[2/12],"X",Tableau2[23/12],"A2")</f>
        <v>0</v>
      </c>
      <c r="NY18" s="83">
        <f>COUNTIFS(Tableau2[3/12],"X",Tableau2[24/12],"A1")+COUNTIFS(Tableau2[3/12],"X",Tableau2[24/12],"A2")</f>
        <v>0</v>
      </c>
      <c r="NZ18" s="83">
        <f>COUNTIFS(Tableau2[4/12],"X",Tableau2[25/12],"A1")+COUNTIFS(Tableau2[4/12],"X",Tableau2[25/12],"A2")</f>
        <v>0</v>
      </c>
      <c r="OA18" s="83">
        <f>COUNTIFS(Tableau2[5/12],"X",Tableau2[26/12],"A1")+COUNTIFS(Tableau2[5/12],"X",Tableau2[26/12],"A2")</f>
        <v>0</v>
      </c>
      <c r="OB18" s="83">
        <f>COUNTIFS(Tableau2[6/12],"X",Tableau2[27/12],"A1")+COUNTIFS(Tableau2[6/12],"X",Tableau2[27/12],"A2")</f>
        <v>0</v>
      </c>
      <c r="OC18" s="83">
        <f>COUNTIFS(Tableau2[7/12],"X",Tableau2[28/12],"A1")+COUNTIFS(Tableau2[7/12],"X",Tableau2[28/12],"A2")</f>
        <v>0</v>
      </c>
      <c r="OD18" s="83">
        <f>COUNTIFS(Tableau2[8/12],"X",Tableau2[29/12],"A1")+COUNTIFS(Tableau2[8/12],"X",Tableau2[29/12],"A2")</f>
        <v>0</v>
      </c>
      <c r="OE18" s="83">
        <f>COUNTIFS(Tableau2[9/12],"X",Tableau2[30/12],"A1")+COUNTIFS(Tableau2[9/12],"X",Tableau2[30/12],"A2")</f>
        <v>0</v>
      </c>
      <c r="OF18" s="83">
        <f>COUNTIFS(Tableau2[10/12],"X",Tableau2[31/12],"A1")+COUNTIFS(Tableau2[10/12],"X",Tableau2[31/12],"A2")</f>
        <v>0</v>
      </c>
      <c r="OG18" s="55"/>
      <c r="OH18" s="55"/>
      <c r="OI18" s="55"/>
    </row>
    <row r="19" spans="5:399" s="9" customFormat="1" ht="10.5" customHeight="1">
      <c r="E19" s="151"/>
      <c r="F19" s="140" t="s">
        <v>437</v>
      </c>
      <c r="G19" s="141"/>
      <c r="H19" s="141"/>
      <c r="I19" s="142"/>
      <c r="V19" s="111"/>
      <c r="W19" s="121"/>
      <c r="AD19" s="56"/>
      <c r="AE19" s="76"/>
      <c r="AF19" s="83">
        <f>COUNTIFS(Tableau2[APRS],"",Tableau2[1/1],"A1")+COUNTIFS(Tableau2[APRS],"",Tableau2[1/1],"A2")</f>
        <v>1</v>
      </c>
      <c r="AG19" s="83">
        <f>COUNTIFS(Tableau2[EXPIRE],"",Tableau2[2/1],"A1")+COUNTIFS(Tableau2[EXPIRE],"",Tableau2[2/1],"A2")</f>
        <v>0</v>
      </c>
      <c r="AH19" s="83">
        <f>COUNTIFS(Tableau2[EWIS],"",Tableau2[3/1],"A1")+COUNTIFS(Tableau2[EWIS],"",Tableau2[3/1],"A2")</f>
        <v>0</v>
      </c>
      <c r="AI19" s="83">
        <f>COUNTIFS(Tableau2[HUMAN FACTOR],"",Tableau2[4/1],"A1")+COUNTIFS(Tableau2[HUMAN FACTOR],"",Tableau2[4/1],"A2")</f>
        <v>0</v>
      </c>
      <c r="AJ19" s="83">
        <f>COUNTIFS(Tableau2[[ FUEL TANK FACTOR]],"",Tableau2[5/1],"A1")+COUNTIFS(Tableau2[[ FUEL TANK FACTOR]],"",Tableau2[5/1],"A2")</f>
        <v>0</v>
      </c>
      <c r="AK19" s="83">
        <f>COUNTIFS(Tableau2[EFB],"",Tableau2[6/1],"A1")+COUNTIFS(Tableau2[EFB],"",Tableau2[6/1],"A2")</f>
        <v>0</v>
      </c>
      <c r="AL19" s="83">
        <f>COUNTIFS(Tableau2[PEMP],"",Tableau2[7/1],"A1")+COUNTIFS(Tableau2[PEMP],"",Tableau2[7/1],"A2")</f>
        <v>0</v>
      </c>
      <c r="AM19" s="83">
        <f>COUNTIFS(Tableau2[[ IDLE]],"",Tableau2[8/1],"A1")+COUNTIFS(Tableau2[[ IDLE]],"",Tableau2[8/1],"A2")</f>
        <v>0</v>
      </c>
      <c r="AN19" s="83">
        <f>COUNTIFS(Tableau2[[ FULL]],"",Tableau2[9/1],"A1")+COUNTIFS(Tableau2[[ FULL]],"",Tableau2[9/1],"A2")</f>
        <v>0</v>
      </c>
      <c r="AO19" s="83">
        <f>COUNTIFS(Tableau2[-],"",Tableau2[10/1],"A1")+COUNTIFS(Tableau2[-],"",Tableau2[10/1],"A2")</f>
        <v>0</v>
      </c>
      <c r="AP19" s="83">
        <f>COUNTIFS(Tableau2[BADGE ROUGE],"",Tableau2[11/1],"A1")+COUNTIFS(Tableau2[BADGE ROUGE],"",Tableau2[11/1],"A2")</f>
        <v>0</v>
      </c>
      <c r="AQ19" s="83">
        <f>COUNTIFS(Tableau2[PERMIS T],"",Tableau2[12/1],"A1")+COUNTIFS(Tableau2[PERMIS T],"",Tableau2[12/1],"A2")</f>
        <v>0</v>
      </c>
      <c r="AR19" s="83">
        <f>COUNTIFS(Tableau2[MEDECINE DU TRAVAIL],"",Tableau2[13/1],"A1")+COUNTIFS(Tableau2[MEDECINE DU TRAVAIL],"",Tableau2[13/1],"A2")</f>
        <v>0</v>
      </c>
      <c r="AS19" s="83">
        <f ca="1">COUNTIFS(Tableau2[EXPIRE BADGE ROUGE],"",Tableau2[14/1],"A1")+COUNTIFS(Tableau2[EXPIRE BADGE ROUGE],"",Tableau2[14/1],"A2")</f>
        <v>0</v>
      </c>
      <c r="AT19" s="83">
        <f ca="1">COUNTIFS(Tableau2[EXPIRE PERMIS T],"",Tableau2[15/1],"A1")+COUNTIFS(Tableau2[EXPIRE PERMIS T],"",Tableau2[15/1],"A2")</f>
        <v>0</v>
      </c>
      <c r="AU19" s="83">
        <f ca="1">COUNTIFS(Tableau2[EXPIRE LICENCE],"",Tableau2[16/1],"A1")+COUNTIFS(Tableau2[EXPIRE LICENCE],"",Tableau2[16/1],"A2")</f>
        <v>0</v>
      </c>
      <c r="AV19" s="83">
        <f ca="1">COUNTIFS(Tableau2[EXPIRE EWIS],"",Tableau2[17/1],"A1")+COUNTIFS(Tableau2[EXPIRE EWIS],"",Tableau2[17/1],"A2")</f>
        <v>0</v>
      </c>
      <c r="AW19" s="83">
        <f ca="1">COUNTIFS(Tableau2[EXPIRE HUMAN FACTOR],"",Tableau2[18/1],"A1")+COUNTIFS(Tableau2[EXPIRE HUMAN FACTOR],"",Tableau2[18/1],"A2")</f>
        <v>0</v>
      </c>
      <c r="AX19" s="83">
        <f ca="1">COUNTIFS(Tableau2[[EXPIRE FUEL TANK FACTOR ]],"",Tableau2[19/1],"A1")+COUNTIFS(Tableau2[[EXPIRE FUEL TANK FACTOR ]],"",Tableau2[19/1],"A2")</f>
        <v>0</v>
      </c>
      <c r="AY19" s="83">
        <f ca="1">COUNTIFS(Tableau2[EXPIRE PEMP],"",Tableau2[20/1],"A1")+COUNTIFS(Tableau2[EXPIRE PEMP],"",Tableau2[20/1],"A2")</f>
        <v>0</v>
      </c>
      <c r="AZ19" s="83">
        <f ca="1">COUNTIFS(Tableau2[EXPIRE MEDECINE DU TRAVAIL],"",Tableau2[21/1],"A1")+COUNTIFS(Tableau2[EXPIRE MEDECINE DU TRAVAIL],"",Tableau2[21/1],"A2")</f>
        <v>0</v>
      </c>
      <c r="BA19" s="83">
        <f>COUNTIFS(Tableau2[1/1],"",Tableau2[22/1],"A1")+COUNTIFS(Tableau2[1/1],"",Tableau2[22/1],"A2")</f>
        <v>0</v>
      </c>
      <c r="BB19" s="83">
        <f>COUNTIFS(Tableau2[2/1],"",Tableau2[23/1],"A1")+COUNTIFS(Tableau2[2/1],"",Tableau2[23/1],"A2")</f>
        <v>0</v>
      </c>
      <c r="BC19" s="83">
        <f>COUNTIFS(Tableau2[3/1],"",Tableau2[24/1],"A1")+COUNTIFS(Tableau2[3/1],"",Tableau2[24/1],"A2")</f>
        <v>0</v>
      </c>
      <c r="BD19" s="83">
        <f>COUNTIFS(Tableau2[4/1],"",Tableau2[25/1],"A1")+COUNTIFS(Tableau2[4/1],"",Tableau2[25/1],"A2")</f>
        <v>0</v>
      </c>
      <c r="BE19" s="83">
        <f>COUNTIFS(Tableau2[5/1],"",Tableau2[26/1],"A1")+COUNTIFS(Tableau2[5/1],"",Tableau2[26/1],"A2")</f>
        <v>0</v>
      </c>
      <c r="BF19" s="83">
        <f>COUNTIFS(Tableau2[6/1],"",Tableau2[27/1],"A1")+COUNTIFS(Tableau2[6/1],"",Tableau2[27/1],"A2")</f>
        <v>0</v>
      </c>
      <c r="BG19" s="83">
        <f>COUNTIFS(Tableau2[7/1],"",Tableau2[28/1],"A1")+COUNTIFS(Tableau2[7/1],"",Tableau2[28/1],"A2")</f>
        <v>0</v>
      </c>
      <c r="BH19" s="83">
        <f>COUNTIFS(Tableau2[8/1],"",Tableau2[29/1],"A1")+COUNTIFS(Tableau2[8/1],"",Tableau2[29/1],"A2")</f>
        <v>0</v>
      </c>
      <c r="BI19" s="83">
        <f>COUNTIFS(Tableau2[9/1],"",Tableau2[30/1],"A1")+COUNTIFS(Tableau2[9/1],"",Tableau2[30/1],"A2")</f>
        <v>0</v>
      </c>
      <c r="BJ19" s="83">
        <f>COUNTIFS(Tableau2[10/1],"",Tableau2[31/1],"A1")+COUNTIFS(Tableau2[10/1],"",Tableau2[31/1],"A2")</f>
        <v>0</v>
      </c>
      <c r="BK19" s="83">
        <f>COUNTIFS(Tableau2[11/1],"",Tableau2[1/2],"A1")+COUNTIFS(Tableau2[11/1],"",Tableau2[1/2],"A2")</f>
        <v>0</v>
      </c>
      <c r="BL19" s="83">
        <f>COUNTIFS(Tableau2[12/1],"",Tableau2[2/2],"A1")+COUNTIFS(Tableau2[12/1],"",Tableau2[2/2],"A2")</f>
        <v>0</v>
      </c>
      <c r="BM19" s="83">
        <f>COUNTIFS(Tableau2[13/1],"",Tableau2[3/2],"A1")+COUNTIFS(Tableau2[13/1],"",Tableau2[3/2],"A2")</f>
        <v>0</v>
      </c>
      <c r="BN19" s="83">
        <f>COUNTIFS(Tableau2[14/1],"",Tableau2[4/2],"A1")+COUNTIFS(Tableau2[14/1],"",Tableau2[4/2],"A2")</f>
        <v>0</v>
      </c>
      <c r="BO19" s="83">
        <f>COUNTIFS(Tableau2[15/1],"",Tableau2[5/2],"A1")+COUNTIFS(Tableau2[15/1],"",Tableau2[5/2],"A2")</f>
        <v>0</v>
      </c>
      <c r="BP19" s="83">
        <f>COUNTIFS(Tableau2[16/1],"",Tableau2[6/2],"A1")+COUNTIFS(Tableau2[16/1],"",Tableau2[6/2],"A2")</f>
        <v>0</v>
      </c>
      <c r="BQ19" s="83">
        <f>COUNTIFS(Tableau2[17/1],"",Tableau2[7/2],"A1")+COUNTIFS(Tableau2[17/1],"",Tableau2[7/2],"A2")</f>
        <v>0</v>
      </c>
      <c r="BR19" s="83">
        <f>COUNTIFS(Tableau2[18/1],"",Tableau2[8/2],"A1")+COUNTIFS(Tableau2[18/1],"",Tableau2[8/2],"A2")</f>
        <v>0</v>
      </c>
      <c r="BS19" s="83">
        <f>COUNTIFS(Tableau2[19/1],"",Tableau2[9/2],"A1")+COUNTIFS(Tableau2[19/1],"",Tableau2[9/2],"A2")</f>
        <v>0</v>
      </c>
      <c r="BT19" s="83">
        <f>COUNTIFS(Tableau2[20/1],"",Tableau2[10/2],"A1")+COUNTIFS(Tableau2[20/1],"",Tableau2[10/2],"A2")</f>
        <v>0</v>
      </c>
      <c r="BU19" s="83">
        <f>COUNTIFS(Tableau2[21/1],"",Tableau2[11/2],"A1")+COUNTIFS(Tableau2[21/1],"",Tableau2[11/2],"A2")</f>
        <v>0</v>
      </c>
      <c r="BV19" s="83">
        <f>COUNTIFS(Tableau2[22/1],"",Tableau2[12/2],"A1")+COUNTIFS(Tableau2[22/1],"",Tableau2[12/2],"A2")</f>
        <v>0</v>
      </c>
      <c r="BW19" s="83">
        <f>COUNTIFS(Tableau2[23/1],"",Tableau2[13/2],"A1")+COUNTIFS(Tableau2[23/1],"",Tableau2[13/2],"A2")</f>
        <v>0</v>
      </c>
      <c r="BX19" s="83">
        <f>COUNTIFS(Tableau2[24/1],"",Tableau2[14/2],"A1")+COUNTIFS(Tableau2[24/1],"",Tableau2[14/2],"A2")</f>
        <v>0</v>
      </c>
      <c r="BY19" s="83">
        <f>COUNTIFS(Tableau2[25/1],"",Tableau2[15/2],"A1")+COUNTIFS(Tableau2[25/1],"",Tableau2[15/2],"A2")</f>
        <v>0</v>
      </c>
      <c r="BZ19" s="83">
        <f>COUNTIFS(Tableau2[26/1],"",Tableau2[16/2],"A1")+COUNTIFS(Tableau2[26/1],"",Tableau2[16/2],"A2")</f>
        <v>0</v>
      </c>
      <c r="CA19" s="83">
        <f>COUNTIFS(Tableau2[27/1],"",Tableau2[17/2],"A1")+COUNTIFS(Tableau2[27/1],"",Tableau2[17/2],"A2")</f>
        <v>0</v>
      </c>
      <c r="CB19" s="83">
        <f>COUNTIFS(Tableau2[28/1],"",Tableau2[18/2],"A1")+COUNTIFS(Tableau2[28/1],"",Tableau2[18/2],"A2")</f>
        <v>0</v>
      </c>
      <c r="CC19" s="83">
        <f>COUNTIFS(Tableau2[29/1],"",Tableau2[19/2],"A1")+COUNTIFS(Tableau2[29/1],"",Tableau2[19/2],"A2")</f>
        <v>0</v>
      </c>
      <c r="CD19" s="83">
        <f>COUNTIFS(Tableau2[30/1],"",Tableau2[20/2],"A1")+COUNTIFS(Tableau2[30/1],"",Tableau2[20/2],"A2")</f>
        <v>0</v>
      </c>
      <c r="CE19" s="83">
        <f>COUNTIFS(Tableau2[31/1],"",Tableau2[21/2],"A1")+COUNTIFS(Tableau2[31/1],"",Tableau2[21/2],"A2")</f>
        <v>0</v>
      </c>
      <c r="CF19" s="83">
        <f>COUNTIFS(Tableau2[1/2],"",Tableau2[22/2],"A1")+COUNTIFS(Tableau2[1/2],"",Tableau2[22/2],"A2")</f>
        <v>0</v>
      </c>
      <c r="CG19" s="83">
        <f>COUNTIFS(Tableau2[2/2],"",Tableau2[23/2],"A1")+COUNTIFS(Tableau2[2/2],"",Tableau2[23/2],"A2")</f>
        <v>0</v>
      </c>
      <c r="CH19" s="83">
        <f>COUNTIFS(Tableau2[3/2],"",Tableau2[24/2],"A1")+COUNTIFS(Tableau2[3/2],"",Tableau2[24/2],"A2")</f>
        <v>0</v>
      </c>
      <c r="CI19" s="83">
        <f>COUNTIFS(Tableau2[4/2],"",Tableau2[25/2],"A1")+COUNTIFS(Tableau2[4/2],"",Tableau2[25/2],"A2")</f>
        <v>0</v>
      </c>
      <c r="CJ19" s="83">
        <f>COUNTIFS(Tableau2[5/2],"",Tableau2[26/2],"A1")+COUNTIFS(Tableau2[5/2],"",Tableau2[26/2],"A2")</f>
        <v>0</v>
      </c>
      <c r="CK19" s="83">
        <f>COUNTIFS(Tableau2[6/2],"",Tableau2[27/2],"A1")+COUNTIFS(Tableau2[6/2],"",Tableau2[27/2],"A2")</f>
        <v>0</v>
      </c>
      <c r="CL19" s="83">
        <f>COUNTIFS(Tableau2[7/2],"",Tableau2[28/2],"A1")+COUNTIFS(Tableau2[7/2],"",Tableau2[28/2],"A2")</f>
        <v>0</v>
      </c>
      <c r="CM19" s="83">
        <f>COUNTIFS(Tableau2[8/2],"",Tableau2[1/3],"A1")+COUNTIFS(Tableau2[8/2],"",Tableau2[1/3],"A2")</f>
        <v>0</v>
      </c>
      <c r="CN19" s="83">
        <f>COUNTIFS(Tableau2[9/2],"",Tableau2[2/3],"A1")+COUNTIFS(Tableau2[9/2],"",Tableau2[2/3],"A2")</f>
        <v>0</v>
      </c>
      <c r="CO19" s="83">
        <f>COUNTIFS(Tableau2[10/2],"",Tableau2[3/3],"A1")+COUNTIFS(Tableau2[10/2],"",Tableau2[3/3],"A2")</f>
        <v>0</v>
      </c>
      <c r="CP19" s="83">
        <f>COUNTIFS(Tableau2[11/2],"",Tableau2[4/3],"A1")+COUNTIFS(Tableau2[11/2],"",Tableau2[4/3],"A2")</f>
        <v>0</v>
      </c>
      <c r="CQ19" s="83">
        <f>COUNTIFS(Tableau2[12/2],"",Tableau2[5/3],"A1")+COUNTIFS(Tableau2[12/2],"",Tableau2[5/3],"A2")</f>
        <v>0</v>
      </c>
      <c r="CR19" s="83">
        <f>COUNTIFS(Tableau2[13/2],"",Tableau2[6/3],"A1")+COUNTIFS(Tableau2[13/2],"",Tableau2[6/3],"A2")</f>
        <v>0</v>
      </c>
      <c r="CS19" s="83">
        <f>COUNTIFS(Tableau2[14/2],"",Tableau2[7/3],"A1")+COUNTIFS(Tableau2[14/2],"",Tableau2[7/3],"A2")</f>
        <v>0</v>
      </c>
      <c r="CT19" s="83">
        <f>COUNTIFS(Tableau2[15/2],"",Tableau2[8/3],"A1")+COUNTIFS(Tableau2[15/2],"",Tableau2[8/3],"A2")</f>
        <v>0</v>
      </c>
      <c r="CU19" s="83">
        <f>COUNTIFS(Tableau2[16/2],"",Tableau2[9/3],"A1")+COUNTIFS(Tableau2[16/2],"",Tableau2[9/3],"A2")</f>
        <v>0</v>
      </c>
      <c r="CV19" s="83">
        <f>COUNTIFS(Tableau2[17/2],"",Tableau2[10/3],"A1")+COUNTIFS(Tableau2[17/2],"",Tableau2[10/3],"A2")</f>
        <v>0</v>
      </c>
      <c r="CW19" s="83">
        <f>COUNTIFS(Tableau2[18/2],"",Tableau2[11/3],"A1")+COUNTIFS(Tableau2[18/2],"",Tableau2[11/3],"A2")</f>
        <v>0</v>
      </c>
      <c r="CX19" s="83">
        <f>COUNTIFS(Tableau2[19/2],"",Tableau2[12/3],"A1")+COUNTIFS(Tableau2[19/2],"",Tableau2[12/3],"A2")</f>
        <v>0</v>
      </c>
      <c r="CY19" s="83">
        <f>COUNTIFS(Tableau2[20/2],"",Tableau2[13/3],"A1")+COUNTIFS(Tableau2[20/2],"",Tableau2[13/3],"A2")</f>
        <v>0</v>
      </c>
      <c r="CZ19" s="83">
        <f>COUNTIFS(Tableau2[21/2],"",Tableau2[14/3],"A1")+COUNTIFS(Tableau2[21/2],"",Tableau2[14/3],"A2")</f>
        <v>0</v>
      </c>
      <c r="DA19" s="83">
        <f>COUNTIFS(Tableau2[22/2],"",Tableau2[15/3],"A1")+COUNTIFS(Tableau2[22/2],"",Tableau2[15/3],"A2")</f>
        <v>0</v>
      </c>
      <c r="DB19" s="83">
        <f>COUNTIFS(Tableau2[23/2],"",Tableau2[16/3],"A1")+COUNTIFS(Tableau2[23/2],"",Tableau2[16/3],"A2")</f>
        <v>0</v>
      </c>
      <c r="DC19" s="83">
        <f>COUNTIFS(Tableau2[24/2],"",Tableau2[17/3],"A1")+COUNTIFS(Tableau2[24/2],"",Tableau2[17/3],"A2")</f>
        <v>0</v>
      </c>
      <c r="DD19" s="83">
        <f>COUNTIFS(Tableau2[25/2],"",Tableau2[18/3],"A1")+COUNTIFS(Tableau2[25/2],"",Tableau2[18/3],"A2")</f>
        <v>0</v>
      </c>
      <c r="DE19" s="83">
        <f>COUNTIFS(Tableau2[26/2],"",Tableau2[19/3],"A1")+COUNTIFS(Tableau2[26/2],"",Tableau2[19/3],"A2")</f>
        <v>0</v>
      </c>
      <c r="DF19" s="83">
        <f>COUNTIFS(Tableau2[27/2],"",Tableau2[20/3],"A1")+COUNTIFS(Tableau2[27/2],"",Tableau2[20/3],"A2")</f>
        <v>0</v>
      </c>
      <c r="DG19" s="83">
        <f>COUNTIFS(Tableau2[28/2],"",Tableau2[21/3],"A1")+COUNTIFS(Tableau2[28/2],"",Tableau2[21/3],"A2")</f>
        <v>0</v>
      </c>
      <c r="DH19" s="83">
        <f>COUNTIFS(Tableau2[1/3],"",Tableau2[22/3],"A1")+COUNTIFS(Tableau2[1/3],"",Tableau2[22/3],"A2")</f>
        <v>0</v>
      </c>
      <c r="DI19" s="83">
        <f>COUNTIFS(Tableau2[2/3],"",Tableau2[23/3],"A1")+COUNTIFS(Tableau2[2/3],"",Tableau2[23/3],"A2")</f>
        <v>0</v>
      </c>
      <c r="DJ19" s="83">
        <f>COUNTIFS(Tableau2[3/3],"",Tableau2[24/3],"A1")+COUNTIFS(Tableau2[3/3],"",Tableau2[24/3],"A2")</f>
        <v>0</v>
      </c>
      <c r="DK19" s="83">
        <f>COUNTIFS(Tableau2[4/3],"",Tableau2[25/3],"A1")+COUNTIFS(Tableau2[4/3],"",Tableau2[25/3],"A2")</f>
        <v>0</v>
      </c>
      <c r="DL19" s="83">
        <f>COUNTIFS(Tableau2[5/3],"",Tableau2[26/3],"A1")+COUNTIFS(Tableau2[5/3],"",Tableau2[26/3],"A2")</f>
        <v>0</v>
      </c>
      <c r="DM19" s="83">
        <f>COUNTIFS(Tableau2[6/3],"",Tableau2[27/3],"A1")+COUNTIFS(Tableau2[6/3],"",Tableau2[27/3],"A2")</f>
        <v>0</v>
      </c>
      <c r="DN19" s="83">
        <f>COUNTIFS(Tableau2[7/3],"",Tableau2[28/3],"A1")+COUNTIFS(Tableau2[7/3],"",Tableau2[28/3],"A2")</f>
        <v>0</v>
      </c>
      <c r="DO19" s="83">
        <f>COUNTIFS(Tableau2[8/3],"",Tableau2[29/3],"A1")+COUNTIFS(Tableau2[8/3],"",Tableau2[29/3],"A2")</f>
        <v>0</v>
      </c>
      <c r="DP19" s="83">
        <f>COUNTIFS(Tableau2[9/3],"",Tableau2[30/3],"A1")+COUNTIFS(Tableau2[9/3],"",Tableau2[30/3],"A2")</f>
        <v>0</v>
      </c>
      <c r="DQ19" s="83">
        <f>COUNTIFS(Tableau2[10/3],"",Tableau2[31/3],"A1")+COUNTIFS(Tableau2[10/3],"",Tableau2[31/3],"A2")</f>
        <v>0</v>
      </c>
      <c r="DR19" s="83">
        <f>COUNTIFS(Tableau2[11/3],"",Tableau2[1/4],"A1")+COUNTIFS(Tableau2[11/3],"",Tableau2[1/4],"A2")</f>
        <v>0</v>
      </c>
      <c r="DS19" s="83">
        <f>COUNTIFS(Tableau2[12/3],"",Tableau2[2/4],"A1")+COUNTIFS(Tableau2[12/3],"",Tableau2[2/4],"A2")</f>
        <v>0</v>
      </c>
      <c r="DT19" s="83">
        <f>COUNTIFS(Tableau2[13/3],"",Tableau2[3/4],"A1")+COUNTIFS(Tableau2[13/3],"",Tableau2[3/4],"A2")</f>
        <v>0</v>
      </c>
      <c r="DU19" s="83">
        <f>COUNTIFS(Tableau2[14/3],"",Tableau2[4/4],"A1")+COUNTIFS(Tableau2[14/3],"",Tableau2[4/4],"A2")</f>
        <v>0</v>
      </c>
      <c r="DV19" s="83">
        <f>COUNTIFS(Tableau2[15/3],"",Tableau2[5/4],"A1")+COUNTIFS(Tableau2[15/3],"",Tableau2[5/4],"A2")</f>
        <v>0</v>
      </c>
      <c r="DW19" s="83">
        <f>COUNTIFS(Tableau2[16/3],"",Tableau2[6/4],"A1")+COUNTIFS(Tableau2[16/3],"",Tableau2[6/4],"A2")</f>
        <v>0</v>
      </c>
      <c r="DX19" s="83">
        <f>COUNTIFS(Tableau2[17/3],"",Tableau2[7/4],"A1")+COUNTIFS(Tableau2[17/3],"",Tableau2[7/4],"A2")</f>
        <v>0</v>
      </c>
      <c r="DY19" s="83">
        <f>COUNTIFS(Tableau2[18/3],"",Tableau2[8/4],"A1")+COUNTIFS(Tableau2[18/3],"",Tableau2[8/4],"A2")</f>
        <v>0</v>
      </c>
      <c r="DZ19" s="83">
        <f>COUNTIFS(Tableau2[19/3],"",Tableau2[9/4],"A1")+COUNTIFS(Tableau2[19/3],"",Tableau2[9/4],"A2")</f>
        <v>0</v>
      </c>
      <c r="EA19" s="83">
        <f>COUNTIFS(Tableau2[20/3],"",Tableau2[10/4],"A1")+COUNTIFS(Tableau2[20/3],"",Tableau2[10/4],"A2")</f>
        <v>0</v>
      </c>
      <c r="EB19" s="83">
        <f>COUNTIFS(Tableau2[21/3],"",Tableau2[11/4],"A1")+COUNTIFS(Tableau2[21/3],"",Tableau2[11/4],"A2")</f>
        <v>0</v>
      </c>
      <c r="EC19" s="83">
        <f>COUNTIFS(Tableau2[22/3],"",Tableau2[12/4],"A1")+COUNTIFS(Tableau2[22/3],"",Tableau2[12/4],"A2")</f>
        <v>0</v>
      </c>
      <c r="ED19" s="83">
        <f>COUNTIFS(Tableau2[23/3],"",Tableau2[13/4],"A1")+COUNTIFS(Tableau2[23/3],"",Tableau2[13/4],"A2")</f>
        <v>0</v>
      </c>
      <c r="EE19" s="83">
        <f>COUNTIFS(Tableau2[24/3],"",Tableau2[14/4],"A1")+COUNTIFS(Tableau2[24/3],"",Tableau2[14/4],"A2")</f>
        <v>0</v>
      </c>
      <c r="EF19" s="83">
        <f>COUNTIFS(Tableau2[25/3],"",Tableau2[15/4],"A1")+COUNTIFS(Tableau2[25/3],"",Tableau2[15/4],"A2")</f>
        <v>0</v>
      </c>
      <c r="EG19" s="83">
        <f>COUNTIFS(Tableau2[26/3],"",Tableau2[16/4],"A1")+COUNTIFS(Tableau2[26/3],"",Tableau2[16/4],"A2")</f>
        <v>0</v>
      </c>
      <c r="EH19" s="83">
        <f>COUNTIFS(Tableau2[27/3],"",Tableau2[17/4],"A1")+COUNTIFS(Tableau2[27/3],"",Tableau2[17/4],"A2")</f>
        <v>0</v>
      </c>
      <c r="EI19" s="83">
        <f>COUNTIFS(Tableau2[28/3],"",Tableau2[18/4],"A1")+COUNTIFS(Tableau2[28/3],"",Tableau2[18/4],"A2")</f>
        <v>0</v>
      </c>
      <c r="EJ19" s="83">
        <f>COUNTIFS(Tableau2[29/3],"",Tableau2[19/4],"A1")+COUNTIFS(Tableau2[29/3],"",Tableau2[19/4],"A2")</f>
        <v>0</v>
      </c>
      <c r="EK19" s="83">
        <f>COUNTIFS(Tableau2[30/3],"",Tableau2[20/4],"A1")+COUNTIFS(Tableau2[30/3],"",Tableau2[20/4],"A2")</f>
        <v>0</v>
      </c>
      <c r="EL19" s="83">
        <f>COUNTIFS(Tableau2[31/3],"",Tableau2[21/4],"A1")+COUNTIFS(Tableau2[31/3],"",Tableau2[21/4],"A2")</f>
        <v>0</v>
      </c>
      <c r="EM19" s="83">
        <f>COUNTIFS(Tableau2[1/4],"",Tableau2[22/4],"A1")+COUNTIFS(Tableau2[1/4],"",Tableau2[22/4],"A2")</f>
        <v>0</v>
      </c>
      <c r="EN19" s="83">
        <f>COUNTIFS(Tableau2[2/4],"",Tableau2[23/4],"A1")+COUNTIFS(Tableau2[2/4],"",Tableau2[23/4],"A2")</f>
        <v>0</v>
      </c>
      <c r="EO19" s="83">
        <f>COUNTIFS(Tableau2[3/4],"",Tableau2[24/4],"A1")+COUNTIFS(Tableau2[3/4],"",Tableau2[24/4],"A2")</f>
        <v>0</v>
      </c>
      <c r="EP19" s="83">
        <f>COUNTIFS(Tableau2[4/4],"",Tableau2[25/4],"A1")+COUNTIFS(Tableau2[4/4],"",Tableau2[25/4],"A2")</f>
        <v>0</v>
      </c>
      <c r="EQ19" s="83">
        <f>COUNTIFS(Tableau2[5/4],"",Tableau2[26/4],"A1")+COUNTIFS(Tableau2[5/4],"",Tableau2[26/4],"A2")</f>
        <v>0</v>
      </c>
      <c r="ER19" s="83">
        <f>COUNTIFS(Tableau2[6/4],"",Tableau2[27/4],"A1")+COUNTIFS(Tableau2[6/4],"",Tableau2[27/4],"A2")</f>
        <v>0</v>
      </c>
      <c r="ES19" s="83">
        <f>COUNTIFS(Tableau2[7/4],"",Tableau2[28/4],"A1")+COUNTIFS(Tableau2[7/4],"",Tableau2[28/4],"A2")</f>
        <v>0</v>
      </c>
      <c r="ET19" s="83">
        <f>COUNTIFS(Tableau2[8/4],"",Tableau2[29/4],"A1")+COUNTIFS(Tableau2[8/4],"",Tableau2[29/4],"A2")</f>
        <v>0</v>
      </c>
      <c r="EU19" s="83">
        <f>COUNTIFS(Tableau2[9/4],"",Tableau2[30/4],"A1")+COUNTIFS(Tableau2[9/4],"",Tableau2[30/4],"A2")</f>
        <v>0</v>
      </c>
      <c r="EV19" s="83">
        <f>COUNTIFS(Tableau2[10/4],"",Tableau2[1/5],"A1")+COUNTIFS(Tableau2[10/4],"",Tableau2[1/5],"A2")</f>
        <v>0</v>
      </c>
      <c r="EW19" s="83">
        <f>COUNTIFS(Tableau2[11/4],"",Tableau2[2/5],"A1")+COUNTIFS(Tableau2[11/4],"",Tableau2[2/5],"A2")</f>
        <v>0</v>
      </c>
      <c r="EX19" s="83">
        <f>COUNTIFS(Tableau2[12/4],"",Tableau2[3/5],"A1")+COUNTIFS(Tableau2[12/4],"",Tableau2[3/5],"A2")</f>
        <v>0</v>
      </c>
      <c r="EY19" s="83">
        <f>COUNTIFS(Tableau2[13/4],"",Tableau2[4/5],"A1")+COUNTIFS(Tableau2[13/4],"",Tableau2[4/5],"A2")</f>
        <v>0</v>
      </c>
      <c r="EZ19" s="83">
        <f>COUNTIFS(Tableau2[14/4],"",Tableau2[5/5],"A1")+COUNTIFS(Tableau2[14/4],"",Tableau2[5/5],"A2")</f>
        <v>0</v>
      </c>
      <c r="FA19" s="83">
        <f>COUNTIFS(Tableau2[15/4],"",Tableau2[6/5],"A1")+COUNTIFS(Tableau2[15/4],"",Tableau2[6/5],"A2")</f>
        <v>0</v>
      </c>
      <c r="FB19" s="83">
        <f>COUNTIFS(Tableau2[16/4],"",Tableau2[7/5],"A1")+COUNTIFS(Tableau2[16/4],"",Tableau2[7/5],"A2")</f>
        <v>0</v>
      </c>
      <c r="FC19" s="83">
        <f>COUNTIFS(Tableau2[17/4],"",Tableau2[8/5],"A1")+COUNTIFS(Tableau2[17/4],"",Tableau2[8/5],"A2")</f>
        <v>0</v>
      </c>
      <c r="FD19" s="83">
        <f>COUNTIFS(Tableau2[18/4],"",Tableau2[9/5],"A1")+COUNTIFS(Tableau2[18/4],"",Tableau2[9/5],"A2")</f>
        <v>0</v>
      </c>
      <c r="FE19" s="83">
        <f>COUNTIFS(Tableau2[19/4],"",Tableau2[10/5],"A1")+COUNTIFS(Tableau2[19/4],"",Tableau2[10/5],"A2")</f>
        <v>0</v>
      </c>
      <c r="FF19" s="83">
        <f>COUNTIFS(Tableau2[20/4],"",Tableau2[11/5],"A1")+COUNTIFS(Tableau2[20/4],"",Tableau2[11/5],"A2")</f>
        <v>0</v>
      </c>
      <c r="FG19" s="83">
        <f>COUNTIFS(Tableau2[21/4],"",Tableau2[12/5],"A1")+COUNTIFS(Tableau2[21/4],"",Tableau2[12/5],"A2")</f>
        <v>0</v>
      </c>
      <c r="FH19" s="83">
        <f>COUNTIFS(Tableau2[22/4],"",Tableau2[13/5],"A1")+COUNTIFS(Tableau2[22/4],"",Tableau2[13/5],"A2")</f>
        <v>0</v>
      </c>
      <c r="FI19" s="83">
        <f>COUNTIFS(Tableau2[23/4],"",Tableau2[14/5],"A1")+COUNTIFS(Tableau2[23/4],"",Tableau2[14/5],"A2")</f>
        <v>0</v>
      </c>
      <c r="FJ19" s="83">
        <f>COUNTIFS(Tableau2[24/4],"",Tableau2[15/5],"A1")+COUNTIFS(Tableau2[24/4],"",Tableau2[15/5],"A2")</f>
        <v>0</v>
      </c>
      <c r="FK19" s="83">
        <f>COUNTIFS(Tableau2[25/4],"",Tableau2[16/5],"A1")+COUNTIFS(Tableau2[25/4],"",Tableau2[16/5],"A2")</f>
        <v>0</v>
      </c>
      <c r="FL19" s="83">
        <f>COUNTIFS(Tableau2[26/4],"",Tableau2[17/5],"A1")+COUNTIFS(Tableau2[26/4],"",Tableau2[17/5],"A2")</f>
        <v>0</v>
      </c>
      <c r="FM19" s="83">
        <f>COUNTIFS(Tableau2[27/4],"",Tableau2[18/5],"A1")+COUNTIFS(Tableau2[27/4],"",Tableau2[18/5],"A2")</f>
        <v>0</v>
      </c>
      <c r="FN19" s="83">
        <f>COUNTIFS(Tableau2[28/4],"",Tableau2[19/5],"A1")+COUNTIFS(Tableau2[28/4],"",Tableau2[19/5],"A2")</f>
        <v>0</v>
      </c>
      <c r="FO19" s="83">
        <f>COUNTIFS(Tableau2[29/4],"",Tableau2[20/5],"A1")+COUNTIFS(Tableau2[29/4],"",Tableau2[20/5],"A2")</f>
        <v>0</v>
      </c>
      <c r="FP19" s="83">
        <f>COUNTIFS(Tableau2[30/4],"",Tableau2[21/5],"A1")+COUNTIFS(Tableau2[30/4],"",Tableau2[21/5],"A2")</f>
        <v>0</v>
      </c>
      <c r="FQ19" s="83">
        <f>COUNTIFS(Tableau2[1/5],"",Tableau2[22/5],"A1")+COUNTIFS(Tableau2[1/5],"",Tableau2[22/5],"A2")</f>
        <v>0</v>
      </c>
      <c r="FR19" s="83">
        <f>COUNTIFS(Tableau2[2/5],"",Tableau2[23/5],"A1")+COUNTIFS(Tableau2[2/5],"",Tableau2[23/5],"A2")</f>
        <v>0</v>
      </c>
      <c r="FS19" s="83">
        <f>COUNTIFS(Tableau2[3/5],"",Tableau2[24/5],"A1")+COUNTIFS(Tableau2[3/5],"",Tableau2[24/5],"A2")</f>
        <v>0</v>
      </c>
      <c r="FT19" s="83">
        <f>COUNTIFS(Tableau2[4/5],"",Tableau2[25/5],"A1")+COUNTIFS(Tableau2[4/5],"",Tableau2[25/5],"A2")</f>
        <v>0</v>
      </c>
      <c r="FU19" s="83">
        <f>COUNTIFS(Tableau2[5/5],"",Tableau2[26/5],"A1")+COUNTIFS(Tableau2[5/5],"",Tableau2[26/5],"A2")</f>
        <v>0</v>
      </c>
      <c r="FV19" s="83">
        <f>COUNTIFS(Tableau2[6/5],"",Tableau2[27/5],"A1")+COUNTIFS(Tableau2[6/5],"",Tableau2[27/5],"A2")</f>
        <v>0</v>
      </c>
      <c r="FW19" s="83">
        <f>COUNTIFS(Tableau2[7/5],"",Tableau2[28/5],"A1")+COUNTIFS(Tableau2[7/5],"",Tableau2[28/5],"A2")</f>
        <v>0</v>
      </c>
      <c r="FX19" s="83">
        <f>COUNTIFS(Tableau2[8/5],"",Tableau2[29/5],"A1")+COUNTIFS(Tableau2[8/5],"",Tableau2[29/5],"A2")</f>
        <v>0</v>
      </c>
      <c r="FY19" s="83">
        <f>COUNTIFS(Tableau2[9/5],"",Tableau2[30/5],"A1")+COUNTIFS(Tableau2[9/5],"",Tableau2[30/5],"A2")</f>
        <v>0</v>
      </c>
      <c r="FZ19" s="83">
        <f>COUNTIFS(Tableau2[10/5],"",Tableau2[31/5],"A1")+COUNTIFS(Tableau2[10/5],"",Tableau2[31/5],"A2")</f>
        <v>0</v>
      </c>
      <c r="GA19" s="83">
        <f>COUNTIFS(Tableau2[11/5],"",Tableau2[1/6],"A1")+COUNTIFS(Tableau2[11/5],"",Tableau2[1/6],"A2")</f>
        <v>0</v>
      </c>
      <c r="GB19" s="83">
        <f>COUNTIFS(Tableau2[12/5],"",Tableau2[2/6],"A1")+COUNTIFS(Tableau2[12/5],"",Tableau2[2/6],"A2")</f>
        <v>0</v>
      </c>
      <c r="GC19" s="83">
        <f>COUNTIFS(Tableau2[13/5],"",Tableau2[3/6],"A1")+COUNTIFS(Tableau2[13/5],"",Tableau2[3/6],"A2")</f>
        <v>0</v>
      </c>
      <c r="GD19" s="83">
        <f>COUNTIFS(Tableau2[14/5],"",Tableau2[4/6],"A1")+COUNTIFS(Tableau2[14/5],"",Tableau2[4/6],"A2")</f>
        <v>0</v>
      </c>
      <c r="GE19" s="83">
        <f>COUNTIFS(Tableau2[15/5],"",Tableau2[5/6],"A1")+COUNTIFS(Tableau2[15/5],"",Tableau2[5/6],"A2")</f>
        <v>0</v>
      </c>
      <c r="GF19" s="83">
        <f>COUNTIFS(Tableau2[16/5],"",Tableau2[6/6],"A1")+COUNTIFS(Tableau2[16/5],"",Tableau2[6/6],"A2")</f>
        <v>0</v>
      </c>
      <c r="GG19" s="83">
        <f>COUNTIFS(Tableau2[17/5],"",Tableau2[7/6],"A1")+COUNTIFS(Tableau2[17/5],"",Tableau2[7/6],"A2")</f>
        <v>0</v>
      </c>
      <c r="GH19" s="83">
        <f>COUNTIFS(Tableau2[18/5],"",Tableau2[8/6],"A1")+COUNTIFS(Tableau2[18/5],"",Tableau2[8/6],"A2")</f>
        <v>0</v>
      </c>
      <c r="GI19" s="83">
        <f>COUNTIFS(Tableau2[19/5],"",Tableau2[9/6],"A1")+COUNTIFS(Tableau2[19/5],"",Tableau2[9/6],"A2")</f>
        <v>0</v>
      </c>
      <c r="GJ19" s="83">
        <f>COUNTIFS(Tableau2[20/5],"",Tableau2[10/6],"A1")+COUNTIFS(Tableau2[20/5],"",Tableau2[10/6],"A2")</f>
        <v>0</v>
      </c>
      <c r="GK19" s="83">
        <f>COUNTIFS(Tableau2[21/5],"",Tableau2[11/6],"A1")+COUNTIFS(Tableau2[21/5],"",Tableau2[11/6],"A2")</f>
        <v>0</v>
      </c>
      <c r="GL19" s="83">
        <f>COUNTIFS(Tableau2[22/5],"",Tableau2[12/6],"A1")+COUNTIFS(Tableau2[22/5],"",Tableau2[12/6],"A2")</f>
        <v>0</v>
      </c>
      <c r="GM19" s="83">
        <f>COUNTIFS(Tableau2[23/5],"",Tableau2[13/6],"A1")+COUNTIFS(Tableau2[23/5],"",Tableau2[13/6],"A2")</f>
        <v>0</v>
      </c>
      <c r="GN19" s="83">
        <f>COUNTIFS(Tableau2[24/5],"",Tableau2[14/6],"A1")+COUNTIFS(Tableau2[24/5],"",Tableau2[14/6],"A2")</f>
        <v>0</v>
      </c>
      <c r="GO19" s="83">
        <f>COUNTIFS(Tableau2[25/5],"",Tableau2[15/6],"A1")+COUNTIFS(Tableau2[25/5],"",Tableau2[15/6],"A2")</f>
        <v>0</v>
      </c>
      <c r="GP19" s="83">
        <f>COUNTIFS(Tableau2[26/5],"",Tableau2[16/6],"A1")+COUNTIFS(Tableau2[26/5],"",Tableau2[16/6],"A2")</f>
        <v>0</v>
      </c>
      <c r="GQ19" s="83">
        <f>COUNTIFS(Tableau2[27/5],"",Tableau2[17/6],"A1")+COUNTIFS(Tableau2[27/5],"",Tableau2[17/6],"A2")</f>
        <v>0</v>
      </c>
      <c r="GR19" s="83">
        <f>COUNTIFS(Tableau2[28/5],"",Tableau2[18/6],"A1")+COUNTIFS(Tableau2[28/5],"",Tableau2[18/6],"A2")</f>
        <v>0</v>
      </c>
      <c r="GS19" s="83">
        <f>COUNTIFS(Tableau2[29/5],"",Tableau2[19/6],"A1")+COUNTIFS(Tableau2[29/5],"",Tableau2[19/6],"A2")</f>
        <v>0</v>
      </c>
      <c r="GT19" s="83">
        <f>COUNTIFS(Tableau2[30/5],"",Tableau2[20/6],"A1")+COUNTIFS(Tableau2[30/5],"",Tableau2[20/6],"A2")</f>
        <v>0</v>
      </c>
      <c r="GU19" s="83">
        <f>COUNTIFS(Tableau2[31/5],"",Tableau2[21/6],"A1")+COUNTIFS(Tableau2[31/5],"",Tableau2[21/6],"A2")</f>
        <v>0</v>
      </c>
      <c r="GV19" s="83">
        <f>COUNTIFS(Tableau2[1/6],"",Tableau2[22/6],"A1")+COUNTIFS(Tableau2[1/6],"",Tableau2[22/6],"A2")</f>
        <v>0</v>
      </c>
      <c r="GW19" s="83">
        <f>COUNTIFS(Tableau2[2/6],"",Tableau2[23/6],"A1")+COUNTIFS(Tableau2[2/6],"",Tableau2[23/6],"A2")</f>
        <v>0</v>
      </c>
      <c r="GX19" s="83">
        <f>COUNTIFS(Tableau2[3/6],"",Tableau2[24/6],"A1")+COUNTIFS(Tableau2[3/6],"",Tableau2[24/6],"A2")</f>
        <v>0</v>
      </c>
      <c r="GY19" s="83">
        <f>COUNTIFS(Tableau2[4/6],"",Tableau2[25/6],"A1")+COUNTIFS(Tableau2[4/6],"",Tableau2[25/6],"A2")</f>
        <v>0</v>
      </c>
      <c r="GZ19" s="83">
        <f>COUNTIFS(Tableau2[5/6],"",Tableau2[26/6],"A1")+COUNTIFS(Tableau2[5/6],"",Tableau2[26/6],"A2")</f>
        <v>0</v>
      </c>
      <c r="HA19" s="83">
        <f>COUNTIFS(Tableau2[6/6],"",Tableau2[27/6],"A1")+COUNTIFS(Tableau2[6/6],"",Tableau2[27/6],"A2")</f>
        <v>0</v>
      </c>
      <c r="HB19" s="83">
        <f>COUNTIFS(Tableau2[7/6],"",Tableau2[28/6],"A1")+COUNTIFS(Tableau2[7/6],"",Tableau2[28/6],"A2")</f>
        <v>0</v>
      </c>
      <c r="HC19" s="83">
        <f>COUNTIFS(Tableau2[8/6],"",Tableau2[29/6],"A1")+COUNTIFS(Tableau2[8/6],"",Tableau2[29/6],"A2")</f>
        <v>0</v>
      </c>
      <c r="HD19" s="83">
        <f>COUNTIFS(Tableau2[9/6],"",Tableau2[30/6],"A1")+COUNTIFS(Tableau2[9/6],"",Tableau2[30/6],"A2")</f>
        <v>0</v>
      </c>
      <c r="HE19" s="83">
        <f>COUNTIFS(Tableau2[10/6],"",Tableau2[1/7],"A1")+COUNTIFS(Tableau2[10/6],"",Tableau2[1/7],"A2")</f>
        <v>0</v>
      </c>
      <c r="HF19" s="83">
        <f>COUNTIFS(Tableau2[11/6],"",Tableau2[2/7],"A1")+COUNTIFS(Tableau2[11/6],"",Tableau2[2/7],"A2")</f>
        <v>0</v>
      </c>
      <c r="HG19" s="83">
        <f>COUNTIFS(Tableau2[12/6],"",Tableau2[3/7],"A1")+COUNTIFS(Tableau2[12/6],"",Tableau2[3/7],"A2")</f>
        <v>0</v>
      </c>
      <c r="HH19" s="83">
        <f>COUNTIFS(Tableau2[13/6],"",Tableau2[4/7],"A1")+COUNTIFS(Tableau2[13/6],"",Tableau2[4/7],"A2")</f>
        <v>0</v>
      </c>
      <c r="HI19" s="83">
        <f>COUNTIFS(Tableau2[14/6],"",Tableau2[5/7],"A1")+COUNTIFS(Tableau2[14/6],"",Tableau2[5/7],"A2")</f>
        <v>0</v>
      </c>
      <c r="HJ19" s="83">
        <f>COUNTIFS(Tableau2[15/6],"",Tableau2[6/7],"A1")+COUNTIFS(Tableau2[15/6],"",Tableau2[6/7],"A2")</f>
        <v>0</v>
      </c>
      <c r="HK19" s="83">
        <f>COUNTIFS(Tableau2[16/6],"",Tableau2[7/7],"A1")+COUNTIFS(Tableau2[16/6],"",Tableau2[7/7],"A2")</f>
        <v>0</v>
      </c>
      <c r="HL19" s="83">
        <f>COUNTIFS(Tableau2[17/6],"",Tableau2[8/7],"A1")+COUNTIFS(Tableau2[17/6],"",Tableau2[8/7],"A2")</f>
        <v>0</v>
      </c>
      <c r="HM19" s="83">
        <f>COUNTIFS(Tableau2[18/6],"",Tableau2[9/7],"A1")+COUNTIFS(Tableau2[18/6],"",Tableau2[9/7],"A2")</f>
        <v>0</v>
      </c>
      <c r="HN19" s="83">
        <f>COUNTIFS(Tableau2[19/6],"",Tableau2[10/7],"A1")+COUNTIFS(Tableau2[19/6],"",Tableau2[10/7],"A2")</f>
        <v>0</v>
      </c>
      <c r="HO19" s="83">
        <f>COUNTIFS(Tableau2[20/6],"",Tableau2[11/7],"A1")+COUNTIFS(Tableau2[20/6],"",Tableau2[11/7],"A2")</f>
        <v>0</v>
      </c>
      <c r="HP19" s="83">
        <f>COUNTIFS(Tableau2[21/6],"",Tableau2[12/7],"A1")+COUNTIFS(Tableau2[21/6],"",Tableau2[12/7],"A2")</f>
        <v>0</v>
      </c>
      <c r="HQ19" s="83">
        <f>COUNTIFS(Tableau2[22/6],"",Tableau2[13/7],"A1")+COUNTIFS(Tableau2[22/6],"",Tableau2[13/7],"A2")</f>
        <v>0</v>
      </c>
      <c r="HR19" s="83">
        <f>COUNTIFS(Tableau2[23/6],"",Tableau2[14/7],"A1")+COUNTIFS(Tableau2[23/6],"",Tableau2[14/7],"A2")</f>
        <v>0</v>
      </c>
      <c r="HS19" s="83">
        <f>COUNTIFS(Tableau2[24/6],"",Tableau2[15/7],"A1")+COUNTIFS(Tableau2[24/6],"",Tableau2[15/7],"A2")</f>
        <v>0</v>
      </c>
      <c r="HT19" s="83">
        <f>COUNTIFS(Tableau2[25/6],"",Tableau2[16/7],"A1")+COUNTIFS(Tableau2[25/6],"",Tableau2[16/7],"A2")</f>
        <v>0</v>
      </c>
      <c r="HU19" s="83">
        <f>COUNTIFS(Tableau2[26/6],"",Tableau2[17/7],"A1")+COUNTIFS(Tableau2[26/6],"",Tableau2[17/7],"A2")</f>
        <v>0</v>
      </c>
      <c r="HV19" s="83">
        <f>COUNTIFS(Tableau2[27/6],"",Tableau2[18/7],"A1")+COUNTIFS(Tableau2[27/6],"",Tableau2[18/7],"A2")</f>
        <v>0</v>
      </c>
      <c r="HW19" s="83">
        <f>COUNTIFS(Tableau2[28/6],"",Tableau2[19/7],"A1")+COUNTIFS(Tableau2[28/6],"",Tableau2[19/7],"A2")</f>
        <v>0</v>
      </c>
      <c r="HX19" s="83">
        <f>COUNTIFS(Tableau2[29/6],"",Tableau2[20/7],"A1")+COUNTIFS(Tableau2[29/6],"",Tableau2[20/7],"A2")</f>
        <v>0</v>
      </c>
      <c r="HY19" s="83">
        <f>COUNTIFS(Tableau2[30/6],"",Tableau2[21/7],"A1")+COUNTIFS(Tableau2[30/6],"",Tableau2[21/7],"A2")</f>
        <v>0</v>
      </c>
      <c r="HZ19" s="83">
        <f>COUNTIFS(Tableau2[1/7],"",Tableau2[22/7],"A1")+COUNTIFS(Tableau2[1/7],"",Tableau2[22/7],"A2")</f>
        <v>0</v>
      </c>
      <c r="IA19" s="83">
        <f>COUNTIFS(Tableau2[2/7],"",Tableau2[23/7],"A1")+COUNTIFS(Tableau2[2/7],"",Tableau2[23/7],"A2")</f>
        <v>0</v>
      </c>
      <c r="IB19" s="83">
        <f>COUNTIFS(Tableau2[3/7],"",Tableau2[24/7],"A1")+COUNTIFS(Tableau2[3/7],"",Tableau2[24/7],"A2")</f>
        <v>0</v>
      </c>
      <c r="IC19" s="83">
        <f>COUNTIFS(Tableau2[4/7],"",Tableau2[25/7],"A1")+COUNTIFS(Tableau2[4/7],"",Tableau2[25/7],"A2")</f>
        <v>0</v>
      </c>
      <c r="ID19" s="83">
        <f>COUNTIFS(Tableau2[5/7],"",Tableau2[26/7],"A1")+COUNTIFS(Tableau2[5/7],"",Tableau2[26/7],"A2")</f>
        <v>0</v>
      </c>
      <c r="IE19" s="83">
        <f>COUNTIFS(Tableau2[6/7],"",Tableau2[27/7],"A1")+COUNTIFS(Tableau2[6/7],"",Tableau2[27/7],"A2")</f>
        <v>0</v>
      </c>
      <c r="IF19" s="83">
        <f>COUNTIFS(Tableau2[7/7],"",Tableau2[28/7],"A1")+COUNTIFS(Tableau2[7/7],"",Tableau2[28/7],"A2")</f>
        <v>0</v>
      </c>
      <c r="IG19" s="83">
        <f>COUNTIFS(Tableau2[8/7],"",Tableau2[29/7],"A1")+COUNTIFS(Tableau2[8/7],"",Tableau2[29/7],"A2")</f>
        <v>0</v>
      </c>
      <c r="IH19" s="83">
        <f>COUNTIFS(Tableau2[9/7],"",Tableau2[30/7],"A1")+COUNTIFS(Tableau2[9/7],"",Tableau2[30/7],"A2")</f>
        <v>0</v>
      </c>
      <c r="II19" s="83">
        <f>COUNTIFS(Tableau2[10/7],"",Tableau2[31/7],"A1")+COUNTIFS(Tableau2[10/7],"",Tableau2[31/7],"A2")</f>
        <v>0</v>
      </c>
      <c r="IJ19" s="83">
        <f>COUNTIFS(Tableau2[11/7],"",Tableau2[1/8],"A1")+COUNTIFS(Tableau2[11/7],"",Tableau2[1/8],"A2")</f>
        <v>0</v>
      </c>
      <c r="IK19" s="83">
        <f>COUNTIFS(Tableau2[12/7],"",Tableau2[2/8],"A1")+COUNTIFS(Tableau2[12/7],"",Tableau2[2/8],"A2")</f>
        <v>0</v>
      </c>
      <c r="IL19" s="83">
        <f>COUNTIFS(Tableau2[13/7],"",Tableau2[3/8],"A1")+COUNTIFS(Tableau2[13/7],"",Tableau2[3/8],"A2")</f>
        <v>0</v>
      </c>
      <c r="IM19" s="83">
        <f>COUNTIFS(Tableau2[14/7],"",Tableau2[4/8],"A1")+COUNTIFS(Tableau2[14/7],"",Tableau2[4/8],"A2")</f>
        <v>0</v>
      </c>
      <c r="IN19" s="83">
        <f>COUNTIFS(Tableau2[15/7],"",Tableau2[5/8],"A1")+COUNTIFS(Tableau2[15/7],"",Tableau2[5/8],"A2")</f>
        <v>0</v>
      </c>
      <c r="IO19" s="83">
        <f>COUNTIFS(Tableau2[16/7],"",Tableau2[6/8],"A1")+COUNTIFS(Tableau2[16/7],"",Tableau2[6/8],"A2")</f>
        <v>0</v>
      </c>
      <c r="IP19" s="83">
        <f>COUNTIFS(Tableau2[17/7],"",Tableau2[7/8],"A1")+COUNTIFS(Tableau2[17/7],"",Tableau2[7/8],"A2")</f>
        <v>0</v>
      </c>
      <c r="IQ19" s="83">
        <f>COUNTIFS(Tableau2[18/7],"",Tableau2[8/8],"A1")+COUNTIFS(Tableau2[18/7],"",Tableau2[8/8],"A2")</f>
        <v>0</v>
      </c>
      <c r="IR19" s="83">
        <f>COUNTIFS(Tableau2[19/7],"",Tableau2[9/8],"A1")+COUNTIFS(Tableau2[19/7],"",Tableau2[9/8],"A2")</f>
        <v>0</v>
      </c>
      <c r="IS19" s="83">
        <f>COUNTIFS(Tableau2[20/7],"",Tableau2[10/8],"A1")+COUNTIFS(Tableau2[20/7],"",Tableau2[10/8],"A2")</f>
        <v>0</v>
      </c>
      <c r="IT19" s="83">
        <f>COUNTIFS(Tableau2[21/7],"",Tableau2[11/8],"A1")+COUNTIFS(Tableau2[21/7],"",Tableau2[11/8],"A2")</f>
        <v>0</v>
      </c>
      <c r="IU19" s="83">
        <f>COUNTIFS(Tableau2[22/7],"",Tableau2[12/8],"A1")+COUNTIFS(Tableau2[22/7],"",Tableau2[12/8],"A2")</f>
        <v>0</v>
      </c>
      <c r="IV19" s="83">
        <f>COUNTIFS(Tableau2[23/7],"",Tableau2[13/8],"A1")+COUNTIFS(Tableau2[23/7],"",Tableau2[13/8],"A2")</f>
        <v>0</v>
      </c>
      <c r="IW19" s="83">
        <f>COUNTIFS(Tableau2[24/7],"",Tableau2[14/8],"A1")+COUNTIFS(Tableau2[24/7],"",Tableau2[14/8],"A2")</f>
        <v>0</v>
      </c>
      <c r="IX19" s="83">
        <f>COUNTIFS(Tableau2[25/7],"",Tableau2[15/8],"A1")+COUNTIFS(Tableau2[25/7],"",Tableau2[15/8],"A2")</f>
        <v>0</v>
      </c>
      <c r="IY19" s="83">
        <f>COUNTIFS(Tableau2[26/7],"",Tableau2[16/8],"A1")+COUNTIFS(Tableau2[26/7],"",Tableau2[16/8],"A2")</f>
        <v>0</v>
      </c>
      <c r="IZ19" s="83">
        <f>COUNTIFS(Tableau2[27/7],"",Tableau2[17/8],"A1")+COUNTIFS(Tableau2[27/7],"",Tableau2[17/8],"A2")</f>
        <v>0</v>
      </c>
      <c r="JA19" s="83">
        <f>COUNTIFS(Tableau2[28/7],"",Tableau2[18/8],"A1")+COUNTIFS(Tableau2[28/7],"",Tableau2[18/8],"A2")</f>
        <v>0</v>
      </c>
      <c r="JB19" s="83">
        <f>COUNTIFS(Tableau2[29/7],"",Tableau2[19/8],"A1")+COUNTIFS(Tableau2[29/7],"",Tableau2[19/8],"A2")</f>
        <v>0</v>
      </c>
      <c r="JC19" s="83">
        <f>COUNTIFS(Tableau2[30/7],"",Tableau2[20/8],"A1")+COUNTIFS(Tableau2[30/7],"",Tableau2[20/8],"A2")</f>
        <v>0</v>
      </c>
      <c r="JD19" s="83">
        <f>COUNTIFS(Tableau2[31/7],"",Tableau2[21/8],"A1")+COUNTIFS(Tableau2[31/7],"",Tableau2[21/8],"A2")</f>
        <v>0</v>
      </c>
      <c r="JE19" s="83">
        <f>COUNTIFS(Tableau2[1/8],"",Tableau2[22/8],"A1")+COUNTIFS(Tableau2[1/8],"",Tableau2[22/8],"A2")</f>
        <v>0</v>
      </c>
      <c r="JF19" s="83">
        <f>COUNTIFS(Tableau2[2/8],"",Tableau2[23/8],"A1")+COUNTIFS(Tableau2[2/8],"",Tableau2[23/8],"A2")</f>
        <v>0</v>
      </c>
      <c r="JG19" s="83">
        <f>COUNTIFS(Tableau2[3/8],"",Tableau2[24/8],"A1")+COUNTIFS(Tableau2[3/8],"",Tableau2[24/8],"A2")</f>
        <v>0</v>
      </c>
      <c r="JH19" s="83">
        <f>COUNTIFS(Tableau2[4/8],"",Tableau2[25/8],"A1")+COUNTIFS(Tableau2[4/8],"",Tableau2[25/8],"A2")</f>
        <v>0</v>
      </c>
      <c r="JI19" s="83">
        <f>COUNTIFS(Tableau2[5/8],"",Tableau2[26/8],"A1")+COUNTIFS(Tableau2[5/8],"",Tableau2[26/8],"A2")</f>
        <v>0</v>
      </c>
      <c r="JJ19" s="83">
        <f>COUNTIFS(Tableau2[6/8],"",Tableau2[27/8],"A1")+COUNTIFS(Tableau2[6/8],"",Tableau2[27/8],"A2")</f>
        <v>0</v>
      </c>
      <c r="JK19" s="83">
        <f>COUNTIFS(Tableau2[7/8],"",Tableau2[28/8],"A1")+COUNTIFS(Tableau2[7/8],"",Tableau2[28/8],"A2")</f>
        <v>0</v>
      </c>
      <c r="JL19" s="83">
        <f>COUNTIFS(Tableau2[8/8],"",Tableau2[29/8],"A1")+COUNTIFS(Tableau2[8/8],"",Tableau2[29/8],"A2")</f>
        <v>0</v>
      </c>
      <c r="JM19" s="83">
        <f>COUNTIFS(Tableau2[9/8],"",Tableau2[30/8],"A1")+COUNTIFS(Tableau2[9/8],"",Tableau2[30/8],"A2")</f>
        <v>0</v>
      </c>
      <c r="JN19" s="83">
        <f>COUNTIFS(Tableau2[10/8],"",Tableau2[31/8],"A1")+COUNTIFS(Tableau2[10/8],"",Tableau2[31/8],"A2")</f>
        <v>0</v>
      </c>
      <c r="JO19" s="83">
        <f>COUNTIFS(Tableau2[11/8],"",Tableau2[1/9],"A1")+COUNTIFS(Tableau2[11/8],"",Tableau2[1/9],"A2")</f>
        <v>0</v>
      </c>
      <c r="JP19" s="83">
        <f>COUNTIFS(Tableau2[12/8],"",Tableau2[2/9],"A1")+COUNTIFS(Tableau2[12/8],"",Tableau2[2/9],"A2")</f>
        <v>0</v>
      </c>
      <c r="JQ19" s="83">
        <f>COUNTIFS(Tableau2[13/8],"",Tableau2[3/9],"A1")+COUNTIFS(Tableau2[13/8],"",Tableau2[3/9],"A2")</f>
        <v>0</v>
      </c>
      <c r="JR19" s="83">
        <f>COUNTIFS(Tableau2[14/8],"",Tableau2[4/9],"A1")+COUNTIFS(Tableau2[14/8],"",Tableau2[4/9],"A2")</f>
        <v>0</v>
      </c>
      <c r="JS19" s="83">
        <f>COUNTIFS(Tableau2[15/8],"",Tableau2[5/9],"A1")+COUNTIFS(Tableau2[15/8],"",Tableau2[5/9],"A2")</f>
        <v>0</v>
      </c>
      <c r="JT19" s="83">
        <f>COUNTIFS(Tableau2[16/8],"",Tableau2[6/9],"A1")+COUNTIFS(Tableau2[16/8],"",Tableau2[6/9],"A2")</f>
        <v>0</v>
      </c>
      <c r="JU19" s="83">
        <f>COUNTIFS(Tableau2[17/8],"",Tableau2[7/9],"A1")+COUNTIFS(Tableau2[17/8],"",Tableau2[7/9],"A2")</f>
        <v>0</v>
      </c>
      <c r="JV19" s="83">
        <f>COUNTIFS(Tableau2[18/8],"",Tableau2[8/9],"A1")+COUNTIFS(Tableau2[18/8],"",Tableau2[8/9],"A2")</f>
        <v>0</v>
      </c>
      <c r="JW19" s="83">
        <f>COUNTIFS(Tableau2[19/8],"",Tableau2[9/9],"A1")+COUNTIFS(Tableau2[19/8],"",Tableau2[9/9],"A2")</f>
        <v>0</v>
      </c>
      <c r="JX19" s="83">
        <f>COUNTIFS(Tableau2[20/8],"",Tableau2[10/9],"A1")+COUNTIFS(Tableau2[20/8],"",Tableau2[10/9],"A2")</f>
        <v>0</v>
      </c>
      <c r="JY19" s="83">
        <f>COUNTIFS(Tableau2[21/8],"",Tableau2[11/9],"A1")+COUNTIFS(Tableau2[21/8],"",Tableau2[11/9],"A2")</f>
        <v>0</v>
      </c>
      <c r="JZ19" s="83">
        <f>COUNTIFS(Tableau2[22/8],"",Tableau2[12/9],"A1")+COUNTIFS(Tableau2[22/8],"",Tableau2[12/9],"A2")</f>
        <v>0</v>
      </c>
      <c r="KA19" s="83">
        <f>COUNTIFS(Tableau2[23/8],"",Tableau2[13/9],"A1")+COUNTIFS(Tableau2[23/8],"",Tableau2[13/9],"A2")</f>
        <v>0</v>
      </c>
      <c r="KB19" s="83">
        <f>COUNTIFS(Tableau2[24/8],"",Tableau2[14/9],"A1")+COUNTIFS(Tableau2[24/8],"",Tableau2[14/9],"A2")</f>
        <v>0</v>
      </c>
      <c r="KC19" s="83">
        <f>COUNTIFS(Tableau2[25/8],"",Tableau2[15/9],"A1")+COUNTIFS(Tableau2[25/8],"",Tableau2[15/9],"A2")</f>
        <v>0</v>
      </c>
      <c r="KD19" s="83">
        <f>COUNTIFS(Tableau2[26/8],"",Tableau2[16/9],"A1")+COUNTIFS(Tableau2[26/8],"",Tableau2[16/9],"A2")</f>
        <v>0</v>
      </c>
      <c r="KE19" s="83">
        <f>COUNTIFS(Tableau2[27/8],"",Tableau2[17/9],"A1")+COUNTIFS(Tableau2[27/8],"",Tableau2[17/9],"A2")</f>
        <v>0</v>
      </c>
      <c r="KF19" s="83">
        <f>COUNTIFS(Tableau2[28/8],"",Tableau2[18/9],"A1")+COUNTIFS(Tableau2[28/8],"",Tableau2[18/9],"A2")</f>
        <v>0</v>
      </c>
      <c r="KG19" s="83">
        <f>COUNTIFS(Tableau2[29/8],"",Tableau2[19/9],"A1")+COUNTIFS(Tableau2[29/8],"",Tableau2[19/9],"A2")</f>
        <v>0</v>
      </c>
      <c r="KH19" s="83">
        <f>COUNTIFS(Tableau2[30/8],"",Tableau2[20/9],"A1")+COUNTIFS(Tableau2[30/8],"",Tableau2[20/9],"A2")</f>
        <v>0</v>
      </c>
      <c r="KI19" s="83">
        <f>COUNTIFS(Tableau2[31/8],"",Tableau2[21/9],"A1")+COUNTIFS(Tableau2[31/8],"",Tableau2[21/9],"A2")</f>
        <v>0</v>
      </c>
      <c r="KJ19" s="83">
        <f>COUNTIFS(Tableau2[1/9],"",Tableau2[22/9],"A1")+COUNTIFS(Tableau2[1/9],"",Tableau2[22/9],"A2")</f>
        <v>0</v>
      </c>
      <c r="KK19" s="83">
        <f>COUNTIFS(Tableau2[2/9],"",Tableau2[23/9],"A1")+COUNTIFS(Tableau2[2/9],"",Tableau2[23/9],"A2")</f>
        <v>0</v>
      </c>
      <c r="KL19" s="83">
        <f>COUNTIFS(Tableau2[3/9],"",Tableau2[24/9],"A1")+COUNTIFS(Tableau2[3/9],"",Tableau2[24/9],"A2")</f>
        <v>0</v>
      </c>
      <c r="KM19" s="83">
        <f>COUNTIFS(Tableau2[4/9],"",Tableau2[25/9],"A1")+COUNTIFS(Tableau2[4/9],"",Tableau2[25/9],"A2")</f>
        <v>0</v>
      </c>
      <c r="KN19" s="83">
        <f>COUNTIFS(Tableau2[5/9],"",Tableau2[26/9],"A1")+COUNTIFS(Tableau2[5/9],"",Tableau2[26/9],"A2")</f>
        <v>0</v>
      </c>
      <c r="KO19" s="83">
        <f>COUNTIFS(Tableau2[6/9],"",Tableau2[27/9],"A1")+COUNTIFS(Tableau2[6/9],"",Tableau2[27/9],"A2")</f>
        <v>0</v>
      </c>
      <c r="KP19" s="83">
        <f>COUNTIFS(Tableau2[7/9],"",Tableau2[28/9],"A1")+COUNTIFS(Tableau2[7/9],"",Tableau2[28/9],"A2")</f>
        <v>0</v>
      </c>
      <c r="KQ19" s="83">
        <f>COUNTIFS(Tableau2[8/9],"",Tableau2[29/9],"A1")+COUNTIFS(Tableau2[8/9],"",Tableau2[29/9],"A2")</f>
        <v>0</v>
      </c>
      <c r="KR19" s="83">
        <f>COUNTIFS(Tableau2[9/9],"",Tableau2[30/9],"A1")+COUNTIFS(Tableau2[9/9],"",Tableau2[30/9],"A2")</f>
        <v>0</v>
      </c>
      <c r="KS19" s="83">
        <f>COUNTIFS(Tableau2[10/9],"",Tableau2[1/10],"A1")+COUNTIFS(Tableau2[10/9],"",Tableau2[1/10],"A2")</f>
        <v>0</v>
      </c>
      <c r="KT19" s="83">
        <f>COUNTIFS(Tableau2[11/9],"",Tableau2[2/10],"A1")+COUNTIFS(Tableau2[11/9],"",Tableau2[2/10],"A2")</f>
        <v>0</v>
      </c>
      <c r="KU19" s="83">
        <f>COUNTIFS(Tableau2[12/9],"",Tableau2[3/10],"A1")+COUNTIFS(Tableau2[12/9],"",Tableau2[3/10],"A2")</f>
        <v>0</v>
      </c>
      <c r="KV19" s="83">
        <f>COUNTIFS(Tableau2[13/9],"",Tableau2[4/10],"A1")+COUNTIFS(Tableau2[13/9],"",Tableau2[4/10],"A2")</f>
        <v>0</v>
      </c>
      <c r="KW19" s="83">
        <f>COUNTIFS(Tableau2[14/9],"",Tableau2[5/10],"A1")+COUNTIFS(Tableau2[14/9],"",Tableau2[5/10],"A2")</f>
        <v>0</v>
      </c>
      <c r="KX19" s="83">
        <f>COUNTIFS(Tableau2[15/9],"",Tableau2[6/10],"A1")+COUNTIFS(Tableau2[15/9],"",Tableau2[6/10],"A2")</f>
        <v>0</v>
      </c>
      <c r="KY19" s="83">
        <f>COUNTIFS(Tableau2[16/9],"",Tableau2[7/10],"A1")+COUNTIFS(Tableau2[16/9],"",Tableau2[7/10],"A2")</f>
        <v>0</v>
      </c>
      <c r="KZ19" s="83">
        <f>COUNTIFS(Tableau2[17/9],"",Tableau2[8/10],"A1")+COUNTIFS(Tableau2[17/9],"",Tableau2[8/10],"A2")</f>
        <v>0</v>
      </c>
      <c r="LA19" s="83">
        <f>COUNTIFS(Tableau2[18/9],"",Tableau2[9/10],"A1")+COUNTIFS(Tableau2[18/9],"",Tableau2[9/10],"A2")</f>
        <v>0</v>
      </c>
      <c r="LB19" s="83">
        <f>COUNTIFS(Tableau2[19/9],"",Tableau2[10/10],"A1")+COUNTIFS(Tableau2[19/9],"",Tableau2[10/10],"A2")</f>
        <v>0</v>
      </c>
      <c r="LC19" s="83">
        <f>COUNTIFS(Tableau2[20/9],"",Tableau2[11/10],"A1")+COUNTIFS(Tableau2[20/9],"",Tableau2[11/10],"A2")</f>
        <v>0</v>
      </c>
      <c r="LD19" s="83">
        <f>COUNTIFS(Tableau2[21/9],"",Tableau2[12/10],"A1")+COUNTIFS(Tableau2[21/9],"",Tableau2[12/10],"A2")</f>
        <v>0</v>
      </c>
      <c r="LE19" s="83">
        <f>COUNTIFS(Tableau2[22/9],"",Tableau2[13/10],"A1")+COUNTIFS(Tableau2[22/9],"",Tableau2[13/10],"A2")</f>
        <v>0</v>
      </c>
      <c r="LF19" s="83">
        <f>COUNTIFS(Tableau2[23/9],"",Tableau2[14/10],"A1")+COUNTIFS(Tableau2[23/9],"",Tableau2[14/10],"A2")</f>
        <v>0</v>
      </c>
      <c r="LG19" s="83">
        <f>COUNTIFS(Tableau2[24/9],"",Tableau2[15/10],"A1")+COUNTIFS(Tableau2[24/9],"",Tableau2[15/10],"A2")</f>
        <v>0</v>
      </c>
      <c r="LH19" s="83">
        <f>COUNTIFS(Tableau2[25/9],"",Tableau2[16/10],"A1")+COUNTIFS(Tableau2[25/9],"",Tableau2[16/10],"A2")</f>
        <v>0</v>
      </c>
      <c r="LI19" s="83">
        <f>COUNTIFS(Tableau2[26/9],"",Tableau2[17/10],"A1")+COUNTIFS(Tableau2[26/9],"",Tableau2[17/10],"A2")</f>
        <v>0</v>
      </c>
      <c r="LJ19" s="83">
        <f>COUNTIFS(Tableau2[27/9],"",Tableau2[18/10],"A1")+COUNTIFS(Tableau2[27/9],"",Tableau2[18/10],"A2")</f>
        <v>0</v>
      </c>
      <c r="LK19" s="83">
        <f>COUNTIFS(Tableau2[28/9],"",Tableau2[19/10],"A1")+COUNTIFS(Tableau2[28/9],"",Tableau2[19/10],"A2")</f>
        <v>0</v>
      </c>
      <c r="LL19" s="83">
        <f>COUNTIFS(Tableau2[29/9],"",Tableau2[20/10],"A1")+COUNTIFS(Tableau2[29/9],"",Tableau2[20/10],"A2")</f>
        <v>0</v>
      </c>
      <c r="LM19" s="83">
        <f>COUNTIFS(Tableau2[30/9],"",Tableau2[21/10],"A1")+COUNTIFS(Tableau2[30/9],"",Tableau2[21/10],"A2")</f>
        <v>0</v>
      </c>
      <c r="LN19" s="83">
        <f>COUNTIFS(Tableau2[1/10],"",Tableau2[22/10],"A1")+COUNTIFS(Tableau2[1/10],"",Tableau2[22/10],"A2")</f>
        <v>0</v>
      </c>
      <c r="LO19" s="83">
        <f>COUNTIFS(Tableau2[2/10],"",Tableau2[23/10],"A1")+COUNTIFS(Tableau2[2/10],"",Tableau2[23/10],"A2")</f>
        <v>0</v>
      </c>
      <c r="LP19" s="83">
        <f>COUNTIFS(Tableau2[3/10],"",Tableau2[24/10],"A1")+COUNTIFS(Tableau2[3/10],"",Tableau2[24/10],"A2")</f>
        <v>0</v>
      </c>
      <c r="LQ19" s="83">
        <f>COUNTIFS(Tableau2[4/10],"",Tableau2[25/10],"A1")+COUNTIFS(Tableau2[4/10],"",Tableau2[25/10],"A2")</f>
        <v>0</v>
      </c>
      <c r="LR19" s="83">
        <f>COUNTIFS(Tableau2[5/10],"",Tableau2[26/10],"A1")+COUNTIFS(Tableau2[5/10],"",Tableau2[26/10],"A2")</f>
        <v>0</v>
      </c>
      <c r="LS19" s="83">
        <f>COUNTIFS(Tableau2[6/10],"",Tableau2[27/10],"A1")+COUNTIFS(Tableau2[6/10],"",Tableau2[27/10],"A2")</f>
        <v>0</v>
      </c>
      <c r="LT19" s="83">
        <f>COUNTIFS(Tableau2[7/10],"",Tableau2[28/10],"A1")+COUNTIFS(Tableau2[7/10],"",Tableau2[28/10],"A2")</f>
        <v>0</v>
      </c>
      <c r="LU19" s="83">
        <f>COUNTIFS(Tableau2[8/10],"",Tableau2[29/10],"A1")+COUNTIFS(Tableau2[8/10],"",Tableau2[29/10],"A2")</f>
        <v>0</v>
      </c>
      <c r="LV19" s="83">
        <f>COUNTIFS(Tableau2[9/10],"",Tableau2[30/10],"A1")+COUNTIFS(Tableau2[9/10],"",Tableau2[30/10],"A2")</f>
        <v>0</v>
      </c>
      <c r="LW19" s="83">
        <f>COUNTIFS(Tableau2[10/10],"",Tableau2[31/10],"A1")+COUNTIFS(Tableau2[10/10],"",Tableau2[31/10],"A2")</f>
        <v>0</v>
      </c>
      <c r="LX19" s="83">
        <f>COUNTIFS(Tableau2[11/10],"",Tableau2[1/11],"A1")+COUNTIFS(Tableau2[11/10],"",Tableau2[1/11],"A2")</f>
        <v>0</v>
      </c>
      <c r="LY19" s="83">
        <f>COUNTIFS(Tableau2[12/10],"",Tableau2[2/11],"A1")+COUNTIFS(Tableau2[12/10],"",Tableau2[2/11],"A2")</f>
        <v>0</v>
      </c>
      <c r="LZ19" s="83">
        <f>COUNTIFS(Tableau2[13/10],"",Tableau2[3/11],"A1")+COUNTIFS(Tableau2[13/10],"",Tableau2[3/11],"A2")</f>
        <v>0</v>
      </c>
      <c r="MA19" s="83">
        <f>COUNTIFS(Tableau2[14/10],"",Tableau2[4/11],"A1")+COUNTIFS(Tableau2[14/10],"",Tableau2[4/11],"A2")</f>
        <v>0</v>
      </c>
      <c r="MB19" s="83">
        <f>COUNTIFS(Tableau2[15/10],"",Tableau2[5/11],"A1")+COUNTIFS(Tableau2[15/10],"",Tableau2[5/11],"A2")</f>
        <v>0</v>
      </c>
      <c r="MC19" s="83">
        <f>COUNTIFS(Tableau2[16/10],"",Tableau2[6/11],"A1")+COUNTIFS(Tableau2[16/10],"",Tableau2[6/11],"A2")</f>
        <v>0</v>
      </c>
      <c r="MD19" s="83">
        <f>COUNTIFS(Tableau2[17/10],"",Tableau2[7/11],"A1")+COUNTIFS(Tableau2[17/10],"",Tableau2[7/11],"A2")</f>
        <v>0</v>
      </c>
      <c r="ME19" s="83">
        <f>COUNTIFS(Tableau2[18/10],"",Tableau2[8/11],"A1")+COUNTIFS(Tableau2[18/10],"",Tableau2[8/11],"A2")</f>
        <v>0</v>
      </c>
      <c r="MF19" s="83">
        <f>COUNTIFS(Tableau2[19/10],"",Tableau2[9/11],"A1")+COUNTIFS(Tableau2[19/10],"",Tableau2[9/11],"A2")</f>
        <v>0</v>
      </c>
      <c r="MG19" s="83">
        <f>COUNTIFS(Tableau2[20/10],"",Tableau2[10/11],"A1")+COUNTIFS(Tableau2[20/10],"",Tableau2[10/11],"A2")</f>
        <v>0</v>
      </c>
      <c r="MH19" s="83">
        <f>COUNTIFS(Tableau2[21/10],"",Tableau2[11/11],"A1")+COUNTIFS(Tableau2[21/10],"",Tableau2[11/11],"A2")</f>
        <v>0</v>
      </c>
      <c r="MI19" s="83">
        <f>COUNTIFS(Tableau2[22/10],"",Tableau2[12/11],"A1")+COUNTIFS(Tableau2[22/10],"",Tableau2[12/11],"A2")</f>
        <v>0</v>
      </c>
      <c r="MJ19" s="83">
        <f>COUNTIFS(Tableau2[23/10],"",Tableau2[13/11],"A1")+COUNTIFS(Tableau2[23/10],"",Tableau2[13/11],"A2")</f>
        <v>0</v>
      </c>
      <c r="MK19" s="83">
        <f>COUNTIFS(Tableau2[24/10],"",Tableau2[14/11],"A1")+COUNTIFS(Tableau2[24/10],"",Tableau2[14/11],"A2")</f>
        <v>0</v>
      </c>
      <c r="ML19" s="83">
        <f>COUNTIFS(Tableau2[25/10],"",Tableau2[15/11],"A1")+COUNTIFS(Tableau2[25/10],"",Tableau2[15/11],"A2")</f>
        <v>0</v>
      </c>
      <c r="MM19" s="83">
        <f>COUNTIFS(Tableau2[26/10],"",Tableau2[16/11],"A1")+COUNTIFS(Tableau2[26/10],"",Tableau2[16/11],"A2")</f>
        <v>0</v>
      </c>
      <c r="MN19" s="83">
        <f>COUNTIFS(Tableau2[27/10],"",Tableau2[17/11],"A1")+COUNTIFS(Tableau2[27/10],"",Tableau2[17/11],"A2")</f>
        <v>0</v>
      </c>
      <c r="MO19" s="83">
        <f>COUNTIFS(Tableau2[28/10],"",Tableau2[18/11],"A1")+COUNTIFS(Tableau2[28/10],"",Tableau2[18/11],"A2")</f>
        <v>0</v>
      </c>
      <c r="MP19" s="83">
        <f>COUNTIFS(Tableau2[29/10],"",Tableau2[19/11],"A1")+COUNTIFS(Tableau2[29/10],"",Tableau2[19/11],"A2")</f>
        <v>0</v>
      </c>
      <c r="MQ19" s="83">
        <f>COUNTIFS(Tableau2[30/10],"",Tableau2[20/11],"A1")+COUNTIFS(Tableau2[30/10],"",Tableau2[20/11],"A2")</f>
        <v>0</v>
      </c>
      <c r="MR19" s="83">
        <f>COUNTIFS(Tableau2[31/10],"",Tableau2[21/11],"A1")+COUNTIFS(Tableau2[31/10],"",Tableau2[21/11],"A2")</f>
        <v>0</v>
      </c>
      <c r="MS19" s="83">
        <f>COUNTIFS(Tableau2[1/11],"",Tableau2[22/11],"A1")+COUNTIFS(Tableau2[1/11],"",Tableau2[22/11],"A2")</f>
        <v>0</v>
      </c>
      <c r="MT19" s="83">
        <f>COUNTIFS(Tableau2[2/11],"",Tableau2[23/11],"A1")+COUNTIFS(Tableau2[2/11],"",Tableau2[23/11],"A2")</f>
        <v>0</v>
      </c>
      <c r="MU19" s="83">
        <f>COUNTIFS(Tableau2[3/11],"",Tableau2[24/11],"A1")+COUNTIFS(Tableau2[3/11],"",Tableau2[24/11],"A2")</f>
        <v>0</v>
      </c>
      <c r="MV19" s="83">
        <f>COUNTIFS(Tableau2[4/11],"",Tableau2[25/11],"A1")+COUNTIFS(Tableau2[4/11],"",Tableau2[25/11],"A2")</f>
        <v>0</v>
      </c>
      <c r="MW19" s="83">
        <f>COUNTIFS(Tableau2[5/11],"",Tableau2[26/11],"A1")+COUNTIFS(Tableau2[5/11],"",Tableau2[26/11],"A2")</f>
        <v>0</v>
      </c>
      <c r="MX19" s="83">
        <f>COUNTIFS(Tableau2[6/11],"",Tableau2[27/11],"A1")+COUNTIFS(Tableau2[6/11],"",Tableau2[27/11],"A2")</f>
        <v>0</v>
      </c>
      <c r="MY19" s="83">
        <f>COUNTIFS(Tableau2[7/11],"",Tableau2[28/11],"A1")+COUNTIFS(Tableau2[7/11],"",Tableau2[28/11],"A2")</f>
        <v>0</v>
      </c>
      <c r="MZ19" s="83">
        <f>COUNTIFS(Tableau2[8/11],"",Tableau2[29/11],"A1")+COUNTIFS(Tableau2[8/11],"",Tableau2[29/11],"A2")</f>
        <v>0</v>
      </c>
      <c r="NA19" s="83">
        <f>COUNTIFS(Tableau2[9/11],"",Tableau2[30/11],"A1")+COUNTIFS(Tableau2[9/11],"",Tableau2[30/11],"A2")</f>
        <v>0</v>
      </c>
      <c r="NB19" s="83">
        <f>COUNTIFS(Tableau2[10/11],"",Tableau2[1/12],"A1")+COUNTIFS(Tableau2[10/11],"",Tableau2[1/12],"A2")</f>
        <v>0</v>
      </c>
      <c r="NC19" s="83">
        <f>COUNTIFS(Tableau2[11/11],"",Tableau2[2/12],"A1")+COUNTIFS(Tableau2[11/11],"",Tableau2[2/12],"A2")</f>
        <v>0</v>
      </c>
      <c r="ND19" s="83">
        <f>COUNTIFS(Tableau2[12/11],"",Tableau2[3/12],"A1")+COUNTIFS(Tableau2[12/11],"",Tableau2[3/12],"A2")</f>
        <v>0</v>
      </c>
      <c r="NE19" s="83">
        <f>COUNTIFS(Tableau2[13/11],"",Tableau2[4/12],"A1")+COUNTIFS(Tableau2[13/11],"",Tableau2[4/12],"A2")</f>
        <v>0</v>
      </c>
      <c r="NF19" s="83">
        <f>COUNTIFS(Tableau2[14/11],"",Tableau2[5/12],"A1")+COUNTIFS(Tableau2[14/11],"",Tableau2[5/12],"A2")</f>
        <v>0</v>
      </c>
      <c r="NG19" s="83">
        <f>COUNTIFS(Tableau2[15/11],"",Tableau2[6/12],"A1")+COUNTIFS(Tableau2[15/11],"",Tableau2[6/12],"A2")</f>
        <v>0</v>
      </c>
      <c r="NH19" s="83">
        <f>COUNTIFS(Tableau2[16/11],"",Tableau2[7/12],"A1")+COUNTIFS(Tableau2[16/11],"",Tableau2[7/12],"A2")</f>
        <v>0</v>
      </c>
      <c r="NI19" s="83">
        <f>COUNTIFS(Tableau2[17/11],"",Tableau2[8/12],"A1")+COUNTIFS(Tableau2[17/11],"",Tableau2[8/12],"A2")</f>
        <v>0</v>
      </c>
      <c r="NJ19" s="83">
        <f>COUNTIFS(Tableau2[18/11],"",Tableau2[9/12],"A1")+COUNTIFS(Tableau2[18/11],"",Tableau2[9/12],"A2")</f>
        <v>0</v>
      </c>
      <c r="NK19" s="83">
        <f>COUNTIFS(Tableau2[19/11],"",Tableau2[10/12],"A1")+COUNTIFS(Tableau2[19/11],"",Tableau2[10/12],"A2")</f>
        <v>0</v>
      </c>
      <c r="NL19" s="83">
        <f>COUNTIFS(Tableau2[20/11],"",Tableau2[11/12],"A1")+COUNTIFS(Tableau2[20/11],"",Tableau2[11/12],"A2")</f>
        <v>0</v>
      </c>
      <c r="NM19" s="83">
        <f>COUNTIFS(Tableau2[21/11],"",Tableau2[12/12],"A1")+COUNTIFS(Tableau2[21/11],"",Tableau2[12/12],"A2")</f>
        <v>0</v>
      </c>
      <c r="NN19" s="83">
        <f>COUNTIFS(Tableau2[22/11],"",Tableau2[13/12],"A1")+COUNTIFS(Tableau2[22/11],"",Tableau2[13/12],"A2")</f>
        <v>0</v>
      </c>
      <c r="NO19" s="83">
        <f>COUNTIFS(Tableau2[23/11],"",Tableau2[14/12],"A1")+COUNTIFS(Tableau2[23/11],"",Tableau2[14/12],"A2")</f>
        <v>0</v>
      </c>
      <c r="NP19" s="83">
        <f>COUNTIFS(Tableau2[24/11],"",Tableau2[15/12],"A1")+COUNTIFS(Tableau2[24/11],"",Tableau2[15/12],"A2")</f>
        <v>0</v>
      </c>
      <c r="NQ19" s="83">
        <f>COUNTIFS(Tableau2[25/11],"",Tableau2[16/12],"A1")+COUNTIFS(Tableau2[25/11],"",Tableau2[16/12],"A2")</f>
        <v>0</v>
      </c>
      <c r="NR19" s="83">
        <f>COUNTIFS(Tableau2[26/11],"",Tableau2[17/12],"A1")+COUNTIFS(Tableau2[26/11],"",Tableau2[17/12],"A2")</f>
        <v>0</v>
      </c>
      <c r="NS19" s="83">
        <f>COUNTIFS(Tableau2[27/11],"",Tableau2[18/12],"A1")+COUNTIFS(Tableau2[27/11],"",Tableau2[18/12],"A2")</f>
        <v>0</v>
      </c>
      <c r="NT19" s="83">
        <f>COUNTIFS(Tableau2[28/11],"",Tableau2[19/12],"A1")+COUNTIFS(Tableau2[28/11],"",Tableau2[19/12],"A2")</f>
        <v>0</v>
      </c>
      <c r="NU19" s="83">
        <f>COUNTIFS(Tableau2[29/11],"",Tableau2[20/12],"A1")+COUNTIFS(Tableau2[29/11],"",Tableau2[20/12],"A2")</f>
        <v>0</v>
      </c>
      <c r="NV19" s="83">
        <f>COUNTIFS(Tableau2[30/11],"",Tableau2[21/12],"A1")+COUNTIFS(Tableau2[30/11],"",Tableau2[21/12],"A2")</f>
        <v>0</v>
      </c>
      <c r="NW19" s="83">
        <f>COUNTIFS(Tableau2[1/12],"",Tableau2[22/12],"A1")+COUNTIFS(Tableau2[1/12],"",Tableau2[22/12],"A2")</f>
        <v>0</v>
      </c>
      <c r="NX19" s="83">
        <f>COUNTIFS(Tableau2[2/12],"",Tableau2[23/12],"A1")+COUNTIFS(Tableau2[2/12],"",Tableau2[23/12],"A2")</f>
        <v>0</v>
      </c>
      <c r="NY19" s="83">
        <f>COUNTIFS(Tableau2[3/12],"",Tableau2[24/12],"A1")+COUNTIFS(Tableau2[3/12],"",Tableau2[24/12],"A2")</f>
        <v>0</v>
      </c>
      <c r="NZ19" s="83">
        <f>COUNTIFS(Tableau2[4/12],"",Tableau2[25/12],"A1")+COUNTIFS(Tableau2[4/12],"",Tableau2[25/12],"A2")</f>
        <v>0</v>
      </c>
      <c r="OA19" s="83">
        <f>COUNTIFS(Tableau2[5/12],"",Tableau2[26/12],"A1")+COUNTIFS(Tableau2[5/12],"",Tableau2[26/12],"A2")</f>
        <v>0</v>
      </c>
      <c r="OB19" s="83">
        <f>COUNTIFS(Tableau2[6/12],"",Tableau2[27/12],"A1")+COUNTIFS(Tableau2[6/12],"",Tableau2[27/12],"A2")</f>
        <v>0</v>
      </c>
      <c r="OC19" s="83">
        <f>COUNTIFS(Tableau2[7/12],"",Tableau2[28/12],"A1")+COUNTIFS(Tableau2[7/12],"",Tableau2[28/12],"A2")</f>
        <v>0</v>
      </c>
      <c r="OD19" s="83">
        <f>COUNTIFS(Tableau2[8/12],"",Tableau2[29/12],"A1")+COUNTIFS(Tableau2[8/12],"",Tableau2[29/12],"A2")</f>
        <v>0</v>
      </c>
      <c r="OE19" s="83">
        <f>COUNTIFS(Tableau2[9/12],"",Tableau2[30/12],"A1")+COUNTIFS(Tableau2[9/12],"",Tableau2[30/12],"A2")</f>
        <v>0</v>
      </c>
      <c r="OF19" s="83">
        <f>COUNTIFS(Tableau2[10/12],"",Tableau2[31/12],"A1")+COUNTIFS(Tableau2[10/12],"",Tableau2[31/12],"A2")</f>
        <v>0</v>
      </c>
      <c r="OG19" s="55"/>
      <c r="OH19" s="55"/>
      <c r="OI19" s="55"/>
    </row>
    <row r="20" spans="5:399" s="9" customFormat="1" ht="10.5" customHeight="1">
      <c r="E20" s="151"/>
      <c r="F20" s="153" t="s">
        <v>439</v>
      </c>
      <c r="G20" s="154"/>
      <c r="H20" s="154"/>
      <c r="I20" s="155"/>
      <c r="T20" s="56"/>
      <c r="U20" s="56"/>
      <c r="V20" s="111"/>
      <c r="W20" s="121"/>
      <c r="Y20" s="56"/>
      <c r="AD20" s="56"/>
      <c r="AE20" s="76"/>
      <c r="AF20" s="83">
        <f>COUNTIFS(Tableau2[[B1 ]],"X",Tableau2[1/1],"A1")+COUNTIFS(Tableau2[[B1 ]],"X",Tableau2[1/1],"A2")</f>
        <v>2</v>
      </c>
      <c r="AG20" s="83"/>
      <c r="AH20" s="83"/>
      <c r="AI20" s="83"/>
      <c r="AJ20" s="83"/>
      <c r="AK20" s="83"/>
      <c r="AL20" s="83"/>
      <c r="AM20" s="83"/>
      <c r="AN20" s="83"/>
      <c r="AO20" s="83"/>
      <c r="AP20" s="83"/>
      <c r="AQ20" s="83"/>
      <c r="AR20" s="83"/>
      <c r="AS20" s="83"/>
      <c r="AT20" s="83"/>
      <c r="AU20" s="83"/>
      <c r="AV20" s="83"/>
      <c r="AW20" s="83"/>
      <c r="AX20" s="83"/>
      <c r="AY20" s="83"/>
      <c r="AZ20" s="83"/>
      <c r="BA20" s="83"/>
      <c r="BB20" s="83"/>
      <c r="BC20" s="83"/>
      <c r="BD20" s="83"/>
      <c r="BE20" s="83"/>
      <c r="BF20" s="83"/>
      <c r="BG20" s="83"/>
      <c r="BH20" s="83"/>
      <c r="BI20" s="83"/>
      <c r="BJ20" s="83"/>
      <c r="BK20" s="83"/>
      <c r="BL20" s="83"/>
      <c r="BM20" s="83"/>
      <c r="BN20" s="83"/>
      <c r="BO20" s="83"/>
      <c r="BP20" s="83"/>
      <c r="BQ20" s="83"/>
      <c r="BR20" s="83"/>
      <c r="BS20" s="83"/>
      <c r="BT20" s="83"/>
      <c r="BU20" s="83"/>
      <c r="BV20" s="83"/>
      <c r="BW20" s="83"/>
      <c r="BX20" s="83"/>
      <c r="BY20" s="83"/>
      <c r="BZ20" s="83"/>
      <c r="CA20" s="83"/>
      <c r="CB20" s="83"/>
      <c r="CC20" s="83"/>
      <c r="CD20" s="83"/>
      <c r="CE20" s="83"/>
      <c r="CF20" s="83"/>
      <c r="CG20" s="83"/>
      <c r="CH20" s="83"/>
      <c r="CI20" s="83"/>
      <c r="CJ20" s="83"/>
      <c r="CK20" s="83"/>
      <c r="CL20" s="83"/>
      <c r="CM20" s="83"/>
      <c r="CN20" s="83"/>
      <c r="CO20" s="83"/>
      <c r="CP20" s="83"/>
      <c r="CQ20" s="83"/>
      <c r="CR20" s="83"/>
      <c r="CS20" s="83"/>
      <c r="CT20" s="83"/>
      <c r="CU20" s="83"/>
      <c r="CV20" s="83"/>
      <c r="CW20" s="83"/>
      <c r="CX20" s="83"/>
      <c r="CY20" s="83"/>
      <c r="CZ20" s="83"/>
      <c r="DA20" s="83"/>
      <c r="DB20" s="83"/>
      <c r="DC20" s="83"/>
      <c r="DD20" s="83"/>
      <c r="DE20" s="83"/>
      <c r="DF20" s="83"/>
      <c r="DG20" s="83"/>
      <c r="DH20" s="83"/>
      <c r="DI20" s="83"/>
      <c r="DJ20" s="83"/>
      <c r="DK20" s="83"/>
      <c r="DL20" s="83"/>
      <c r="DM20" s="83"/>
      <c r="DN20" s="83"/>
      <c r="DO20" s="83"/>
      <c r="DP20" s="83"/>
      <c r="DQ20" s="83"/>
      <c r="DR20" s="83"/>
      <c r="DS20" s="83"/>
      <c r="DT20" s="83"/>
      <c r="DU20" s="83"/>
      <c r="DV20" s="83"/>
      <c r="DW20" s="83"/>
      <c r="DX20" s="83"/>
      <c r="DY20" s="83"/>
      <c r="DZ20" s="83"/>
      <c r="EA20" s="83"/>
      <c r="EB20" s="83"/>
      <c r="EC20" s="83"/>
      <c r="ED20" s="83"/>
      <c r="EE20" s="83"/>
      <c r="EF20" s="83"/>
      <c r="EG20" s="83"/>
      <c r="EH20" s="83"/>
      <c r="EI20" s="83"/>
      <c r="EJ20" s="83"/>
      <c r="EK20" s="83"/>
      <c r="EL20" s="83"/>
      <c r="EM20" s="83"/>
      <c r="EN20" s="83"/>
      <c r="EO20" s="83"/>
      <c r="EP20" s="83"/>
      <c r="EQ20" s="83"/>
      <c r="ER20" s="83"/>
      <c r="ES20" s="83"/>
      <c r="ET20" s="83"/>
      <c r="EU20" s="83"/>
      <c r="EV20" s="83"/>
      <c r="EW20" s="83"/>
      <c r="EX20" s="83"/>
      <c r="EY20" s="83"/>
      <c r="EZ20" s="83"/>
      <c r="FA20" s="83"/>
      <c r="FB20" s="83"/>
      <c r="FC20" s="83"/>
      <c r="FD20" s="83"/>
      <c r="FE20" s="83"/>
      <c r="FF20" s="83"/>
      <c r="FG20" s="83"/>
      <c r="FH20" s="83"/>
      <c r="FI20" s="83"/>
      <c r="FJ20" s="83"/>
      <c r="FK20" s="83"/>
      <c r="FL20" s="83"/>
      <c r="FM20" s="83"/>
      <c r="FN20" s="83"/>
      <c r="FO20" s="83"/>
      <c r="FP20" s="83"/>
      <c r="FQ20" s="83"/>
      <c r="FR20" s="83"/>
      <c r="FS20" s="83"/>
      <c r="FT20" s="83"/>
      <c r="FU20" s="83"/>
      <c r="FV20" s="83"/>
      <c r="FW20" s="83"/>
      <c r="FX20" s="83"/>
      <c r="FY20" s="83"/>
      <c r="FZ20" s="83"/>
      <c r="GA20" s="83"/>
      <c r="GB20" s="83"/>
      <c r="GC20" s="83"/>
      <c r="GD20" s="83"/>
      <c r="GE20" s="83"/>
      <c r="GF20" s="83"/>
      <c r="GG20" s="83"/>
      <c r="GH20" s="83"/>
      <c r="GI20" s="83"/>
      <c r="GJ20" s="83"/>
      <c r="GK20" s="83"/>
      <c r="GL20" s="83"/>
      <c r="GM20" s="83"/>
      <c r="GN20" s="83"/>
      <c r="GO20" s="83"/>
      <c r="GP20" s="83"/>
      <c r="GQ20" s="83"/>
      <c r="GR20" s="83"/>
      <c r="GS20" s="83"/>
      <c r="GT20" s="83"/>
      <c r="GU20" s="83"/>
      <c r="GV20" s="83"/>
      <c r="GW20" s="83"/>
      <c r="GX20" s="83"/>
      <c r="GY20" s="83"/>
      <c r="GZ20" s="83"/>
      <c r="HA20" s="83"/>
      <c r="HB20" s="83"/>
      <c r="HC20" s="83"/>
      <c r="HD20" s="83"/>
      <c r="HE20" s="83"/>
      <c r="HF20" s="83"/>
      <c r="HG20" s="83"/>
      <c r="HH20" s="83"/>
      <c r="HI20" s="83"/>
      <c r="HJ20" s="83"/>
      <c r="HK20" s="83"/>
      <c r="HL20" s="83"/>
      <c r="HM20" s="83"/>
      <c r="HN20" s="83"/>
      <c r="HO20" s="83"/>
      <c r="HP20" s="83"/>
      <c r="HQ20" s="83"/>
      <c r="HR20" s="83"/>
      <c r="HS20" s="83"/>
      <c r="HT20" s="83"/>
      <c r="HU20" s="83"/>
      <c r="HV20" s="83"/>
      <c r="HW20" s="83"/>
      <c r="HX20" s="83"/>
      <c r="HY20" s="83"/>
      <c r="HZ20" s="83"/>
      <c r="IA20" s="83"/>
      <c r="IB20" s="83"/>
      <c r="IC20" s="83"/>
      <c r="ID20" s="83"/>
      <c r="IE20" s="83"/>
      <c r="IF20" s="83"/>
      <c r="IG20" s="83"/>
      <c r="IH20" s="83"/>
      <c r="II20" s="83"/>
      <c r="IJ20" s="83"/>
      <c r="IK20" s="83"/>
      <c r="IL20" s="83"/>
      <c r="IM20" s="83"/>
      <c r="IN20" s="83"/>
      <c r="IO20" s="83"/>
      <c r="IP20" s="83"/>
      <c r="IQ20" s="83"/>
      <c r="IR20" s="83"/>
      <c r="IS20" s="83"/>
      <c r="IT20" s="83"/>
      <c r="IU20" s="83"/>
      <c r="IV20" s="83"/>
      <c r="IW20" s="83"/>
      <c r="IX20" s="83"/>
      <c r="IY20" s="83"/>
      <c r="IZ20" s="83"/>
      <c r="JA20" s="83"/>
      <c r="JB20" s="83"/>
      <c r="JC20" s="83"/>
      <c r="JD20" s="83"/>
      <c r="JE20" s="83"/>
      <c r="JF20" s="83"/>
      <c r="JG20" s="83"/>
      <c r="JH20" s="83"/>
      <c r="JI20" s="83"/>
      <c r="JJ20" s="83"/>
      <c r="JK20" s="83"/>
      <c r="JL20" s="83"/>
      <c r="JM20" s="83"/>
      <c r="JN20" s="83"/>
      <c r="JO20" s="83"/>
      <c r="JP20" s="83"/>
      <c r="JQ20" s="83"/>
      <c r="JR20" s="83"/>
      <c r="JS20" s="83"/>
      <c r="JT20" s="83"/>
      <c r="JU20" s="83"/>
      <c r="JV20" s="83"/>
      <c r="JW20" s="83"/>
      <c r="JX20" s="83"/>
      <c r="JY20" s="83"/>
      <c r="JZ20" s="83"/>
      <c r="KA20" s="83"/>
      <c r="KB20" s="83"/>
      <c r="KC20" s="83"/>
      <c r="KD20" s="83"/>
      <c r="KE20" s="83"/>
      <c r="KF20" s="83"/>
      <c r="KG20" s="83"/>
      <c r="KH20" s="83"/>
      <c r="KI20" s="83"/>
      <c r="KJ20" s="83"/>
      <c r="KK20" s="83"/>
      <c r="KL20" s="83"/>
      <c r="KM20" s="83"/>
      <c r="KN20" s="83"/>
      <c r="KO20" s="83"/>
      <c r="KP20" s="83"/>
      <c r="KQ20" s="83"/>
      <c r="KR20" s="83"/>
      <c r="KS20" s="83"/>
      <c r="KT20" s="83"/>
      <c r="KU20" s="83"/>
      <c r="KV20" s="83"/>
      <c r="KW20" s="83"/>
      <c r="KX20" s="83"/>
      <c r="KY20" s="83"/>
      <c r="KZ20" s="83"/>
      <c r="LA20" s="83"/>
      <c r="LB20" s="83"/>
      <c r="LC20" s="83"/>
      <c r="LD20" s="83"/>
      <c r="LE20" s="83"/>
      <c r="LF20" s="83"/>
      <c r="LG20" s="83"/>
      <c r="LH20" s="83"/>
      <c r="LI20" s="83"/>
      <c r="LJ20" s="83"/>
      <c r="LK20" s="83"/>
      <c r="LL20" s="83"/>
      <c r="LM20" s="83"/>
      <c r="LN20" s="83"/>
      <c r="LO20" s="83"/>
      <c r="LP20" s="83"/>
      <c r="LQ20" s="83"/>
      <c r="LR20" s="83"/>
      <c r="LS20" s="83"/>
      <c r="LT20" s="83"/>
      <c r="LU20" s="83"/>
      <c r="LV20" s="83"/>
      <c r="LW20" s="83"/>
      <c r="LX20" s="83"/>
      <c r="LY20" s="83"/>
      <c r="LZ20" s="83"/>
      <c r="MA20" s="83"/>
      <c r="MB20" s="83"/>
      <c r="MC20" s="83"/>
      <c r="MD20" s="83"/>
      <c r="ME20" s="83"/>
      <c r="MF20" s="83"/>
      <c r="MG20" s="83"/>
      <c r="MH20" s="83"/>
      <c r="MI20" s="83"/>
      <c r="MJ20" s="83"/>
      <c r="MK20" s="83"/>
      <c r="ML20" s="83"/>
      <c r="MM20" s="83"/>
      <c r="MN20" s="83"/>
      <c r="MO20" s="83"/>
      <c r="MP20" s="83"/>
      <c r="MQ20" s="83"/>
      <c r="MR20" s="83"/>
      <c r="MS20" s="83"/>
      <c r="MT20" s="83"/>
      <c r="MU20" s="83"/>
      <c r="MV20" s="83"/>
      <c r="MW20" s="83"/>
      <c r="MX20" s="83"/>
      <c r="MY20" s="83"/>
      <c r="MZ20" s="83"/>
      <c r="NA20" s="83"/>
      <c r="NB20" s="83"/>
      <c r="NC20" s="83"/>
      <c r="ND20" s="83"/>
      <c r="NE20" s="83"/>
      <c r="NF20" s="83"/>
      <c r="NG20" s="83"/>
      <c r="NH20" s="83"/>
      <c r="NI20" s="83"/>
      <c r="NJ20" s="83"/>
      <c r="NK20" s="83"/>
      <c r="NL20" s="83"/>
      <c r="NM20" s="83"/>
      <c r="NN20" s="83"/>
      <c r="NO20" s="83"/>
      <c r="NP20" s="83"/>
      <c r="NQ20" s="83"/>
      <c r="NR20" s="83"/>
      <c r="NS20" s="83"/>
      <c r="NT20" s="83"/>
      <c r="NU20" s="83"/>
      <c r="NV20" s="83"/>
      <c r="NW20" s="83"/>
      <c r="NX20" s="83"/>
      <c r="NY20" s="83"/>
      <c r="NZ20" s="83"/>
      <c r="OA20" s="83"/>
      <c r="OB20" s="83"/>
      <c r="OC20" s="83"/>
      <c r="OD20" s="83"/>
      <c r="OE20" s="83"/>
      <c r="OF20" s="83"/>
      <c r="OG20" s="55"/>
      <c r="OH20" s="55"/>
      <c r="OI20" s="55"/>
    </row>
    <row r="21" spans="5:399" s="9" customFormat="1" ht="10.5" customHeight="1">
      <c r="E21" s="151"/>
      <c r="F21" s="156" t="s">
        <v>4</v>
      </c>
      <c r="G21" s="157"/>
      <c r="H21" s="157"/>
      <c r="I21" s="158"/>
      <c r="T21" s="56"/>
      <c r="U21" s="56"/>
      <c r="V21" s="111"/>
      <c r="W21" s="121"/>
      <c r="Y21" s="56"/>
      <c r="AD21" s="56"/>
      <c r="AE21" s="76"/>
      <c r="AF21" s="83">
        <f>COUNTIFS(Tableau2[B2],"X",Tableau2[1/1],"A1")+COUNTIFS(Tableau2[B2],"X",Tableau2[1/1],"A2")</f>
        <v>2</v>
      </c>
      <c r="AG21" s="83"/>
      <c r="AH21" s="83"/>
      <c r="AI21" s="83"/>
      <c r="AJ21" s="83"/>
      <c r="AK21" s="83"/>
      <c r="AL21" s="83"/>
      <c r="AM21" s="83"/>
      <c r="AN21" s="83"/>
      <c r="AO21" s="83"/>
      <c r="AP21" s="83"/>
      <c r="AQ21" s="83"/>
      <c r="AR21" s="83"/>
      <c r="AS21" s="83"/>
      <c r="AT21" s="83"/>
      <c r="AU21" s="83"/>
      <c r="AV21" s="83"/>
      <c r="AW21" s="83"/>
      <c r="AX21" s="83"/>
      <c r="AY21" s="83"/>
      <c r="AZ21" s="83"/>
      <c r="BA21" s="83"/>
      <c r="BB21" s="83"/>
      <c r="BC21" s="83"/>
      <c r="BD21" s="83"/>
      <c r="BE21" s="83"/>
      <c r="BF21" s="83"/>
      <c r="BG21" s="83"/>
      <c r="BH21" s="83"/>
      <c r="BI21" s="83"/>
      <c r="BJ21" s="83"/>
      <c r="BK21" s="83"/>
      <c r="BL21" s="83"/>
      <c r="BM21" s="83"/>
      <c r="BN21" s="83"/>
      <c r="BO21" s="83"/>
      <c r="BP21" s="83"/>
      <c r="BQ21" s="83"/>
      <c r="BR21" s="83"/>
      <c r="BS21" s="83"/>
      <c r="BT21" s="83"/>
      <c r="BU21" s="83"/>
      <c r="BV21" s="83"/>
      <c r="BW21" s="83"/>
      <c r="BX21" s="83"/>
      <c r="BY21" s="83"/>
      <c r="BZ21" s="83"/>
      <c r="CA21" s="83"/>
      <c r="CB21" s="83"/>
      <c r="CC21" s="83"/>
      <c r="CD21" s="83"/>
      <c r="CE21" s="83"/>
      <c r="CF21" s="83"/>
      <c r="CG21" s="83"/>
      <c r="CH21" s="83"/>
      <c r="CI21" s="83"/>
      <c r="CJ21" s="83"/>
      <c r="CK21" s="83"/>
      <c r="CL21" s="83"/>
      <c r="CM21" s="83"/>
      <c r="CN21" s="83"/>
      <c r="CO21" s="83"/>
      <c r="CP21" s="83"/>
      <c r="CQ21" s="83"/>
      <c r="CR21" s="83"/>
      <c r="CS21" s="83"/>
      <c r="CT21" s="83"/>
      <c r="CU21" s="83"/>
      <c r="CV21" s="83"/>
      <c r="CW21" s="83"/>
      <c r="CX21" s="83"/>
      <c r="CY21" s="83"/>
      <c r="CZ21" s="83"/>
      <c r="DA21" s="83"/>
      <c r="DB21" s="83"/>
      <c r="DC21" s="83"/>
      <c r="DD21" s="83"/>
      <c r="DE21" s="83"/>
      <c r="DF21" s="83"/>
      <c r="DG21" s="83"/>
      <c r="DH21" s="83"/>
      <c r="DI21" s="83"/>
      <c r="DJ21" s="83"/>
      <c r="DK21" s="83"/>
      <c r="DL21" s="83"/>
      <c r="DM21" s="83"/>
      <c r="DN21" s="83"/>
      <c r="DO21" s="83"/>
      <c r="DP21" s="83"/>
      <c r="DQ21" s="83"/>
      <c r="DR21" s="83"/>
      <c r="DS21" s="83"/>
      <c r="DT21" s="83"/>
      <c r="DU21" s="83"/>
      <c r="DV21" s="83"/>
      <c r="DW21" s="83"/>
      <c r="DX21" s="83"/>
      <c r="DY21" s="83"/>
      <c r="DZ21" s="83"/>
      <c r="EA21" s="83"/>
      <c r="EB21" s="83"/>
      <c r="EC21" s="83"/>
      <c r="ED21" s="83"/>
      <c r="EE21" s="83"/>
      <c r="EF21" s="83"/>
      <c r="EG21" s="83"/>
      <c r="EH21" s="83"/>
      <c r="EI21" s="83"/>
      <c r="EJ21" s="83"/>
      <c r="EK21" s="83"/>
      <c r="EL21" s="83"/>
      <c r="EM21" s="83"/>
      <c r="EN21" s="83"/>
      <c r="EO21" s="83"/>
      <c r="EP21" s="83"/>
      <c r="EQ21" s="83"/>
      <c r="ER21" s="83"/>
      <c r="ES21" s="83"/>
      <c r="ET21" s="83"/>
      <c r="EU21" s="83"/>
      <c r="EV21" s="83"/>
      <c r="EW21" s="83"/>
      <c r="EX21" s="83"/>
      <c r="EY21" s="83"/>
      <c r="EZ21" s="83"/>
      <c r="FA21" s="83"/>
      <c r="FB21" s="83"/>
      <c r="FC21" s="83"/>
      <c r="FD21" s="83"/>
      <c r="FE21" s="83"/>
      <c r="FF21" s="83"/>
      <c r="FG21" s="83"/>
      <c r="FH21" s="83"/>
      <c r="FI21" s="83"/>
      <c r="FJ21" s="83"/>
      <c r="FK21" s="83"/>
      <c r="FL21" s="83"/>
      <c r="FM21" s="83"/>
      <c r="FN21" s="83"/>
      <c r="FO21" s="83"/>
      <c r="FP21" s="83"/>
      <c r="FQ21" s="83"/>
      <c r="FR21" s="83"/>
      <c r="FS21" s="83"/>
      <c r="FT21" s="83"/>
      <c r="FU21" s="83"/>
      <c r="FV21" s="83"/>
      <c r="FW21" s="83"/>
      <c r="FX21" s="83"/>
      <c r="FY21" s="83"/>
      <c r="FZ21" s="83"/>
      <c r="GA21" s="83"/>
      <c r="GB21" s="83"/>
      <c r="GC21" s="83"/>
      <c r="GD21" s="83"/>
      <c r="GE21" s="83"/>
      <c r="GF21" s="83"/>
      <c r="GG21" s="83"/>
      <c r="GH21" s="83"/>
      <c r="GI21" s="83"/>
      <c r="GJ21" s="83"/>
      <c r="GK21" s="83"/>
      <c r="GL21" s="83"/>
      <c r="GM21" s="83"/>
      <c r="GN21" s="83"/>
      <c r="GO21" s="83"/>
      <c r="GP21" s="83"/>
      <c r="GQ21" s="83"/>
      <c r="GR21" s="83"/>
      <c r="GS21" s="83"/>
      <c r="GT21" s="83"/>
      <c r="GU21" s="83"/>
      <c r="GV21" s="83"/>
      <c r="GW21" s="83"/>
      <c r="GX21" s="83"/>
      <c r="GY21" s="83"/>
      <c r="GZ21" s="83"/>
      <c r="HA21" s="83"/>
      <c r="HB21" s="83"/>
      <c r="HC21" s="83"/>
      <c r="HD21" s="83"/>
      <c r="HE21" s="83"/>
      <c r="HF21" s="83"/>
      <c r="HG21" s="83"/>
      <c r="HH21" s="83"/>
      <c r="HI21" s="83"/>
      <c r="HJ21" s="83"/>
      <c r="HK21" s="83"/>
      <c r="HL21" s="83"/>
      <c r="HM21" s="83"/>
      <c r="HN21" s="83"/>
      <c r="HO21" s="83"/>
      <c r="HP21" s="83"/>
      <c r="HQ21" s="83"/>
      <c r="HR21" s="83"/>
      <c r="HS21" s="83"/>
      <c r="HT21" s="83"/>
      <c r="HU21" s="83"/>
      <c r="HV21" s="83"/>
      <c r="HW21" s="83"/>
      <c r="HX21" s="83"/>
      <c r="HY21" s="83"/>
      <c r="HZ21" s="83"/>
      <c r="IA21" s="83"/>
      <c r="IB21" s="83"/>
      <c r="IC21" s="83"/>
      <c r="ID21" s="83"/>
      <c r="IE21" s="83"/>
      <c r="IF21" s="83"/>
      <c r="IG21" s="83"/>
      <c r="IH21" s="83"/>
      <c r="II21" s="83"/>
      <c r="IJ21" s="83"/>
      <c r="IK21" s="83"/>
      <c r="IL21" s="83"/>
      <c r="IM21" s="83"/>
      <c r="IN21" s="83"/>
      <c r="IO21" s="83"/>
      <c r="IP21" s="83"/>
      <c r="IQ21" s="83"/>
      <c r="IR21" s="83"/>
      <c r="IS21" s="83"/>
      <c r="IT21" s="83"/>
      <c r="IU21" s="83"/>
      <c r="IV21" s="83"/>
      <c r="IW21" s="83"/>
      <c r="IX21" s="83"/>
      <c r="IY21" s="83"/>
      <c r="IZ21" s="83"/>
      <c r="JA21" s="83"/>
      <c r="JB21" s="83"/>
      <c r="JC21" s="83"/>
      <c r="JD21" s="83"/>
      <c r="JE21" s="83"/>
      <c r="JF21" s="83"/>
      <c r="JG21" s="83"/>
      <c r="JH21" s="83"/>
      <c r="JI21" s="83"/>
      <c r="JJ21" s="83"/>
      <c r="JK21" s="83"/>
      <c r="JL21" s="83"/>
      <c r="JM21" s="83"/>
      <c r="JN21" s="83"/>
      <c r="JO21" s="83"/>
      <c r="JP21" s="83"/>
      <c r="JQ21" s="83"/>
      <c r="JR21" s="83"/>
      <c r="JS21" s="83"/>
      <c r="JT21" s="83"/>
      <c r="JU21" s="83"/>
      <c r="JV21" s="83"/>
      <c r="JW21" s="83"/>
      <c r="JX21" s="83"/>
      <c r="JY21" s="83"/>
      <c r="JZ21" s="83"/>
      <c r="KA21" s="83"/>
      <c r="KB21" s="83"/>
      <c r="KC21" s="83"/>
      <c r="KD21" s="83"/>
      <c r="KE21" s="83"/>
      <c r="KF21" s="83"/>
      <c r="KG21" s="83"/>
      <c r="KH21" s="83"/>
      <c r="KI21" s="83"/>
      <c r="KJ21" s="83"/>
      <c r="KK21" s="83"/>
      <c r="KL21" s="83"/>
      <c r="KM21" s="83"/>
      <c r="KN21" s="83"/>
      <c r="KO21" s="83"/>
      <c r="KP21" s="83"/>
      <c r="KQ21" s="83"/>
      <c r="KR21" s="83"/>
      <c r="KS21" s="83"/>
      <c r="KT21" s="83"/>
      <c r="KU21" s="83"/>
      <c r="KV21" s="83"/>
      <c r="KW21" s="83"/>
      <c r="KX21" s="83"/>
      <c r="KY21" s="83"/>
      <c r="KZ21" s="83"/>
      <c r="LA21" s="83"/>
      <c r="LB21" s="83"/>
      <c r="LC21" s="83"/>
      <c r="LD21" s="83"/>
      <c r="LE21" s="83"/>
      <c r="LF21" s="83"/>
      <c r="LG21" s="83"/>
      <c r="LH21" s="83"/>
      <c r="LI21" s="83"/>
      <c r="LJ21" s="83"/>
      <c r="LK21" s="83"/>
      <c r="LL21" s="83"/>
      <c r="LM21" s="83"/>
      <c r="LN21" s="83"/>
      <c r="LO21" s="83"/>
      <c r="LP21" s="83"/>
      <c r="LQ21" s="83"/>
      <c r="LR21" s="83"/>
      <c r="LS21" s="83"/>
      <c r="LT21" s="83"/>
      <c r="LU21" s="83"/>
      <c r="LV21" s="83"/>
      <c r="LW21" s="83"/>
      <c r="LX21" s="83"/>
      <c r="LY21" s="83"/>
      <c r="LZ21" s="83"/>
      <c r="MA21" s="83"/>
      <c r="MB21" s="83"/>
      <c r="MC21" s="83"/>
      <c r="MD21" s="83"/>
      <c r="ME21" s="83"/>
      <c r="MF21" s="83"/>
      <c r="MG21" s="83"/>
      <c r="MH21" s="83"/>
      <c r="MI21" s="83"/>
      <c r="MJ21" s="83"/>
      <c r="MK21" s="83"/>
      <c r="ML21" s="83"/>
      <c r="MM21" s="83"/>
      <c r="MN21" s="83"/>
      <c r="MO21" s="83"/>
      <c r="MP21" s="83"/>
      <c r="MQ21" s="83"/>
      <c r="MR21" s="83"/>
      <c r="MS21" s="83"/>
      <c r="MT21" s="83"/>
      <c r="MU21" s="83"/>
      <c r="MV21" s="83"/>
      <c r="MW21" s="83"/>
      <c r="MX21" s="83"/>
      <c r="MY21" s="83"/>
      <c r="MZ21" s="83"/>
      <c r="NA21" s="83"/>
      <c r="NB21" s="83"/>
      <c r="NC21" s="83"/>
      <c r="ND21" s="83"/>
      <c r="NE21" s="83"/>
      <c r="NF21" s="83"/>
      <c r="NG21" s="83"/>
      <c r="NH21" s="83"/>
      <c r="NI21" s="83"/>
      <c r="NJ21" s="83"/>
      <c r="NK21" s="83"/>
      <c r="NL21" s="83"/>
      <c r="NM21" s="83"/>
      <c r="NN21" s="83"/>
      <c r="NO21" s="83"/>
      <c r="NP21" s="83"/>
      <c r="NQ21" s="83"/>
      <c r="NR21" s="83"/>
      <c r="NS21" s="83"/>
      <c r="NT21" s="83"/>
      <c r="NU21" s="83"/>
      <c r="NV21" s="83"/>
      <c r="NW21" s="83"/>
      <c r="NX21" s="83"/>
      <c r="NY21" s="83"/>
      <c r="NZ21" s="83"/>
      <c r="OA21" s="83"/>
      <c r="OB21" s="83"/>
      <c r="OC21" s="83"/>
      <c r="OD21" s="83"/>
      <c r="OE21" s="83"/>
      <c r="OF21" s="83"/>
      <c r="OG21" s="55"/>
      <c r="OH21" s="55"/>
      <c r="OI21" s="55"/>
    </row>
    <row r="22" spans="5:399" s="9" customFormat="1" ht="10.5" customHeight="1">
      <c r="E22" s="151"/>
      <c r="F22" s="156" t="s">
        <v>3</v>
      </c>
      <c r="G22" s="157"/>
      <c r="H22" s="157"/>
      <c r="I22" s="158"/>
      <c r="T22" s="56"/>
      <c r="U22" s="56"/>
      <c r="V22" s="111"/>
      <c r="W22" s="121"/>
      <c r="Y22" s="56"/>
      <c r="AD22" s="56"/>
      <c r="AE22" s="76"/>
      <c r="AF22" s="83">
        <f>COUNTIFS(Tableau2[C],"X",Tableau2[1/1],"A1")+COUNTIFS(Tableau2[C],"X",Tableau2[1/1],"A2")</f>
        <v>0</v>
      </c>
      <c r="AG22" s="83"/>
      <c r="AH22" s="83"/>
      <c r="AI22" s="83"/>
      <c r="AJ22" s="83"/>
      <c r="AK22" s="83"/>
      <c r="AL22" s="83"/>
      <c r="AM22" s="83"/>
      <c r="AN22" s="83"/>
      <c r="AO22" s="83"/>
      <c r="AP22" s="83"/>
      <c r="AQ22" s="83"/>
      <c r="AR22" s="83"/>
      <c r="AS22" s="83"/>
      <c r="AT22" s="83"/>
      <c r="AU22" s="83"/>
      <c r="AV22" s="83"/>
      <c r="AW22" s="83"/>
      <c r="AX22" s="83"/>
      <c r="AY22" s="83"/>
      <c r="AZ22" s="83"/>
      <c r="BA22" s="83"/>
      <c r="BB22" s="83"/>
      <c r="BC22" s="83"/>
      <c r="BD22" s="83"/>
      <c r="BE22" s="83"/>
      <c r="BF22" s="83"/>
      <c r="BG22" s="83"/>
      <c r="BH22" s="83"/>
      <c r="BI22" s="83"/>
      <c r="BJ22" s="83"/>
      <c r="BK22" s="83"/>
      <c r="BL22" s="83"/>
      <c r="BM22" s="83"/>
      <c r="BN22" s="83"/>
      <c r="BO22" s="83"/>
      <c r="BP22" s="83"/>
      <c r="BQ22" s="83"/>
      <c r="BR22" s="83"/>
      <c r="BS22" s="83"/>
      <c r="BT22" s="83"/>
      <c r="BU22" s="83"/>
      <c r="BV22" s="83"/>
      <c r="BW22" s="83"/>
      <c r="BX22" s="83"/>
      <c r="BY22" s="83"/>
      <c r="BZ22" s="83"/>
      <c r="CA22" s="83"/>
      <c r="CB22" s="83"/>
      <c r="CC22" s="83"/>
      <c r="CD22" s="83"/>
      <c r="CE22" s="83"/>
      <c r="CF22" s="83"/>
      <c r="CG22" s="83"/>
      <c r="CH22" s="83"/>
      <c r="CI22" s="83"/>
      <c r="CJ22" s="83"/>
      <c r="CK22" s="83"/>
      <c r="CL22" s="83"/>
      <c r="CM22" s="83"/>
      <c r="CN22" s="83"/>
      <c r="CO22" s="83"/>
      <c r="CP22" s="83"/>
      <c r="CQ22" s="83"/>
      <c r="CR22" s="83"/>
      <c r="CS22" s="83"/>
      <c r="CT22" s="83"/>
      <c r="CU22" s="83"/>
      <c r="CV22" s="83"/>
      <c r="CW22" s="83"/>
      <c r="CX22" s="83"/>
      <c r="CY22" s="83"/>
      <c r="CZ22" s="83"/>
      <c r="DA22" s="83"/>
      <c r="DB22" s="83"/>
      <c r="DC22" s="83"/>
      <c r="DD22" s="83"/>
      <c r="DE22" s="83"/>
      <c r="DF22" s="83"/>
      <c r="DG22" s="83"/>
      <c r="DH22" s="83"/>
      <c r="DI22" s="83"/>
      <c r="DJ22" s="83"/>
      <c r="DK22" s="83"/>
      <c r="DL22" s="83"/>
      <c r="DM22" s="83"/>
      <c r="DN22" s="83"/>
      <c r="DO22" s="83"/>
      <c r="DP22" s="83"/>
      <c r="DQ22" s="83"/>
      <c r="DR22" s="83"/>
      <c r="DS22" s="83"/>
      <c r="DT22" s="83"/>
      <c r="DU22" s="83"/>
      <c r="DV22" s="83"/>
      <c r="DW22" s="83"/>
      <c r="DX22" s="83"/>
      <c r="DY22" s="83"/>
      <c r="DZ22" s="83"/>
      <c r="EA22" s="83"/>
      <c r="EB22" s="83"/>
      <c r="EC22" s="83"/>
      <c r="ED22" s="83"/>
      <c r="EE22" s="83"/>
      <c r="EF22" s="83"/>
      <c r="EG22" s="83"/>
      <c r="EH22" s="83"/>
      <c r="EI22" s="83"/>
      <c r="EJ22" s="83"/>
      <c r="EK22" s="83"/>
      <c r="EL22" s="83"/>
      <c r="EM22" s="83"/>
      <c r="EN22" s="83"/>
      <c r="EO22" s="83"/>
      <c r="EP22" s="83"/>
      <c r="EQ22" s="83"/>
      <c r="ER22" s="83"/>
      <c r="ES22" s="83"/>
      <c r="ET22" s="83"/>
      <c r="EU22" s="83"/>
      <c r="EV22" s="83"/>
      <c r="EW22" s="83"/>
      <c r="EX22" s="83"/>
      <c r="EY22" s="83"/>
      <c r="EZ22" s="83"/>
      <c r="FA22" s="83"/>
      <c r="FB22" s="83"/>
      <c r="FC22" s="83"/>
      <c r="FD22" s="83"/>
      <c r="FE22" s="83"/>
      <c r="FF22" s="83"/>
      <c r="FG22" s="83"/>
      <c r="FH22" s="83"/>
      <c r="FI22" s="83"/>
      <c r="FJ22" s="83"/>
      <c r="FK22" s="83"/>
      <c r="FL22" s="83"/>
      <c r="FM22" s="83"/>
      <c r="FN22" s="83"/>
      <c r="FO22" s="83"/>
      <c r="FP22" s="83"/>
      <c r="FQ22" s="83"/>
      <c r="FR22" s="83"/>
      <c r="FS22" s="83"/>
      <c r="FT22" s="83"/>
      <c r="FU22" s="83"/>
      <c r="FV22" s="83"/>
      <c r="FW22" s="83"/>
      <c r="FX22" s="83"/>
      <c r="FY22" s="83"/>
      <c r="FZ22" s="83"/>
      <c r="GA22" s="83"/>
      <c r="GB22" s="83"/>
      <c r="GC22" s="83"/>
      <c r="GD22" s="83"/>
      <c r="GE22" s="83"/>
      <c r="GF22" s="83"/>
      <c r="GG22" s="83"/>
      <c r="GH22" s="83"/>
      <c r="GI22" s="83"/>
      <c r="GJ22" s="83"/>
      <c r="GK22" s="83"/>
      <c r="GL22" s="83"/>
      <c r="GM22" s="83"/>
      <c r="GN22" s="83"/>
      <c r="GO22" s="83"/>
      <c r="GP22" s="83"/>
      <c r="GQ22" s="83"/>
      <c r="GR22" s="83"/>
      <c r="GS22" s="83"/>
      <c r="GT22" s="83"/>
      <c r="GU22" s="83"/>
      <c r="GV22" s="83"/>
      <c r="GW22" s="83"/>
      <c r="GX22" s="83"/>
      <c r="GY22" s="83"/>
      <c r="GZ22" s="83"/>
      <c r="HA22" s="83"/>
      <c r="HB22" s="83"/>
      <c r="HC22" s="83"/>
      <c r="HD22" s="83"/>
      <c r="HE22" s="83"/>
      <c r="HF22" s="83"/>
      <c r="HG22" s="83"/>
      <c r="HH22" s="83"/>
      <c r="HI22" s="83"/>
      <c r="HJ22" s="83"/>
      <c r="HK22" s="83"/>
      <c r="HL22" s="83"/>
      <c r="HM22" s="83"/>
      <c r="HN22" s="83"/>
      <c r="HO22" s="83"/>
      <c r="HP22" s="83"/>
      <c r="HQ22" s="83"/>
      <c r="HR22" s="83"/>
      <c r="HS22" s="83"/>
      <c r="HT22" s="83"/>
      <c r="HU22" s="83"/>
      <c r="HV22" s="83"/>
      <c r="HW22" s="83"/>
      <c r="HX22" s="83"/>
      <c r="HY22" s="83"/>
      <c r="HZ22" s="83"/>
      <c r="IA22" s="83"/>
      <c r="IB22" s="83"/>
      <c r="IC22" s="83"/>
      <c r="ID22" s="83"/>
      <c r="IE22" s="83"/>
      <c r="IF22" s="83"/>
      <c r="IG22" s="83"/>
      <c r="IH22" s="83"/>
      <c r="II22" s="83"/>
      <c r="IJ22" s="83"/>
      <c r="IK22" s="83"/>
      <c r="IL22" s="83"/>
      <c r="IM22" s="83"/>
      <c r="IN22" s="83"/>
      <c r="IO22" s="83"/>
      <c r="IP22" s="83"/>
      <c r="IQ22" s="83"/>
      <c r="IR22" s="83"/>
      <c r="IS22" s="83"/>
      <c r="IT22" s="83"/>
      <c r="IU22" s="83"/>
      <c r="IV22" s="83"/>
      <c r="IW22" s="83"/>
      <c r="IX22" s="83"/>
      <c r="IY22" s="83"/>
      <c r="IZ22" s="83"/>
      <c r="JA22" s="83"/>
      <c r="JB22" s="83"/>
      <c r="JC22" s="83"/>
      <c r="JD22" s="83"/>
      <c r="JE22" s="83"/>
      <c r="JF22" s="83"/>
      <c r="JG22" s="83"/>
      <c r="JH22" s="83"/>
      <c r="JI22" s="83"/>
      <c r="JJ22" s="83"/>
      <c r="JK22" s="83"/>
      <c r="JL22" s="83"/>
      <c r="JM22" s="83"/>
      <c r="JN22" s="83"/>
      <c r="JO22" s="83"/>
      <c r="JP22" s="83"/>
      <c r="JQ22" s="83"/>
      <c r="JR22" s="83"/>
      <c r="JS22" s="83"/>
      <c r="JT22" s="83"/>
      <c r="JU22" s="83"/>
      <c r="JV22" s="83"/>
      <c r="JW22" s="83"/>
      <c r="JX22" s="83"/>
      <c r="JY22" s="83"/>
      <c r="JZ22" s="83"/>
      <c r="KA22" s="83"/>
      <c r="KB22" s="83"/>
      <c r="KC22" s="83"/>
      <c r="KD22" s="83"/>
      <c r="KE22" s="83"/>
      <c r="KF22" s="83"/>
      <c r="KG22" s="83"/>
      <c r="KH22" s="83"/>
      <c r="KI22" s="83"/>
      <c r="KJ22" s="83"/>
      <c r="KK22" s="83"/>
      <c r="KL22" s="83"/>
      <c r="KM22" s="83"/>
      <c r="KN22" s="83"/>
      <c r="KO22" s="83"/>
      <c r="KP22" s="83"/>
      <c r="KQ22" s="83"/>
      <c r="KR22" s="83"/>
      <c r="KS22" s="83"/>
      <c r="KT22" s="83"/>
      <c r="KU22" s="83"/>
      <c r="KV22" s="83"/>
      <c r="KW22" s="83"/>
      <c r="KX22" s="83"/>
      <c r="KY22" s="83"/>
      <c r="KZ22" s="83"/>
      <c r="LA22" s="83"/>
      <c r="LB22" s="83"/>
      <c r="LC22" s="83"/>
      <c r="LD22" s="83"/>
      <c r="LE22" s="83"/>
      <c r="LF22" s="83"/>
      <c r="LG22" s="83"/>
      <c r="LH22" s="83"/>
      <c r="LI22" s="83"/>
      <c r="LJ22" s="83"/>
      <c r="LK22" s="83"/>
      <c r="LL22" s="83"/>
      <c r="LM22" s="83"/>
      <c r="LN22" s="83"/>
      <c r="LO22" s="83"/>
      <c r="LP22" s="83"/>
      <c r="LQ22" s="83"/>
      <c r="LR22" s="83"/>
      <c r="LS22" s="83"/>
      <c r="LT22" s="83"/>
      <c r="LU22" s="83"/>
      <c r="LV22" s="83"/>
      <c r="LW22" s="83"/>
      <c r="LX22" s="83"/>
      <c r="LY22" s="83"/>
      <c r="LZ22" s="83"/>
      <c r="MA22" s="83"/>
      <c r="MB22" s="83"/>
      <c r="MC22" s="83"/>
      <c r="MD22" s="83"/>
      <c r="ME22" s="83"/>
      <c r="MF22" s="83"/>
      <c r="MG22" s="83"/>
      <c r="MH22" s="83"/>
      <c r="MI22" s="83"/>
      <c r="MJ22" s="83"/>
      <c r="MK22" s="83"/>
      <c r="ML22" s="83"/>
      <c r="MM22" s="83"/>
      <c r="MN22" s="83"/>
      <c r="MO22" s="83"/>
      <c r="MP22" s="83"/>
      <c r="MQ22" s="83"/>
      <c r="MR22" s="83"/>
      <c r="MS22" s="83"/>
      <c r="MT22" s="83"/>
      <c r="MU22" s="83"/>
      <c r="MV22" s="83"/>
      <c r="MW22" s="83"/>
      <c r="MX22" s="83"/>
      <c r="MY22" s="83"/>
      <c r="MZ22" s="83"/>
      <c r="NA22" s="83"/>
      <c r="NB22" s="83"/>
      <c r="NC22" s="83"/>
      <c r="ND22" s="83"/>
      <c r="NE22" s="83"/>
      <c r="NF22" s="83"/>
      <c r="NG22" s="83"/>
      <c r="NH22" s="83"/>
      <c r="NI22" s="83"/>
      <c r="NJ22" s="83"/>
      <c r="NK22" s="83"/>
      <c r="NL22" s="83"/>
      <c r="NM22" s="83"/>
      <c r="NN22" s="83"/>
      <c r="NO22" s="83"/>
      <c r="NP22" s="83"/>
      <c r="NQ22" s="83"/>
      <c r="NR22" s="83"/>
      <c r="NS22" s="83"/>
      <c r="NT22" s="83"/>
      <c r="NU22" s="83"/>
      <c r="NV22" s="83"/>
      <c r="NW22" s="83"/>
      <c r="NX22" s="83"/>
      <c r="NY22" s="83"/>
      <c r="NZ22" s="83"/>
      <c r="OA22" s="83"/>
      <c r="OB22" s="83"/>
      <c r="OC22" s="83"/>
      <c r="OD22" s="83"/>
      <c r="OE22" s="83"/>
      <c r="OF22" s="83"/>
      <c r="OG22" s="55"/>
      <c r="OH22" s="55"/>
      <c r="OI22" s="55"/>
    </row>
    <row r="23" spans="5:399" s="9" customFormat="1" ht="10.5" customHeight="1">
      <c r="E23" s="151"/>
      <c r="F23" s="156" t="s">
        <v>18</v>
      </c>
      <c r="G23" s="157"/>
      <c r="H23" s="157"/>
      <c r="I23" s="158"/>
      <c r="T23" s="56"/>
      <c r="U23" s="56"/>
      <c r="V23" s="111"/>
      <c r="W23" s="121"/>
      <c r="Y23" s="56"/>
      <c r="AD23" s="56"/>
      <c r="AE23" s="76"/>
      <c r="AF23" s="83"/>
      <c r="AG23" s="79"/>
      <c r="AH23" s="79"/>
      <c r="AI23" s="79"/>
      <c r="AJ23" s="83"/>
      <c r="AK23" s="79"/>
      <c r="AL23" s="79"/>
      <c r="AM23" s="79"/>
      <c r="AN23" s="83"/>
      <c r="AO23" s="79"/>
      <c r="AP23" s="79"/>
      <c r="AQ23" s="79"/>
      <c r="AR23" s="83"/>
      <c r="AS23" s="79"/>
      <c r="AT23" s="79"/>
      <c r="AU23" s="79"/>
      <c r="AV23" s="83"/>
      <c r="AW23" s="79"/>
      <c r="AX23" s="79"/>
      <c r="AY23" s="79"/>
      <c r="AZ23" s="83"/>
      <c r="BA23" s="79"/>
      <c r="BB23" s="79"/>
      <c r="BC23" s="79"/>
      <c r="BD23" s="83"/>
      <c r="BE23" s="79"/>
      <c r="BF23" s="79"/>
      <c r="BG23" s="79"/>
      <c r="BH23" s="83"/>
      <c r="BI23" s="79"/>
      <c r="BJ23" s="79"/>
      <c r="BK23" s="79"/>
      <c r="BL23" s="83"/>
      <c r="BM23" s="79"/>
      <c r="BN23" s="79"/>
      <c r="BO23" s="79"/>
      <c r="BP23" s="83"/>
      <c r="BQ23" s="79"/>
      <c r="BR23" s="79"/>
      <c r="BS23" s="79"/>
      <c r="BT23" s="83"/>
      <c r="BU23" s="79"/>
      <c r="BV23" s="79"/>
      <c r="BW23" s="79"/>
      <c r="BX23" s="83"/>
      <c r="BY23" s="79"/>
      <c r="BZ23" s="79"/>
      <c r="CA23" s="79"/>
      <c r="CB23" s="83"/>
      <c r="CC23" s="79"/>
      <c r="CD23" s="79"/>
      <c r="CE23" s="79"/>
      <c r="CF23" s="83"/>
      <c r="CG23" s="79"/>
      <c r="CH23" s="79"/>
      <c r="CI23" s="79"/>
      <c r="CJ23" s="83"/>
      <c r="CK23" s="79"/>
      <c r="CL23" s="79"/>
      <c r="CM23" s="79"/>
      <c r="CN23" s="83"/>
      <c r="CO23" s="79"/>
      <c r="CP23" s="79"/>
      <c r="CQ23" s="79"/>
      <c r="CR23" s="83"/>
      <c r="CS23" s="79"/>
      <c r="CT23" s="79"/>
      <c r="CU23" s="79"/>
      <c r="CV23" s="83"/>
      <c r="CW23" s="79"/>
      <c r="CX23" s="79"/>
      <c r="CY23" s="79"/>
      <c r="CZ23" s="83"/>
      <c r="DA23" s="79"/>
      <c r="DB23" s="79"/>
      <c r="DC23" s="79"/>
      <c r="DD23" s="83"/>
      <c r="DE23" s="79"/>
      <c r="DF23" s="79"/>
      <c r="DG23" s="79"/>
      <c r="DH23" s="83"/>
      <c r="DI23" s="79"/>
      <c r="DJ23" s="79"/>
      <c r="DK23" s="79"/>
      <c r="DL23" s="83"/>
      <c r="DM23" s="79"/>
      <c r="DN23" s="79"/>
      <c r="DO23" s="79"/>
      <c r="DP23" s="83"/>
      <c r="DQ23" s="79"/>
      <c r="DR23" s="79"/>
      <c r="DS23" s="79"/>
      <c r="DT23" s="83"/>
      <c r="DU23" s="79"/>
      <c r="DV23" s="79"/>
      <c r="DW23" s="79"/>
      <c r="DX23" s="83"/>
      <c r="DY23" s="79"/>
      <c r="DZ23" s="79"/>
      <c r="EA23" s="79"/>
      <c r="EB23" s="83"/>
      <c r="EC23" s="79"/>
      <c r="ED23" s="79"/>
      <c r="EE23" s="79"/>
      <c r="EF23" s="83"/>
      <c r="EG23" s="79"/>
      <c r="EH23" s="79"/>
      <c r="EI23" s="79"/>
      <c r="EJ23" s="83"/>
      <c r="EK23" s="79"/>
      <c r="EL23" s="79"/>
      <c r="EM23" s="79"/>
      <c r="EN23" s="83"/>
      <c r="EO23" s="79"/>
      <c r="EP23" s="79"/>
      <c r="EQ23" s="79"/>
      <c r="ER23" s="83"/>
      <c r="ES23" s="79"/>
      <c r="ET23" s="79"/>
      <c r="EU23" s="79"/>
      <c r="EV23" s="83"/>
      <c r="EW23" s="79"/>
      <c r="EX23" s="79"/>
      <c r="EY23" s="79"/>
      <c r="EZ23" s="83"/>
      <c r="FA23" s="79"/>
      <c r="FB23" s="79"/>
      <c r="FC23" s="79"/>
      <c r="FD23" s="83"/>
      <c r="FE23" s="79"/>
      <c r="FF23" s="79"/>
      <c r="FG23" s="79"/>
      <c r="FH23" s="83"/>
      <c r="FI23" s="79"/>
      <c r="FJ23" s="79"/>
      <c r="FK23" s="79"/>
      <c r="FL23" s="83"/>
      <c r="FM23" s="79"/>
      <c r="FN23" s="79"/>
      <c r="FO23" s="79"/>
      <c r="FP23" s="83"/>
      <c r="FQ23" s="79"/>
      <c r="FR23" s="79"/>
      <c r="FS23" s="79"/>
      <c r="FT23" s="83"/>
      <c r="FU23" s="79"/>
      <c r="FV23" s="79"/>
      <c r="FW23" s="79"/>
      <c r="FX23" s="83"/>
      <c r="FY23" s="79"/>
      <c r="FZ23" s="79"/>
      <c r="GA23" s="79"/>
      <c r="GB23" s="83"/>
      <c r="GC23" s="79"/>
      <c r="GD23" s="79"/>
      <c r="GE23" s="79"/>
      <c r="GF23" s="83"/>
      <c r="GG23" s="79"/>
      <c r="GH23" s="79"/>
      <c r="GI23" s="79"/>
      <c r="GJ23" s="83"/>
      <c r="GK23" s="79"/>
      <c r="GL23" s="79"/>
      <c r="GM23" s="79"/>
      <c r="GN23" s="83"/>
      <c r="GO23" s="79"/>
      <c r="GP23" s="79"/>
      <c r="GQ23" s="79"/>
      <c r="GR23" s="83"/>
      <c r="GS23" s="79"/>
      <c r="GT23" s="79"/>
      <c r="GU23" s="79"/>
      <c r="GV23" s="83"/>
      <c r="GW23" s="79"/>
      <c r="GX23" s="79"/>
      <c r="GY23" s="79"/>
      <c r="GZ23" s="83"/>
      <c r="HA23" s="79"/>
      <c r="HB23" s="79"/>
      <c r="HC23" s="79"/>
      <c r="HD23" s="83"/>
      <c r="HE23" s="79"/>
      <c r="HF23" s="79"/>
      <c r="HG23" s="79"/>
      <c r="HH23" s="83"/>
      <c r="HI23" s="79"/>
      <c r="HJ23" s="79"/>
      <c r="HK23" s="79"/>
      <c r="HL23" s="83"/>
      <c r="HM23" s="79"/>
      <c r="HN23" s="79"/>
      <c r="HO23" s="79"/>
      <c r="HP23" s="83"/>
      <c r="HQ23" s="79"/>
      <c r="HR23" s="79"/>
      <c r="HS23" s="79"/>
      <c r="HT23" s="83"/>
      <c r="HU23" s="79"/>
      <c r="HV23" s="79"/>
      <c r="HW23" s="79"/>
      <c r="HX23" s="83"/>
      <c r="HY23" s="79"/>
      <c r="HZ23" s="79"/>
      <c r="IA23" s="79"/>
      <c r="IB23" s="83"/>
      <c r="IC23" s="79"/>
      <c r="ID23" s="79"/>
      <c r="IE23" s="79"/>
      <c r="IF23" s="83"/>
      <c r="IG23" s="79"/>
      <c r="IH23" s="79"/>
      <c r="II23" s="79"/>
      <c r="IJ23" s="83"/>
      <c r="IK23" s="79"/>
      <c r="IL23" s="79"/>
      <c r="IM23" s="79"/>
      <c r="IN23" s="83"/>
      <c r="IO23" s="79"/>
      <c r="IP23" s="79"/>
      <c r="IQ23" s="79"/>
      <c r="IR23" s="83"/>
      <c r="IS23" s="79"/>
      <c r="IT23" s="79"/>
      <c r="IU23" s="79"/>
      <c r="IV23" s="83"/>
      <c r="IW23" s="79"/>
      <c r="IX23" s="79"/>
      <c r="IY23" s="79"/>
      <c r="IZ23" s="83"/>
      <c r="JA23" s="79"/>
      <c r="JB23" s="79"/>
      <c r="JC23" s="79"/>
      <c r="JD23" s="83"/>
      <c r="JE23" s="79"/>
      <c r="JF23" s="79"/>
      <c r="JG23" s="79"/>
      <c r="JH23" s="83"/>
      <c r="JI23" s="79"/>
      <c r="JJ23" s="79"/>
      <c r="JK23" s="79"/>
      <c r="JL23" s="83"/>
      <c r="JM23" s="79"/>
      <c r="JN23" s="79"/>
      <c r="JO23" s="79"/>
      <c r="JP23" s="83"/>
      <c r="JQ23" s="79"/>
      <c r="JR23" s="79"/>
      <c r="JS23" s="79"/>
      <c r="JT23" s="83"/>
      <c r="JU23" s="79"/>
      <c r="JV23" s="79"/>
      <c r="JW23" s="79"/>
      <c r="JX23" s="83"/>
      <c r="JY23" s="79"/>
      <c r="JZ23" s="79"/>
      <c r="KA23" s="79"/>
      <c r="KB23" s="83"/>
      <c r="KC23" s="79"/>
      <c r="KD23" s="79"/>
      <c r="KE23" s="79"/>
      <c r="KF23" s="83"/>
      <c r="KG23" s="79"/>
      <c r="KH23" s="79"/>
      <c r="KI23" s="79"/>
      <c r="KJ23" s="83"/>
      <c r="KK23" s="79"/>
      <c r="KL23" s="79"/>
      <c r="KM23" s="79"/>
      <c r="KN23" s="83"/>
      <c r="KO23" s="79"/>
      <c r="KP23" s="79"/>
      <c r="KQ23" s="79"/>
      <c r="KR23" s="83"/>
      <c r="KS23" s="79"/>
      <c r="KT23" s="79"/>
      <c r="KU23" s="79"/>
      <c r="KV23" s="83"/>
      <c r="KW23" s="79"/>
      <c r="KX23" s="79"/>
      <c r="KY23" s="79"/>
      <c r="KZ23" s="83"/>
      <c r="LA23" s="79"/>
      <c r="LB23" s="79"/>
      <c r="LC23" s="79"/>
      <c r="LD23" s="83"/>
      <c r="LE23" s="79"/>
      <c r="LF23" s="79"/>
      <c r="LG23" s="79"/>
      <c r="LH23" s="83"/>
      <c r="LI23" s="79"/>
      <c r="LJ23" s="79"/>
      <c r="LK23" s="79"/>
      <c r="LL23" s="83"/>
      <c r="LM23" s="79"/>
      <c r="LN23" s="79"/>
      <c r="LO23" s="79"/>
      <c r="LP23" s="83"/>
      <c r="LQ23" s="79"/>
      <c r="LR23" s="79"/>
      <c r="LS23" s="79"/>
      <c r="LT23" s="83"/>
      <c r="LU23" s="79"/>
      <c r="LV23" s="79"/>
      <c r="LW23" s="79"/>
      <c r="LX23" s="83"/>
      <c r="LY23" s="79"/>
      <c r="LZ23" s="79"/>
      <c r="MA23" s="79"/>
      <c r="MB23" s="83"/>
      <c r="MC23" s="79"/>
      <c r="MD23" s="79"/>
      <c r="ME23" s="79"/>
      <c r="MF23" s="83"/>
      <c r="MG23" s="79"/>
      <c r="MH23" s="79"/>
      <c r="MI23" s="79"/>
      <c r="MJ23" s="83"/>
      <c r="MK23" s="79"/>
      <c r="ML23" s="79"/>
      <c r="MM23" s="79"/>
      <c r="MN23" s="83"/>
      <c r="MO23" s="79"/>
      <c r="MP23" s="79"/>
      <c r="MQ23" s="79"/>
      <c r="MR23" s="83"/>
      <c r="MS23" s="79"/>
      <c r="MT23" s="79"/>
      <c r="MU23" s="79"/>
      <c r="MV23" s="83"/>
      <c r="MW23" s="79"/>
      <c r="MX23" s="79"/>
      <c r="MY23" s="79"/>
      <c r="MZ23" s="83"/>
      <c r="NA23" s="79"/>
      <c r="NB23" s="79"/>
      <c r="NC23" s="79"/>
      <c r="ND23" s="83"/>
      <c r="NE23" s="79"/>
      <c r="NF23" s="79"/>
      <c r="NG23" s="79"/>
      <c r="NH23" s="83"/>
      <c r="NI23" s="79"/>
      <c r="NJ23" s="79"/>
      <c r="NK23" s="79"/>
      <c r="NL23" s="83"/>
      <c r="NM23" s="79"/>
      <c r="NN23" s="79"/>
      <c r="NO23" s="79"/>
      <c r="NP23" s="83"/>
      <c r="NQ23" s="79"/>
      <c r="NR23" s="79"/>
      <c r="NS23" s="79"/>
      <c r="NT23" s="83"/>
      <c r="NU23" s="79"/>
      <c r="NV23" s="79"/>
      <c r="NW23" s="79"/>
      <c r="NX23" s="83"/>
      <c r="NY23" s="79"/>
      <c r="NZ23" s="79"/>
      <c r="OA23" s="79"/>
      <c r="OB23" s="83"/>
      <c r="OC23" s="79"/>
      <c r="OD23" s="79"/>
      <c r="OE23" s="79"/>
      <c r="OF23" s="79"/>
      <c r="OG23" s="55"/>
      <c r="OH23" s="55"/>
      <c r="OI23" s="55"/>
    </row>
    <row r="24" spans="5:399" s="9" customFormat="1" ht="10.5" customHeight="1">
      <c r="E24" s="151"/>
      <c r="F24" s="156" t="s">
        <v>440</v>
      </c>
      <c r="G24" s="157"/>
      <c r="H24" s="157"/>
      <c r="I24" s="158"/>
      <c r="T24" s="56"/>
      <c r="U24" s="56"/>
      <c r="V24" s="111"/>
      <c r="W24" s="121"/>
      <c r="Y24" s="56"/>
      <c r="AD24" s="56"/>
      <c r="AE24" s="76"/>
      <c r="AF24" s="83"/>
      <c r="AG24" s="79"/>
      <c r="AH24" s="79"/>
      <c r="AI24" s="79"/>
      <c r="AJ24" s="83"/>
      <c r="AK24" s="79"/>
      <c r="AL24" s="79"/>
      <c r="AM24" s="79"/>
      <c r="AN24" s="83"/>
      <c r="AO24" s="79"/>
      <c r="AP24" s="79"/>
      <c r="AQ24" s="79"/>
      <c r="AR24" s="83"/>
      <c r="AS24" s="79"/>
      <c r="AT24" s="79"/>
      <c r="AU24" s="79"/>
      <c r="AV24" s="83"/>
      <c r="AW24" s="79"/>
      <c r="AX24" s="79"/>
      <c r="AY24" s="79"/>
      <c r="AZ24" s="83"/>
      <c r="BA24" s="79"/>
      <c r="BB24" s="79"/>
      <c r="BC24" s="79"/>
      <c r="BD24" s="83"/>
      <c r="BE24" s="79"/>
      <c r="BF24" s="79"/>
      <c r="BG24" s="79"/>
      <c r="BH24" s="83"/>
      <c r="BI24" s="79"/>
      <c r="BJ24" s="79"/>
      <c r="BK24" s="79"/>
      <c r="BL24" s="83"/>
      <c r="BM24" s="79"/>
      <c r="BN24" s="79"/>
      <c r="BO24" s="79"/>
      <c r="BP24" s="83"/>
      <c r="BQ24" s="79"/>
      <c r="BR24" s="79"/>
      <c r="BS24" s="79"/>
      <c r="BT24" s="83"/>
      <c r="BU24" s="79"/>
      <c r="BV24" s="79"/>
      <c r="BW24" s="79"/>
      <c r="BX24" s="83"/>
      <c r="BY24" s="79"/>
      <c r="BZ24" s="79"/>
      <c r="CA24" s="79"/>
      <c r="CB24" s="83"/>
      <c r="CC24" s="79"/>
      <c r="CD24" s="79"/>
      <c r="CE24" s="79"/>
      <c r="CF24" s="83"/>
      <c r="CG24" s="79"/>
      <c r="CH24" s="79"/>
      <c r="CI24" s="79"/>
      <c r="CJ24" s="83"/>
      <c r="CK24" s="79"/>
      <c r="CL24" s="79"/>
      <c r="CM24" s="79"/>
      <c r="CN24" s="83"/>
      <c r="CO24" s="79"/>
      <c r="CP24" s="79"/>
      <c r="CQ24" s="79"/>
      <c r="CR24" s="83"/>
      <c r="CS24" s="79"/>
      <c r="CT24" s="79"/>
      <c r="CU24" s="79"/>
      <c r="CV24" s="83"/>
      <c r="CW24" s="79"/>
      <c r="CX24" s="79"/>
      <c r="CY24" s="79"/>
      <c r="CZ24" s="83"/>
      <c r="DA24" s="79"/>
      <c r="DB24" s="79"/>
      <c r="DC24" s="79"/>
      <c r="DD24" s="83"/>
      <c r="DE24" s="79"/>
      <c r="DF24" s="79"/>
      <c r="DG24" s="79"/>
      <c r="DH24" s="83"/>
      <c r="DI24" s="79"/>
      <c r="DJ24" s="79"/>
      <c r="DK24" s="79"/>
      <c r="DL24" s="83"/>
      <c r="DM24" s="79"/>
      <c r="DN24" s="79"/>
      <c r="DO24" s="79"/>
      <c r="DP24" s="83"/>
      <c r="DQ24" s="79"/>
      <c r="DR24" s="79"/>
      <c r="DS24" s="79"/>
      <c r="DT24" s="83"/>
      <c r="DU24" s="79"/>
      <c r="DV24" s="79"/>
      <c r="DW24" s="79"/>
      <c r="DX24" s="83"/>
      <c r="DY24" s="79"/>
      <c r="DZ24" s="79"/>
      <c r="EA24" s="79"/>
      <c r="EB24" s="83"/>
      <c r="EC24" s="79"/>
      <c r="ED24" s="79"/>
      <c r="EE24" s="79"/>
      <c r="EF24" s="83"/>
      <c r="EG24" s="79"/>
      <c r="EH24" s="79"/>
      <c r="EI24" s="79"/>
      <c r="EJ24" s="83"/>
      <c r="EK24" s="79"/>
      <c r="EL24" s="79"/>
      <c r="EM24" s="79"/>
      <c r="EN24" s="83"/>
      <c r="EO24" s="79"/>
      <c r="EP24" s="79"/>
      <c r="EQ24" s="79"/>
      <c r="ER24" s="83"/>
      <c r="ES24" s="79"/>
      <c r="ET24" s="79"/>
      <c r="EU24" s="79"/>
      <c r="EV24" s="83"/>
      <c r="EW24" s="79"/>
      <c r="EX24" s="79"/>
      <c r="EY24" s="79"/>
      <c r="EZ24" s="83"/>
      <c r="FA24" s="79"/>
      <c r="FB24" s="79"/>
      <c r="FC24" s="79"/>
      <c r="FD24" s="83"/>
      <c r="FE24" s="79"/>
      <c r="FF24" s="79"/>
      <c r="FG24" s="79"/>
      <c r="FH24" s="83"/>
      <c r="FI24" s="79"/>
      <c r="FJ24" s="79"/>
      <c r="FK24" s="79"/>
      <c r="FL24" s="83"/>
      <c r="FM24" s="79"/>
      <c r="FN24" s="79"/>
      <c r="FO24" s="79"/>
      <c r="FP24" s="83"/>
      <c r="FQ24" s="79"/>
      <c r="FR24" s="79"/>
      <c r="FS24" s="79"/>
      <c r="FT24" s="83"/>
      <c r="FU24" s="79"/>
      <c r="FV24" s="79"/>
      <c r="FW24" s="79"/>
      <c r="FX24" s="83"/>
      <c r="FY24" s="79"/>
      <c r="FZ24" s="79"/>
      <c r="GA24" s="79"/>
      <c r="GB24" s="83"/>
      <c r="GC24" s="79"/>
      <c r="GD24" s="79"/>
      <c r="GE24" s="79"/>
      <c r="GF24" s="83"/>
      <c r="GG24" s="79"/>
      <c r="GH24" s="79"/>
      <c r="GI24" s="79"/>
      <c r="GJ24" s="83"/>
      <c r="GK24" s="79"/>
      <c r="GL24" s="79"/>
      <c r="GM24" s="79"/>
      <c r="GN24" s="83"/>
      <c r="GO24" s="79"/>
      <c r="GP24" s="79"/>
      <c r="GQ24" s="79"/>
      <c r="GR24" s="83"/>
      <c r="GS24" s="79"/>
      <c r="GT24" s="79"/>
      <c r="GU24" s="79"/>
      <c r="GV24" s="83"/>
      <c r="GW24" s="79"/>
      <c r="GX24" s="79"/>
      <c r="GY24" s="79"/>
      <c r="GZ24" s="83"/>
      <c r="HA24" s="79"/>
      <c r="HB24" s="79"/>
      <c r="HC24" s="79"/>
      <c r="HD24" s="83"/>
      <c r="HE24" s="79"/>
      <c r="HF24" s="79"/>
      <c r="HG24" s="79"/>
      <c r="HH24" s="83"/>
      <c r="HI24" s="79"/>
      <c r="HJ24" s="79"/>
      <c r="HK24" s="79"/>
      <c r="HL24" s="83"/>
      <c r="HM24" s="79"/>
      <c r="HN24" s="79"/>
      <c r="HO24" s="79"/>
      <c r="HP24" s="83"/>
      <c r="HQ24" s="79"/>
      <c r="HR24" s="79"/>
      <c r="HS24" s="79"/>
      <c r="HT24" s="83"/>
      <c r="HU24" s="79"/>
      <c r="HV24" s="79"/>
      <c r="HW24" s="79"/>
      <c r="HX24" s="83"/>
      <c r="HY24" s="79"/>
      <c r="HZ24" s="79"/>
      <c r="IA24" s="79"/>
      <c r="IB24" s="83"/>
      <c r="IC24" s="79"/>
      <c r="ID24" s="79"/>
      <c r="IE24" s="79"/>
      <c r="IF24" s="83"/>
      <c r="IG24" s="79"/>
      <c r="IH24" s="79"/>
      <c r="II24" s="79"/>
      <c r="IJ24" s="83"/>
      <c r="IK24" s="79"/>
      <c r="IL24" s="79"/>
      <c r="IM24" s="79"/>
      <c r="IN24" s="83"/>
      <c r="IO24" s="79"/>
      <c r="IP24" s="79"/>
      <c r="IQ24" s="79"/>
      <c r="IR24" s="83"/>
      <c r="IS24" s="79"/>
      <c r="IT24" s="79"/>
      <c r="IU24" s="79"/>
      <c r="IV24" s="83"/>
      <c r="IW24" s="79"/>
      <c r="IX24" s="79"/>
      <c r="IY24" s="79"/>
      <c r="IZ24" s="83"/>
      <c r="JA24" s="79"/>
      <c r="JB24" s="79"/>
      <c r="JC24" s="79"/>
      <c r="JD24" s="83"/>
      <c r="JE24" s="79"/>
      <c r="JF24" s="79"/>
      <c r="JG24" s="79"/>
      <c r="JH24" s="83"/>
      <c r="JI24" s="79"/>
      <c r="JJ24" s="79"/>
      <c r="JK24" s="79"/>
      <c r="JL24" s="83"/>
      <c r="JM24" s="79"/>
      <c r="JN24" s="79"/>
      <c r="JO24" s="79"/>
      <c r="JP24" s="83"/>
      <c r="JQ24" s="79"/>
      <c r="JR24" s="79"/>
      <c r="JS24" s="79"/>
      <c r="JT24" s="83"/>
      <c r="JU24" s="79"/>
      <c r="JV24" s="79"/>
      <c r="JW24" s="79"/>
      <c r="JX24" s="83"/>
      <c r="JY24" s="79"/>
      <c r="JZ24" s="79"/>
      <c r="KA24" s="79"/>
      <c r="KB24" s="83"/>
      <c r="KC24" s="79"/>
      <c r="KD24" s="79"/>
      <c r="KE24" s="79"/>
      <c r="KF24" s="83"/>
      <c r="KG24" s="79"/>
      <c r="KH24" s="79"/>
      <c r="KI24" s="79"/>
      <c r="KJ24" s="83"/>
      <c r="KK24" s="79"/>
      <c r="KL24" s="79"/>
      <c r="KM24" s="79"/>
      <c r="KN24" s="83"/>
      <c r="KO24" s="79"/>
      <c r="KP24" s="79"/>
      <c r="KQ24" s="79"/>
      <c r="KR24" s="83"/>
      <c r="KS24" s="79"/>
      <c r="KT24" s="79"/>
      <c r="KU24" s="79"/>
      <c r="KV24" s="83"/>
      <c r="KW24" s="79"/>
      <c r="KX24" s="79"/>
      <c r="KY24" s="79"/>
      <c r="KZ24" s="83"/>
      <c r="LA24" s="79"/>
      <c r="LB24" s="79"/>
      <c r="LC24" s="79"/>
      <c r="LD24" s="83"/>
      <c r="LE24" s="79"/>
      <c r="LF24" s="79"/>
      <c r="LG24" s="79"/>
      <c r="LH24" s="83"/>
      <c r="LI24" s="79"/>
      <c r="LJ24" s="79"/>
      <c r="LK24" s="79"/>
      <c r="LL24" s="83"/>
      <c r="LM24" s="79"/>
      <c r="LN24" s="79"/>
      <c r="LO24" s="79"/>
      <c r="LP24" s="83"/>
      <c r="LQ24" s="79"/>
      <c r="LR24" s="79"/>
      <c r="LS24" s="79"/>
      <c r="LT24" s="83"/>
      <c r="LU24" s="79"/>
      <c r="LV24" s="79"/>
      <c r="LW24" s="79"/>
      <c r="LX24" s="83"/>
      <c r="LY24" s="79"/>
      <c r="LZ24" s="79"/>
      <c r="MA24" s="79"/>
      <c r="MB24" s="83"/>
      <c r="MC24" s="79"/>
      <c r="MD24" s="79"/>
      <c r="ME24" s="79"/>
      <c r="MF24" s="83"/>
      <c r="MG24" s="79"/>
      <c r="MH24" s="79"/>
      <c r="MI24" s="79"/>
      <c r="MJ24" s="83"/>
      <c r="MK24" s="79"/>
      <c r="ML24" s="79"/>
      <c r="MM24" s="79"/>
      <c r="MN24" s="83"/>
      <c r="MO24" s="79"/>
      <c r="MP24" s="79"/>
      <c r="MQ24" s="79"/>
      <c r="MR24" s="83"/>
      <c r="MS24" s="79"/>
      <c r="MT24" s="79"/>
      <c r="MU24" s="79"/>
      <c r="MV24" s="83"/>
      <c r="MW24" s="79"/>
      <c r="MX24" s="79"/>
      <c r="MY24" s="79"/>
      <c r="MZ24" s="83"/>
      <c r="NA24" s="79"/>
      <c r="NB24" s="79"/>
      <c r="NC24" s="79"/>
      <c r="ND24" s="83"/>
      <c r="NE24" s="79"/>
      <c r="NF24" s="79"/>
      <c r="NG24" s="79"/>
      <c r="NH24" s="83"/>
      <c r="NI24" s="79"/>
      <c r="NJ24" s="79"/>
      <c r="NK24" s="79"/>
      <c r="NL24" s="83"/>
      <c r="NM24" s="79"/>
      <c r="NN24" s="79"/>
      <c r="NO24" s="79"/>
      <c r="NP24" s="83"/>
      <c r="NQ24" s="79"/>
      <c r="NR24" s="79"/>
      <c r="NS24" s="79"/>
      <c r="NT24" s="83"/>
      <c r="NU24" s="79"/>
      <c r="NV24" s="79"/>
      <c r="NW24" s="79"/>
      <c r="NX24" s="83"/>
      <c r="NY24" s="79"/>
      <c r="NZ24" s="79"/>
      <c r="OA24" s="79"/>
      <c r="OB24" s="83"/>
      <c r="OC24" s="79"/>
      <c r="OD24" s="79"/>
      <c r="OE24" s="79"/>
      <c r="OF24" s="79"/>
      <c r="OG24" s="55"/>
      <c r="OH24" s="55"/>
      <c r="OI24" s="55"/>
    </row>
    <row r="25" spans="5:399" s="9" customFormat="1" ht="10.5" customHeight="1">
      <c r="E25" s="152"/>
      <c r="F25" s="159" t="s">
        <v>441</v>
      </c>
      <c r="G25" s="160"/>
      <c r="H25" s="160"/>
      <c r="I25" s="161"/>
      <c r="T25" s="56"/>
      <c r="U25" s="56"/>
      <c r="V25" s="111"/>
      <c r="W25" s="121"/>
      <c r="Y25" s="56"/>
      <c r="AD25" s="56"/>
      <c r="AE25" s="76"/>
      <c r="AF25" s="84"/>
      <c r="AG25" s="84"/>
      <c r="AH25" s="84"/>
      <c r="AI25" s="84"/>
      <c r="AJ25" s="84"/>
      <c r="AK25" s="84"/>
      <c r="AL25" s="84"/>
      <c r="AM25" s="84"/>
      <c r="AN25" s="84"/>
      <c r="AO25" s="84"/>
      <c r="AP25" s="84"/>
      <c r="AQ25" s="84"/>
      <c r="AR25" s="84"/>
      <c r="AS25" s="84"/>
      <c r="AT25" s="84"/>
      <c r="AU25" s="84"/>
      <c r="AV25" s="84"/>
      <c r="AW25" s="84"/>
      <c r="AX25" s="84"/>
      <c r="AY25" s="84"/>
      <c r="AZ25" s="84"/>
      <c r="BA25" s="84"/>
      <c r="BB25" s="84"/>
      <c r="BC25" s="84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84"/>
      <c r="BO25" s="84"/>
      <c r="BP25" s="84"/>
      <c r="BQ25" s="84"/>
      <c r="BR25" s="84"/>
      <c r="BS25" s="84"/>
      <c r="BT25" s="84"/>
      <c r="BU25" s="84"/>
      <c r="BV25" s="84"/>
      <c r="BW25" s="84"/>
      <c r="BX25" s="84"/>
      <c r="BY25" s="84"/>
      <c r="BZ25" s="84"/>
      <c r="CA25" s="84"/>
      <c r="CB25" s="84"/>
      <c r="CC25" s="84"/>
      <c r="CD25" s="84"/>
      <c r="CE25" s="84"/>
      <c r="CF25" s="84"/>
      <c r="CG25" s="84"/>
      <c r="CH25" s="84"/>
      <c r="CI25" s="84"/>
      <c r="CJ25" s="84"/>
      <c r="CK25" s="84"/>
      <c r="CL25" s="84"/>
      <c r="CM25" s="84"/>
      <c r="CN25" s="84"/>
      <c r="CO25" s="84"/>
      <c r="CP25" s="84"/>
      <c r="CQ25" s="84"/>
      <c r="CR25" s="84"/>
      <c r="CS25" s="84"/>
      <c r="CT25" s="84"/>
      <c r="CU25" s="84"/>
      <c r="CV25" s="84"/>
      <c r="CW25" s="84"/>
      <c r="CX25" s="84"/>
      <c r="CY25" s="84"/>
      <c r="CZ25" s="84"/>
      <c r="DA25" s="84"/>
      <c r="DB25" s="84"/>
      <c r="DC25" s="84"/>
      <c r="DD25" s="84"/>
      <c r="DE25" s="84"/>
      <c r="DF25" s="84"/>
      <c r="DG25" s="84"/>
      <c r="DH25" s="84"/>
      <c r="DI25" s="84"/>
      <c r="DJ25" s="84"/>
      <c r="DK25" s="84"/>
      <c r="DL25" s="84"/>
      <c r="DM25" s="84"/>
      <c r="DN25" s="84"/>
      <c r="DO25" s="84"/>
      <c r="DP25" s="84"/>
      <c r="DQ25" s="84"/>
      <c r="DR25" s="84"/>
      <c r="DS25" s="84"/>
      <c r="DT25" s="84"/>
      <c r="DU25" s="84"/>
      <c r="DV25" s="84"/>
      <c r="DW25" s="84"/>
      <c r="DX25" s="84"/>
      <c r="DY25" s="84"/>
      <c r="DZ25" s="84"/>
      <c r="EA25" s="84"/>
      <c r="EB25" s="84"/>
      <c r="EC25" s="84"/>
      <c r="ED25" s="84"/>
      <c r="EE25" s="84"/>
      <c r="EF25" s="84"/>
      <c r="EG25" s="84"/>
      <c r="EH25" s="84"/>
      <c r="EI25" s="84"/>
      <c r="EJ25" s="84"/>
      <c r="EK25" s="84"/>
      <c r="EL25" s="84"/>
      <c r="EM25" s="84"/>
      <c r="EN25" s="84"/>
      <c r="EO25" s="84"/>
      <c r="EP25" s="84"/>
      <c r="EQ25" s="84"/>
      <c r="ER25" s="84"/>
      <c r="ES25" s="84"/>
      <c r="ET25" s="84"/>
      <c r="EU25" s="84"/>
      <c r="EV25" s="84"/>
      <c r="EW25" s="84"/>
      <c r="EX25" s="84"/>
      <c r="EY25" s="84"/>
      <c r="EZ25" s="84"/>
      <c r="FA25" s="84"/>
      <c r="FB25" s="84"/>
      <c r="FC25" s="84"/>
      <c r="FD25" s="84"/>
      <c r="FE25" s="84"/>
      <c r="FF25" s="84"/>
      <c r="FG25" s="84"/>
      <c r="FH25" s="84"/>
      <c r="FI25" s="84"/>
      <c r="FJ25" s="84"/>
      <c r="FK25" s="84"/>
      <c r="FL25" s="84"/>
      <c r="FM25" s="84"/>
      <c r="FN25" s="84"/>
      <c r="FO25" s="84"/>
      <c r="FP25" s="84"/>
      <c r="FQ25" s="84"/>
      <c r="FR25" s="84"/>
      <c r="FS25" s="84"/>
      <c r="FT25" s="84"/>
      <c r="FU25" s="84"/>
      <c r="FV25" s="84"/>
      <c r="FW25" s="84"/>
      <c r="FX25" s="84"/>
      <c r="FY25" s="84"/>
      <c r="FZ25" s="84"/>
      <c r="GA25" s="84"/>
      <c r="GB25" s="84"/>
      <c r="GC25" s="84"/>
      <c r="GD25" s="84"/>
      <c r="GE25" s="84"/>
      <c r="GF25" s="84"/>
      <c r="GG25" s="84"/>
      <c r="GH25" s="84"/>
      <c r="GI25" s="84"/>
      <c r="GJ25" s="84"/>
      <c r="GK25" s="84"/>
      <c r="GL25" s="84"/>
      <c r="GM25" s="84"/>
      <c r="GN25" s="84"/>
      <c r="GO25" s="84"/>
      <c r="GP25" s="84"/>
      <c r="GQ25" s="84"/>
      <c r="GR25" s="84"/>
      <c r="GS25" s="84"/>
      <c r="GT25" s="84"/>
      <c r="GU25" s="84"/>
      <c r="GV25" s="84"/>
      <c r="GW25" s="84"/>
      <c r="GX25" s="84"/>
      <c r="GY25" s="84"/>
      <c r="GZ25" s="84"/>
      <c r="HA25" s="84"/>
      <c r="HB25" s="84"/>
      <c r="HC25" s="84"/>
      <c r="HD25" s="84"/>
      <c r="HE25" s="84"/>
      <c r="HF25" s="84"/>
      <c r="HG25" s="84"/>
      <c r="HH25" s="84"/>
      <c r="HI25" s="84"/>
      <c r="HJ25" s="84"/>
      <c r="HK25" s="84"/>
      <c r="HL25" s="84"/>
      <c r="HM25" s="84"/>
      <c r="HN25" s="84"/>
      <c r="HO25" s="84"/>
      <c r="HP25" s="84"/>
      <c r="HQ25" s="84"/>
      <c r="HR25" s="84"/>
      <c r="HS25" s="84"/>
      <c r="HT25" s="84"/>
      <c r="HU25" s="84"/>
      <c r="HV25" s="84"/>
      <c r="HW25" s="84"/>
      <c r="HX25" s="84"/>
      <c r="HY25" s="84"/>
      <c r="HZ25" s="84"/>
      <c r="IA25" s="84"/>
      <c r="IB25" s="84"/>
      <c r="IC25" s="84"/>
      <c r="ID25" s="84"/>
      <c r="IE25" s="84"/>
      <c r="IF25" s="84"/>
      <c r="IG25" s="84"/>
      <c r="IH25" s="84"/>
      <c r="II25" s="84"/>
      <c r="IJ25" s="84"/>
      <c r="IK25" s="84"/>
      <c r="IL25" s="84"/>
      <c r="IM25" s="84"/>
      <c r="IN25" s="84"/>
      <c r="IO25" s="84"/>
      <c r="IP25" s="84"/>
      <c r="IQ25" s="84"/>
      <c r="IR25" s="84"/>
      <c r="IS25" s="84"/>
      <c r="IT25" s="84"/>
      <c r="IU25" s="84"/>
      <c r="IV25" s="84"/>
      <c r="IW25" s="84"/>
      <c r="IX25" s="84"/>
      <c r="IY25" s="84"/>
      <c r="IZ25" s="84"/>
      <c r="JA25" s="84"/>
      <c r="JB25" s="84"/>
      <c r="JC25" s="84"/>
      <c r="JD25" s="84"/>
      <c r="JE25" s="84"/>
      <c r="JF25" s="84"/>
      <c r="JG25" s="84"/>
      <c r="JH25" s="84"/>
      <c r="JI25" s="84"/>
      <c r="JJ25" s="84"/>
      <c r="JK25" s="84"/>
      <c r="JL25" s="84"/>
      <c r="JM25" s="84"/>
      <c r="JN25" s="84"/>
      <c r="JO25" s="84"/>
      <c r="JP25" s="84"/>
      <c r="JQ25" s="84"/>
      <c r="JR25" s="84"/>
      <c r="JS25" s="84"/>
      <c r="JT25" s="84"/>
      <c r="JU25" s="84"/>
      <c r="JV25" s="84"/>
      <c r="JW25" s="84"/>
      <c r="JX25" s="84"/>
      <c r="JY25" s="84"/>
      <c r="JZ25" s="84"/>
      <c r="KA25" s="84"/>
      <c r="KB25" s="84"/>
      <c r="KC25" s="84"/>
      <c r="KD25" s="84"/>
      <c r="KE25" s="84"/>
      <c r="KF25" s="84"/>
      <c r="KG25" s="84"/>
      <c r="KH25" s="84"/>
      <c r="KI25" s="84"/>
      <c r="KJ25" s="84"/>
      <c r="KK25" s="84"/>
      <c r="KL25" s="84"/>
      <c r="KM25" s="84"/>
      <c r="KN25" s="84"/>
      <c r="KO25" s="84"/>
      <c r="KP25" s="84"/>
      <c r="KQ25" s="84"/>
      <c r="KR25" s="84"/>
      <c r="KS25" s="84"/>
      <c r="KT25" s="84"/>
      <c r="KU25" s="84"/>
      <c r="KV25" s="84"/>
      <c r="KW25" s="84"/>
      <c r="KX25" s="84"/>
      <c r="KY25" s="84"/>
      <c r="KZ25" s="84"/>
      <c r="LA25" s="84"/>
      <c r="LB25" s="84"/>
      <c r="LC25" s="84"/>
      <c r="LD25" s="84"/>
      <c r="LE25" s="84"/>
      <c r="LF25" s="84"/>
      <c r="LG25" s="84"/>
      <c r="LH25" s="84"/>
      <c r="LI25" s="84"/>
      <c r="LJ25" s="84"/>
      <c r="LK25" s="84"/>
      <c r="LL25" s="84"/>
      <c r="LM25" s="84"/>
      <c r="LN25" s="84"/>
      <c r="LO25" s="84"/>
      <c r="LP25" s="84"/>
      <c r="LQ25" s="84"/>
      <c r="LR25" s="84"/>
      <c r="LS25" s="84"/>
      <c r="LT25" s="84"/>
      <c r="LU25" s="84"/>
      <c r="LV25" s="84"/>
      <c r="LW25" s="84"/>
      <c r="LX25" s="84"/>
      <c r="LY25" s="84"/>
      <c r="LZ25" s="84"/>
      <c r="MA25" s="84"/>
      <c r="MB25" s="84"/>
      <c r="MC25" s="84"/>
      <c r="MD25" s="84"/>
      <c r="ME25" s="84"/>
      <c r="MF25" s="84"/>
      <c r="MG25" s="84"/>
      <c r="MH25" s="84"/>
      <c r="MI25" s="84"/>
      <c r="MJ25" s="84"/>
      <c r="MK25" s="84"/>
      <c r="ML25" s="84"/>
      <c r="MM25" s="84"/>
      <c r="MN25" s="84"/>
      <c r="MO25" s="84"/>
      <c r="MP25" s="84"/>
      <c r="MQ25" s="84"/>
      <c r="MR25" s="84"/>
      <c r="MS25" s="84"/>
      <c r="MT25" s="84"/>
      <c r="MU25" s="84"/>
      <c r="MV25" s="84"/>
      <c r="MW25" s="84"/>
      <c r="MX25" s="84"/>
      <c r="MY25" s="84"/>
      <c r="MZ25" s="84"/>
      <c r="NA25" s="84"/>
      <c r="NB25" s="84"/>
      <c r="NC25" s="84"/>
      <c r="ND25" s="84"/>
      <c r="NE25" s="84"/>
      <c r="NF25" s="84"/>
      <c r="NG25" s="84"/>
      <c r="NH25" s="84"/>
      <c r="NI25" s="84"/>
      <c r="NJ25" s="84"/>
      <c r="NK25" s="84"/>
      <c r="NL25" s="84"/>
      <c r="NM25" s="84"/>
      <c r="NN25" s="84"/>
      <c r="NO25" s="84"/>
      <c r="NP25" s="84"/>
      <c r="NQ25" s="84"/>
      <c r="NR25" s="84"/>
      <c r="NS25" s="84"/>
      <c r="NT25" s="84"/>
      <c r="NU25" s="84"/>
      <c r="NV25" s="84"/>
      <c r="NW25" s="84"/>
      <c r="NX25" s="84"/>
      <c r="NY25" s="84"/>
      <c r="NZ25" s="84"/>
      <c r="OA25" s="84"/>
      <c r="OB25" s="84"/>
      <c r="OC25" s="84"/>
      <c r="OD25" s="84"/>
      <c r="OE25" s="84"/>
      <c r="OF25" s="84"/>
      <c r="OG25" s="55"/>
      <c r="OH25" s="55"/>
      <c r="OI25" s="55"/>
    </row>
    <row r="26" spans="5:399" s="9" customFormat="1">
      <c r="T26" s="56"/>
      <c r="U26" s="56"/>
      <c r="V26" s="111"/>
      <c r="W26" s="121"/>
      <c r="Y26" s="56"/>
      <c r="AD26" s="56"/>
      <c r="AE26" s="56"/>
      <c r="AG26" s="35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</row>
    <row r="27" spans="5:399" s="9" customFormat="1">
      <c r="T27" s="56"/>
      <c r="U27" s="56"/>
      <c r="V27" s="111"/>
      <c r="W27" s="121"/>
      <c r="Y27" s="56"/>
      <c r="AD27" s="56"/>
      <c r="AE27" s="56"/>
      <c r="AG27" s="35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</row>
    <row r="28" spans="5:399" s="9" customFormat="1">
      <c r="T28" s="56"/>
      <c r="U28" s="56"/>
      <c r="V28" s="111"/>
      <c r="W28" s="121"/>
      <c r="Y28" s="56"/>
      <c r="AD28" s="56"/>
      <c r="AE28" s="56"/>
      <c r="AG28" s="35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</row>
    <row r="29" spans="5:399" s="9" customFormat="1">
      <c r="T29" s="56"/>
      <c r="U29" s="56"/>
      <c r="V29" s="111"/>
      <c r="W29" s="121"/>
      <c r="Y29" s="56"/>
      <c r="AD29" s="56"/>
      <c r="AE29" s="56"/>
      <c r="AG29" s="35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</row>
    <row r="30" spans="5:399" s="9" customFormat="1">
      <c r="T30" s="56"/>
      <c r="U30" s="56"/>
      <c r="V30" s="111"/>
      <c r="W30" s="121"/>
      <c r="Y30" s="56"/>
      <c r="AD30" s="56"/>
      <c r="AE30" s="56"/>
      <c r="AG30" s="35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</row>
    <row r="31" spans="5:399" s="9" customFormat="1">
      <c r="T31" s="56"/>
      <c r="U31" s="56"/>
      <c r="V31" s="111"/>
      <c r="W31" s="121"/>
      <c r="Y31" s="56"/>
      <c r="AD31" s="56"/>
      <c r="AE31" s="56"/>
      <c r="AG31" s="35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</row>
    <row r="32" spans="5:399" s="9" customFormat="1">
      <c r="T32" s="56"/>
      <c r="U32" s="56"/>
      <c r="V32" s="111"/>
      <c r="W32" s="121"/>
      <c r="Y32" s="56"/>
      <c r="AD32" s="56"/>
      <c r="AE32" s="56"/>
      <c r="AG32" s="35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</row>
    <row r="33" spans="20:63" s="9" customFormat="1">
      <c r="T33" s="56"/>
      <c r="U33" s="56"/>
      <c r="V33" s="111"/>
      <c r="W33" s="121"/>
      <c r="Y33" s="56"/>
      <c r="AD33" s="56"/>
      <c r="AE33" s="56"/>
      <c r="AG33" s="35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</row>
    <row r="34" spans="20:63" s="9" customFormat="1">
      <c r="T34" s="56"/>
      <c r="U34" s="56"/>
      <c r="V34" s="111"/>
      <c r="W34" s="121"/>
      <c r="Y34" s="56"/>
      <c r="AD34" s="56"/>
      <c r="AE34" s="56"/>
      <c r="AG34" s="35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</row>
    <row r="35" spans="20:63" s="9" customFormat="1">
      <c r="T35" s="56"/>
      <c r="U35" s="56"/>
      <c r="V35" s="111"/>
      <c r="W35" s="121"/>
      <c r="Y35" s="56"/>
      <c r="AD35" s="56"/>
      <c r="AE35" s="56"/>
      <c r="AG35" s="35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</row>
    <row r="36" spans="20:63" s="9" customFormat="1">
      <c r="T36" s="56"/>
      <c r="U36" s="56"/>
      <c r="V36" s="111"/>
      <c r="W36" s="121"/>
      <c r="Y36" s="56"/>
      <c r="AD36" s="56"/>
      <c r="AE36" s="56"/>
      <c r="AG36" s="35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</row>
    <row r="37" spans="20:63" s="9" customFormat="1">
      <c r="T37" s="56"/>
      <c r="U37" s="56"/>
      <c r="V37" s="111"/>
      <c r="W37" s="121"/>
      <c r="Y37" s="56"/>
      <c r="AD37" s="56"/>
      <c r="AE37" s="56"/>
      <c r="AG37" s="35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</row>
    <row r="38" spans="20:63" s="9" customFormat="1">
      <c r="T38" s="56"/>
      <c r="U38" s="56"/>
      <c r="V38" s="111"/>
      <c r="W38" s="121"/>
      <c r="Y38" s="56"/>
      <c r="AD38" s="56"/>
      <c r="AE38" s="56"/>
      <c r="AG38" s="35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</row>
    <row r="39" spans="20:63" s="9" customFormat="1">
      <c r="T39" s="56"/>
      <c r="U39" s="56"/>
      <c r="V39" s="111"/>
      <c r="W39" s="121"/>
      <c r="Y39" s="56"/>
      <c r="AD39" s="56"/>
      <c r="AE39" s="56"/>
      <c r="AG39" s="35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</row>
    <row r="40" spans="20:63" s="9" customFormat="1">
      <c r="U40" s="56" t="s">
        <v>428</v>
      </c>
      <c r="V40" s="111"/>
      <c r="W40" s="121"/>
      <c r="Y40" s="56"/>
      <c r="AD40" s="56"/>
      <c r="AE40" s="56"/>
      <c r="AG40" s="35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</row>
    <row r="41" spans="20:63" s="9" customFormat="1">
      <c r="T41" s="14" t="s">
        <v>20</v>
      </c>
      <c r="U41" s="14"/>
      <c r="V41" s="14"/>
      <c r="W41" s="14"/>
      <c r="Y41" s="56"/>
      <c r="AD41" s="56"/>
      <c r="AE41" s="56"/>
      <c r="AG41" s="35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</row>
    <row r="42" spans="20:63" s="9" customFormat="1">
      <c r="T42" s="14" t="s">
        <v>426</v>
      </c>
      <c r="U42" s="14">
        <f ca="1">SUM(X42:AC42)</f>
        <v>2</v>
      </c>
      <c r="V42" s="14"/>
      <c r="W42" s="14"/>
      <c r="X42" s="9">
        <f ca="1">COUNTIF(Tableau2[EXPIRE BADGE ROUGE],0)</f>
        <v>1</v>
      </c>
      <c r="Y42" s="56">
        <f ca="1">COUNTIF(Tableau2[EXPIRE PERMIS T],0)</f>
        <v>0</v>
      </c>
      <c r="Z42" s="56">
        <f ca="1">COUNTIF(Tableau2[EXPIRE LICENCE],0)</f>
        <v>1</v>
      </c>
      <c r="AA42" s="56">
        <f ca="1">COUNTIF(Tableau2[EXPIRE EWIS],0)</f>
        <v>0</v>
      </c>
      <c r="AB42" s="64">
        <f ca="1">COUNTIF(Tableau2[EXPIRE HUMAN FACTOR],0)</f>
        <v>0</v>
      </c>
      <c r="AC42" s="64">
        <f ca="1">COUNTIF(Tableau2[[EXPIRE FUEL TANK FACTOR ]],0)</f>
        <v>0</v>
      </c>
      <c r="AD42" s="64">
        <f ca="1">COUNTIF(Tableau2[EXPIRE PEMP],0)</f>
        <v>0</v>
      </c>
      <c r="AE42" s="64">
        <f ca="1">COUNTIF(Tableau2[EXPIRE MEDECINE DU TRAVAIL],0)</f>
        <v>0</v>
      </c>
      <c r="AG42" s="35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</row>
    <row r="43" spans="20:63" s="9" customFormat="1">
      <c r="T43" s="14" t="s">
        <v>425</v>
      </c>
      <c r="U43" s="14">
        <f ca="1">SUM(X43:AA43)</f>
        <v>0</v>
      </c>
      <c r="V43" s="14"/>
      <c r="W43" s="14"/>
      <c r="X43" s="56">
        <f ca="1">COUNTIF(Tableau2[EXPIRE BADGE ROUGE],1)</f>
        <v>0</v>
      </c>
      <c r="Y43" s="56">
        <f ca="1">COUNTIF(Tableau2[EXPIRE PERMIS T],1)</f>
        <v>0</v>
      </c>
      <c r="Z43" s="56">
        <f ca="1">COUNTIF(Tableau2[EXPIRE LICENCE],1)</f>
        <v>0</v>
      </c>
      <c r="AA43" s="56">
        <f ca="1">COUNTIF(Tableau2[EXPIRE EWIS],1)</f>
        <v>0</v>
      </c>
      <c r="AB43" s="64">
        <f ca="1">COUNTIF(Tableau2[EXPIRE HUMAN FACTOR],1)</f>
        <v>1</v>
      </c>
      <c r="AC43" s="64">
        <f ca="1">COUNTIF(Tableau2[[EXPIRE FUEL TANK FACTOR ]],1)</f>
        <v>1</v>
      </c>
      <c r="AD43" s="64">
        <f ca="1">COUNTIF(Tableau2[EXPIRE PEMP],1)</f>
        <v>1</v>
      </c>
      <c r="AE43" s="64">
        <f ca="1">COUNTIF(Tableau2[EXPIRE MEDECINE DU TRAVAIL],1)</f>
        <v>1</v>
      </c>
      <c r="AG43" s="35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</row>
    <row r="44" spans="20:63" s="9" customFormat="1">
      <c r="T44" s="14" t="s">
        <v>21</v>
      </c>
      <c r="U44" s="14">
        <f ca="1">SUM(X44:AA44)</f>
        <v>6</v>
      </c>
      <c r="V44" s="14"/>
      <c r="W44" s="14"/>
      <c r="X44" s="56">
        <f ca="1">COUNTIF(Tableau2[EXPIRE BADGE ROUGE],2)</f>
        <v>1</v>
      </c>
      <c r="Y44" s="56">
        <f ca="1">COUNTIF(Tableau2[EXPIRE PERMIS T],2)</f>
        <v>2</v>
      </c>
      <c r="Z44" s="56">
        <f ca="1">COUNTIF(Tableau2[EXPIRE LICENCE],2)</f>
        <v>1</v>
      </c>
      <c r="AA44" s="56">
        <f ca="1">COUNTIF(Tableau2[EXPIRE EWIS],2)</f>
        <v>2</v>
      </c>
      <c r="AB44" s="64">
        <f ca="1">COUNTIF(Tableau2[EXPIRE HUMAN FACTOR],2)</f>
        <v>1</v>
      </c>
      <c r="AC44" s="64">
        <f ca="1">COUNTIF(Tableau2[[EXPIRE FUEL TANK FACTOR ]],2)</f>
        <v>1</v>
      </c>
      <c r="AD44" s="64">
        <f ca="1">COUNTIF(Tableau2[EXPIRE PEMP],2)</f>
        <v>1</v>
      </c>
      <c r="AE44" s="64">
        <f ca="1">COUNTIF(Tableau2[EXPIRE MEDECINE DU TRAVAIL],2)</f>
        <v>1</v>
      </c>
      <c r="AG44" s="35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</row>
    <row r="45" spans="20:63" s="9" customFormat="1">
      <c r="T45" s="56"/>
      <c r="U45" s="56"/>
      <c r="V45" s="111"/>
      <c r="W45" s="121"/>
      <c r="Y45" s="56"/>
      <c r="AD45" s="56"/>
      <c r="AE45" s="56"/>
      <c r="AG45" s="35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</row>
    <row r="46" spans="20:63" s="9" customFormat="1">
      <c r="T46" s="56"/>
      <c r="U46" s="56"/>
      <c r="V46" s="111"/>
      <c r="W46" s="121"/>
      <c r="Y46" s="56"/>
      <c r="AD46" s="56"/>
      <c r="AE46" s="56"/>
      <c r="AG46" s="35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</row>
    <row r="47" spans="20:63" s="9" customFormat="1">
      <c r="T47" s="56"/>
      <c r="U47" s="56"/>
      <c r="V47" s="111"/>
      <c r="W47" s="121"/>
      <c r="Y47" s="56"/>
      <c r="AD47" s="56"/>
      <c r="AE47" s="56"/>
      <c r="AG47" s="35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</row>
    <row r="48" spans="20:63" s="9" customFormat="1">
      <c r="T48" s="56"/>
      <c r="U48" s="56"/>
      <c r="V48" s="111"/>
      <c r="W48" s="121"/>
      <c r="Y48" s="56"/>
      <c r="AD48" s="56"/>
      <c r="AE48" s="56"/>
      <c r="AG48" s="35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</row>
    <row r="49" spans="20:63" s="9" customFormat="1">
      <c r="T49" s="56"/>
      <c r="U49" s="56"/>
      <c r="V49" s="111"/>
      <c r="W49" s="121"/>
      <c r="Y49" s="56"/>
      <c r="AD49" s="56"/>
      <c r="AE49" s="56"/>
      <c r="AG49" s="35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</row>
    <row r="50" spans="20:63" s="9" customFormat="1">
      <c r="T50" s="56"/>
      <c r="U50" s="56"/>
      <c r="V50" s="111"/>
      <c r="W50" s="121"/>
      <c r="Y50" s="56"/>
      <c r="AD50" s="56"/>
      <c r="AE50" s="56"/>
      <c r="AG50" s="35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</row>
    <row r="51" spans="20:63" s="9" customFormat="1">
      <c r="T51" s="56"/>
      <c r="U51" s="56"/>
      <c r="V51" s="111"/>
      <c r="W51" s="121"/>
      <c r="Y51" s="56"/>
      <c r="AD51" s="56"/>
      <c r="AE51" s="56"/>
      <c r="AG51" s="35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</row>
    <row r="52" spans="20:63" s="9" customFormat="1">
      <c r="T52" s="56"/>
      <c r="U52" s="56"/>
      <c r="V52" s="111"/>
      <c r="W52" s="121"/>
      <c r="Y52" s="56"/>
      <c r="AD52" s="56"/>
      <c r="AE52" s="56"/>
      <c r="AG52" s="35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</row>
    <row r="53" spans="20:63" s="9" customFormat="1">
      <c r="T53" s="56"/>
      <c r="U53" s="56"/>
      <c r="V53" s="111"/>
      <c r="W53" s="121"/>
      <c r="Y53" s="56"/>
      <c r="AD53" s="56"/>
      <c r="AE53" s="56"/>
      <c r="AG53" s="35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</row>
    <row r="54" spans="20:63" s="9" customFormat="1">
      <c r="T54" s="56"/>
      <c r="U54" s="56"/>
      <c r="V54" s="111"/>
      <c r="W54" s="121"/>
      <c r="Y54" s="56"/>
      <c r="AD54" s="56"/>
      <c r="AE54" s="56"/>
      <c r="AG54" s="35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</row>
    <row r="55" spans="20:63" s="9" customFormat="1">
      <c r="T55" s="56"/>
      <c r="U55" s="56"/>
      <c r="V55" s="111"/>
      <c r="W55" s="121"/>
      <c r="Y55" s="56"/>
      <c r="AD55" s="56"/>
      <c r="AE55" s="56"/>
      <c r="AG55" s="35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</row>
    <row r="56" spans="20:63" s="9" customFormat="1">
      <c r="T56" s="56"/>
      <c r="U56" s="56"/>
      <c r="V56" s="111"/>
      <c r="W56" s="121"/>
      <c r="Y56" s="56"/>
      <c r="AD56" s="56"/>
      <c r="AE56" s="56"/>
      <c r="AG56" s="35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</row>
    <row r="57" spans="20:63" s="9" customFormat="1">
      <c r="T57" s="56"/>
      <c r="U57" s="56"/>
      <c r="V57" s="111"/>
      <c r="W57" s="121"/>
      <c r="Y57" s="56"/>
      <c r="AD57" s="56"/>
      <c r="AE57" s="56"/>
      <c r="AG57" s="35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</row>
    <row r="58" spans="20:63" s="9" customFormat="1">
      <c r="T58" s="56"/>
      <c r="U58" s="56"/>
      <c r="V58" s="111"/>
      <c r="W58" s="121"/>
      <c r="Y58" s="56"/>
      <c r="AD58" s="56"/>
      <c r="AE58" s="56"/>
      <c r="AG58" s="35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</row>
    <row r="59" spans="20:63" s="9" customFormat="1">
      <c r="T59" s="56"/>
      <c r="U59" s="56"/>
      <c r="V59" s="111"/>
      <c r="W59" s="121"/>
      <c r="Y59" s="56"/>
      <c r="AD59" s="56"/>
      <c r="AE59" s="56"/>
      <c r="AG59" s="35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</row>
    <row r="60" spans="20:63" s="9" customFormat="1">
      <c r="T60" s="56"/>
      <c r="U60" s="56"/>
      <c r="V60" s="111"/>
      <c r="W60" s="121"/>
      <c r="Y60" s="56"/>
      <c r="AD60" s="56"/>
      <c r="AE60" s="56"/>
      <c r="AG60" s="35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</row>
    <row r="61" spans="20:63" s="9" customFormat="1">
      <c r="T61" s="56"/>
      <c r="U61" s="56"/>
      <c r="V61" s="111"/>
      <c r="W61" s="121"/>
      <c r="Y61" s="56"/>
      <c r="AD61" s="56"/>
      <c r="AE61" s="56"/>
      <c r="AG61" s="35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</row>
    <row r="62" spans="20:63" s="9" customFormat="1">
      <c r="T62" s="56"/>
      <c r="U62" s="56"/>
      <c r="V62" s="111"/>
      <c r="W62" s="121"/>
      <c r="Y62" s="56"/>
      <c r="AD62" s="56"/>
      <c r="AE62" s="56"/>
      <c r="AG62" s="35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</row>
    <row r="63" spans="20:63" s="9" customFormat="1">
      <c r="T63" s="56"/>
      <c r="U63" s="56"/>
      <c r="V63" s="111"/>
      <c r="W63" s="121"/>
      <c r="Y63" s="56"/>
      <c r="AD63" s="56"/>
      <c r="AE63" s="56"/>
      <c r="AG63" s="35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</row>
    <row r="64" spans="20:63" s="9" customFormat="1">
      <c r="T64" s="56"/>
      <c r="U64" s="56"/>
      <c r="V64" s="111"/>
      <c r="W64" s="121"/>
      <c r="Y64" s="56"/>
      <c r="AD64" s="56"/>
      <c r="AE64" s="56"/>
      <c r="AG64" s="35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</row>
    <row r="65" spans="20:63" s="9" customFormat="1">
      <c r="T65" s="56"/>
      <c r="U65" s="56"/>
      <c r="V65" s="111"/>
      <c r="W65" s="121"/>
      <c r="Y65" s="56"/>
      <c r="AD65" s="56"/>
      <c r="AE65" s="56"/>
      <c r="AG65" s="35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</row>
    <row r="66" spans="20:63" s="9" customFormat="1">
      <c r="T66" s="56"/>
      <c r="U66" s="56"/>
      <c r="V66" s="111"/>
      <c r="W66" s="121"/>
      <c r="Y66" s="56"/>
      <c r="AD66" s="56"/>
      <c r="AE66" s="56"/>
      <c r="AG66" s="35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</row>
    <row r="67" spans="20:63" s="9" customFormat="1">
      <c r="T67" s="56"/>
      <c r="U67" s="56"/>
      <c r="V67" s="111"/>
      <c r="W67" s="121"/>
      <c r="Y67" s="56"/>
      <c r="AD67" s="56"/>
      <c r="AE67" s="56"/>
      <c r="AG67" s="35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</row>
    <row r="68" spans="20:63" s="9" customFormat="1">
      <c r="T68" s="56"/>
      <c r="U68" s="56"/>
      <c r="V68" s="111"/>
      <c r="W68" s="121"/>
      <c r="Y68" s="56"/>
      <c r="AD68" s="56"/>
      <c r="AE68" s="56"/>
      <c r="AG68" s="35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</row>
    <row r="69" spans="20:63" s="9" customFormat="1">
      <c r="T69" s="56"/>
      <c r="U69" s="56"/>
      <c r="V69" s="111"/>
      <c r="W69" s="121"/>
      <c r="Y69" s="56"/>
      <c r="AD69" s="56"/>
      <c r="AE69" s="56"/>
      <c r="AG69" s="35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</row>
    <row r="70" spans="20:63" s="9" customFormat="1">
      <c r="T70" s="56"/>
      <c r="U70" s="56"/>
      <c r="V70" s="111"/>
      <c r="W70" s="121"/>
      <c r="Y70" s="56"/>
      <c r="AD70" s="56"/>
      <c r="AE70" s="56"/>
      <c r="AG70" s="35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</row>
    <row r="71" spans="20:63" s="9" customFormat="1">
      <c r="T71" s="56"/>
      <c r="U71" s="56"/>
      <c r="V71" s="111"/>
      <c r="W71" s="121"/>
      <c r="Y71" s="56"/>
      <c r="AD71" s="56"/>
      <c r="AE71" s="56"/>
      <c r="AG71" s="35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</row>
    <row r="72" spans="20:63" s="9" customFormat="1">
      <c r="T72" s="56"/>
      <c r="U72" s="56"/>
      <c r="V72" s="111"/>
      <c r="W72" s="121"/>
      <c r="Y72" s="56"/>
      <c r="AD72" s="56"/>
      <c r="AE72" s="56"/>
      <c r="AG72" s="35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</row>
    <row r="73" spans="20:63" s="9" customFormat="1">
      <c r="T73" s="56"/>
      <c r="U73" s="56"/>
      <c r="V73" s="111"/>
      <c r="W73" s="121"/>
      <c r="Y73" s="56"/>
      <c r="AD73" s="56"/>
      <c r="AE73" s="56"/>
      <c r="AG73" s="35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</row>
    <row r="74" spans="20:63" s="9" customFormat="1">
      <c r="T74" s="56"/>
      <c r="U74" s="56"/>
      <c r="V74" s="111"/>
      <c r="W74" s="121"/>
      <c r="Y74" s="56"/>
      <c r="AD74" s="56"/>
      <c r="AE74" s="56"/>
      <c r="AG74" s="35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</row>
    <row r="75" spans="20:63" s="9" customFormat="1">
      <c r="T75" s="56"/>
      <c r="U75" s="56"/>
      <c r="V75" s="111"/>
      <c r="W75" s="121"/>
      <c r="Y75" s="56"/>
      <c r="AD75" s="56"/>
      <c r="AE75" s="56"/>
      <c r="AG75" s="35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7"/>
      <c r="AV75" s="27"/>
      <c r="AW75" s="27"/>
      <c r="AX75" s="27"/>
      <c r="AY75" s="27"/>
      <c r="AZ75" s="27"/>
      <c r="BA75" s="27"/>
      <c r="BB75" s="27"/>
      <c r="BC75" s="27"/>
      <c r="BD75" s="27"/>
      <c r="BE75" s="27"/>
      <c r="BF75" s="27"/>
      <c r="BG75" s="27"/>
      <c r="BH75" s="27"/>
      <c r="BI75" s="27"/>
      <c r="BJ75" s="27"/>
      <c r="BK75" s="27"/>
    </row>
    <row r="76" spans="20:63" s="9" customFormat="1">
      <c r="T76" s="56"/>
      <c r="U76" s="56"/>
      <c r="V76" s="111"/>
      <c r="W76" s="121"/>
      <c r="Y76" s="56"/>
      <c r="AD76" s="56"/>
      <c r="AE76" s="56"/>
      <c r="AG76" s="35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/>
      <c r="BC76" s="27"/>
      <c r="BD76" s="27"/>
      <c r="BE76" s="27"/>
      <c r="BF76" s="27"/>
      <c r="BG76" s="27"/>
      <c r="BH76" s="27"/>
      <c r="BI76" s="27"/>
      <c r="BJ76" s="27"/>
      <c r="BK76" s="27"/>
    </row>
    <row r="77" spans="20:63" s="9" customFormat="1">
      <c r="T77" s="56"/>
      <c r="U77" s="56"/>
      <c r="V77" s="111"/>
      <c r="W77" s="121"/>
      <c r="Y77" s="56"/>
      <c r="AD77" s="56"/>
      <c r="AE77" s="56"/>
      <c r="AG77" s="35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  <c r="AU77" s="27"/>
      <c r="AV77" s="27"/>
      <c r="AW77" s="27"/>
      <c r="AX77" s="27"/>
      <c r="AY77" s="27"/>
      <c r="AZ77" s="27"/>
      <c r="BA77" s="27"/>
      <c r="BB77" s="27"/>
      <c r="BC77" s="27"/>
      <c r="BD77" s="27"/>
      <c r="BE77" s="27"/>
      <c r="BF77" s="27"/>
      <c r="BG77" s="27"/>
      <c r="BH77" s="27"/>
      <c r="BI77" s="27"/>
      <c r="BJ77" s="27"/>
      <c r="BK77" s="27"/>
    </row>
    <row r="78" spans="20:63" s="9" customFormat="1">
      <c r="T78" s="56"/>
      <c r="U78" s="56"/>
      <c r="V78" s="111"/>
      <c r="W78" s="121"/>
      <c r="Y78" s="56"/>
      <c r="AD78" s="56"/>
      <c r="AE78" s="56"/>
      <c r="AG78" s="35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  <c r="AU78" s="27"/>
      <c r="AV78" s="27"/>
      <c r="AW78" s="27"/>
      <c r="AX78" s="27"/>
      <c r="AY78" s="27"/>
      <c r="AZ78" s="27"/>
      <c r="BA78" s="27"/>
      <c r="BB78" s="27"/>
      <c r="BC78" s="27"/>
      <c r="BD78" s="27"/>
      <c r="BE78" s="27"/>
      <c r="BF78" s="27"/>
      <c r="BG78" s="27"/>
      <c r="BH78" s="27"/>
      <c r="BI78" s="27"/>
      <c r="BJ78" s="27"/>
      <c r="BK78" s="27"/>
    </row>
    <row r="79" spans="20:63" s="9" customFormat="1">
      <c r="T79" s="56"/>
      <c r="U79" s="56"/>
      <c r="V79" s="111"/>
      <c r="W79" s="121"/>
      <c r="Y79" s="56"/>
      <c r="AD79" s="56"/>
      <c r="AE79" s="56"/>
      <c r="AG79" s="35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K79" s="27"/>
    </row>
    <row r="80" spans="20:63" s="9" customFormat="1">
      <c r="T80" s="56"/>
      <c r="U80" s="56"/>
      <c r="V80" s="111"/>
      <c r="W80" s="121"/>
      <c r="Y80" s="56"/>
      <c r="AD80" s="56"/>
      <c r="AE80" s="56"/>
      <c r="AG80" s="35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  <c r="AU80" s="27"/>
      <c r="AV80" s="27"/>
      <c r="AW80" s="27"/>
      <c r="AX80" s="27"/>
      <c r="AY80" s="27"/>
      <c r="AZ80" s="27"/>
      <c r="BA80" s="27"/>
      <c r="BB80" s="27"/>
      <c r="BC80" s="27"/>
      <c r="BD80" s="27"/>
      <c r="BE80" s="27"/>
      <c r="BF80" s="27"/>
      <c r="BG80" s="27"/>
      <c r="BH80" s="27"/>
      <c r="BI80" s="27"/>
      <c r="BJ80" s="27"/>
      <c r="BK80" s="27"/>
    </row>
    <row r="81" spans="20:63" s="9" customFormat="1">
      <c r="T81" s="56"/>
      <c r="U81" s="56"/>
      <c r="V81" s="111"/>
      <c r="W81" s="121"/>
      <c r="Y81" s="56"/>
      <c r="AD81" s="56"/>
      <c r="AE81" s="56"/>
      <c r="AG81" s="35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  <c r="AU81" s="27"/>
      <c r="AV81" s="27"/>
      <c r="AW81" s="27"/>
      <c r="AX81" s="27"/>
      <c r="AY81" s="27"/>
      <c r="AZ81" s="27"/>
      <c r="BA81" s="27"/>
      <c r="BB81" s="27"/>
      <c r="BC81" s="27"/>
      <c r="BD81" s="27"/>
      <c r="BE81" s="27"/>
      <c r="BF81" s="27"/>
      <c r="BG81" s="27"/>
      <c r="BH81" s="27"/>
      <c r="BI81" s="27"/>
      <c r="BJ81" s="27"/>
      <c r="BK81" s="27"/>
    </row>
    <row r="82" spans="20:63" s="9" customFormat="1">
      <c r="T82" s="56"/>
      <c r="U82" s="56"/>
      <c r="V82" s="111"/>
      <c r="W82" s="121"/>
      <c r="Y82" s="56"/>
      <c r="AD82" s="56"/>
      <c r="AE82" s="56"/>
      <c r="AG82" s="35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  <c r="AU82" s="27"/>
      <c r="AV82" s="27"/>
      <c r="AW82" s="27"/>
      <c r="AX82" s="27"/>
      <c r="AY82" s="27"/>
      <c r="AZ82" s="27"/>
      <c r="BA82" s="27"/>
      <c r="BB82" s="27"/>
      <c r="BC82" s="27"/>
      <c r="BD82" s="27"/>
      <c r="BE82" s="27"/>
      <c r="BF82" s="27"/>
      <c r="BG82" s="27"/>
      <c r="BH82" s="27"/>
      <c r="BI82" s="27"/>
      <c r="BJ82" s="27"/>
      <c r="BK82" s="27"/>
    </row>
    <row r="83" spans="20:63" s="9" customFormat="1">
      <c r="T83" s="56"/>
      <c r="U83" s="56"/>
      <c r="V83" s="111"/>
      <c r="W83" s="121"/>
      <c r="Y83" s="56"/>
      <c r="AD83" s="56"/>
      <c r="AE83" s="56"/>
      <c r="AG83" s="35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7"/>
      <c r="AV83" s="27"/>
      <c r="AW83" s="27"/>
      <c r="AX83" s="27"/>
      <c r="AY83" s="27"/>
      <c r="AZ83" s="27"/>
      <c r="BA83" s="27"/>
      <c r="BB83" s="27"/>
      <c r="BC83" s="27"/>
      <c r="BD83" s="27"/>
      <c r="BE83" s="27"/>
      <c r="BF83" s="27"/>
      <c r="BG83" s="27"/>
      <c r="BH83" s="27"/>
      <c r="BI83" s="27"/>
      <c r="BJ83" s="27"/>
      <c r="BK83" s="27"/>
    </row>
    <row r="84" spans="20:63" s="9" customFormat="1">
      <c r="T84" s="56"/>
      <c r="U84" s="56"/>
      <c r="V84" s="111"/>
      <c r="W84" s="121"/>
      <c r="Y84" s="56"/>
      <c r="AD84" s="56"/>
      <c r="AE84" s="56"/>
      <c r="AG84" s="35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  <c r="AU84" s="27"/>
      <c r="AV84" s="27"/>
      <c r="AW84" s="27"/>
      <c r="AX84" s="27"/>
      <c r="AY84" s="27"/>
      <c r="AZ84" s="27"/>
      <c r="BA84" s="27"/>
      <c r="BB84" s="27"/>
      <c r="BC84" s="27"/>
      <c r="BD84" s="27"/>
      <c r="BE84" s="27"/>
      <c r="BF84" s="27"/>
      <c r="BG84" s="27"/>
      <c r="BH84" s="27"/>
      <c r="BI84" s="27"/>
      <c r="BJ84" s="27"/>
      <c r="BK84" s="27"/>
    </row>
    <row r="85" spans="20:63" s="9" customFormat="1">
      <c r="T85" s="56"/>
      <c r="U85" s="56"/>
      <c r="V85" s="111"/>
      <c r="W85" s="121"/>
      <c r="Y85" s="56"/>
      <c r="AD85" s="56"/>
      <c r="AE85" s="56"/>
      <c r="AG85" s="35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7"/>
      <c r="AV85" s="27"/>
      <c r="AW85" s="27"/>
      <c r="AX85" s="27"/>
      <c r="AY85" s="27"/>
      <c r="AZ85" s="27"/>
      <c r="BA85" s="27"/>
      <c r="BB85" s="27"/>
      <c r="BC85" s="27"/>
      <c r="BD85" s="27"/>
      <c r="BE85" s="27"/>
      <c r="BF85" s="27"/>
      <c r="BG85" s="27"/>
      <c r="BH85" s="27"/>
      <c r="BI85" s="27"/>
      <c r="BJ85" s="27"/>
      <c r="BK85" s="27"/>
    </row>
    <row r="86" spans="20:63" s="9" customFormat="1">
      <c r="T86" s="56"/>
      <c r="U86" s="56"/>
      <c r="V86" s="111"/>
      <c r="W86" s="121"/>
      <c r="Y86" s="56"/>
      <c r="AD86" s="56"/>
      <c r="AE86" s="56"/>
      <c r="AG86" s="35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</row>
    <row r="87" spans="20:63" s="9" customFormat="1">
      <c r="T87" s="56"/>
      <c r="U87" s="56"/>
      <c r="V87" s="111"/>
      <c r="W87" s="121"/>
      <c r="Y87" s="56"/>
      <c r="AD87" s="56"/>
      <c r="AE87" s="56"/>
      <c r="AG87" s="35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7"/>
      <c r="BH87" s="27"/>
      <c r="BI87" s="27"/>
      <c r="BJ87" s="27"/>
      <c r="BK87" s="27"/>
    </row>
    <row r="88" spans="20:63" s="9" customFormat="1">
      <c r="T88" s="56"/>
      <c r="U88" s="56"/>
      <c r="V88" s="111"/>
      <c r="W88" s="121"/>
      <c r="Y88" s="56"/>
      <c r="AD88" s="56"/>
      <c r="AE88" s="56"/>
      <c r="AG88" s="35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  <c r="AU88" s="27"/>
      <c r="AV88" s="27"/>
      <c r="AW88" s="27"/>
      <c r="AX88" s="27"/>
      <c r="AY88" s="27"/>
      <c r="AZ88" s="27"/>
      <c r="BA88" s="27"/>
      <c r="BB88" s="27"/>
      <c r="BC88" s="27"/>
      <c r="BD88" s="27"/>
      <c r="BE88" s="27"/>
      <c r="BF88" s="27"/>
      <c r="BG88" s="27"/>
      <c r="BH88" s="27"/>
      <c r="BI88" s="27"/>
      <c r="BJ88" s="27"/>
      <c r="BK88" s="27"/>
    </row>
    <row r="89" spans="20:63" s="9" customFormat="1">
      <c r="T89" s="56"/>
      <c r="U89" s="56"/>
      <c r="V89" s="111"/>
      <c r="W89" s="121"/>
      <c r="Y89" s="56"/>
      <c r="AD89" s="56"/>
      <c r="AE89" s="56"/>
      <c r="AG89" s="35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  <c r="AU89" s="27"/>
      <c r="AV89" s="27"/>
      <c r="AW89" s="27"/>
      <c r="AX89" s="27"/>
      <c r="AY89" s="27"/>
      <c r="AZ89" s="27"/>
      <c r="BA89" s="27"/>
      <c r="BB89" s="27"/>
      <c r="BC89" s="27"/>
      <c r="BD89" s="27"/>
      <c r="BE89" s="27"/>
      <c r="BF89" s="27"/>
      <c r="BG89" s="27"/>
      <c r="BH89" s="27"/>
      <c r="BI89" s="27"/>
      <c r="BJ89" s="27"/>
      <c r="BK89" s="27"/>
    </row>
    <row r="90" spans="20:63" s="9" customFormat="1">
      <c r="T90" s="56"/>
      <c r="U90" s="56"/>
      <c r="V90" s="111"/>
      <c r="W90" s="121"/>
      <c r="Y90" s="56"/>
      <c r="AD90" s="56"/>
      <c r="AE90" s="56"/>
      <c r="AG90" s="35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  <c r="AU90" s="27"/>
      <c r="AV90" s="27"/>
      <c r="AW90" s="27"/>
      <c r="AX90" s="27"/>
      <c r="AY90" s="27"/>
      <c r="AZ90" s="27"/>
      <c r="BA90" s="27"/>
      <c r="BB90" s="27"/>
      <c r="BC90" s="27"/>
      <c r="BD90" s="27"/>
      <c r="BE90" s="27"/>
      <c r="BF90" s="27"/>
      <c r="BG90" s="27"/>
      <c r="BH90" s="27"/>
      <c r="BI90" s="27"/>
      <c r="BJ90" s="27"/>
      <c r="BK90" s="27"/>
    </row>
    <row r="91" spans="20:63" s="9" customFormat="1">
      <c r="T91" s="56"/>
      <c r="U91" s="56"/>
      <c r="V91" s="111"/>
      <c r="W91" s="121"/>
      <c r="Y91" s="56"/>
      <c r="AD91" s="56"/>
      <c r="AE91" s="56"/>
      <c r="AG91" s="35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7"/>
      <c r="AV91" s="27"/>
      <c r="AW91" s="27"/>
      <c r="AX91" s="27"/>
      <c r="AY91" s="27"/>
      <c r="AZ91" s="27"/>
      <c r="BA91" s="27"/>
      <c r="BB91" s="27"/>
      <c r="BC91" s="27"/>
      <c r="BD91" s="27"/>
      <c r="BE91" s="27"/>
      <c r="BF91" s="27"/>
      <c r="BG91" s="27"/>
      <c r="BH91" s="27"/>
      <c r="BI91" s="27"/>
      <c r="BJ91" s="27"/>
      <c r="BK91" s="27"/>
    </row>
    <row r="92" spans="20:63" s="9" customFormat="1">
      <c r="T92" s="56"/>
      <c r="U92" s="56"/>
      <c r="V92" s="111"/>
      <c r="W92" s="121"/>
      <c r="Y92" s="56"/>
      <c r="AD92" s="56"/>
      <c r="AE92" s="56"/>
      <c r="AG92" s="35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  <c r="AU92" s="27"/>
      <c r="AV92" s="27"/>
      <c r="AW92" s="27"/>
      <c r="AX92" s="27"/>
      <c r="AY92" s="27"/>
      <c r="AZ92" s="27"/>
      <c r="BA92" s="27"/>
      <c r="BB92" s="27"/>
      <c r="BC92" s="27"/>
      <c r="BD92" s="27"/>
      <c r="BE92" s="27"/>
      <c r="BF92" s="27"/>
      <c r="BG92" s="27"/>
      <c r="BH92" s="27"/>
      <c r="BI92" s="27"/>
      <c r="BJ92" s="27"/>
      <c r="BK92" s="27"/>
    </row>
    <row r="93" spans="20:63" s="9" customFormat="1">
      <c r="T93" s="56"/>
      <c r="U93" s="56"/>
      <c r="V93" s="111"/>
      <c r="W93" s="121"/>
      <c r="Y93" s="56"/>
      <c r="AD93" s="56"/>
      <c r="AE93" s="56"/>
      <c r="AG93" s="35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7"/>
      <c r="AV93" s="27"/>
      <c r="AW93" s="27"/>
      <c r="AX93" s="27"/>
      <c r="AY93" s="27"/>
      <c r="AZ93" s="27"/>
      <c r="BA93" s="27"/>
      <c r="BB93" s="27"/>
      <c r="BC93" s="27"/>
      <c r="BD93" s="27"/>
      <c r="BE93" s="27"/>
      <c r="BF93" s="27"/>
      <c r="BG93" s="27"/>
      <c r="BH93" s="27"/>
      <c r="BI93" s="27"/>
      <c r="BJ93" s="27"/>
      <c r="BK93" s="27"/>
    </row>
    <row r="94" spans="20:63" s="9" customFormat="1">
      <c r="T94" s="56"/>
      <c r="U94" s="56"/>
      <c r="V94" s="111"/>
      <c r="W94" s="121"/>
      <c r="Y94" s="56"/>
      <c r="AD94" s="56"/>
      <c r="AE94" s="56"/>
      <c r="AG94" s="35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/>
      <c r="BH94" s="27"/>
      <c r="BI94" s="27"/>
      <c r="BJ94" s="27"/>
      <c r="BK94" s="27"/>
    </row>
    <row r="95" spans="20:63" s="9" customFormat="1">
      <c r="T95" s="56"/>
      <c r="U95" s="56"/>
      <c r="V95" s="111"/>
      <c r="W95" s="121"/>
      <c r="Y95" s="56"/>
      <c r="AD95" s="56"/>
      <c r="AE95" s="56"/>
      <c r="AG95" s="35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27"/>
      <c r="BC95" s="27"/>
      <c r="BD95" s="27"/>
      <c r="BE95" s="27"/>
      <c r="BF95" s="27"/>
      <c r="BG95" s="27"/>
      <c r="BH95" s="27"/>
      <c r="BI95" s="27"/>
      <c r="BJ95" s="27"/>
      <c r="BK95" s="27"/>
    </row>
    <row r="96" spans="20:63" s="9" customFormat="1">
      <c r="T96" s="56"/>
      <c r="U96" s="56"/>
      <c r="V96" s="111"/>
      <c r="W96" s="121"/>
      <c r="Y96" s="56"/>
      <c r="AD96" s="56"/>
      <c r="AE96" s="56"/>
      <c r="AG96" s="35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  <c r="AU96" s="27"/>
      <c r="AV96" s="27"/>
      <c r="AW96" s="27"/>
      <c r="AX96" s="27"/>
      <c r="AY96" s="27"/>
      <c r="AZ96" s="27"/>
      <c r="BA96" s="27"/>
      <c r="BB96" s="27"/>
      <c r="BC96" s="27"/>
      <c r="BD96" s="27"/>
      <c r="BE96" s="27"/>
      <c r="BF96" s="27"/>
      <c r="BG96" s="27"/>
      <c r="BH96" s="27"/>
      <c r="BI96" s="27"/>
      <c r="BJ96" s="27"/>
      <c r="BK96" s="27"/>
    </row>
    <row r="97" spans="20:63" s="9" customFormat="1">
      <c r="T97" s="56"/>
      <c r="U97" s="56"/>
      <c r="V97" s="111"/>
      <c r="W97" s="121"/>
      <c r="Y97" s="56"/>
      <c r="AD97" s="56"/>
      <c r="AE97" s="56"/>
      <c r="AG97" s="35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  <c r="AV97" s="27"/>
      <c r="AW97" s="27"/>
      <c r="AX97" s="27"/>
      <c r="AY97" s="27"/>
      <c r="AZ97" s="27"/>
      <c r="BA97" s="27"/>
      <c r="BB97" s="27"/>
      <c r="BC97" s="27"/>
      <c r="BD97" s="27"/>
      <c r="BE97" s="27"/>
      <c r="BF97" s="27"/>
      <c r="BG97" s="27"/>
      <c r="BH97" s="27"/>
      <c r="BI97" s="27"/>
      <c r="BJ97" s="27"/>
      <c r="BK97" s="27"/>
    </row>
    <row r="98" spans="20:63" s="9" customFormat="1">
      <c r="T98" s="56"/>
      <c r="U98" s="56"/>
      <c r="V98" s="111"/>
      <c r="W98" s="121"/>
      <c r="Y98" s="56"/>
      <c r="AD98" s="56"/>
      <c r="AE98" s="56"/>
      <c r="AG98" s="35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7"/>
      <c r="AV98" s="27"/>
      <c r="AW98" s="27"/>
      <c r="AX98" s="27"/>
      <c r="AY98" s="27"/>
      <c r="AZ98" s="27"/>
      <c r="BA98" s="27"/>
      <c r="BB98" s="27"/>
      <c r="BC98" s="27"/>
      <c r="BD98" s="27"/>
      <c r="BE98" s="27"/>
      <c r="BF98" s="27"/>
      <c r="BG98" s="27"/>
      <c r="BH98" s="27"/>
      <c r="BI98" s="27"/>
      <c r="BJ98" s="27"/>
      <c r="BK98" s="27"/>
    </row>
    <row r="99" spans="20:63" s="9" customFormat="1">
      <c r="T99" s="56"/>
      <c r="U99" s="56"/>
      <c r="V99" s="111"/>
      <c r="W99" s="121"/>
      <c r="Y99" s="56"/>
      <c r="AD99" s="56"/>
      <c r="AE99" s="56"/>
      <c r="AG99" s="35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7"/>
      <c r="AV99" s="27"/>
      <c r="AW99" s="27"/>
      <c r="AX99" s="27"/>
      <c r="AY99" s="27"/>
      <c r="AZ99" s="27"/>
      <c r="BA99" s="27"/>
      <c r="BB99" s="27"/>
      <c r="BC99" s="27"/>
      <c r="BD99" s="27"/>
      <c r="BE99" s="27"/>
      <c r="BF99" s="27"/>
      <c r="BG99" s="27"/>
      <c r="BH99" s="27"/>
      <c r="BI99" s="27"/>
      <c r="BJ99" s="27"/>
      <c r="BK99" s="27"/>
    </row>
    <row r="100" spans="20:63" s="9" customFormat="1">
      <c r="T100" s="56"/>
      <c r="U100" s="56"/>
      <c r="V100" s="111"/>
      <c r="W100" s="121"/>
      <c r="Y100" s="56"/>
      <c r="AD100" s="56"/>
      <c r="AE100" s="56"/>
      <c r="AG100" s="35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7"/>
      <c r="AV100" s="27"/>
      <c r="AW100" s="27"/>
      <c r="AX100" s="27"/>
      <c r="AY100" s="27"/>
      <c r="AZ100" s="27"/>
      <c r="BA100" s="27"/>
      <c r="BB100" s="27"/>
      <c r="BC100" s="27"/>
      <c r="BD100" s="27"/>
      <c r="BE100" s="27"/>
      <c r="BF100" s="27"/>
      <c r="BG100" s="27"/>
      <c r="BH100" s="27"/>
      <c r="BI100" s="27"/>
      <c r="BJ100" s="27"/>
      <c r="BK100" s="27"/>
    </row>
    <row r="101" spans="20:63" s="9" customFormat="1">
      <c r="T101" s="56"/>
      <c r="U101" s="56"/>
      <c r="V101" s="111"/>
      <c r="W101" s="121"/>
      <c r="Y101" s="56"/>
      <c r="AD101" s="56"/>
      <c r="AE101" s="56"/>
      <c r="AG101" s="35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  <c r="AU101" s="27"/>
      <c r="AV101" s="27"/>
      <c r="AW101" s="27"/>
      <c r="AX101" s="27"/>
      <c r="AY101" s="27"/>
      <c r="AZ101" s="27"/>
      <c r="BA101" s="27"/>
      <c r="BB101" s="27"/>
      <c r="BC101" s="27"/>
      <c r="BD101" s="27"/>
      <c r="BE101" s="27"/>
      <c r="BF101" s="27"/>
      <c r="BG101" s="27"/>
      <c r="BH101" s="27"/>
      <c r="BI101" s="27"/>
      <c r="BJ101" s="27"/>
      <c r="BK101" s="27"/>
    </row>
    <row r="102" spans="20:63" s="9" customFormat="1">
      <c r="T102" s="56"/>
      <c r="U102" s="56"/>
      <c r="V102" s="111"/>
      <c r="W102" s="121"/>
      <c r="Y102" s="56"/>
      <c r="AD102" s="56"/>
      <c r="AE102" s="56"/>
      <c r="AG102" s="35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27"/>
      <c r="AT102" s="27"/>
      <c r="AU102" s="27"/>
      <c r="AV102" s="27"/>
      <c r="AW102" s="27"/>
      <c r="AX102" s="27"/>
      <c r="AY102" s="27"/>
      <c r="AZ102" s="27"/>
      <c r="BA102" s="27"/>
      <c r="BB102" s="27"/>
      <c r="BC102" s="27"/>
      <c r="BD102" s="27"/>
      <c r="BE102" s="27"/>
      <c r="BF102" s="27"/>
      <c r="BG102" s="27"/>
      <c r="BH102" s="27"/>
      <c r="BI102" s="27"/>
      <c r="BJ102" s="27"/>
      <c r="BK102" s="27"/>
    </row>
    <row r="103" spans="20:63" s="9" customFormat="1">
      <c r="T103" s="56"/>
      <c r="U103" s="56"/>
      <c r="V103" s="111"/>
      <c r="W103" s="121"/>
      <c r="Y103" s="56"/>
      <c r="AD103" s="56"/>
      <c r="AE103" s="56"/>
      <c r="AG103" s="35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</row>
    <row r="104" spans="20:63" s="9" customFormat="1">
      <c r="T104" s="56"/>
      <c r="U104" s="56"/>
      <c r="V104" s="111"/>
      <c r="W104" s="121"/>
      <c r="Y104" s="56"/>
      <c r="AD104" s="56"/>
      <c r="AE104" s="56"/>
      <c r="AG104" s="35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27"/>
      <c r="AT104" s="27"/>
      <c r="AU104" s="27"/>
      <c r="AV104" s="27"/>
      <c r="AW104" s="27"/>
      <c r="AX104" s="27"/>
      <c r="AY104" s="27"/>
      <c r="AZ104" s="27"/>
      <c r="BA104" s="27"/>
      <c r="BB104" s="27"/>
      <c r="BC104" s="27"/>
      <c r="BD104" s="27"/>
      <c r="BE104" s="27"/>
      <c r="BF104" s="27"/>
      <c r="BG104" s="27"/>
      <c r="BH104" s="27"/>
      <c r="BI104" s="27"/>
      <c r="BJ104" s="27"/>
      <c r="BK104" s="27"/>
    </row>
    <row r="105" spans="20:63" s="9" customFormat="1">
      <c r="T105" s="56"/>
      <c r="U105" s="56"/>
      <c r="V105" s="111"/>
      <c r="W105" s="121"/>
      <c r="Y105" s="56"/>
      <c r="AD105" s="56"/>
      <c r="AE105" s="56"/>
      <c r="AG105" s="35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  <c r="AU105" s="27"/>
      <c r="AV105" s="27"/>
      <c r="AW105" s="27"/>
      <c r="AX105" s="27"/>
      <c r="AY105" s="27"/>
      <c r="AZ105" s="27"/>
      <c r="BA105" s="27"/>
      <c r="BB105" s="27"/>
      <c r="BC105" s="27"/>
      <c r="BD105" s="27"/>
      <c r="BE105" s="27"/>
      <c r="BF105" s="27"/>
      <c r="BG105" s="27"/>
      <c r="BH105" s="27"/>
      <c r="BI105" s="27"/>
      <c r="BJ105" s="27"/>
      <c r="BK105" s="27"/>
    </row>
    <row r="106" spans="20:63" s="9" customFormat="1">
      <c r="T106" s="56"/>
      <c r="U106" s="56"/>
      <c r="V106" s="111"/>
      <c r="W106" s="121"/>
      <c r="Y106" s="56"/>
      <c r="AD106" s="56"/>
      <c r="AE106" s="56"/>
      <c r="AG106" s="35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27"/>
      <c r="AT106" s="27"/>
      <c r="AU106" s="27"/>
      <c r="AV106" s="27"/>
      <c r="AW106" s="27"/>
      <c r="AX106" s="27"/>
      <c r="AY106" s="27"/>
      <c r="AZ106" s="27"/>
      <c r="BA106" s="27"/>
      <c r="BB106" s="27"/>
      <c r="BC106" s="27"/>
      <c r="BD106" s="27"/>
      <c r="BE106" s="27"/>
      <c r="BF106" s="27"/>
      <c r="BG106" s="27"/>
      <c r="BH106" s="27"/>
      <c r="BI106" s="27"/>
      <c r="BJ106" s="27"/>
      <c r="BK106" s="27"/>
    </row>
    <row r="107" spans="20:63" s="9" customFormat="1">
      <c r="T107" s="56"/>
      <c r="U107" s="56"/>
      <c r="V107" s="111"/>
      <c r="W107" s="121"/>
      <c r="Y107" s="56"/>
      <c r="AD107" s="56"/>
      <c r="AE107" s="56"/>
      <c r="AG107" s="35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27"/>
      <c r="AT107" s="27"/>
      <c r="AU107" s="27"/>
      <c r="AV107" s="27"/>
      <c r="AW107" s="27"/>
      <c r="AX107" s="27"/>
      <c r="AY107" s="27"/>
      <c r="AZ107" s="27"/>
      <c r="BA107" s="27"/>
      <c r="BB107" s="27"/>
      <c r="BC107" s="27"/>
      <c r="BD107" s="27"/>
      <c r="BE107" s="27"/>
      <c r="BF107" s="27"/>
      <c r="BG107" s="27"/>
      <c r="BH107" s="27"/>
      <c r="BI107" s="27"/>
      <c r="BJ107" s="27"/>
      <c r="BK107" s="27"/>
    </row>
    <row r="108" spans="20:63" s="9" customFormat="1">
      <c r="T108" s="56"/>
      <c r="U108" s="56"/>
      <c r="V108" s="111"/>
      <c r="W108" s="121"/>
      <c r="Y108" s="56"/>
      <c r="AD108" s="56"/>
      <c r="AE108" s="56"/>
      <c r="AG108" s="35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27"/>
      <c r="AT108" s="27"/>
      <c r="AU108" s="27"/>
      <c r="AV108" s="27"/>
      <c r="AW108" s="27"/>
      <c r="AX108" s="27"/>
      <c r="AY108" s="27"/>
      <c r="AZ108" s="27"/>
      <c r="BA108" s="27"/>
      <c r="BB108" s="27"/>
      <c r="BC108" s="27"/>
      <c r="BD108" s="27"/>
      <c r="BE108" s="27"/>
      <c r="BF108" s="27"/>
      <c r="BG108" s="27"/>
      <c r="BH108" s="27"/>
      <c r="BI108" s="27"/>
      <c r="BJ108" s="27"/>
      <c r="BK108" s="27"/>
    </row>
    <row r="109" spans="20:63" s="9" customFormat="1">
      <c r="T109" s="56"/>
      <c r="U109" s="56"/>
      <c r="V109" s="111"/>
      <c r="W109" s="121"/>
      <c r="Y109" s="56"/>
      <c r="AD109" s="56"/>
      <c r="AE109" s="56"/>
      <c r="AG109" s="35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  <c r="AU109" s="27"/>
      <c r="AV109" s="27"/>
      <c r="AW109" s="27"/>
      <c r="AX109" s="27"/>
      <c r="AY109" s="27"/>
      <c r="AZ109" s="27"/>
      <c r="BA109" s="27"/>
      <c r="BB109" s="27"/>
      <c r="BC109" s="27"/>
      <c r="BD109" s="27"/>
      <c r="BE109" s="27"/>
      <c r="BF109" s="27"/>
      <c r="BG109" s="27"/>
      <c r="BH109" s="27"/>
      <c r="BI109" s="27"/>
      <c r="BJ109" s="27"/>
      <c r="BK109" s="27"/>
    </row>
    <row r="110" spans="20:63" s="9" customFormat="1">
      <c r="T110" s="56"/>
      <c r="U110" s="56"/>
      <c r="V110" s="111"/>
      <c r="W110" s="121"/>
      <c r="Y110" s="56"/>
      <c r="AD110" s="56"/>
      <c r="AE110" s="56"/>
      <c r="AG110" s="35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27"/>
      <c r="AT110" s="27"/>
      <c r="AU110" s="27"/>
      <c r="AV110" s="27"/>
      <c r="AW110" s="27"/>
      <c r="AX110" s="27"/>
      <c r="AY110" s="27"/>
      <c r="AZ110" s="27"/>
      <c r="BA110" s="27"/>
      <c r="BB110" s="27"/>
      <c r="BC110" s="27"/>
      <c r="BD110" s="27"/>
      <c r="BE110" s="27"/>
      <c r="BF110" s="27"/>
      <c r="BG110" s="27"/>
      <c r="BH110" s="27"/>
      <c r="BI110" s="27"/>
      <c r="BJ110" s="27"/>
      <c r="BK110" s="27"/>
    </row>
    <row r="111" spans="20:63" s="9" customFormat="1">
      <c r="T111" s="56"/>
      <c r="U111" s="56"/>
      <c r="V111" s="111"/>
      <c r="W111" s="121"/>
      <c r="Y111" s="56"/>
      <c r="AD111" s="56"/>
      <c r="AE111" s="56"/>
      <c r="AG111" s="35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27"/>
      <c r="AT111" s="27"/>
      <c r="AU111" s="27"/>
      <c r="AV111" s="27"/>
      <c r="AW111" s="27"/>
      <c r="AX111" s="27"/>
      <c r="AY111" s="27"/>
      <c r="AZ111" s="27"/>
      <c r="BA111" s="27"/>
      <c r="BB111" s="27"/>
      <c r="BC111" s="27"/>
      <c r="BD111" s="27"/>
      <c r="BE111" s="27"/>
      <c r="BF111" s="27"/>
      <c r="BG111" s="27"/>
      <c r="BH111" s="27"/>
      <c r="BI111" s="27"/>
      <c r="BJ111" s="27"/>
      <c r="BK111" s="27"/>
    </row>
    <row r="112" spans="20:63" s="9" customFormat="1">
      <c r="T112" s="56"/>
      <c r="U112" s="56"/>
      <c r="V112" s="111"/>
      <c r="W112" s="121"/>
      <c r="Y112" s="56"/>
      <c r="AD112" s="56"/>
      <c r="AE112" s="56"/>
      <c r="AG112" s="35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/>
      <c r="BH112" s="27"/>
      <c r="BI112" s="27"/>
      <c r="BJ112" s="27"/>
      <c r="BK112" s="27"/>
    </row>
    <row r="113" spans="20:63" s="9" customFormat="1">
      <c r="T113" s="56"/>
      <c r="U113" s="56"/>
      <c r="V113" s="111"/>
      <c r="W113" s="121"/>
      <c r="Y113" s="56"/>
      <c r="AD113" s="56"/>
      <c r="AE113" s="56"/>
      <c r="AG113" s="35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27"/>
      <c r="AT113" s="27"/>
      <c r="AU113" s="27"/>
      <c r="AV113" s="27"/>
      <c r="AW113" s="27"/>
      <c r="AX113" s="27"/>
      <c r="AY113" s="27"/>
      <c r="AZ113" s="27"/>
      <c r="BA113" s="27"/>
      <c r="BB113" s="27"/>
      <c r="BC113" s="27"/>
      <c r="BD113" s="27"/>
      <c r="BE113" s="27"/>
      <c r="BF113" s="27"/>
      <c r="BG113" s="27"/>
      <c r="BH113" s="27"/>
      <c r="BI113" s="27"/>
      <c r="BJ113" s="27"/>
      <c r="BK113" s="27"/>
    </row>
    <row r="114" spans="20:63" s="9" customFormat="1">
      <c r="T114" s="56"/>
      <c r="U114" s="56"/>
      <c r="V114" s="111"/>
      <c r="W114" s="121"/>
      <c r="Y114" s="56"/>
      <c r="AD114" s="56"/>
      <c r="AE114" s="56"/>
      <c r="AG114" s="35"/>
      <c r="AH114" s="27"/>
      <c r="AI114" s="27"/>
      <c r="AJ114" s="27"/>
      <c r="AK114" s="27"/>
      <c r="AL114" s="27"/>
      <c r="AM114" s="27"/>
      <c r="AN114" s="27"/>
      <c r="AO114" s="27"/>
      <c r="AP114" s="27"/>
      <c r="AQ114" s="27"/>
      <c r="AR114" s="27"/>
      <c r="AS114" s="27"/>
      <c r="AT114" s="27"/>
      <c r="AU114" s="27"/>
      <c r="AV114" s="27"/>
      <c r="AW114" s="27"/>
      <c r="AX114" s="27"/>
      <c r="AY114" s="27"/>
      <c r="AZ114" s="27"/>
      <c r="BA114" s="27"/>
      <c r="BB114" s="27"/>
      <c r="BC114" s="27"/>
      <c r="BD114" s="27"/>
      <c r="BE114" s="27"/>
      <c r="BF114" s="27"/>
      <c r="BG114" s="27"/>
      <c r="BH114" s="27"/>
      <c r="BI114" s="27"/>
      <c r="BJ114" s="27"/>
      <c r="BK114" s="27"/>
    </row>
    <row r="115" spans="20:63" s="9" customFormat="1">
      <c r="T115" s="56"/>
      <c r="U115" s="56"/>
      <c r="V115" s="111"/>
      <c r="W115" s="121"/>
      <c r="Y115" s="56"/>
      <c r="AD115" s="56"/>
      <c r="AE115" s="56"/>
      <c r="AG115" s="35"/>
      <c r="AH115" s="27"/>
      <c r="AI115" s="27"/>
      <c r="AJ115" s="27"/>
      <c r="AK115" s="27"/>
      <c r="AL115" s="27"/>
      <c r="AM115" s="27"/>
      <c r="AN115" s="27"/>
      <c r="AO115" s="27"/>
      <c r="AP115" s="27"/>
      <c r="AQ115" s="27"/>
      <c r="AR115" s="27"/>
      <c r="AS115" s="27"/>
      <c r="AT115" s="27"/>
      <c r="AU115" s="27"/>
      <c r="AV115" s="27"/>
      <c r="AW115" s="27"/>
      <c r="AX115" s="27"/>
      <c r="AY115" s="27"/>
      <c r="AZ115" s="27"/>
      <c r="BA115" s="27"/>
      <c r="BB115" s="27"/>
      <c r="BC115" s="27"/>
      <c r="BD115" s="27"/>
      <c r="BE115" s="27"/>
      <c r="BF115" s="27"/>
      <c r="BG115" s="27"/>
      <c r="BH115" s="27"/>
      <c r="BI115" s="27"/>
      <c r="BJ115" s="27"/>
      <c r="BK115" s="27"/>
    </row>
    <row r="116" spans="20:63" s="9" customFormat="1">
      <c r="T116" s="56"/>
      <c r="U116" s="56"/>
      <c r="V116" s="111"/>
      <c r="W116" s="121"/>
      <c r="Y116" s="56"/>
      <c r="AD116" s="56"/>
      <c r="AE116" s="56"/>
      <c r="AG116" s="35"/>
      <c r="AH116" s="27"/>
      <c r="AI116" s="27"/>
      <c r="AJ116" s="27"/>
      <c r="AK116" s="27"/>
      <c r="AL116" s="27"/>
      <c r="AM116" s="27"/>
      <c r="AN116" s="27"/>
      <c r="AO116" s="27"/>
      <c r="AP116" s="27"/>
      <c r="AQ116" s="27"/>
      <c r="AR116" s="27"/>
      <c r="AS116" s="27"/>
      <c r="AT116" s="27"/>
      <c r="AU116" s="27"/>
      <c r="AV116" s="27"/>
      <c r="AW116" s="27"/>
      <c r="AX116" s="27"/>
      <c r="AY116" s="27"/>
      <c r="AZ116" s="27"/>
      <c r="BA116" s="27"/>
      <c r="BB116" s="27"/>
      <c r="BC116" s="27"/>
      <c r="BD116" s="27"/>
      <c r="BE116" s="27"/>
      <c r="BF116" s="27"/>
      <c r="BG116" s="27"/>
      <c r="BH116" s="27"/>
      <c r="BI116" s="27"/>
      <c r="BJ116" s="27"/>
      <c r="BK116" s="27"/>
    </row>
    <row r="117" spans="20:63" s="9" customFormat="1">
      <c r="T117" s="56"/>
      <c r="U117" s="56"/>
      <c r="V117" s="111"/>
      <c r="W117" s="121"/>
      <c r="Y117" s="56"/>
      <c r="AD117" s="56"/>
      <c r="AE117" s="56"/>
      <c r="AG117" s="35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  <c r="AU117" s="27"/>
      <c r="AV117" s="27"/>
      <c r="AW117" s="27"/>
      <c r="AX117" s="27"/>
      <c r="AY117" s="27"/>
      <c r="AZ117" s="27"/>
      <c r="BA117" s="27"/>
      <c r="BB117" s="27"/>
      <c r="BC117" s="27"/>
      <c r="BD117" s="27"/>
      <c r="BE117" s="27"/>
      <c r="BF117" s="27"/>
      <c r="BG117" s="27"/>
      <c r="BH117" s="27"/>
      <c r="BI117" s="27"/>
      <c r="BJ117" s="27"/>
      <c r="BK117" s="27"/>
    </row>
    <row r="118" spans="20:63" s="9" customFormat="1">
      <c r="T118" s="56"/>
      <c r="U118" s="56"/>
      <c r="V118" s="111"/>
      <c r="W118" s="121"/>
      <c r="Y118" s="56"/>
      <c r="AD118" s="56"/>
      <c r="AE118" s="56"/>
      <c r="AG118" s="35"/>
      <c r="AH118" s="27"/>
      <c r="AI118" s="27"/>
      <c r="AJ118" s="27"/>
      <c r="AK118" s="27"/>
      <c r="AL118" s="27"/>
      <c r="AM118" s="27"/>
      <c r="AN118" s="27"/>
      <c r="AO118" s="27"/>
      <c r="AP118" s="27"/>
      <c r="AQ118" s="27"/>
      <c r="AR118" s="27"/>
      <c r="AS118" s="27"/>
      <c r="AT118" s="27"/>
      <c r="AU118" s="27"/>
      <c r="AV118" s="27"/>
      <c r="AW118" s="27"/>
      <c r="AX118" s="27"/>
      <c r="AY118" s="27"/>
      <c r="AZ118" s="27"/>
      <c r="BA118" s="27"/>
      <c r="BB118" s="27"/>
      <c r="BC118" s="27"/>
      <c r="BD118" s="27"/>
      <c r="BE118" s="27"/>
      <c r="BF118" s="27"/>
      <c r="BG118" s="27"/>
      <c r="BH118" s="27"/>
      <c r="BI118" s="27"/>
      <c r="BJ118" s="27"/>
      <c r="BK118" s="27"/>
    </row>
    <row r="119" spans="20:63" s="9" customFormat="1">
      <c r="T119" s="56"/>
      <c r="U119" s="56"/>
      <c r="V119" s="111"/>
      <c r="W119" s="121"/>
      <c r="Y119" s="56"/>
      <c r="AD119" s="56"/>
      <c r="AE119" s="56"/>
      <c r="AG119" s="35"/>
      <c r="AH119" s="27"/>
      <c r="AI119" s="27"/>
      <c r="AJ119" s="27"/>
      <c r="AK119" s="27"/>
      <c r="AL119" s="27"/>
      <c r="AM119" s="27"/>
      <c r="AN119" s="27"/>
      <c r="AO119" s="27"/>
      <c r="AP119" s="27"/>
      <c r="AQ119" s="27"/>
      <c r="AR119" s="27"/>
      <c r="AS119" s="27"/>
      <c r="AT119" s="27"/>
      <c r="AU119" s="27"/>
      <c r="AV119" s="27"/>
      <c r="AW119" s="27"/>
      <c r="AX119" s="27"/>
      <c r="AY119" s="27"/>
      <c r="AZ119" s="27"/>
      <c r="BA119" s="27"/>
      <c r="BB119" s="27"/>
      <c r="BC119" s="27"/>
      <c r="BD119" s="27"/>
      <c r="BE119" s="27"/>
      <c r="BF119" s="27"/>
      <c r="BG119" s="27"/>
      <c r="BH119" s="27"/>
      <c r="BI119" s="27"/>
      <c r="BJ119" s="27"/>
      <c r="BK119" s="27"/>
    </row>
    <row r="120" spans="20:63" s="9" customFormat="1">
      <c r="T120" s="56"/>
      <c r="U120" s="56"/>
      <c r="V120" s="111"/>
      <c r="W120" s="121"/>
      <c r="Y120" s="56"/>
      <c r="AD120" s="56"/>
      <c r="AE120" s="56"/>
      <c r="AG120" s="35"/>
      <c r="AH120" s="27"/>
      <c r="AI120" s="27"/>
      <c r="AJ120" s="27"/>
      <c r="AK120" s="27"/>
      <c r="AL120" s="27"/>
      <c r="AM120" s="27"/>
      <c r="AN120" s="27"/>
      <c r="AO120" s="27"/>
      <c r="AP120" s="27"/>
      <c r="AQ120" s="27"/>
      <c r="AR120" s="27"/>
      <c r="AS120" s="27"/>
      <c r="AT120" s="27"/>
      <c r="AU120" s="27"/>
      <c r="AV120" s="27"/>
      <c r="AW120" s="27"/>
      <c r="AX120" s="27"/>
      <c r="AY120" s="27"/>
      <c r="AZ120" s="27"/>
      <c r="BA120" s="27"/>
      <c r="BB120" s="27"/>
      <c r="BC120" s="27"/>
      <c r="BD120" s="27"/>
      <c r="BE120" s="27"/>
      <c r="BF120" s="27"/>
      <c r="BG120" s="27"/>
      <c r="BH120" s="27"/>
      <c r="BI120" s="27"/>
      <c r="BJ120" s="27"/>
      <c r="BK120" s="27"/>
    </row>
    <row r="121" spans="20:63" s="9" customFormat="1">
      <c r="T121" s="56"/>
      <c r="U121" s="56"/>
      <c r="V121" s="111"/>
      <c r="W121" s="121"/>
      <c r="Y121" s="56"/>
      <c r="AD121" s="56"/>
      <c r="AE121" s="56"/>
      <c r="AG121" s="35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27"/>
      <c r="AT121" s="27"/>
      <c r="AU121" s="27"/>
      <c r="AV121" s="27"/>
      <c r="AW121" s="27"/>
      <c r="AX121" s="27"/>
      <c r="AY121" s="27"/>
      <c r="AZ121" s="27"/>
      <c r="BA121" s="27"/>
      <c r="BB121" s="27"/>
      <c r="BC121" s="27"/>
      <c r="BD121" s="27"/>
      <c r="BE121" s="27"/>
      <c r="BF121" s="27"/>
      <c r="BG121" s="27"/>
      <c r="BH121" s="27"/>
      <c r="BI121" s="27"/>
      <c r="BJ121" s="27"/>
      <c r="BK121" s="27"/>
    </row>
    <row r="122" spans="20:63" s="9" customFormat="1">
      <c r="T122" s="56"/>
      <c r="U122" s="56"/>
      <c r="V122" s="111"/>
      <c r="W122" s="121"/>
      <c r="Y122" s="56"/>
      <c r="AD122" s="56"/>
      <c r="AE122" s="56"/>
      <c r="AG122" s="35"/>
      <c r="AH122" s="27"/>
      <c r="AI122" s="27"/>
      <c r="AJ122" s="27"/>
      <c r="AK122" s="27"/>
      <c r="AL122" s="27"/>
      <c r="AM122" s="27"/>
      <c r="AN122" s="27"/>
      <c r="AO122" s="27"/>
      <c r="AP122" s="27"/>
      <c r="AQ122" s="27"/>
      <c r="AR122" s="27"/>
      <c r="AS122" s="27"/>
      <c r="AT122" s="27"/>
      <c r="AU122" s="27"/>
      <c r="AV122" s="27"/>
      <c r="AW122" s="27"/>
      <c r="AX122" s="27"/>
      <c r="AY122" s="27"/>
      <c r="AZ122" s="27"/>
      <c r="BA122" s="27"/>
      <c r="BB122" s="27"/>
      <c r="BC122" s="27"/>
      <c r="BD122" s="27"/>
      <c r="BE122" s="27"/>
      <c r="BF122" s="27"/>
      <c r="BG122" s="27"/>
      <c r="BH122" s="27"/>
      <c r="BI122" s="27"/>
      <c r="BJ122" s="27"/>
      <c r="BK122" s="27"/>
    </row>
    <row r="123" spans="20:63" s="9" customFormat="1">
      <c r="T123" s="56"/>
      <c r="U123" s="56"/>
      <c r="V123" s="111"/>
      <c r="W123" s="121"/>
      <c r="Y123" s="56"/>
      <c r="AD123" s="56"/>
      <c r="AE123" s="56"/>
      <c r="AG123" s="35"/>
      <c r="AH123" s="27"/>
      <c r="AI123" s="27"/>
      <c r="AJ123" s="27"/>
      <c r="AK123" s="27"/>
      <c r="AL123" s="27"/>
      <c r="AM123" s="27"/>
      <c r="AN123" s="27"/>
      <c r="AO123" s="27"/>
      <c r="AP123" s="27"/>
      <c r="AQ123" s="27"/>
      <c r="AR123" s="27"/>
      <c r="AS123" s="27"/>
      <c r="AT123" s="27"/>
      <c r="AU123" s="27"/>
      <c r="AV123" s="27"/>
      <c r="AW123" s="27"/>
      <c r="AX123" s="27"/>
      <c r="AY123" s="27"/>
      <c r="AZ123" s="27"/>
      <c r="BA123" s="27"/>
      <c r="BB123" s="27"/>
      <c r="BC123" s="27"/>
      <c r="BD123" s="27"/>
      <c r="BE123" s="27"/>
      <c r="BF123" s="27"/>
      <c r="BG123" s="27"/>
      <c r="BH123" s="27"/>
      <c r="BI123" s="27"/>
      <c r="BJ123" s="27"/>
      <c r="BK123" s="27"/>
    </row>
    <row r="124" spans="20:63" s="9" customFormat="1">
      <c r="T124" s="56"/>
      <c r="U124" s="56"/>
      <c r="V124" s="111"/>
      <c r="W124" s="121"/>
      <c r="Y124" s="56"/>
      <c r="AD124" s="56"/>
      <c r="AE124" s="56"/>
      <c r="AG124" s="35"/>
      <c r="AH124" s="27"/>
      <c r="AI124" s="27"/>
      <c r="AJ124" s="27"/>
      <c r="AK124" s="27"/>
      <c r="AL124" s="27"/>
      <c r="AM124" s="27"/>
      <c r="AN124" s="27"/>
      <c r="AO124" s="27"/>
      <c r="AP124" s="27"/>
      <c r="AQ124" s="27"/>
      <c r="AR124" s="27"/>
      <c r="AS124" s="27"/>
      <c r="AT124" s="27"/>
      <c r="AU124" s="27"/>
      <c r="AV124" s="27"/>
      <c r="AW124" s="27"/>
      <c r="AX124" s="27"/>
      <c r="AY124" s="27"/>
      <c r="AZ124" s="27"/>
      <c r="BA124" s="27"/>
      <c r="BB124" s="27"/>
      <c r="BC124" s="27"/>
      <c r="BD124" s="27"/>
      <c r="BE124" s="27"/>
      <c r="BF124" s="27"/>
      <c r="BG124" s="27"/>
      <c r="BH124" s="27"/>
      <c r="BI124" s="27"/>
      <c r="BJ124" s="27"/>
      <c r="BK124" s="27"/>
    </row>
    <row r="125" spans="20:63" s="9" customFormat="1">
      <c r="T125" s="56"/>
      <c r="U125" s="56"/>
      <c r="V125" s="111"/>
      <c r="W125" s="121"/>
      <c r="Y125" s="56"/>
      <c r="AD125" s="56"/>
      <c r="AE125" s="56"/>
      <c r="AG125" s="35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27"/>
      <c r="AT125" s="27"/>
      <c r="AU125" s="27"/>
      <c r="AV125" s="27"/>
      <c r="AW125" s="27"/>
      <c r="AX125" s="27"/>
      <c r="AY125" s="27"/>
      <c r="AZ125" s="27"/>
      <c r="BA125" s="27"/>
      <c r="BB125" s="27"/>
      <c r="BC125" s="27"/>
      <c r="BD125" s="27"/>
      <c r="BE125" s="27"/>
      <c r="BF125" s="27"/>
      <c r="BG125" s="27"/>
      <c r="BH125" s="27"/>
      <c r="BI125" s="27"/>
      <c r="BJ125" s="27"/>
      <c r="BK125" s="27"/>
    </row>
    <row r="126" spans="20:63" s="9" customFormat="1">
      <c r="T126" s="56"/>
      <c r="U126" s="56"/>
      <c r="V126" s="111"/>
      <c r="W126" s="121"/>
      <c r="Y126" s="56"/>
      <c r="AD126" s="56"/>
      <c r="AE126" s="56"/>
      <c r="AG126" s="35"/>
      <c r="AH126" s="27"/>
      <c r="AI126" s="27"/>
      <c r="AJ126" s="27"/>
      <c r="AK126" s="27"/>
      <c r="AL126" s="27"/>
      <c r="AM126" s="27"/>
      <c r="AN126" s="27"/>
      <c r="AO126" s="27"/>
      <c r="AP126" s="27"/>
      <c r="AQ126" s="27"/>
      <c r="AR126" s="27"/>
      <c r="AS126" s="27"/>
      <c r="AT126" s="27"/>
      <c r="AU126" s="27"/>
      <c r="AV126" s="27"/>
      <c r="AW126" s="27"/>
      <c r="AX126" s="27"/>
      <c r="AY126" s="27"/>
      <c r="AZ126" s="27"/>
      <c r="BA126" s="27"/>
      <c r="BB126" s="27"/>
      <c r="BC126" s="27"/>
      <c r="BD126" s="27"/>
      <c r="BE126" s="27"/>
      <c r="BF126" s="27"/>
      <c r="BG126" s="27"/>
      <c r="BH126" s="27"/>
      <c r="BI126" s="27"/>
      <c r="BJ126" s="27"/>
      <c r="BK126" s="27"/>
    </row>
    <row r="127" spans="20:63" s="9" customFormat="1">
      <c r="T127" s="56"/>
      <c r="U127" s="56"/>
      <c r="V127" s="111"/>
      <c r="W127" s="121"/>
      <c r="Y127" s="56"/>
      <c r="AD127" s="56"/>
      <c r="AE127" s="56"/>
      <c r="AG127" s="35"/>
      <c r="AH127" s="27"/>
      <c r="AI127" s="27"/>
      <c r="AJ127" s="27"/>
      <c r="AK127" s="27"/>
      <c r="AL127" s="27"/>
      <c r="AM127" s="27"/>
      <c r="AN127" s="27"/>
      <c r="AO127" s="27"/>
      <c r="AP127" s="27"/>
      <c r="AQ127" s="27"/>
      <c r="AR127" s="27"/>
      <c r="AS127" s="27"/>
      <c r="AT127" s="27"/>
      <c r="AU127" s="27"/>
      <c r="AV127" s="27"/>
      <c r="AW127" s="27"/>
      <c r="AX127" s="27"/>
      <c r="AY127" s="27"/>
      <c r="AZ127" s="27"/>
      <c r="BA127" s="27"/>
      <c r="BB127" s="27"/>
      <c r="BC127" s="27"/>
      <c r="BD127" s="27"/>
      <c r="BE127" s="27"/>
      <c r="BF127" s="27"/>
      <c r="BG127" s="27"/>
      <c r="BH127" s="27"/>
      <c r="BI127" s="27"/>
      <c r="BJ127" s="27"/>
      <c r="BK127" s="27"/>
    </row>
    <row r="128" spans="20:63" s="9" customFormat="1">
      <c r="T128" s="56"/>
      <c r="U128" s="56"/>
      <c r="V128" s="111"/>
      <c r="W128" s="121"/>
      <c r="Y128" s="56"/>
      <c r="AD128" s="56"/>
      <c r="AE128" s="56"/>
      <c r="AG128" s="35"/>
      <c r="AH128" s="27"/>
      <c r="AI128" s="27"/>
      <c r="AJ128" s="27"/>
      <c r="AK128" s="27"/>
      <c r="AL128" s="27"/>
      <c r="AM128" s="27"/>
      <c r="AN128" s="27"/>
      <c r="AO128" s="27"/>
      <c r="AP128" s="27"/>
      <c r="AQ128" s="27"/>
      <c r="AR128" s="27"/>
      <c r="AS128" s="27"/>
      <c r="AT128" s="27"/>
      <c r="AU128" s="27"/>
      <c r="AV128" s="27"/>
      <c r="AW128" s="27"/>
      <c r="AX128" s="27"/>
      <c r="AY128" s="27"/>
      <c r="AZ128" s="27"/>
      <c r="BA128" s="27"/>
      <c r="BB128" s="27"/>
      <c r="BC128" s="27"/>
      <c r="BD128" s="27"/>
      <c r="BE128" s="27"/>
      <c r="BF128" s="27"/>
      <c r="BG128" s="27"/>
      <c r="BH128" s="27"/>
      <c r="BI128" s="27"/>
      <c r="BJ128" s="27"/>
      <c r="BK128" s="27"/>
    </row>
    <row r="129" spans="20:63" s="9" customFormat="1">
      <c r="T129" s="56"/>
      <c r="U129" s="56"/>
      <c r="V129" s="111"/>
      <c r="W129" s="121"/>
      <c r="Y129" s="56"/>
      <c r="AD129" s="56"/>
      <c r="AE129" s="56"/>
      <c r="AG129" s="35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27"/>
      <c r="AT129" s="27"/>
      <c r="AU129" s="27"/>
      <c r="AV129" s="27"/>
      <c r="AW129" s="27"/>
      <c r="AX129" s="27"/>
      <c r="AY129" s="27"/>
      <c r="AZ129" s="27"/>
      <c r="BA129" s="27"/>
      <c r="BB129" s="27"/>
      <c r="BC129" s="27"/>
      <c r="BD129" s="27"/>
      <c r="BE129" s="27"/>
      <c r="BF129" s="27"/>
      <c r="BG129" s="27"/>
      <c r="BH129" s="27"/>
      <c r="BI129" s="27"/>
      <c r="BJ129" s="27"/>
      <c r="BK129" s="27"/>
    </row>
    <row r="130" spans="20:63" s="9" customFormat="1">
      <c r="T130" s="56"/>
      <c r="U130" s="56"/>
      <c r="V130" s="111"/>
      <c r="W130" s="121"/>
      <c r="Y130" s="56"/>
      <c r="AD130" s="56"/>
      <c r="AE130" s="56"/>
      <c r="AG130" s="35"/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27"/>
      <c r="AT130" s="27"/>
      <c r="AU130" s="27"/>
      <c r="AV130" s="27"/>
      <c r="AW130" s="27"/>
      <c r="AX130" s="27"/>
      <c r="AY130" s="27"/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</row>
    <row r="131" spans="20:63" s="9" customFormat="1">
      <c r="T131" s="56"/>
      <c r="U131" s="56"/>
      <c r="V131" s="111"/>
      <c r="W131" s="121"/>
      <c r="Y131" s="56"/>
      <c r="AD131" s="56"/>
      <c r="AE131" s="56"/>
      <c r="AG131" s="35"/>
      <c r="AH131" s="27"/>
      <c r="AI131" s="27"/>
      <c r="AJ131" s="27"/>
      <c r="AK131" s="27"/>
      <c r="AL131" s="27"/>
      <c r="AM131" s="27"/>
      <c r="AN131" s="27"/>
      <c r="AO131" s="27"/>
      <c r="AP131" s="27"/>
      <c r="AQ131" s="27"/>
      <c r="AR131" s="27"/>
      <c r="AS131" s="27"/>
      <c r="AT131" s="27"/>
      <c r="AU131" s="27"/>
      <c r="AV131" s="27"/>
      <c r="AW131" s="27"/>
      <c r="AX131" s="27"/>
      <c r="AY131" s="27"/>
      <c r="AZ131" s="27"/>
      <c r="BA131" s="27"/>
      <c r="BB131" s="27"/>
      <c r="BC131" s="27"/>
      <c r="BD131" s="27"/>
      <c r="BE131" s="27"/>
      <c r="BF131" s="27"/>
      <c r="BG131" s="27"/>
      <c r="BH131" s="27"/>
      <c r="BI131" s="27"/>
      <c r="BJ131" s="27"/>
      <c r="BK131" s="27"/>
    </row>
    <row r="132" spans="20:63" s="9" customFormat="1">
      <c r="T132" s="56"/>
      <c r="U132" s="56"/>
      <c r="V132" s="111"/>
      <c r="W132" s="121"/>
      <c r="Y132" s="56"/>
      <c r="AD132" s="56"/>
      <c r="AE132" s="56"/>
      <c r="AG132" s="35"/>
      <c r="AH132" s="27"/>
      <c r="AI132" s="27"/>
      <c r="AJ132" s="27"/>
      <c r="AK132" s="27"/>
      <c r="AL132" s="27"/>
      <c r="AM132" s="27"/>
      <c r="AN132" s="27"/>
      <c r="AO132" s="27"/>
      <c r="AP132" s="27"/>
      <c r="AQ132" s="27"/>
      <c r="AR132" s="27"/>
      <c r="AS132" s="27"/>
      <c r="AT132" s="27"/>
      <c r="AU132" s="27"/>
      <c r="AV132" s="27"/>
      <c r="AW132" s="27"/>
      <c r="AX132" s="27"/>
      <c r="AY132" s="27"/>
      <c r="AZ132" s="27"/>
      <c r="BA132" s="27"/>
      <c r="BB132" s="27"/>
      <c r="BC132" s="27"/>
      <c r="BD132" s="27"/>
      <c r="BE132" s="27"/>
      <c r="BF132" s="27"/>
      <c r="BG132" s="27"/>
      <c r="BH132" s="27"/>
      <c r="BI132" s="27"/>
      <c r="BJ132" s="27"/>
      <c r="BK132" s="27"/>
    </row>
    <row r="133" spans="20:63" s="9" customFormat="1">
      <c r="T133" s="56"/>
      <c r="U133" s="56"/>
      <c r="V133" s="111"/>
      <c r="W133" s="121"/>
      <c r="Y133" s="56"/>
      <c r="AD133" s="56"/>
      <c r="AE133" s="56"/>
      <c r="AG133" s="35"/>
      <c r="AH133" s="27"/>
      <c r="AI133" s="27"/>
      <c r="AJ133" s="27"/>
      <c r="AK133" s="27"/>
      <c r="AL133" s="27"/>
      <c r="AM133" s="27"/>
      <c r="AN133" s="27"/>
      <c r="AO133" s="27"/>
      <c r="AP133" s="27"/>
      <c r="AQ133" s="27"/>
      <c r="AR133" s="27"/>
      <c r="AS133" s="27"/>
      <c r="AT133" s="27"/>
      <c r="AU133" s="27"/>
      <c r="AV133" s="27"/>
      <c r="AW133" s="27"/>
      <c r="AX133" s="27"/>
      <c r="AY133" s="27"/>
      <c r="AZ133" s="27"/>
      <c r="BA133" s="27"/>
      <c r="BB133" s="27"/>
      <c r="BC133" s="27"/>
      <c r="BD133" s="27"/>
      <c r="BE133" s="27"/>
      <c r="BF133" s="27"/>
      <c r="BG133" s="27"/>
      <c r="BH133" s="27"/>
      <c r="BI133" s="27"/>
      <c r="BJ133" s="27"/>
      <c r="BK133" s="27"/>
    </row>
    <row r="134" spans="20:63" s="9" customFormat="1">
      <c r="T134" s="56"/>
      <c r="U134" s="56"/>
      <c r="V134" s="111"/>
      <c r="W134" s="121"/>
      <c r="Y134" s="56"/>
      <c r="AD134" s="56"/>
      <c r="AE134" s="56"/>
      <c r="AG134" s="35"/>
      <c r="AH134" s="27"/>
      <c r="AI134" s="27"/>
      <c r="AJ134" s="27"/>
      <c r="AK134" s="27"/>
      <c r="AL134" s="27"/>
      <c r="AM134" s="27"/>
      <c r="AN134" s="27"/>
      <c r="AO134" s="27"/>
      <c r="AP134" s="27"/>
      <c r="AQ134" s="27"/>
      <c r="AR134" s="27"/>
      <c r="AS134" s="27"/>
      <c r="AT134" s="27"/>
      <c r="AU134" s="27"/>
      <c r="AV134" s="27"/>
      <c r="AW134" s="27"/>
      <c r="AX134" s="27"/>
      <c r="AY134" s="27"/>
      <c r="AZ134" s="27"/>
      <c r="BA134" s="27"/>
      <c r="BB134" s="27"/>
      <c r="BC134" s="27"/>
      <c r="BD134" s="27"/>
      <c r="BE134" s="27"/>
      <c r="BF134" s="27"/>
      <c r="BG134" s="27"/>
      <c r="BH134" s="27"/>
      <c r="BI134" s="27"/>
      <c r="BJ134" s="27"/>
      <c r="BK134" s="27"/>
    </row>
    <row r="135" spans="20:63" s="9" customFormat="1">
      <c r="T135" s="56"/>
      <c r="U135" s="56"/>
      <c r="V135" s="111"/>
      <c r="W135" s="121"/>
      <c r="Y135" s="56"/>
      <c r="AD135" s="56"/>
      <c r="AE135" s="56"/>
      <c r="AG135" s="35"/>
      <c r="AH135" s="27"/>
      <c r="AI135" s="27"/>
      <c r="AJ135" s="27"/>
      <c r="AK135" s="27"/>
      <c r="AL135" s="27"/>
      <c r="AM135" s="27"/>
      <c r="AN135" s="27"/>
      <c r="AO135" s="27"/>
      <c r="AP135" s="27"/>
      <c r="AQ135" s="27"/>
      <c r="AR135" s="27"/>
      <c r="AS135" s="27"/>
      <c r="AT135" s="27"/>
      <c r="AU135" s="27"/>
      <c r="AV135" s="27"/>
      <c r="AW135" s="27"/>
      <c r="AX135" s="27"/>
      <c r="AY135" s="27"/>
      <c r="AZ135" s="27"/>
      <c r="BA135" s="27"/>
      <c r="BB135" s="27"/>
      <c r="BC135" s="27"/>
      <c r="BD135" s="27"/>
      <c r="BE135" s="27"/>
      <c r="BF135" s="27"/>
      <c r="BG135" s="27"/>
      <c r="BH135" s="27"/>
      <c r="BI135" s="27"/>
      <c r="BJ135" s="27"/>
      <c r="BK135" s="27"/>
    </row>
    <row r="136" spans="20:63" s="9" customFormat="1">
      <c r="T136" s="56"/>
      <c r="U136" s="56"/>
      <c r="V136" s="111"/>
      <c r="W136" s="121"/>
      <c r="Y136" s="56"/>
      <c r="AD136" s="56"/>
      <c r="AE136" s="56"/>
      <c r="AG136" s="35"/>
      <c r="AH136" s="27"/>
      <c r="AI136" s="27"/>
      <c r="AJ136" s="27"/>
      <c r="AK136" s="27"/>
      <c r="AL136" s="27"/>
      <c r="AM136" s="27"/>
      <c r="AN136" s="27"/>
      <c r="AO136" s="27"/>
      <c r="AP136" s="27"/>
      <c r="AQ136" s="27"/>
      <c r="AR136" s="27"/>
      <c r="AS136" s="27"/>
      <c r="AT136" s="27"/>
      <c r="AU136" s="27"/>
      <c r="AV136" s="27"/>
      <c r="AW136" s="27"/>
      <c r="AX136" s="27"/>
      <c r="AY136" s="27"/>
      <c r="AZ136" s="27"/>
      <c r="BA136" s="27"/>
      <c r="BB136" s="27"/>
      <c r="BC136" s="27"/>
      <c r="BD136" s="27"/>
      <c r="BE136" s="27"/>
      <c r="BF136" s="27"/>
      <c r="BG136" s="27"/>
      <c r="BH136" s="27"/>
      <c r="BI136" s="27"/>
      <c r="BJ136" s="27"/>
      <c r="BK136" s="27"/>
    </row>
    <row r="137" spans="20:63" s="9" customFormat="1">
      <c r="T137" s="56"/>
      <c r="U137" s="56"/>
      <c r="V137" s="111"/>
      <c r="W137" s="121"/>
      <c r="Y137" s="56"/>
      <c r="AD137" s="56"/>
      <c r="AE137" s="56"/>
      <c r="AG137" s="35"/>
      <c r="AH137" s="27"/>
      <c r="AI137" s="27"/>
      <c r="AJ137" s="27"/>
      <c r="AK137" s="27"/>
      <c r="AL137" s="27"/>
      <c r="AM137" s="27"/>
      <c r="AN137" s="27"/>
      <c r="AO137" s="27"/>
      <c r="AP137" s="27"/>
      <c r="AQ137" s="27"/>
      <c r="AR137" s="27"/>
      <c r="AS137" s="27"/>
      <c r="AT137" s="27"/>
      <c r="AU137" s="27"/>
      <c r="AV137" s="27"/>
      <c r="AW137" s="27"/>
      <c r="AX137" s="27"/>
      <c r="AY137" s="27"/>
      <c r="AZ137" s="27"/>
      <c r="BA137" s="27"/>
      <c r="BB137" s="27"/>
      <c r="BC137" s="27"/>
      <c r="BD137" s="27"/>
      <c r="BE137" s="27"/>
      <c r="BF137" s="27"/>
      <c r="BG137" s="27"/>
      <c r="BH137" s="27"/>
      <c r="BI137" s="27"/>
      <c r="BJ137" s="27"/>
      <c r="BK137" s="27"/>
    </row>
    <row r="138" spans="20:63" s="9" customFormat="1">
      <c r="T138" s="56"/>
      <c r="U138" s="56"/>
      <c r="V138" s="111"/>
      <c r="W138" s="121"/>
      <c r="Y138" s="56"/>
      <c r="AD138" s="56"/>
      <c r="AE138" s="56"/>
      <c r="AG138" s="35"/>
      <c r="AH138" s="27"/>
      <c r="AI138" s="27"/>
      <c r="AJ138" s="27"/>
      <c r="AK138" s="27"/>
      <c r="AL138" s="27"/>
      <c r="AM138" s="27"/>
      <c r="AN138" s="27"/>
      <c r="AO138" s="27"/>
      <c r="AP138" s="27"/>
      <c r="AQ138" s="27"/>
      <c r="AR138" s="27"/>
      <c r="AS138" s="27"/>
      <c r="AT138" s="27"/>
      <c r="AU138" s="27"/>
      <c r="AV138" s="27"/>
      <c r="AW138" s="27"/>
      <c r="AX138" s="27"/>
      <c r="AY138" s="27"/>
      <c r="AZ138" s="27"/>
      <c r="BA138" s="27"/>
      <c r="BB138" s="27"/>
      <c r="BC138" s="27"/>
      <c r="BD138" s="27"/>
      <c r="BE138" s="27"/>
      <c r="BF138" s="27"/>
      <c r="BG138" s="27"/>
      <c r="BH138" s="27"/>
      <c r="BI138" s="27"/>
      <c r="BJ138" s="27"/>
      <c r="BK138" s="27"/>
    </row>
    <row r="139" spans="20:63" s="9" customFormat="1">
      <c r="T139" s="56"/>
      <c r="U139" s="56"/>
      <c r="V139" s="111"/>
      <c r="W139" s="121"/>
      <c r="Y139" s="56"/>
      <c r="AD139" s="56"/>
      <c r="AE139" s="56"/>
      <c r="AG139" s="35"/>
      <c r="AH139" s="27"/>
      <c r="AI139" s="27"/>
      <c r="AJ139" s="27"/>
      <c r="AK139" s="27"/>
      <c r="AL139" s="27"/>
      <c r="AM139" s="27"/>
      <c r="AN139" s="27"/>
      <c r="AO139" s="27"/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/>
    </row>
    <row r="140" spans="20:63" s="9" customFormat="1">
      <c r="T140" s="56"/>
      <c r="U140" s="56"/>
      <c r="V140" s="111"/>
      <c r="W140" s="121"/>
      <c r="Y140" s="56"/>
      <c r="AD140" s="56"/>
      <c r="AE140" s="56"/>
      <c r="AG140" s="35"/>
      <c r="AH140" s="27"/>
      <c r="AI140" s="27"/>
      <c r="AJ140" s="27"/>
      <c r="AK140" s="27"/>
      <c r="AL140" s="27"/>
      <c r="AM140" s="27"/>
      <c r="AN140" s="27"/>
      <c r="AO140" s="27"/>
      <c r="AP140" s="27"/>
      <c r="AQ140" s="27"/>
      <c r="AR140" s="27"/>
      <c r="AS140" s="27"/>
      <c r="AT140" s="27"/>
      <c r="AU140" s="27"/>
      <c r="AV140" s="27"/>
      <c r="AW140" s="27"/>
      <c r="AX140" s="27"/>
      <c r="AY140" s="27"/>
      <c r="AZ140" s="27"/>
      <c r="BA140" s="27"/>
      <c r="BB140" s="27"/>
      <c r="BC140" s="27"/>
      <c r="BD140" s="27"/>
      <c r="BE140" s="27"/>
      <c r="BF140" s="27"/>
      <c r="BG140" s="27"/>
      <c r="BH140" s="27"/>
      <c r="BI140" s="27"/>
      <c r="BJ140" s="27"/>
      <c r="BK140" s="27"/>
    </row>
    <row r="141" spans="20:63" s="9" customFormat="1">
      <c r="T141" s="56"/>
      <c r="U141" s="56"/>
      <c r="V141" s="111"/>
      <c r="W141" s="121"/>
      <c r="Y141" s="56"/>
      <c r="AD141" s="56"/>
      <c r="AE141" s="56"/>
      <c r="AG141" s="35"/>
      <c r="AH141" s="27"/>
      <c r="AI141" s="27"/>
      <c r="AJ141" s="27"/>
      <c r="AK141" s="27"/>
      <c r="AL141" s="27"/>
      <c r="AM141" s="27"/>
      <c r="AN141" s="27"/>
      <c r="AO141" s="27"/>
      <c r="AP141" s="27"/>
      <c r="AQ141" s="27"/>
      <c r="AR141" s="27"/>
      <c r="AS141" s="27"/>
      <c r="AT141" s="27"/>
      <c r="AU141" s="27"/>
      <c r="AV141" s="27"/>
      <c r="AW141" s="27"/>
      <c r="AX141" s="27"/>
      <c r="AY141" s="27"/>
      <c r="AZ141" s="27"/>
      <c r="BA141" s="27"/>
      <c r="BB141" s="27"/>
      <c r="BC141" s="27"/>
      <c r="BD141" s="27"/>
      <c r="BE141" s="27"/>
      <c r="BF141" s="27"/>
      <c r="BG141" s="27"/>
      <c r="BH141" s="27"/>
      <c r="BI141" s="27"/>
      <c r="BJ141" s="27"/>
      <c r="BK141" s="27"/>
    </row>
    <row r="142" spans="20:63" s="9" customFormat="1">
      <c r="T142" s="56"/>
      <c r="U142" s="56"/>
      <c r="V142" s="111"/>
      <c r="W142" s="121"/>
      <c r="Y142" s="56"/>
      <c r="AD142" s="56"/>
      <c r="AE142" s="56"/>
      <c r="AG142" s="35"/>
      <c r="AH142" s="27"/>
      <c r="AI142" s="27"/>
      <c r="AJ142" s="27"/>
      <c r="AK142" s="27"/>
      <c r="AL142" s="27"/>
      <c r="AM142" s="27"/>
      <c r="AN142" s="27"/>
      <c r="AO142" s="27"/>
      <c r="AP142" s="27"/>
      <c r="AQ142" s="27"/>
      <c r="AR142" s="27"/>
      <c r="AS142" s="27"/>
      <c r="AT142" s="27"/>
      <c r="AU142" s="27"/>
      <c r="AV142" s="27"/>
      <c r="AW142" s="27"/>
      <c r="AX142" s="27"/>
      <c r="AY142" s="27"/>
      <c r="AZ142" s="27"/>
      <c r="BA142" s="27"/>
      <c r="BB142" s="27"/>
      <c r="BC142" s="27"/>
      <c r="BD142" s="27"/>
      <c r="BE142" s="27"/>
      <c r="BF142" s="27"/>
      <c r="BG142" s="27"/>
      <c r="BH142" s="27"/>
      <c r="BI142" s="27"/>
      <c r="BJ142" s="27"/>
      <c r="BK142" s="27"/>
    </row>
    <row r="143" spans="20:63" s="9" customFormat="1">
      <c r="T143" s="56"/>
      <c r="U143" s="56"/>
      <c r="V143" s="111"/>
      <c r="W143" s="121"/>
      <c r="Y143" s="56"/>
      <c r="AD143" s="56"/>
      <c r="AE143" s="56"/>
      <c r="AG143" s="35"/>
      <c r="AH143" s="27"/>
      <c r="AI143" s="27"/>
      <c r="AJ143" s="27"/>
      <c r="AK143" s="27"/>
      <c r="AL143" s="27"/>
      <c r="AM143" s="27"/>
      <c r="AN143" s="27"/>
      <c r="AO143" s="27"/>
      <c r="AP143" s="27"/>
      <c r="AQ143" s="27"/>
      <c r="AR143" s="27"/>
      <c r="AS143" s="27"/>
      <c r="AT143" s="27"/>
      <c r="AU143" s="27"/>
      <c r="AV143" s="27"/>
      <c r="AW143" s="27"/>
      <c r="AX143" s="27"/>
      <c r="AY143" s="27"/>
      <c r="AZ143" s="27"/>
      <c r="BA143" s="27"/>
      <c r="BB143" s="27"/>
      <c r="BC143" s="27"/>
      <c r="BD143" s="27"/>
      <c r="BE143" s="27"/>
      <c r="BF143" s="27"/>
      <c r="BG143" s="27"/>
      <c r="BH143" s="27"/>
      <c r="BI143" s="27"/>
      <c r="BJ143" s="27"/>
      <c r="BK143" s="27"/>
    </row>
    <row r="144" spans="20:63" s="9" customFormat="1">
      <c r="T144" s="56"/>
      <c r="U144" s="56"/>
      <c r="V144" s="111"/>
      <c r="W144" s="121"/>
      <c r="Y144" s="56"/>
      <c r="AD144" s="56"/>
      <c r="AE144" s="56"/>
      <c r="AG144" s="35"/>
      <c r="AH144" s="27"/>
      <c r="AI144" s="27"/>
      <c r="AJ144" s="27"/>
      <c r="AK144" s="27"/>
      <c r="AL144" s="27"/>
      <c r="AM144" s="27"/>
      <c r="AN144" s="27"/>
      <c r="AO144" s="27"/>
      <c r="AP144" s="27"/>
      <c r="AQ144" s="27"/>
      <c r="AR144" s="27"/>
      <c r="AS144" s="27"/>
      <c r="AT144" s="27"/>
      <c r="AU144" s="27"/>
      <c r="AV144" s="27"/>
      <c r="AW144" s="27"/>
      <c r="AX144" s="27"/>
      <c r="AY144" s="27"/>
      <c r="AZ144" s="27"/>
      <c r="BA144" s="27"/>
      <c r="BB144" s="27"/>
      <c r="BC144" s="27"/>
      <c r="BD144" s="27"/>
      <c r="BE144" s="27"/>
      <c r="BF144" s="27"/>
      <c r="BG144" s="27"/>
      <c r="BH144" s="27"/>
      <c r="BI144" s="27"/>
      <c r="BJ144" s="27"/>
      <c r="BK144" s="27"/>
    </row>
    <row r="145" spans="20:63" s="9" customFormat="1">
      <c r="T145" s="56"/>
      <c r="U145" s="56"/>
      <c r="V145" s="111"/>
      <c r="W145" s="121"/>
      <c r="Y145" s="56"/>
      <c r="AD145" s="56"/>
      <c r="AE145" s="56"/>
      <c r="AG145" s="35"/>
      <c r="AH145" s="27"/>
      <c r="AI145" s="27"/>
      <c r="AJ145" s="27"/>
      <c r="AK145" s="27"/>
      <c r="AL145" s="27"/>
      <c r="AM145" s="27"/>
      <c r="AN145" s="27"/>
      <c r="AO145" s="27"/>
      <c r="AP145" s="27"/>
      <c r="AQ145" s="27"/>
      <c r="AR145" s="27"/>
      <c r="AS145" s="27"/>
      <c r="AT145" s="27"/>
      <c r="AU145" s="27"/>
      <c r="AV145" s="27"/>
      <c r="AW145" s="27"/>
      <c r="AX145" s="27"/>
      <c r="AY145" s="27"/>
      <c r="AZ145" s="27"/>
      <c r="BA145" s="27"/>
      <c r="BB145" s="27"/>
      <c r="BC145" s="27"/>
      <c r="BD145" s="27"/>
      <c r="BE145" s="27"/>
      <c r="BF145" s="27"/>
      <c r="BG145" s="27"/>
      <c r="BH145" s="27"/>
      <c r="BI145" s="27"/>
      <c r="BJ145" s="27"/>
      <c r="BK145" s="27"/>
    </row>
    <row r="146" spans="20:63" s="9" customFormat="1">
      <c r="T146" s="56"/>
      <c r="U146" s="56"/>
      <c r="V146" s="111"/>
      <c r="W146" s="121"/>
      <c r="Y146" s="56"/>
      <c r="AD146" s="56"/>
      <c r="AE146" s="56"/>
      <c r="AG146" s="35"/>
      <c r="AH146" s="27"/>
      <c r="AI146" s="27"/>
      <c r="AJ146" s="27"/>
      <c r="AK146" s="27"/>
      <c r="AL146" s="27"/>
      <c r="AM146" s="27"/>
      <c r="AN146" s="27"/>
      <c r="AO146" s="27"/>
      <c r="AP146" s="27"/>
      <c r="AQ146" s="27"/>
      <c r="AR146" s="27"/>
      <c r="AS146" s="27"/>
      <c r="AT146" s="27"/>
      <c r="AU146" s="27"/>
      <c r="AV146" s="27"/>
      <c r="AW146" s="27"/>
      <c r="AX146" s="27"/>
      <c r="AY146" s="27"/>
      <c r="AZ146" s="27"/>
      <c r="BA146" s="27"/>
      <c r="BB146" s="27"/>
      <c r="BC146" s="27"/>
      <c r="BD146" s="27"/>
      <c r="BE146" s="27"/>
      <c r="BF146" s="27"/>
      <c r="BG146" s="27"/>
      <c r="BH146" s="27"/>
      <c r="BI146" s="27"/>
      <c r="BJ146" s="27"/>
      <c r="BK146" s="27"/>
    </row>
    <row r="147" spans="20:63" s="9" customFormat="1">
      <c r="T147" s="56"/>
      <c r="U147" s="56"/>
      <c r="V147" s="111"/>
      <c r="W147" s="121"/>
      <c r="Y147" s="56"/>
      <c r="AD147" s="56"/>
      <c r="AE147" s="56"/>
      <c r="AG147" s="35"/>
      <c r="AH147" s="27"/>
      <c r="AI147" s="27"/>
      <c r="AJ147" s="27"/>
      <c r="AK147" s="27"/>
      <c r="AL147" s="27"/>
      <c r="AM147" s="27"/>
      <c r="AN147" s="27"/>
      <c r="AO147" s="27"/>
      <c r="AP147" s="27"/>
      <c r="AQ147" s="27"/>
      <c r="AR147" s="27"/>
      <c r="AS147" s="27"/>
      <c r="AT147" s="27"/>
      <c r="AU147" s="27"/>
      <c r="AV147" s="27"/>
      <c r="AW147" s="27"/>
      <c r="AX147" s="27"/>
      <c r="AY147" s="27"/>
      <c r="AZ147" s="27"/>
      <c r="BA147" s="27"/>
      <c r="BB147" s="27"/>
      <c r="BC147" s="27"/>
      <c r="BD147" s="27"/>
      <c r="BE147" s="27"/>
      <c r="BF147" s="27"/>
      <c r="BG147" s="27"/>
      <c r="BH147" s="27"/>
      <c r="BI147" s="27"/>
      <c r="BJ147" s="27"/>
      <c r="BK147" s="27"/>
    </row>
    <row r="148" spans="20:63" s="9" customFormat="1">
      <c r="T148" s="56"/>
      <c r="U148" s="56"/>
      <c r="V148" s="111"/>
      <c r="W148" s="121"/>
      <c r="Y148" s="56"/>
      <c r="AD148" s="56"/>
      <c r="AE148" s="56"/>
      <c r="AG148" s="35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</row>
    <row r="149" spans="20:63" s="9" customFormat="1">
      <c r="T149" s="56"/>
      <c r="U149" s="56"/>
      <c r="V149" s="111"/>
      <c r="W149" s="121"/>
      <c r="Y149" s="56"/>
      <c r="AD149" s="56"/>
      <c r="AE149" s="56"/>
      <c r="AG149" s="35"/>
      <c r="AH149" s="27"/>
      <c r="AI149" s="27"/>
      <c r="AJ149" s="27"/>
      <c r="AK149" s="27"/>
      <c r="AL149" s="27"/>
      <c r="AM149" s="27"/>
      <c r="AN149" s="27"/>
      <c r="AO149" s="27"/>
      <c r="AP149" s="27"/>
      <c r="AQ149" s="27"/>
      <c r="AR149" s="27"/>
      <c r="AS149" s="27"/>
      <c r="AT149" s="27"/>
      <c r="AU149" s="27"/>
      <c r="AV149" s="27"/>
      <c r="AW149" s="27"/>
      <c r="AX149" s="27"/>
      <c r="AY149" s="27"/>
      <c r="AZ149" s="27"/>
      <c r="BA149" s="27"/>
      <c r="BB149" s="27"/>
      <c r="BC149" s="27"/>
      <c r="BD149" s="27"/>
      <c r="BE149" s="27"/>
      <c r="BF149" s="27"/>
      <c r="BG149" s="27"/>
      <c r="BH149" s="27"/>
      <c r="BI149" s="27"/>
      <c r="BJ149" s="27"/>
      <c r="BK149" s="27"/>
    </row>
    <row r="150" spans="20:63" s="9" customFormat="1">
      <c r="T150" s="56"/>
      <c r="U150" s="56"/>
      <c r="V150" s="111"/>
      <c r="W150" s="121"/>
      <c r="Y150" s="56"/>
      <c r="AD150" s="56"/>
      <c r="AE150" s="56"/>
      <c r="AG150" s="35"/>
      <c r="AH150" s="27"/>
      <c r="AI150" s="27"/>
      <c r="AJ150" s="27"/>
      <c r="AK150" s="27"/>
      <c r="AL150" s="27"/>
      <c r="AM150" s="27"/>
      <c r="AN150" s="27"/>
      <c r="AO150" s="27"/>
      <c r="AP150" s="27"/>
      <c r="AQ150" s="27"/>
      <c r="AR150" s="27"/>
      <c r="AS150" s="27"/>
      <c r="AT150" s="27"/>
      <c r="AU150" s="27"/>
      <c r="AV150" s="27"/>
      <c r="AW150" s="27"/>
      <c r="AX150" s="27"/>
      <c r="AY150" s="27"/>
      <c r="AZ150" s="27"/>
      <c r="BA150" s="27"/>
      <c r="BB150" s="27"/>
      <c r="BC150" s="27"/>
      <c r="BD150" s="27"/>
      <c r="BE150" s="27"/>
      <c r="BF150" s="27"/>
      <c r="BG150" s="27"/>
      <c r="BH150" s="27"/>
      <c r="BI150" s="27"/>
      <c r="BJ150" s="27"/>
      <c r="BK150" s="27"/>
    </row>
    <row r="151" spans="20:63" s="9" customFormat="1">
      <c r="T151" s="56"/>
      <c r="U151" s="56"/>
      <c r="V151" s="111"/>
      <c r="W151" s="121"/>
      <c r="Y151" s="56"/>
      <c r="AD151" s="56"/>
      <c r="AE151" s="56"/>
      <c r="AG151" s="35"/>
      <c r="AH151" s="27"/>
      <c r="AI151" s="27"/>
      <c r="AJ151" s="27"/>
      <c r="AK151" s="27"/>
      <c r="AL151" s="27"/>
      <c r="AM151" s="27"/>
      <c r="AN151" s="27"/>
      <c r="AO151" s="27"/>
      <c r="AP151" s="27"/>
      <c r="AQ151" s="27"/>
      <c r="AR151" s="27"/>
      <c r="AS151" s="27"/>
      <c r="AT151" s="27"/>
      <c r="AU151" s="27"/>
      <c r="AV151" s="27"/>
      <c r="AW151" s="27"/>
      <c r="AX151" s="27"/>
      <c r="AY151" s="27"/>
      <c r="AZ151" s="27"/>
      <c r="BA151" s="27"/>
      <c r="BB151" s="27"/>
      <c r="BC151" s="27"/>
      <c r="BD151" s="27"/>
      <c r="BE151" s="27"/>
      <c r="BF151" s="27"/>
      <c r="BG151" s="27"/>
      <c r="BH151" s="27"/>
      <c r="BI151" s="27"/>
      <c r="BJ151" s="27"/>
      <c r="BK151" s="27"/>
    </row>
    <row r="152" spans="20:63" s="9" customFormat="1">
      <c r="T152" s="56"/>
      <c r="U152" s="56"/>
      <c r="V152" s="111"/>
      <c r="W152" s="121"/>
      <c r="Y152" s="56"/>
      <c r="AD152" s="56"/>
      <c r="AE152" s="56"/>
      <c r="AG152" s="35"/>
      <c r="AH152" s="27"/>
      <c r="AI152" s="27"/>
      <c r="AJ152" s="27"/>
      <c r="AK152" s="27"/>
      <c r="AL152" s="27"/>
      <c r="AM152" s="27"/>
      <c r="AN152" s="27"/>
      <c r="AO152" s="27"/>
      <c r="AP152" s="27"/>
      <c r="AQ152" s="27"/>
      <c r="AR152" s="27"/>
      <c r="AS152" s="27"/>
      <c r="AT152" s="27"/>
      <c r="AU152" s="27"/>
      <c r="AV152" s="27"/>
      <c r="AW152" s="27"/>
      <c r="AX152" s="27"/>
      <c r="AY152" s="27"/>
      <c r="AZ152" s="27"/>
      <c r="BA152" s="27"/>
      <c r="BB152" s="27"/>
      <c r="BC152" s="27"/>
      <c r="BD152" s="27"/>
      <c r="BE152" s="27"/>
      <c r="BF152" s="27"/>
      <c r="BG152" s="27"/>
      <c r="BH152" s="27"/>
      <c r="BI152" s="27"/>
      <c r="BJ152" s="27"/>
      <c r="BK152" s="27"/>
    </row>
    <row r="153" spans="20:63" s="9" customFormat="1">
      <c r="T153" s="56"/>
      <c r="U153" s="56"/>
      <c r="V153" s="111"/>
      <c r="W153" s="121"/>
      <c r="Y153" s="56"/>
      <c r="AD153" s="56"/>
      <c r="AE153" s="56"/>
      <c r="AG153" s="35"/>
      <c r="AH153" s="27"/>
      <c r="AI153" s="27"/>
      <c r="AJ153" s="27"/>
      <c r="AK153" s="27"/>
      <c r="AL153" s="27"/>
      <c r="AM153" s="27"/>
      <c r="AN153" s="27"/>
      <c r="AO153" s="27"/>
      <c r="AP153" s="27"/>
      <c r="AQ153" s="27"/>
      <c r="AR153" s="27"/>
      <c r="AS153" s="27"/>
      <c r="AT153" s="27"/>
      <c r="AU153" s="27"/>
      <c r="AV153" s="27"/>
      <c r="AW153" s="27"/>
      <c r="AX153" s="27"/>
      <c r="AY153" s="27"/>
      <c r="AZ153" s="27"/>
      <c r="BA153" s="27"/>
      <c r="BB153" s="27"/>
      <c r="BC153" s="27"/>
      <c r="BD153" s="27"/>
      <c r="BE153" s="27"/>
      <c r="BF153" s="27"/>
      <c r="BG153" s="27"/>
      <c r="BH153" s="27"/>
      <c r="BI153" s="27"/>
      <c r="BJ153" s="27"/>
      <c r="BK153" s="27"/>
    </row>
    <row r="154" spans="20:63" s="9" customFormat="1">
      <c r="T154" s="56"/>
      <c r="U154" s="56"/>
      <c r="V154" s="111"/>
      <c r="W154" s="121"/>
      <c r="Y154" s="56"/>
      <c r="AD154" s="56"/>
      <c r="AE154" s="56"/>
      <c r="AG154" s="35"/>
      <c r="AH154" s="27"/>
      <c r="AI154" s="27"/>
      <c r="AJ154" s="27"/>
      <c r="AK154" s="27"/>
      <c r="AL154" s="27"/>
      <c r="AM154" s="27"/>
      <c r="AN154" s="27"/>
      <c r="AO154" s="27"/>
      <c r="AP154" s="27"/>
      <c r="AQ154" s="27"/>
      <c r="AR154" s="27"/>
      <c r="AS154" s="27"/>
      <c r="AT154" s="27"/>
      <c r="AU154" s="27"/>
      <c r="AV154" s="27"/>
      <c r="AW154" s="27"/>
      <c r="AX154" s="27"/>
      <c r="AY154" s="27"/>
      <c r="AZ154" s="27"/>
      <c r="BA154" s="27"/>
      <c r="BB154" s="27"/>
      <c r="BC154" s="27"/>
      <c r="BD154" s="27"/>
      <c r="BE154" s="27"/>
      <c r="BF154" s="27"/>
      <c r="BG154" s="27"/>
      <c r="BH154" s="27"/>
      <c r="BI154" s="27"/>
      <c r="BJ154" s="27"/>
      <c r="BK154" s="27"/>
    </row>
    <row r="155" spans="20:63" s="9" customFormat="1">
      <c r="T155" s="56"/>
      <c r="U155" s="56"/>
      <c r="V155" s="111"/>
      <c r="W155" s="121"/>
      <c r="Y155" s="56"/>
      <c r="AD155" s="56"/>
      <c r="AE155" s="56"/>
      <c r="AG155" s="35"/>
      <c r="AH155" s="27"/>
      <c r="AI155" s="27"/>
      <c r="AJ155" s="27"/>
      <c r="AK155" s="27"/>
      <c r="AL155" s="27"/>
      <c r="AM155" s="27"/>
      <c r="AN155" s="27"/>
      <c r="AO155" s="27"/>
      <c r="AP155" s="27"/>
      <c r="AQ155" s="27"/>
      <c r="AR155" s="27"/>
      <c r="AS155" s="27"/>
      <c r="AT155" s="27"/>
      <c r="AU155" s="27"/>
      <c r="AV155" s="27"/>
      <c r="AW155" s="27"/>
      <c r="AX155" s="27"/>
      <c r="AY155" s="27"/>
      <c r="AZ155" s="27"/>
      <c r="BA155" s="27"/>
      <c r="BB155" s="27"/>
      <c r="BC155" s="27"/>
      <c r="BD155" s="27"/>
      <c r="BE155" s="27"/>
      <c r="BF155" s="27"/>
      <c r="BG155" s="27"/>
      <c r="BH155" s="27"/>
      <c r="BI155" s="27"/>
      <c r="BJ155" s="27"/>
      <c r="BK155" s="27"/>
    </row>
    <row r="156" spans="20:63" s="9" customFormat="1">
      <c r="T156" s="56"/>
      <c r="U156" s="56"/>
      <c r="V156" s="111"/>
      <c r="W156" s="121"/>
      <c r="Y156" s="56"/>
      <c r="AD156" s="56"/>
      <c r="AE156" s="56"/>
      <c r="AG156" s="35"/>
      <c r="AH156" s="27"/>
      <c r="AI156" s="27"/>
      <c r="AJ156" s="27"/>
      <c r="AK156" s="27"/>
      <c r="AL156" s="27"/>
      <c r="AM156" s="27"/>
      <c r="AN156" s="27"/>
      <c r="AO156" s="27"/>
      <c r="AP156" s="27"/>
      <c r="AQ156" s="27"/>
      <c r="AR156" s="27"/>
      <c r="AS156" s="27"/>
      <c r="AT156" s="27"/>
      <c r="AU156" s="27"/>
      <c r="AV156" s="27"/>
      <c r="AW156" s="27"/>
      <c r="AX156" s="27"/>
      <c r="AY156" s="27"/>
      <c r="AZ156" s="27"/>
      <c r="BA156" s="27"/>
      <c r="BB156" s="27"/>
      <c r="BC156" s="27"/>
      <c r="BD156" s="27"/>
      <c r="BE156" s="27"/>
      <c r="BF156" s="27"/>
      <c r="BG156" s="27"/>
      <c r="BH156" s="27"/>
      <c r="BI156" s="27"/>
      <c r="BJ156" s="27"/>
      <c r="BK156" s="27"/>
    </row>
    <row r="157" spans="20:63" s="9" customFormat="1">
      <c r="T157" s="56"/>
      <c r="U157" s="56"/>
      <c r="V157" s="111"/>
      <c r="W157" s="121"/>
      <c r="Y157" s="56"/>
      <c r="AD157" s="56"/>
      <c r="AE157" s="56"/>
      <c r="AG157" s="35"/>
      <c r="AH157" s="27"/>
      <c r="AI157" s="27"/>
      <c r="AJ157" s="27"/>
      <c r="AK157" s="27"/>
      <c r="AL157" s="27"/>
      <c r="AM157" s="27"/>
      <c r="AN157" s="27"/>
      <c r="AO157" s="27"/>
      <c r="AP157" s="27"/>
      <c r="AQ157" s="27"/>
      <c r="AR157" s="27"/>
      <c r="AS157" s="27"/>
      <c r="AT157" s="27"/>
      <c r="AU157" s="27"/>
      <c r="AV157" s="27"/>
      <c r="AW157" s="27"/>
      <c r="AX157" s="27"/>
      <c r="AY157" s="27"/>
      <c r="AZ157" s="27"/>
      <c r="BA157" s="27"/>
      <c r="BB157" s="27"/>
      <c r="BC157" s="27"/>
      <c r="BD157" s="27"/>
      <c r="BE157" s="27"/>
      <c r="BF157" s="27"/>
      <c r="BG157" s="27"/>
      <c r="BH157" s="27"/>
      <c r="BI157" s="27"/>
      <c r="BJ157" s="27"/>
      <c r="BK157" s="27"/>
    </row>
    <row r="158" spans="20:63" s="9" customFormat="1">
      <c r="T158" s="56"/>
      <c r="U158" s="56"/>
      <c r="V158" s="111"/>
      <c r="W158" s="121"/>
      <c r="Y158" s="56"/>
      <c r="AD158" s="56"/>
      <c r="AE158" s="56"/>
      <c r="AG158" s="35"/>
      <c r="AH158" s="27"/>
      <c r="AI158" s="27"/>
      <c r="AJ158" s="27"/>
      <c r="AK158" s="27"/>
      <c r="AL158" s="27"/>
      <c r="AM158" s="27"/>
      <c r="AN158" s="27"/>
      <c r="AO158" s="27"/>
      <c r="AP158" s="27"/>
      <c r="AQ158" s="27"/>
      <c r="AR158" s="27"/>
      <c r="AS158" s="27"/>
      <c r="AT158" s="27"/>
      <c r="AU158" s="27"/>
      <c r="AV158" s="27"/>
      <c r="AW158" s="27"/>
      <c r="AX158" s="27"/>
      <c r="AY158" s="27"/>
      <c r="AZ158" s="27"/>
      <c r="BA158" s="27"/>
      <c r="BB158" s="27"/>
      <c r="BC158" s="27"/>
      <c r="BD158" s="27"/>
      <c r="BE158" s="27"/>
      <c r="BF158" s="27"/>
      <c r="BG158" s="27"/>
      <c r="BH158" s="27"/>
      <c r="BI158" s="27"/>
      <c r="BJ158" s="27"/>
      <c r="BK158" s="27"/>
    </row>
    <row r="159" spans="20:63" s="9" customFormat="1">
      <c r="T159" s="56"/>
      <c r="U159" s="56"/>
      <c r="V159" s="111"/>
      <c r="W159" s="121"/>
      <c r="Y159" s="56"/>
      <c r="AD159" s="56"/>
      <c r="AE159" s="56"/>
      <c r="AG159" s="35"/>
      <c r="AH159" s="27"/>
      <c r="AI159" s="27"/>
      <c r="AJ159" s="27"/>
      <c r="AK159" s="27"/>
      <c r="AL159" s="27"/>
      <c r="AM159" s="27"/>
      <c r="AN159" s="27"/>
      <c r="AO159" s="27"/>
      <c r="AP159" s="27"/>
      <c r="AQ159" s="27"/>
      <c r="AR159" s="27"/>
      <c r="AS159" s="27"/>
      <c r="AT159" s="27"/>
      <c r="AU159" s="27"/>
      <c r="AV159" s="27"/>
      <c r="AW159" s="27"/>
      <c r="AX159" s="27"/>
      <c r="AY159" s="27"/>
      <c r="AZ159" s="27"/>
      <c r="BA159" s="27"/>
      <c r="BB159" s="27"/>
      <c r="BC159" s="27"/>
      <c r="BD159" s="27"/>
      <c r="BE159" s="27"/>
      <c r="BF159" s="27"/>
      <c r="BG159" s="27"/>
      <c r="BH159" s="27"/>
      <c r="BI159" s="27"/>
      <c r="BJ159" s="27"/>
      <c r="BK159" s="27"/>
    </row>
    <row r="160" spans="20:63" s="9" customFormat="1">
      <c r="T160" s="56"/>
      <c r="U160" s="56"/>
      <c r="V160" s="111"/>
      <c r="W160" s="121"/>
      <c r="Y160" s="56"/>
      <c r="AD160" s="56"/>
      <c r="AE160" s="56"/>
      <c r="AG160" s="35"/>
      <c r="AH160" s="27"/>
      <c r="AI160" s="27"/>
      <c r="AJ160" s="27"/>
      <c r="AK160" s="27"/>
      <c r="AL160" s="27"/>
      <c r="AM160" s="27"/>
      <c r="AN160" s="27"/>
      <c r="AO160" s="27"/>
      <c r="AP160" s="27"/>
      <c r="AQ160" s="27"/>
      <c r="AR160" s="27"/>
      <c r="AS160" s="27"/>
      <c r="AT160" s="27"/>
      <c r="AU160" s="27"/>
      <c r="AV160" s="27"/>
      <c r="AW160" s="27"/>
      <c r="AX160" s="27"/>
      <c r="AY160" s="27"/>
      <c r="AZ160" s="27"/>
      <c r="BA160" s="27"/>
      <c r="BB160" s="27"/>
      <c r="BC160" s="27"/>
      <c r="BD160" s="27"/>
      <c r="BE160" s="27"/>
      <c r="BF160" s="27"/>
      <c r="BG160" s="27"/>
      <c r="BH160" s="27"/>
      <c r="BI160" s="27"/>
      <c r="BJ160" s="27"/>
      <c r="BK160" s="27"/>
    </row>
    <row r="161" spans="20:63" s="9" customFormat="1">
      <c r="T161" s="56"/>
      <c r="U161" s="56"/>
      <c r="V161" s="111"/>
      <c r="W161" s="121"/>
      <c r="Y161" s="56"/>
      <c r="AD161" s="56"/>
      <c r="AE161" s="56"/>
      <c r="AG161" s="35"/>
      <c r="AH161" s="27"/>
      <c r="AI161" s="27"/>
      <c r="AJ161" s="27"/>
      <c r="AK161" s="27"/>
      <c r="AL161" s="27"/>
      <c r="AM161" s="27"/>
      <c r="AN161" s="27"/>
      <c r="AO161" s="27"/>
      <c r="AP161" s="27"/>
      <c r="AQ161" s="27"/>
      <c r="AR161" s="27"/>
      <c r="AS161" s="27"/>
      <c r="AT161" s="27"/>
      <c r="AU161" s="27"/>
      <c r="AV161" s="27"/>
      <c r="AW161" s="27"/>
      <c r="AX161" s="27"/>
      <c r="AY161" s="27"/>
      <c r="AZ161" s="27"/>
      <c r="BA161" s="27"/>
      <c r="BB161" s="27"/>
      <c r="BC161" s="27"/>
      <c r="BD161" s="27"/>
      <c r="BE161" s="27"/>
      <c r="BF161" s="27"/>
      <c r="BG161" s="27"/>
      <c r="BH161" s="27"/>
      <c r="BI161" s="27"/>
      <c r="BJ161" s="27"/>
      <c r="BK161" s="27"/>
    </row>
    <row r="162" spans="20:63" s="9" customFormat="1">
      <c r="T162" s="56"/>
      <c r="U162" s="56"/>
      <c r="V162" s="111"/>
      <c r="W162" s="121"/>
      <c r="Y162" s="56"/>
      <c r="AD162" s="56"/>
      <c r="AE162" s="56"/>
      <c r="AG162" s="35"/>
      <c r="AH162" s="27"/>
      <c r="AI162" s="27"/>
      <c r="AJ162" s="27"/>
      <c r="AK162" s="27"/>
      <c r="AL162" s="27"/>
      <c r="AM162" s="27"/>
      <c r="AN162" s="27"/>
      <c r="AO162" s="27"/>
      <c r="AP162" s="27"/>
      <c r="AQ162" s="27"/>
      <c r="AR162" s="27"/>
      <c r="AS162" s="27"/>
      <c r="AT162" s="27"/>
      <c r="AU162" s="27"/>
      <c r="AV162" s="27"/>
      <c r="AW162" s="27"/>
      <c r="AX162" s="27"/>
      <c r="AY162" s="27"/>
      <c r="AZ162" s="27"/>
      <c r="BA162" s="27"/>
      <c r="BB162" s="27"/>
      <c r="BC162" s="27"/>
      <c r="BD162" s="27"/>
      <c r="BE162" s="27"/>
      <c r="BF162" s="27"/>
      <c r="BG162" s="27"/>
      <c r="BH162" s="27"/>
      <c r="BI162" s="27"/>
      <c r="BJ162" s="27"/>
      <c r="BK162" s="27"/>
    </row>
    <row r="163" spans="20:63" s="9" customFormat="1">
      <c r="T163" s="56"/>
      <c r="U163" s="56"/>
      <c r="V163" s="111"/>
      <c r="W163" s="121"/>
      <c r="Y163" s="56"/>
      <c r="AD163" s="56"/>
      <c r="AE163" s="56"/>
      <c r="AG163" s="35"/>
      <c r="AH163" s="27"/>
      <c r="AI163" s="27"/>
      <c r="AJ163" s="27"/>
      <c r="AK163" s="27"/>
      <c r="AL163" s="27"/>
      <c r="AM163" s="27"/>
      <c r="AN163" s="27"/>
      <c r="AO163" s="27"/>
      <c r="AP163" s="27"/>
      <c r="AQ163" s="27"/>
      <c r="AR163" s="27"/>
      <c r="AS163" s="27"/>
      <c r="AT163" s="27"/>
      <c r="AU163" s="27"/>
      <c r="AV163" s="27"/>
      <c r="AW163" s="27"/>
      <c r="AX163" s="27"/>
      <c r="AY163" s="27"/>
      <c r="AZ163" s="27"/>
      <c r="BA163" s="27"/>
      <c r="BB163" s="27"/>
      <c r="BC163" s="27"/>
      <c r="BD163" s="27"/>
      <c r="BE163" s="27"/>
      <c r="BF163" s="27"/>
      <c r="BG163" s="27"/>
      <c r="BH163" s="27"/>
      <c r="BI163" s="27"/>
      <c r="BJ163" s="27"/>
      <c r="BK163" s="27"/>
    </row>
    <row r="164" spans="20:63" s="9" customFormat="1">
      <c r="T164" s="56"/>
      <c r="U164" s="56"/>
      <c r="V164" s="111"/>
      <c r="W164" s="121"/>
      <c r="Y164" s="56"/>
      <c r="AD164" s="56"/>
      <c r="AE164" s="56"/>
      <c r="AG164" s="35"/>
      <c r="AH164" s="27"/>
      <c r="AI164" s="27"/>
      <c r="AJ164" s="27"/>
      <c r="AK164" s="27"/>
      <c r="AL164" s="27"/>
      <c r="AM164" s="27"/>
      <c r="AN164" s="27"/>
      <c r="AO164" s="27"/>
      <c r="AP164" s="27"/>
      <c r="AQ164" s="27"/>
      <c r="AR164" s="27"/>
      <c r="AS164" s="27"/>
      <c r="AT164" s="27"/>
      <c r="AU164" s="27"/>
      <c r="AV164" s="27"/>
      <c r="AW164" s="27"/>
      <c r="AX164" s="27"/>
      <c r="AY164" s="27"/>
      <c r="AZ164" s="27"/>
      <c r="BA164" s="27"/>
      <c r="BB164" s="27"/>
      <c r="BC164" s="27"/>
      <c r="BD164" s="27"/>
      <c r="BE164" s="27"/>
      <c r="BF164" s="27"/>
      <c r="BG164" s="27"/>
      <c r="BH164" s="27"/>
      <c r="BI164" s="27"/>
      <c r="BJ164" s="27"/>
      <c r="BK164" s="27"/>
    </row>
    <row r="165" spans="20:63" s="9" customFormat="1">
      <c r="T165" s="56"/>
      <c r="U165" s="56"/>
      <c r="V165" s="111"/>
      <c r="W165" s="121"/>
      <c r="Y165" s="56"/>
      <c r="AD165" s="56"/>
      <c r="AE165" s="56"/>
      <c r="AG165" s="35"/>
      <c r="AH165" s="27"/>
      <c r="AI165" s="27"/>
      <c r="AJ165" s="27"/>
      <c r="AK165" s="27"/>
      <c r="AL165" s="27"/>
      <c r="AM165" s="27"/>
      <c r="AN165" s="27"/>
      <c r="AO165" s="27"/>
      <c r="AP165" s="27"/>
      <c r="AQ165" s="27"/>
      <c r="AR165" s="27"/>
      <c r="AS165" s="27"/>
      <c r="AT165" s="27"/>
      <c r="AU165" s="27"/>
      <c r="AV165" s="27"/>
      <c r="AW165" s="27"/>
      <c r="AX165" s="27"/>
      <c r="AY165" s="27"/>
      <c r="AZ165" s="27"/>
      <c r="BA165" s="27"/>
      <c r="BB165" s="27"/>
      <c r="BC165" s="27"/>
      <c r="BD165" s="27"/>
      <c r="BE165" s="27"/>
      <c r="BF165" s="27"/>
      <c r="BG165" s="27"/>
      <c r="BH165" s="27"/>
      <c r="BI165" s="27"/>
      <c r="BJ165" s="27"/>
      <c r="BK165" s="27"/>
    </row>
    <row r="166" spans="20:63" s="9" customFormat="1">
      <c r="T166" s="56"/>
      <c r="U166" s="56"/>
      <c r="V166" s="111"/>
      <c r="W166" s="121"/>
      <c r="Y166" s="56"/>
      <c r="AD166" s="56"/>
      <c r="AE166" s="56"/>
      <c r="AG166" s="35"/>
      <c r="AH166" s="27"/>
      <c r="AI166" s="27"/>
      <c r="AJ166" s="27"/>
      <c r="AK166" s="27"/>
      <c r="AL166" s="27"/>
      <c r="AM166" s="27"/>
      <c r="AN166" s="27"/>
      <c r="AO166" s="27"/>
      <c r="AP166" s="27"/>
      <c r="AQ166" s="27"/>
      <c r="AR166" s="27"/>
      <c r="AS166" s="27"/>
      <c r="AT166" s="27"/>
      <c r="AU166" s="27"/>
      <c r="AV166" s="27"/>
      <c r="AW166" s="27"/>
      <c r="AX166" s="27"/>
      <c r="AY166" s="27"/>
      <c r="AZ166" s="27"/>
      <c r="BA166" s="27"/>
      <c r="BB166" s="27"/>
      <c r="BC166" s="27"/>
      <c r="BD166" s="27"/>
      <c r="BE166" s="27"/>
      <c r="BF166" s="27"/>
      <c r="BG166" s="27"/>
      <c r="BH166" s="27"/>
      <c r="BI166" s="27"/>
      <c r="BJ166" s="27"/>
      <c r="BK166" s="27"/>
    </row>
    <row r="167" spans="20:63" s="9" customFormat="1">
      <c r="T167" s="56"/>
      <c r="U167" s="56"/>
      <c r="V167" s="111"/>
      <c r="W167" s="121"/>
      <c r="Y167" s="56"/>
      <c r="AD167" s="56"/>
      <c r="AE167" s="56"/>
      <c r="AG167" s="35"/>
      <c r="AH167" s="27"/>
      <c r="AI167" s="27"/>
      <c r="AJ167" s="27"/>
      <c r="AK167" s="27"/>
      <c r="AL167" s="27"/>
      <c r="AM167" s="27"/>
      <c r="AN167" s="27"/>
      <c r="AO167" s="27"/>
      <c r="AP167" s="27"/>
      <c r="AQ167" s="27"/>
      <c r="AR167" s="27"/>
      <c r="AS167" s="27"/>
      <c r="AT167" s="27"/>
      <c r="AU167" s="27"/>
      <c r="AV167" s="27"/>
      <c r="AW167" s="27"/>
      <c r="AX167" s="27"/>
      <c r="AY167" s="27"/>
      <c r="AZ167" s="27"/>
      <c r="BA167" s="27"/>
      <c r="BB167" s="27"/>
      <c r="BC167" s="27"/>
      <c r="BD167" s="27"/>
      <c r="BE167" s="27"/>
      <c r="BF167" s="27"/>
      <c r="BG167" s="27"/>
      <c r="BH167" s="27"/>
      <c r="BI167" s="27"/>
      <c r="BJ167" s="27"/>
      <c r="BK167" s="27"/>
    </row>
    <row r="168" spans="20:63" s="9" customFormat="1">
      <c r="T168" s="56"/>
      <c r="U168" s="56"/>
      <c r="V168" s="111"/>
      <c r="W168" s="121"/>
      <c r="Y168" s="56"/>
      <c r="AD168" s="56"/>
      <c r="AE168" s="56"/>
      <c r="AG168" s="35"/>
      <c r="AH168" s="27"/>
      <c r="AI168" s="27"/>
      <c r="AJ168" s="27"/>
      <c r="AK168" s="27"/>
      <c r="AL168" s="27"/>
      <c r="AM168" s="27"/>
      <c r="AN168" s="27"/>
      <c r="AO168" s="27"/>
      <c r="AP168" s="27"/>
      <c r="AQ168" s="27"/>
      <c r="AR168" s="27"/>
      <c r="AS168" s="27"/>
      <c r="AT168" s="27"/>
      <c r="AU168" s="27"/>
      <c r="AV168" s="27"/>
      <c r="AW168" s="27"/>
      <c r="AX168" s="27"/>
      <c r="AY168" s="27"/>
      <c r="AZ168" s="27"/>
      <c r="BA168" s="27"/>
      <c r="BB168" s="27"/>
      <c r="BC168" s="27"/>
      <c r="BD168" s="27"/>
      <c r="BE168" s="27"/>
      <c r="BF168" s="27"/>
      <c r="BG168" s="27"/>
      <c r="BH168" s="27"/>
      <c r="BI168" s="27"/>
      <c r="BJ168" s="27"/>
      <c r="BK168" s="27"/>
    </row>
    <row r="169" spans="20:63" s="9" customFormat="1">
      <c r="T169" s="56"/>
      <c r="U169" s="56"/>
      <c r="V169" s="111"/>
      <c r="W169" s="121"/>
      <c r="Y169" s="56"/>
      <c r="AD169" s="56"/>
      <c r="AE169" s="56"/>
      <c r="AG169" s="35"/>
      <c r="AH169" s="27"/>
      <c r="AI169" s="27"/>
      <c r="AJ169" s="27"/>
      <c r="AK169" s="27"/>
      <c r="AL169" s="27"/>
      <c r="AM169" s="27"/>
      <c r="AN169" s="27"/>
      <c r="AO169" s="27"/>
      <c r="AP169" s="27"/>
      <c r="AQ169" s="27"/>
      <c r="AR169" s="27"/>
      <c r="AS169" s="27"/>
      <c r="AT169" s="27"/>
      <c r="AU169" s="27"/>
      <c r="AV169" s="27"/>
      <c r="AW169" s="27"/>
      <c r="AX169" s="27"/>
      <c r="AY169" s="27"/>
      <c r="AZ169" s="27"/>
      <c r="BA169" s="27"/>
      <c r="BB169" s="27"/>
      <c r="BC169" s="27"/>
      <c r="BD169" s="27"/>
      <c r="BE169" s="27"/>
      <c r="BF169" s="27"/>
      <c r="BG169" s="27"/>
      <c r="BH169" s="27"/>
      <c r="BI169" s="27"/>
      <c r="BJ169" s="27"/>
      <c r="BK169" s="27"/>
    </row>
    <row r="170" spans="20:63" s="9" customFormat="1">
      <c r="T170" s="56"/>
      <c r="U170" s="56"/>
      <c r="V170" s="111"/>
      <c r="W170" s="121"/>
      <c r="Y170" s="56"/>
      <c r="AD170" s="56"/>
      <c r="AE170" s="56"/>
      <c r="AG170" s="35"/>
      <c r="AH170" s="27"/>
      <c r="AI170" s="27"/>
      <c r="AJ170" s="27"/>
      <c r="AK170" s="27"/>
      <c r="AL170" s="27"/>
      <c r="AM170" s="27"/>
      <c r="AN170" s="27"/>
      <c r="AO170" s="27"/>
      <c r="AP170" s="27"/>
      <c r="AQ170" s="27"/>
      <c r="AR170" s="27"/>
      <c r="AS170" s="27"/>
      <c r="AT170" s="27"/>
      <c r="AU170" s="27"/>
      <c r="AV170" s="27"/>
      <c r="AW170" s="27"/>
      <c r="AX170" s="27"/>
      <c r="AY170" s="27"/>
      <c r="AZ170" s="27"/>
      <c r="BA170" s="27"/>
      <c r="BB170" s="27"/>
      <c r="BC170" s="27"/>
      <c r="BD170" s="27"/>
      <c r="BE170" s="27"/>
      <c r="BF170" s="27"/>
      <c r="BG170" s="27"/>
      <c r="BH170" s="27"/>
      <c r="BI170" s="27"/>
      <c r="BJ170" s="27"/>
      <c r="BK170" s="27"/>
    </row>
    <row r="171" spans="20:63" s="9" customFormat="1">
      <c r="T171" s="56"/>
      <c r="U171" s="56"/>
      <c r="V171" s="111"/>
      <c r="W171" s="121"/>
      <c r="Y171" s="56"/>
      <c r="AD171" s="56"/>
      <c r="AE171" s="56"/>
      <c r="AG171" s="35"/>
      <c r="AH171" s="27"/>
      <c r="AI171" s="27"/>
      <c r="AJ171" s="27"/>
      <c r="AK171" s="27"/>
      <c r="AL171" s="27"/>
      <c r="AM171" s="27"/>
      <c r="AN171" s="27"/>
      <c r="AO171" s="27"/>
      <c r="AP171" s="27"/>
      <c r="AQ171" s="27"/>
      <c r="AR171" s="27"/>
      <c r="AS171" s="27"/>
      <c r="AT171" s="27"/>
      <c r="AU171" s="27"/>
      <c r="AV171" s="27"/>
      <c r="AW171" s="27"/>
      <c r="AX171" s="27"/>
      <c r="AY171" s="27"/>
      <c r="AZ171" s="27"/>
      <c r="BA171" s="27"/>
      <c r="BB171" s="27"/>
      <c r="BC171" s="27"/>
      <c r="BD171" s="27"/>
      <c r="BE171" s="27"/>
      <c r="BF171" s="27"/>
      <c r="BG171" s="27"/>
      <c r="BH171" s="27"/>
      <c r="BI171" s="27"/>
      <c r="BJ171" s="27"/>
      <c r="BK171" s="27"/>
    </row>
    <row r="172" spans="20:63" s="9" customFormat="1">
      <c r="T172" s="56"/>
      <c r="U172" s="56"/>
      <c r="V172" s="111"/>
      <c r="W172" s="121"/>
      <c r="Y172" s="56"/>
      <c r="AD172" s="56"/>
      <c r="AE172" s="56"/>
      <c r="AG172" s="35"/>
      <c r="AH172" s="27"/>
      <c r="AI172" s="27"/>
      <c r="AJ172" s="27"/>
      <c r="AK172" s="27"/>
      <c r="AL172" s="27"/>
      <c r="AM172" s="27"/>
      <c r="AN172" s="27"/>
      <c r="AO172" s="27"/>
      <c r="AP172" s="27"/>
      <c r="AQ172" s="27"/>
      <c r="AR172" s="27"/>
      <c r="AS172" s="27"/>
      <c r="AT172" s="27"/>
      <c r="AU172" s="27"/>
      <c r="AV172" s="27"/>
      <c r="AW172" s="27"/>
      <c r="AX172" s="27"/>
      <c r="AY172" s="27"/>
      <c r="AZ172" s="27"/>
      <c r="BA172" s="27"/>
      <c r="BB172" s="27"/>
      <c r="BC172" s="27"/>
      <c r="BD172" s="27"/>
      <c r="BE172" s="27"/>
      <c r="BF172" s="27"/>
      <c r="BG172" s="27"/>
      <c r="BH172" s="27"/>
      <c r="BI172" s="27"/>
      <c r="BJ172" s="27"/>
      <c r="BK172" s="27"/>
    </row>
    <row r="173" spans="20:63" s="9" customFormat="1">
      <c r="T173" s="56"/>
      <c r="U173" s="56"/>
      <c r="V173" s="111"/>
      <c r="W173" s="121"/>
      <c r="Y173" s="56"/>
      <c r="AD173" s="56"/>
      <c r="AE173" s="56"/>
      <c r="AG173" s="35"/>
      <c r="AH173" s="27"/>
      <c r="AI173" s="27"/>
      <c r="AJ173" s="27"/>
      <c r="AK173" s="27"/>
      <c r="AL173" s="27"/>
      <c r="AM173" s="27"/>
      <c r="AN173" s="27"/>
      <c r="AO173" s="27"/>
      <c r="AP173" s="27"/>
      <c r="AQ173" s="27"/>
      <c r="AR173" s="27"/>
      <c r="AS173" s="27"/>
      <c r="AT173" s="27"/>
      <c r="AU173" s="27"/>
      <c r="AV173" s="27"/>
      <c r="AW173" s="27"/>
      <c r="AX173" s="27"/>
      <c r="AY173" s="27"/>
      <c r="AZ173" s="27"/>
      <c r="BA173" s="27"/>
      <c r="BB173" s="27"/>
      <c r="BC173" s="27"/>
      <c r="BD173" s="27"/>
      <c r="BE173" s="27"/>
      <c r="BF173" s="27"/>
      <c r="BG173" s="27"/>
      <c r="BH173" s="27"/>
      <c r="BI173" s="27"/>
      <c r="BJ173" s="27"/>
      <c r="BK173" s="27"/>
    </row>
    <row r="174" spans="20:63" s="9" customFormat="1">
      <c r="T174" s="56"/>
      <c r="U174" s="56"/>
      <c r="V174" s="111"/>
      <c r="W174" s="121"/>
      <c r="Y174" s="56"/>
      <c r="AD174" s="56"/>
      <c r="AE174" s="56"/>
      <c r="AG174" s="35"/>
      <c r="AH174" s="27"/>
      <c r="AI174" s="27"/>
      <c r="AJ174" s="27"/>
      <c r="AK174" s="27"/>
      <c r="AL174" s="27"/>
      <c r="AM174" s="27"/>
      <c r="AN174" s="27"/>
      <c r="AO174" s="27"/>
      <c r="AP174" s="27"/>
      <c r="AQ174" s="27"/>
      <c r="AR174" s="27"/>
      <c r="AS174" s="27"/>
      <c r="AT174" s="27"/>
      <c r="AU174" s="27"/>
      <c r="AV174" s="27"/>
      <c r="AW174" s="27"/>
      <c r="AX174" s="27"/>
      <c r="AY174" s="27"/>
      <c r="AZ174" s="27"/>
      <c r="BA174" s="27"/>
      <c r="BB174" s="27"/>
      <c r="BC174" s="27"/>
      <c r="BD174" s="27"/>
      <c r="BE174" s="27"/>
      <c r="BF174" s="27"/>
      <c r="BG174" s="27"/>
      <c r="BH174" s="27"/>
      <c r="BI174" s="27"/>
      <c r="BJ174" s="27"/>
      <c r="BK174" s="27"/>
    </row>
    <row r="175" spans="20:63" s="9" customFormat="1">
      <c r="T175" s="56"/>
      <c r="U175" s="56"/>
      <c r="V175" s="111"/>
      <c r="W175" s="121"/>
      <c r="Y175" s="56"/>
      <c r="AD175" s="56"/>
      <c r="AE175" s="56"/>
      <c r="AG175" s="35"/>
      <c r="AH175" s="27"/>
      <c r="AI175" s="27"/>
      <c r="AJ175" s="27"/>
      <c r="AK175" s="27"/>
      <c r="AL175" s="27"/>
      <c r="AM175" s="27"/>
      <c r="AN175" s="27"/>
      <c r="AO175" s="27"/>
      <c r="AP175" s="27"/>
      <c r="AQ175" s="27"/>
      <c r="AR175" s="27"/>
      <c r="AS175" s="27"/>
      <c r="AT175" s="27"/>
      <c r="AU175" s="27"/>
      <c r="AV175" s="27"/>
      <c r="AW175" s="27"/>
      <c r="AX175" s="27"/>
      <c r="AY175" s="27"/>
      <c r="AZ175" s="27"/>
      <c r="BA175" s="27"/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</row>
    <row r="176" spans="20:63" s="9" customFormat="1">
      <c r="T176" s="56"/>
      <c r="U176" s="56"/>
      <c r="V176" s="111"/>
      <c r="W176" s="121"/>
      <c r="Y176" s="56"/>
      <c r="AD176" s="56"/>
      <c r="AE176" s="56"/>
      <c r="AG176" s="35"/>
      <c r="AH176" s="27"/>
      <c r="AI176" s="27"/>
      <c r="AJ176" s="27"/>
      <c r="AK176" s="27"/>
      <c r="AL176" s="27"/>
      <c r="AM176" s="27"/>
      <c r="AN176" s="27"/>
      <c r="AO176" s="27"/>
      <c r="AP176" s="27"/>
      <c r="AQ176" s="27"/>
      <c r="AR176" s="27"/>
      <c r="AS176" s="27"/>
      <c r="AT176" s="27"/>
      <c r="AU176" s="27"/>
      <c r="AV176" s="27"/>
      <c r="AW176" s="27"/>
      <c r="AX176" s="27"/>
      <c r="AY176" s="27"/>
      <c r="AZ176" s="27"/>
      <c r="BA176" s="27"/>
      <c r="BB176" s="27"/>
      <c r="BC176" s="27"/>
      <c r="BD176" s="27"/>
      <c r="BE176" s="27"/>
      <c r="BF176" s="27"/>
      <c r="BG176" s="27"/>
      <c r="BH176" s="27"/>
      <c r="BI176" s="27"/>
      <c r="BJ176" s="27"/>
      <c r="BK176" s="27"/>
    </row>
    <row r="177" spans="20:63" s="9" customFormat="1">
      <c r="T177" s="56"/>
      <c r="U177" s="56"/>
      <c r="V177" s="111"/>
      <c r="W177" s="121"/>
      <c r="Y177" s="56"/>
      <c r="AD177" s="56"/>
      <c r="AE177" s="56"/>
      <c r="AG177" s="35"/>
      <c r="AH177" s="27"/>
      <c r="AI177" s="27"/>
      <c r="AJ177" s="27"/>
      <c r="AK177" s="27"/>
      <c r="AL177" s="27"/>
      <c r="AM177" s="27"/>
      <c r="AN177" s="27"/>
      <c r="AO177" s="27"/>
      <c r="AP177" s="27"/>
      <c r="AQ177" s="27"/>
      <c r="AR177" s="27"/>
      <c r="AS177" s="27"/>
      <c r="AT177" s="27"/>
      <c r="AU177" s="27"/>
      <c r="AV177" s="27"/>
      <c r="AW177" s="27"/>
      <c r="AX177" s="27"/>
      <c r="AY177" s="27"/>
      <c r="AZ177" s="27"/>
      <c r="BA177" s="27"/>
      <c r="BB177" s="27"/>
      <c r="BC177" s="27"/>
      <c r="BD177" s="27"/>
      <c r="BE177" s="27"/>
      <c r="BF177" s="27"/>
      <c r="BG177" s="27"/>
      <c r="BH177" s="27"/>
      <c r="BI177" s="27"/>
      <c r="BJ177" s="27"/>
      <c r="BK177" s="27"/>
    </row>
    <row r="178" spans="20:63" s="9" customFormat="1">
      <c r="T178" s="56"/>
      <c r="U178" s="56"/>
      <c r="V178" s="111"/>
      <c r="W178" s="121"/>
      <c r="Y178" s="56"/>
      <c r="AD178" s="56"/>
      <c r="AE178" s="56"/>
      <c r="AG178" s="35"/>
      <c r="AH178" s="27"/>
      <c r="AI178" s="27"/>
      <c r="AJ178" s="27"/>
      <c r="AK178" s="27"/>
      <c r="AL178" s="27"/>
      <c r="AM178" s="27"/>
      <c r="AN178" s="27"/>
      <c r="AO178" s="27"/>
      <c r="AP178" s="27"/>
      <c r="AQ178" s="27"/>
      <c r="AR178" s="27"/>
      <c r="AS178" s="27"/>
      <c r="AT178" s="27"/>
      <c r="AU178" s="27"/>
      <c r="AV178" s="27"/>
      <c r="AW178" s="27"/>
      <c r="AX178" s="27"/>
      <c r="AY178" s="27"/>
      <c r="AZ178" s="27"/>
      <c r="BA178" s="27"/>
      <c r="BB178" s="27"/>
      <c r="BC178" s="27"/>
      <c r="BD178" s="27"/>
      <c r="BE178" s="27"/>
      <c r="BF178" s="27"/>
      <c r="BG178" s="27"/>
      <c r="BH178" s="27"/>
      <c r="BI178" s="27"/>
      <c r="BJ178" s="27"/>
      <c r="BK178" s="27"/>
    </row>
    <row r="179" spans="20:63" s="9" customFormat="1">
      <c r="T179" s="56"/>
      <c r="U179" s="56"/>
      <c r="V179" s="111"/>
      <c r="W179" s="121"/>
      <c r="Y179" s="56"/>
      <c r="AD179" s="56"/>
      <c r="AE179" s="56"/>
      <c r="AG179" s="35"/>
      <c r="AH179" s="27"/>
      <c r="AI179" s="27"/>
      <c r="AJ179" s="27"/>
      <c r="AK179" s="27"/>
      <c r="AL179" s="27"/>
      <c r="AM179" s="27"/>
      <c r="AN179" s="27"/>
      <c r="AO179" s="27"/>
      <c r="AP179" s="27"/>
      <c r="AQ179" s="27"/>
      <c r="AR179" s="27"/>
      <c r="AS179" s="27"/>
      <c r="AT179" s="27"/>
      <c r="AU179" s="27"/>
      <c r="AV179" s="27"/>
      <c r="AW179" s="27"/>
      <c r="AX179" s="27"/>
      <c r="AY179" s="27"/>
      <c r="AZ179" s="27"/>
      <c r="BA179" s="27"/>
      <c r="BB179" s="27"/>
      <c r="BC179" s="27"/>
      <c r="BD179" s="27"/>
      <c r="BE179" s="27"/>
      <c r="BF179" s="27"/>
      <c r="BG179" s="27"/>
      <c r="BH179" s="27"/>
      <c r="BI179" s="27"/>
      <c r="BJ179" s="27"/>
      <c r="BK179" s="27"/>
    </row>
    <row r="180" spans="20:63" s="9" customFormat="1">
      <c r="T180" s="56"/>
      <c r="U180" s="56"/>
      <c r="V180" s="111"/>
      <c r="W180" s="121"/>
      <c r="Y180" s="56"/>
      <c r="AD180" s="56"/>
      <c r="AE180" s="56"/>
      <c r="AG180" s="35"/>
      <c r="AH180" s="27"/>
      <c r="AI180" s="27"/>
      <c r="AJ180" s="27"/>
      <c r="AK180" s="27"/>
      <c r="AL180" s="27"/>
      <c r="AM180" s="27"/>
      <c r="AN180" s="27"/>
      <c r="AO180" s="27"/>
      <c r="AP180" s="27"/>
      <c r="AQ180" s="27"/>
      <c r="AR180" s="27"/>
      <c r="AS180" s="27"/>
      <c r="AT180" s="27"/>
      <c r="AU180" s="27"/>
      <c r="AV180" s="27"/>
      <c r="AW180" s="27"/>
      <c r="AX180" s="27"/>
      <c r="AY180" s="27"/>
      <c r="AZ180" s="27"/>
      <c r="BA180" s="27"/>
      <c r="BB180" s="27"/>
      <c r="BC180" s="27"/>
      <c r="BD180" s="27"/>
      <c r="BE180" s="27"/>
      <c r="BF180" s="27"/>
      <c r="BG180" s="27"/>
      <c r="BH180" s="27"/>
      <c r="BI180" s="27"/>
      <c r="BJ180" s="27"/>
      <c r="BK180" s="27"/>
    </row>
    <row r="181" spans="20:63" s="9" customFormat="1">
      <c r="T181" s="56"/>
      <c r="U181" s="56"/>
      <c r="V181" s="111"/>
      <c r="W181" s="121"/>
      <c r="Y181" s="56"/>
      <c r="AD181" s="56"/>
      <c r="AE181" s="56"/>
      <c r="AG181" s="35"/>
      <c r="AH181" s="27"/>
      <c r="AI181" s="27"/>
      <c r="AJ181" s="27"/>
      <c r="AK181" s="27"/>
      <c r="AL181" s="27"/>
      <c r="AM181" s="27"/>
      <c r="AN181" s="27"/>
      <c r="AO181" s="27"/>
      <c r="AP181" s="27"/>
      <c r="AQ181" s="27"/>
      <c r="AR181" s="27"/>
      <c r="AS181" s="27"/>
      <c r="AT181" s="27"/>
      <c r="AU181" s="27"/>
      <c r="AV181" s="27"/>
      <c r="AW181" s="27"/>
      <c r="AX181" s="27"/>
      <c r="AY181" s="27"/>
      <c r="AZ181" s="27"/>
      <c r="BA181" s="27"/>
      <c r="BB181" s="27"/>
      <c r="BC181" s="27"/>
      <c r="BD181" s="27"/>
      <c r="BE181" s="27"/>
      <c r="BF181" s="27"/>
      <c r="BG181" s="27"/>
      <c r="BH181" s="27"/>
      <c r="BI181" s="27"/>
      <c r="BJ181" s="27"/>
      <c r="BK181" s="27"/>
    </row>
    <row r="182" spans="20:63" s="9" customFormat="1">
      <c r="T182" s="56"/>
      <c r="U182" s="56"/>
      <c r="V182" s="111"/>
      <c r="W182" s="121"/>
      <c r="Y182" s="56"/>
      <c r="AD182" s="56"/>
      <c r="AE182" s="56"/>
      <c r="AG182" s="35"/>
      <c r="AH182" s="27"/>
      <c r="AI182" s="27"/>
      <c r="AJ182" s="27"/>
      <c r="AK182" s="27"/>
      <c r="AL182" s="27"/>
      <c r="AM182" s="27"/>
      <c r="AN182" s="27"/>
      <c r="AO182" s="27"/>
      <c r="AP182" s="27"/>
      <c r="AQ182" s="27"/>
      <c r="AR182" s="27"/>
      <c r="AS182" s="27"/>
      <c r="AT182" s="27"/>
      <c r="AU182" s="27"/>
      <c r="AV182" s="27"/>
      <c r="AW182" s="27"/>
      <c r="AX182" s="27"/>
      <c r="AY182" s="27"/>
      <c r="AZ182" s="27"/>
      <c r="BA182" s="27"/>
      <c r="BB182" s="27"/>
      <c r="BC182" s="27"/>
      <c r="BD182" s="27"/>
      <c r="BE182" s="27"/>
      <c r="BF182" s="27"/>
      <c r="BG182" s="27"/>
      <c r="BH182" s="27"/>
      <c r="BI182" s="27"/>
      <c r="BJ182" s="27"/>
      <c r="BK182" s="27"/>
    </row>
    <row r="183" spans="20:63" s="9" customFormat="1">
      <c r="T183" s="56"/>
      <c r="U183" s="56"/>
      <c r="V183" s="111"/>
      <c r="W183" s="121"/>
      <c r="Y183" s="56"/>
      <c r="AD183" s="56"/>
      <c r="AE183" s="56"/>
      <c r="AG183" s="35"/>
      <c r="AH183" s="27"/>
      <c r="AI183" s="27"/>
      <c r="AJ183" s="27"/>
      <c r="AK183" s="27"/>
      <c r="AL183" s="27"/>
      <c r="AM183" s="27"/>
      <c r="AN183" s="27"/>
      <c r="AO183" s="27"/>
      <c r="AP183" s="27"/>
      <c r="AQ183" s="27"/>
      <c r="AR183" s="27"/>
      <c r="AS183" s="27"/>
      <c r="AT183" s="27"/>
      <c r="AU183" s="27"/>
      <c r="AV183" s="27"/>
      <c r="AW183" s="27"/>
      <c r="AX183" s="27"/>
      <c r="AY183" s="27"/>
      <c r="AZ183" s="27"/>
      <c r="BA183" s="27"/>
      <c r="BB183" s="27"/>
      <c r="BC183" s="27"/>
      <c r="BD183" s="27"/>
      <c r="BE183" s="27"/>
      <c r="BF183" s="27"/>
      <c r="BG183" s="27"/>
      <c r="BH183" s="27"/>
      <c r="BI183" s="27"/>
      <c r="BJ183" s="27"/>
      <c r="BK183" s="27"/>
    </row>
    <row r="184" spans="20:63" s="9" customFormat="1">
      <c r="T184" s="56"/>
      <c r="U184" s="56"/>
      <c r="V184" s="111"/>
      <c r="W184" s="121"/>
      <c r="Y184" s="56"/>
      <c r="AD184" s="56"/>
      <c r="AE184" s="56"/>
      <c r="AG184" s="35"/>
      <c r="AH184" s="27"/>
      <c r="AI184" s="27"/>
      <c r="AJ184" s="27"/>
      <c r="AK184" s="27"/>
      <c r="AL184" s="27"/>
      <c r="AM184" s="27"/>
      <c r="AN184" s="27"/>
      <c r="AO184" s="27"/>
      <c r="AP184" s="27"/>
      <c r="AQ184" s="27"/>
      <c r="AR184" s="27"/>
      <c r="AS184" s="27"/>
      <c r="AT184" s="27"/>
      <c r="AU184" s="27"/>
      <c r="AV184" s="27"/>
      <c r="AW184" s="27"/>
      <c r="AX184" s="27"/>
      <c r="AY184" s="27"/>
      <c r="AZ184" s="27"/>
      <c r="BA184" s="27"/>
      <c r="BB184" s="27"/>
      <c r="BC184" s="27"/>
      <c r="BD184" s="27"/>
      <c r="BE184" s="27"/>
      <c r="BF184" s="27"/>
      <c r="BG184" s="27"/>
      <c r="BH184" s="27"/>
      <c r="BI184" s="27"/>
      <c r="BJ184" s="27"/>
      <c r="BK184" s="27"/>
    </row>
    <row r="185" spans="20:63" s="9" customFormat="1">
      <c r="T185" s="56"/>
      <c r="U185" s="56"/>
      <c r="V185" s="111"/>
      <c r="W185" s="121"/>
      <c r="Y185" s="56"/>
      <c r="AD185" s="56"/>
      <c r="AE185" s="56"/>
      <c r="AG185" s="35"/>
      <c r="AH185" s="27"/>
      <c r="AI185" s="27"/>
      <c r="AJ185" s="27"/>
      <c r="AK185" s="27"/>
      <c r="AL185" s="27"/>
      <c r="AM185" s="27"/>
      <c r="AN185" s="27"/>
      <c r="AO185" s="27"/>
      <c r="AP185" s="27"/>
      <c r="AQ185" s="27"/>
      <c r="AR185" s="27"/>
      <c r="AS185" s="27"/>
      <c r="AT185" s="27"/>
      <c r="AU185" s="27"/>
      <c r="AV185" s="27"/>
      <c r="AW185" s="27"/>
      <c r="AX185" s="27"/>
      <c r="AY185" s="27"/>
      <c r="AZ185" s="27"/>
      <c r="BA185" s="27"/>
      <c r="BB185" s="27"/>
      <c r="BC185" s="27"/>
      <c r="BD185" s="27"/>
      <c r="BE185" s="27"/>
      <c r="BF185" s="27"/>
      <c r="BG185" s="27"/>
      <c r="BH185" s="27"/>
      <c r="BI185" s="27"/>
      <c r="BJ185" s="27"/>
      <c r="BK185" s="27"/>
    </row>
    <row r="186" spans="20:63" s="9" customFormat="1">
      <c r="T186" s="56"/>
      <c r="U186" s="56"/>
      <c r="V186" s="111"/>
      <c r="W186" s="121"/>
      <c r="Y186" s="56"/>
      <c r="AD186" s="56"/>
      <c r="AE186" s="56"/>
      <c r="AG186" s="35"/>
      <c r="AH186" s="27"/>
      <c r="AI186" s="27"/>
      <c r="AJ186" s="27"/>
      <c r="AK186" s="27"/>
      <c r="AL186" s="27"/>
      <c r="AM186" s="27"/>
      <c r="AN186" s="27"/>
      <c r="AO186" s="27"/>
      <c r="AP186" s="27"/>
      <c r="AQ186" s="27"/>
      <c r="AR186" s="27"/>
      <c r="AS186" s="27"/>
      <c r="AT186" s="27"/>
      <c r="AU186" s="27"/>
      <c r="AV186" s="27"/>
      <c r="AW186" s="27"/>
      <c r="AX186" s="27"/>
      <c r="AY186" s="27"/>
      <c r="AZ186" s="27"/>
      <c r="BA186" s="27"/>
      <c r="BB186" s="27"/>
      <c r="BC186" s="27"/>
      <c r="BD186" s="27"/>
      <c r="BE186" s="27"/>
      <c r="BF186" s="27"/>
      <c r="BG186" s="27"/>
      <c r="BH186" s="27"/>
      <c r="BI186" s="27"/>
      <c r="BJ186" s="27"/>
      <c r="BK186" s="27"/>
    </row>
    <row r="187" spans="20:63" s="9" customFormat="1">
      <c r="T187" s="56"/>
      <c r="U187" s="56"/>
      <c r="V187" s="111"/>
      <c r="W187" s="121"/>
      <c r="Y187" s="56"/>
      <c r="AD187" s="56"/>
      <c r="AE187" s="56"/>
      <c r="AG187" s="35"/>
      <c r="AH187" s="27"/>
      <c r="AI187" s="27"/>
      <c r="AJ187" s="27"/>
      <c r="AK187" s="27"/>
      <c r="AL187" s="27"/>
      <c r="AM187" s="27"/>
      <c r="AN187" s="27"/>
      <c r="AO187" s="27"/>
      <c r="AP187" s="27"/>
      <c r="AQ187" s="27"/>
      <c r="AR187" s="27"/>
      <c r="AS187" s="27"/>
      <c r="AT187" s="27"/>
      <c r="AU187" s="27"/>
      <c r="AV187" s="27"/>
      <c r="AW187" s="27"/>
      <c r="AX187" s="27"/>
      <c r="AY187" s="27"/>
      <c r="AZ187" s="27"/>
      <c r="BA187" s="27"/>
      <c r="BB187" s="27"/>
      <c r="BC187" s="27"/>
      <c r="BD187" s="27"/>
      <c r="BE187" s="27"/>
      <c r="BF187" s="27"/>
      <c r="BG187" s="27"/>
      <c r="BH187" s="27"/>
      <c r="BI187" s="27"/>
      <c r="BJ187" s="27"/>
      <c r="BK187" s="27"/>
    </row>
    <row r="188" spans="20:63" s="9" customFormat="1">
      <c r="T188" s="56"/>
      <c r="U188" s="56"/>
      <c r="V188" s="111"/>
      <c r="W188" s="121"/>
      <c r="Y188" s="56"/>
      <c r="AD188" s="56"/>
      <c r="AE188" s="56"/>
      <c r="AG188" s="35"/>
      <c r="AH188" s="27"/>
      <c r="AI188" s="27"/>
      <c r="AJ188" s="27"/>
      <c r="AK188" s="27"/>
      <c r="AL188" s="27"/>
      <c r="AM188" s="27"/>
      <c r="AN188" s="27"/>
      <c r="AO188" s="27"/>
      <c r="AP188" s="27"/>
      <c r="AQ188" s="27"/>
      <c r="AR188" s="27"/>
      <c r="AS188" s="27"/>
      <c r="AT188" s="27"/>
      <c r="AU188" s="27"/>
      <c r="AV188" s="27"/>
      <c r="AW188" s="27"/>
      <c r="AX188" s="27"/>
      <c r="AY188" s="27"/>
      <c r="AZ188" s="27"/>
      <c r="BA188" s="27"/>
      <c r="BB188" s="27"/>
      <c r="BC188" s="27"/>
      <c r="BD188" s="27"/>
      <c r="BE188" s="27"/>
      <c r="BF188" s="27"/>
      <c r="BG188" s="27"/>
      <c r="BH188" s="27"/>
      <c r="BI188" s="27"/>
      <c r="BJ188" s="27"/>
      <c r="BK188" s="27"/>
    </row>
    <row r="189" spans="20:63" s="9" customFormat="1">
      <c r="T189" s="56"/>
      <c r="U189" s="56"/>
      <c r="V189" s="111"/>
      <c r="W189" s="121"/>
      <c r="Y189" s="56"/>
      <c r="AD189" s="56"/>
      <c r="AE189" s="56"/>
      <c r="AG189" s="35"/>
      <c r="AH189" s="27"/>
      <c r="AI189" s="27"/>
      <c r="AJ189" s="27"/>
      <c r="AK189" s="27"/>
      <c r="AL189" s="27"/>
      <c r="AM189" s="27"/>
      <c r="AN189" s="27"/>
      <c r="AO189" s="27"/>
      <c r="AP189" s="27"/>
      <c r="AQ189" s="27"/>
      <c r="AR189" s="27"/>
      <c r="AS189" s="27"/>
      <c r="AT189" s="27"/>
      <c r="AU189" s="27"/>
      <c r="AV189" s="27"/>
      <c r="AW189" s="27"/>
      <c r="AX189" s="27"/>
      <c r="AY189" s="27"/>
      <c r="AZ189" s="27"/>
      <c r="BA189" s="27"/>
      <c r="BB189" s="27"/>
      <c r="BC189" s="27"/>
      <c r="BD189" s="27"/>
      <c r="BE189" s="27"/>
      <c r="BF189" s="27"/>
      <c r="BG189" s="27"/>
      <c r="BH189" s="27"/>
      <c r="BI189" s="27"/>
      <c r="BJ189" s="27"/>
      <c r="BK189" s="27"/>
    </row>
    <row r="190" spans="20:63" s="9" customFormat="1">
      <c r="T190" s="56"/>
      <c r="U190" s="56"/>
      <c r="V190" s="111"/>
      <c r="W190" s="121"/>
      <c r="Y190" s="56"/>
      <c r="AD190" s="56"/>
      <c r="AE190" s="56"/>
      <c r="AG190" s="35"/>
      <c r="AH190" s="27"/>
      <c r="AI190" s="27"/>
      <c r="AJ190" s="27"/>
      <c r="AK190" s="27"/>
      <c r="AL190" s="27"/>
      <c r="AM190" s="27"/>
      <c r="AN190" s="27"/>
      <c r="AO190" s="27"/>
      <c r="AP190" s="27"/>
      <c r="AQ190" s="27"/>
      <c r="AR190" s="27"/>
      <c r="AS190" s="27"/>
      <c r="AT190" s="27"/>
      <c r="AU190" s="27"/>
      <c r="AV190" s="27"/>
      <c r="AW190" s="27"/>
      <c r="AX190" s="27"/>
      <c r="AY190" s="27"/>
      <c r="AZ190" s="27"/>
      <c r="BA190" s="27"/>
      <c r="BB190" s="27"/>
      <c r="BC190" s="27"/>
      <c r="BD190" s="27"/>
      <c r="BE190" s="27"/>
      <c r="BF190" s="27"/>
      <c r="BG190" s="27"/>
      <c r="BH190" s="27"/>
      <c r="BI190" s="27"/>
      <c r="BJ190" s="27"/>
      <c r="BK190" s="27"/>
    </row>
    <row r="191" spans="20:63" s="9" customFormat="1">
      <c r="T191" s="56"/>
      <c r="U191" s="56"/>
      <c r="V191" s="111"/>
      <c r="W191" s="121"/>
      <c r="Y191" s="56"/>
      <c r="AD191" s="56"/>
      <c r="AE191" s="56"/>
      <c r="AG191" s="35"/>
      <c r="AH191" s="27"/>
      <c r="AI191" s="27"/>
      <c r="AJ191" s="27"/>
      <c r="AK191" s="27"/>
      <c r="AL191" s="27"/>
      <c r="AM191" s="27"/>
      <c r="AN191" s="27"/>
      <c r="AO191" s="27"/>
      <c r="AP191" s="27"/>
      <c r="AQ191" s="27"/>
      <c r="AR191" s="27"/>
      <c r="AS191" s="27"/>
      <c r="AT191" s="27"/>
      <c r="AU191" s="27"/>
      <c r="AV191" s="27"/>
      <c r="AW191" s="27"/>
      <c r="AX191" s="27"/>
      <c r="AY191" s="27"/>
      <c r="AZ191" s="27"/>
      <c r="BA191" s="27"/>
      <c r="BB191" s="27"/>
      <c r="BC191" s="27"/>
      <c r="BD191" s="27"/>
      <c r="BE191" s="27"/>
      <c r="BF191" s="27"/>
      <c r="BG191" s="27"/>
      <c r="BH191" s="27"/>
      <c r="BI191" s="27"/>
      <c r="BJ191" s="27"/>
      <c r="BK191" s="27"/>
    </row>
    <row r="192" spans="20:63" s="9" customFormat="1">
      <c r="T192" s="56"/>
      <c r="U192" s="56"/>
      <c r="V192" s="111"/>
      <c r="W192" s="121"/>
      <c r="Y192" s="56"/>
      <c r="AD192" s="56"/>
      <c r="AE192" s="56"/>
      <c r="AG192" s="35"/>
      <c r="AH192" s="27"/>
      <c r="AI192" s="27"/>
      <c r="AJ192" s="27"/>
      <c r="AK192" s="27"/>
      <c r="AL192" s="27"/>
      <c r="AM192" s="27"/>
      <c r="AN192" s="27"/>
      <c r="AO192" s="27"/>
      <c r="AP192" s="27"/>
      <c r="AQ192" s="27"/>
      <c r="AR192" s="27"/>
      <c r="AS192" s="27"/>
      <c r="AT192" s="27"/>
      <c r="AU192" s="27"/>
      <c r="AV192" s="27"/>
      <c r="AW192" s="27"/>
      <c r="AX192" s="27"/>
      <c r="AY192" s="27"/>
      <c r="AZ192" s="27"/>
      <c r="BA192" s="27"/>
      <c r="BB192" s="27"/>
      <c r="BC192" s="27"/>
      <c r="BD192" s="27"/>
      <c r="BE192" s="27"/>
      <c r="BF192" s="27"/>
      <c r="BG192" s="27"/>
      <c r="BH192" s="27"/>
      <c r="BI192" s="27"/>
      <c r="BJ192" s="27"/>
      <c r="BK192" s="27"/>
    </row>
    <row r="193" spans="20:63" s="9" customFormat="1">
      <c r="T193" s="56"/>
      <c r="U193" s="56"/>
      <c r="V193" s="111"/>
      <c r="W193" s="121"/>
      <c r="Y193" s="56"/>
      <c r="AD193" s="56"/>
      <c r="AE193" s="56"/>
      <c r="AG193" s="35"/>
      <c r="AH193" s="27"/>
      <c r="AI193" s="27"/>
      <c r="AJ193" s="27"/>
      <c r="AK193" s="27"/>
      <c r="AL193" s="27"/>
      <c r="AM193" s="27"/>
      <c r="AN193" s="27"/>
      <c r="AO193" s="27"/>
      <c r="AP193" s="27"/>
      <c r="AQ193" s="27"/>
      <c r="AR193" s="27"/>
      <c r="AS193" s="27"/>
      <c r="AT193" s="27"/>
      <c r="AU193" s="27"/>
      <c r="AV193" s="27"/>
      <c r="AW193" s="27"/>
      <c r="AX193" s="27"/>
      <c r="AY193" s="27"/>
      <c r="AZ193" s="27"/>
      <c r="BA193" s="27"/>
      <c r="BB193" s="27"/>
      <c r="BC193" s="27"/>
      <c r="BD193" s="27"/>
      <c r="BE193" s="27"/>
      <c r="BF193" s="27"/>
      <c r="BG193" s="27"/>
      <c r="BH193" s="27"/>
      <c r="BI193" s="27"/>
      <c r="BJ193" s="27"/>
      <c r="BK193" s="27"/>
    </row>
    <row r="194" spans="20:63" s="9" customFormat="1">
      <c r="T194" s="56"/>
      <c r="U194" s="56"/>
      <c r="V194" s="111"/>
      <c r="W194" s="121"/>
      <c r="Y194" s="56"/>
      <c r="AD194" s="56"/>
      <c r="AE194" s="56"/>
      <c r="AG194" s="35"/>
      <c r="AH194" s="27"/>
      <c r="AI194" s="27"/>
      <c r="AJ194" s="27"/>
      <c r="AK194" s="27"/>
      <c r="AL194" s="27"/>
      <c r="AM194" s="27"/>
      <c r="AN194" s="27"/>
      <c r="AO194" s="27"/>
      <c r="AP194" s="27"/>
      <c r="AQ194" s="27"/>
      <c r="AR194" s="27"/>
      <c r="AS194" s="27"/>
      <c r="AT194" s="27"/>
      <c r="AU194" s="27"/>
      <c r="AV194" s="27"/>
      <c r="AW194" s="27"/>
      <c r="AX194" s="27"/>
      <c r="AY194" s="27"/>
      <c r="AZ194" s="27"/>
      <c r="BA194" s="27"/>
      <c r="BB194" s="27"/>
      <c r="BC194" s="27"/>
      <c r="BD194" s="27"/>
      <c r="BE194" s="27"/>
      <c r="BF194" s="27"/>
      <c r="BG194" s="27"/>
      <c r="BH194" s="27"/>
      <c r="BI194" s="27"/>
      <c r="BJ194" s="27"/>
      <c r="BK194" s="27"/>
    </row>
    <row r="195" spans="20:63" s="9" customFormat="1">
      <c r="T195" s="56"/>
      <c r="U195" s="56"/>
      <c r="V195" s="111"/>
      <c r="W195" s="121"/>
      <c r="Y195" s="56"/>
      <c r="AD195" s="56"/>
      <c r="AE195" s="56"/>
      <c r="AG195" s="35"/>
      <c r="AH195" s="27"/>
      <c r="AI195" s="27"/>
      <c r="AJ195" s="27"/>
      <c r="AK195" s="27"/>
      <c r="AL195" s="27"/>
      <c r="AM195" s="27"/>
      <c r="AN195" s="27"/>
      <c r="AO195" s="27"/>
      <c r="AP195" s="27"/>
      <c r="AQ195" s="27"/>
      <c r="AR195" s="27"/>
      <c r="AS195" s="27"/>
      <c r="AT195" s="27"/>
      <c r="AU195" s="27"/>
      <c r="AV195" s="27"/>
      <c r="AW195" s="27"/>
      <c r="AX195" s="27"/>
      <c r="AY195" s="27"/>
      <c r="AZ195" s="27"/>
      <c r="BA195" s="27"/>
      <c r="BB195" s="27"/>
      <c r="BC195" s="27"/>
      <c r="BD195" s="27"/>
      <c r="BE195" s="27"/>
      <c r="BF195" s="27"/>
      <c r="BG195" s="27"/>
      <c r="BH195" s="27"/>
      <c r="BI195" s="27"/>
      <c r="BJ195" s="27"/>
      <c r="BK195" s="27"/>
    </row>
    <row r="196" spans="20:63" s="9" customFormat="1">
      <c r="T196" s="56"/>
      <c r="U196" s="56"/>
      <c r="V196" s="111"/>
      <c r="W196" s="121"/>
      <c r="Y196" s="56"/>
      <c r="AD196" s="56"/>
      <c r="AE196" s="56"/>
      <c r="AG196" s="35"/>
      <c r="AH196" s="27"/>
      <c r="AI196" s="27"/>
      <c r="AJ196" s="27"/>
      <c r="AK196" s="27"/>
      <c r="AL196" s="27"/>
      <c r="AM196" s="27"/>
      <c r="AN196" s="27"/>
      <c r="AO196" s="27"/>
      <c r="AP196" s="27"/>
      <c r="AQ196" s="27"/>
      <c r="AR196" s="27"/>
      <c r="AS196" s="27"/>
      <c r="AT196" s="27"/>
      <c r="AU196" s="27"/>
      <c r="AV196" s="27"/>
      <c r="AW196" s="27"/>
      <c r="AX196" s="27"/>
      <c r="AY196" s="27"/>
      <c r="AZ196" s="27"/>
      <c r="BA196" s="27"/>
      <c r="BB196" s="27"/>
      <c r="BC196" s="27"/>
      <c r="BD196" s="27"/>
      <c r="BE196" s="27"/>
      <c r="BF196" s="27"/>
      <c r="BG196" s="27"/>
      <c r="BH196" s="27"/>
      <c r="BI196" s="27"/>
      <c r="BJ196" s="27"/>
      <c r="BK196" s="27"/>
    </row>
    <row r="197" spans="20:63" s="9" customFormat="1">
      <c r="T197" s="56"/>
      <c r="U197" s="56"/>
      <c r="V197" s="111"/>
      <c r="W197" s="121"/>
      <c r="Y197" s="56"/>
      <c r="AD197" s="56"/>
      <c r="AE197" s="56"/>
      <c r="AG197" s="35"/>
      <c r="AH197" s="27"/>
      <c r="AI197" s="27"/>
      <c r="AJ197" s="27"/>
      <c r="AK197" s="27"/>
      <c r="AL197" s="27"/>
      <c r="AM197" s="27"/>
      <c r="AN197" s="27"/>
      <c r="AO197" s="27"/>
      <c r="AP197" s="27"/>
      <c r="AQ197" s="27"/>
      <c r="AR197" s="27"/>
      <c r="AS197" s="27"/>
      <c r="AT197" s="27"/>
      <c r="AU197" s="27"/>
      <c r="AV197" s="27"/>
      <c r="AW197" s="27"/>
      <c r="AX197" s="27"/>
      <c r="AY197" s="27"/>
      <c r="AZ197" s="27"/>
      <c r="BA197" s="27"/>
      <c r="BB197" s="27"/>
      <c r="BC197" s="27"/>
      <c r="BD197" s="27"/>
      <c r="BE197" s="27"/>
      <c r="BF197" s="27"/>
      <c r="BG197" s="27"/>
      <c r="BH197" s="27"/>
      <c r="BI197" s="27"/>
      <c r="BJ197" s="27"/>
      <c r="BK197" s="27"/>
    </row>
    <row r="198" spans="20:63" s="9" customFormat="1">
      <c r="T198" s="56"/>
      <c r="U198" s="56"/>
      <c r="V198" s="111"/>
      <c r="W198" s="121"/>
      <c r="Y198" s="56"/>
      <c r="AD198" s="56"/>
      <c r="AE198" s="56"/>
      <c r="AG198" s="35"/>
      <c r="AH198" s="27"/>
      <c r="AI198" s="27"/>
      <c r="AJ198" s="27"/>
      <c r="AK198" s="27"/>
      <c r="AL198" s="27"/>
      <c r="AM198" s="27"/>
      <c r="AN198" s="27"/>
      <c r="AO198" s="27"/>
      <c r="AP198" s="27"/>
      <c r="AQ198" s="27"/>
      <c r="AR198" s="27"/>
      <c r="AS198" s="27"/>
      <c r="AT198" s="27"/>
      <c r="AU198" s="27"/>
      <c r="AV198" s="27"/>
      <c r="AW198" s="27"/>
      <c r="AX198" s="27"/>
      <c r="AY198" s="27"/>
      <c r="AZ198" s="27"/>
      <c r="BA198" s="27"/>
      <c r="BB198" s="27"/>
      <c r="BC198" s="27"/>
      <c r="BD198" s="27"/>
      <c r="BE198" s="27"/>
      <c r="BF198" s="27"/>
      <c r="BG198" s="27"/>
      <c r="BH198" s="27"/>
      <c r="BI198" s="27"/>
      <c r="BJ198" s="27"/>
      <c r="BK198" s="27"/>
    </row>
    <row r="199" spans="20:63" s="9" customFormat="1">
      <c r="T199" s="56"/>
      <c r="U199" s="56"/>
      <c r="V199" s="111"/>
      <c r="W199" s="121"/>
      <c r="Y199" s="56"/>
      <c r="AD199" s="56"/>
      <c r="AE199" s="56"/>
      <c r="AG199" s="35"/>
      <c r="AH199" s="27"/>
      <c r="AI199" s="27"/>
      <c r="AJ199" s="27"/>
      <c r="AK199" s="27"/>
      <c r="AL199" s="27"/>
      <c r="AM199" s="27"/>
      <c r="AN199" s="27"/>
      <c r="AO199" s="27"/>
      <c r="AP199" s="27"/>
      <c r="AQ199" s="27"/>
      <c r="AR199" s="27"/>
      <c r="AS199" s="27"/>
      <c r="AT199" s="27"/>
      <c r="AU199" s="27"/>
      <c r="AV199" s="27"/>
      <c r="AW199" s="27"/>
      <c r="AX199" s="27"/>
      <c r="AY199" s="27"/>
      <c r="AZ199" s="27"/>
      <c r="BA199" s="27"/>
      <c r="BB199" s="27"/>
      <c r="BC199" s="27"/>
      <c r="BD199" s="27"/>
      <c r="BE199" s="27"/>
      <c r="BF199" s="27"/>
      <c r="BG199" s="27"/>
      <c r="BH199" s="27"/>
      <c r="BI199" s="27"/>
      <c r="BJ199" s="27"/>
      <c r="BK199" s="27"/>
    </row>
    <row r="200" spans="20:63" s="9" customFormat="1">
      <c r="T200" s="56"/>
      <c r="U200" s="56"/>
      <c r="V200" s="111"/>
      <c r="W200" s="121"/>
      <c r="Y200" s="56"/>
      <c r="AD200" s="56"/>
      <c r="AE200" s="56"/>
      <c r="AG200" s="35"/>
      <c r="AH200" s="27"/>
      <c r="AI200" s="27"/>
      <c r="AJ200" s="27"/>
      <c r="AK200" s="27"/>
      <c r="AL200" s="27"/>
      <c r="AM200" s="27"/>
      <c r="AN200" s="27"/>
      <c r="AO200" s="27"/>
      <c r="AP200" s="27"/>
      <c r="AQ200" s="27"/>
      <c r="AR200" s="27"/>
      <c r="AS200" s="27"/>
      <c r="AT200" s="27"/>
      <c r="AU200" s="27"/>
      <c r="AV200" s="27"/>
      <c r="AW200" s="27"/>
      <c r="AX200" s="27"/>
      <c r="AY200" s="27"/>
      <c r="AZ200" s="27"/>
      <c r="BA200" s="27"/>
      <c r="BB200" s="27"/>
      <c r="BC200" s="27"/>
      <c r="BD200" s="27"/>
      <c r="BE200" s="27"/>
      <c r="BF200" s="27"/>
      <c r="BG200" s="27"/>
      <c r="BH200" s="27"/>
      <c r="BI200" s="27"/>
      <c r="BJ200" s="27"/>
      <c r="BK200" s="27"/>
    </row>
    <row r="201" spans="20:63" s="9" customFormat="1">
      <c r="T201" s="56"/>
      <c r="U201" s="56"/>
      <c r="V201" s="111"/>
      <c r="W201" s="121"/>
      <c r="Y201" s="56"/>
      <c r="AD201" s="56"/>
      <c r="AE201" s="56"/>
      <c r="AG201" s="35"/>
      <c r="AH201" s="27"/>
      <c r="AI201" s="27"/>
      <c r="AJ201" s="27"/>
      <c r="AK201" s="27"/>
      <c r="AL201" s="27"/>
      <c r="AM201" s="27"/>
      <c r="AN201" s="27"/>
      <c r="AO201" s="27"/>
      <c r="AP201" s="27"/>
      <c r="AQ201" s="27"/>
      <c r="AR201" s="27"/>
      <c r="AS201" s="27"/>
      <c r="AT201" s="27"/>
      <c r="AU201" s="27"/>
      <c r="AV201" s="27"/>
      <c r="AW201" s="27"/>
      <c r="AX201" s="27"/>
      <c r="AY201" s="27"/>
      <c r="AZ201" s="27"/>
      <c r="BA201" s="27"/>
      <c r="BB201" s="27"/>
      <c r="BC201" s="27"/>
      <c r="BD201" s="27"/>
      <c r="BE201" s="27"/>
      <c r="BF201" s="27"/>
      <c r="BG201" s="27"/>
      <c r="BH201" s="27"/>
      <c r="BI201" s="27"/>
      <c r="BJ201" s="27"/>
      <c r="BK201" s="27"/>
    </row>
    <row r="202" spans="20:63" s="9" customFormat="1">
      <c r="T202" s="56"/>
      <c r="U202" s="56"/>
      <c r="V202" s="111"/>
      <c r="W202" s="121"/>
      <c r="Y202" s="56"/>
      <c r="AD202" s="56"/>
      <c r="AE202" s="56"/>
      <c r="AG202" s="35"/>
      <c r="AH202" s="27"/>
      <c r="AI202" s="27"/>
      <c r="AJ202" s="27"/>
      <c r="AK202" s="27"/>
      <c r="AL202" s="27"/>
      <c r="AM202" s="27"/>
      <c r="AN202" s="27"/>
      <c r="AO202" s="27"/>
      <c r="AP202" s="27"/>
      <c r="AQ202" s="27"/>
      <c r="AR202" s="27"/>
      <c r="AS202" s="27"/>
      <c r="AT202" s="27"/>
      <c r="AU202" s="27"/>
      <c r="AV202" s="27"/>
      <c r="AW202" s="27"/>
      <c r="AX202" s="27"/>
      <c r="AY202" s="27"/>
      <c r="AZ202" s="27"/>
      <c r="BA202" s="27"/>
      <c r="BB202" s="27"/>
      <c r="BC202" s="27"/>
      <c r="BD202" s="27"/>
      <c r="BE202" s="27"/>
      <c r="BF202" s="27"/>
      <c r="BG202" s="27"/>
      <c r="BH202" s="27"/>
      <c r="BI202" s="27"/>
      <c r="BJ202" s="27"/>
      <c r="BK202" s="27"/>
    </row>
    <row r="203" spans="20:63" s="9" customFormat="1">
      <c r="T203" s="56"/>
      <c r="U203" s="56"/>
      <c r="V203" s="111"/>
      <c r="W203" s="121"/>
      <c r="Y203" s="56"/>
      <c r="AD203" s="56"/>
      <c r="AE203" s="56"/>
      <c r="AG203" s="35"/>
      <c r="AH203" s="27"/>
      <c r="AI203" s="27"/>
      <c r="AJ203" s="27"/>
      <c r="AK203" s="27"/>
      <c r="AL203" s="27"/>
      <c r="AM203" s="27"/>
      <c r="AN203" s="27"/>
      <c r="AO203" s="27"/>
      <c r="AP203" s="27"/>
      <c r="AQ203" s="27"/>
      <c r="AR203" s="27"/>
      <c r="AS203" s="27"/>
      <c r="AT203" s="27"/>
      <c r="AU203" s="27"/>
      <c r="AV203" s="27"/>
      <c r="AW203" s="27"/>
      <c r="AX203" s="27"/>
      <c r="AY203" s="27"/>
      <c r="AZ203" s="27"/>
      <c r="BA203" s="27"/>
      <c r="BB203" s="27"/>
      <c r="BC203" s="27"/>
      <c r="BD203" s="27"/>
      <c r="BE203" s="27"/>
      <c r="BF203" s="27"/>
      <c r="BG203" s="27"/>
      <c r="BH203" s="27"/>
      <c r="BI203" s="27"/>
      <c r="BJ203" s="27"/>
      <c r="BK203" s="27"/>
    </row>
    <row r="204" spans="20:63" s="9" customFormat="1">
      <c r="T204" s="56"/>
      <c r="U204" s="56"/>
      <c r="V204" s="111"/>
      <c r="W204" s="121"/>
      <c r="Y204" s="56"/>
      <c r="AD204" s="56"/>
      <c r="AE204" s="56"/>
      <c r="AG204" s="35"/>
      <c r="AH204" s="27"/>
      <c r="AI204" s="27"/>
      <c r="AJ204" s="27"/>
      <c r="AK204" s="27"/>
      <c r="AL204" s="27"/>
      <c r="AM204" s="27"/>
      <c r="AN204" s="27"/>
      <c r="AO204" s="27"/>
      <c r="AP204" s="27"/>
      <c r="AQ204" s="27"/>
      <c r="AR204" s="27"/>
      <c r="AS204" s="27"/>
      <c r="AT204" s="27"/>
      <c r="AU204" s="27"/>
      <c r="AV204" s="27"/>
      <c r="AW204" s="27"/>
      <c r="AX204" s="27"/>
      <c r="AY204" s="27"/>
      <c r="AZ204" s="27"/>
      <c r="BA204" s="27"/>
      <c r="BB204" s="27"/>
      <c r="BC204" s="27"/>
      <c r="BD204" s="27"/>
      <c r="BE204" s="27"/>
      <c r="BF204" s="27"/>
      <c r="BG204" s="27"/>
      <c r="BH204" s="27"/>
      <c r="BI204" s="27"/>
      <c r="BJ204" s="27"/>
      <c r="BK204" s="27"/>
    </row>
    <row r="205" spans="20:63" s="9" customFormat="1">
      <c r="T205" s="56"/>
      <c r="U205" s="56"/>
      <c r="V205" s="111"/>
      <c r="W205" s="121"/>
      <c r="Y205" s="56"/>
      <c r="AD205" s="56"/>
      <c r="AE205" s="56"/>
      <c r="AG205" s="35"/>
      <c r="AH205" s="27"/>
      <c r="AI205" s="27"/>
      <c r="AJ205" s="27"/>
      <c r="AK205" s="27"/>
      <c r="AL205" s="27"/>
      <c r="AM205" s="27"/>
      <c r="AN205" s="27"/>
      <c r="AO205" s="27"/>
      <c r="AP205" s="27"/>
      <c r="AQ205" s="27"/>
      <c r="AR205" s="27"/>
      <c r="AS205" s="27"/>
      <c r="AT205" s="27"/>
      <c r="AU205" s="27"/>
      <c r="AV205" s="27"/>
      <c r="AW205" s="27"/>
      <c r="AX205" s="27"/>
      <c r="AY205" s="27"/>
      <c r="AZ205" s="27"/>
      <c r="BA205" s="27"/>
      <c r="BB205" s="27"/>
      <c r="BC205" s="27"/>
      <c r="BD205" s="27"/>
      <c r="BE205" s="27"/>
      <c r="BF205" s="27"/>
      <c r="BG205" s="27"/>
      <c r="BH205" s="27"/>
      <c r="BI205" s="27"/>
      <c r="BJ205" s="27"/>
      <c r="BK205" s="27"/>
    </row>
    <row r="206" spans="20:63" s="9" customFormat="1">
      <c r="T206" s="56"/>
      <c r="U206" s="56"/>
      <c r="V206" s="111"/>
      <c r="W206" s="121"/>
      <c r="Y206" s="56"/>
      <c r="AD206" s="56"/>
      <c r="AE206" s="56"/>
      <c r="AG206" s="35"/>
      <c r="AH206" s="27"/>
      <c r="AI206" s="27"/>
      <c r="AJ206" s="27"/>
      <c r="AK206" s="27"/>
      <c r="AL206" s="27"/>
      <c r="AM206" s="27"/>
      <c r="AN206" s="27"/>
      <c r="AO206" s="27"/>
      <c r="AP206" s="27"/>
      <c r="AQ206" s="27"/>
      <c r="AR206" s="27"/>
      <c r="AS206" s="27"/>
      <c r="AT206" s="27"/>
      <c r="AU206" s="27"/>
      <c r="AV206" s="27"/>
      <c r="AW206" s="27"/>
      <c r="AX206" s="27"/>
      <c r="AY206" s="27"/>
      <c r="AZ206" s="27"/>
      <c r="BA206" s="27"/>
      <c r="BB206" s="27"/>
      <c r="BC206" s="27"/>
      <c r="BD206" s="27"/>
      <c r="BE206" s="27"/>
      <c r="BF206" s="27"/>
      <c r="BG206" s="27"/>
      <c r="BH206" s="27"/>
      <c r="BI206" s="27"/>
      <c r="BJ206" s="27"/>
      <c r="BK206" s="27"/>
    </row>
    <row r="207" spans="20:63" s="9" customFormat="1">
      <c r="T207" s="56"/>
      <c r="U207" s="56"/>
      <c r="V207" s="111"/>
      <c r="W207" s="121"/>
      <c r="Y207" s="56"/>
      <c r="AD207" s="56"/>
      <c r="AE207" s="56"/>
      <c r="AG207" s="35"/>
      <c r="AH207" s="27"/>
      <c r="AI207" s="27"/>
      <c r="AJ207" s="27"/>
      <c r="AK207" s="27"/>
      <c r="AL207" s="27"/>
      <c r="AM207" s="27"/>
      <c r="AN207" s="27"/>
      <c r="AO207" s="27"/>
      <c r="AP207" s="27"/>
      <c r="AQ207" s="27"/>
      <c r="AR207" s="27"/>
      <c r="AS207" s="27"/>
      <c r="AT207" s="27"/>
      <c r="AU207" s="27"/>
      <c r="AV207" s="27"/>
      <c r="AW207" s="27"/>
      <c r="AX207" s="27"/>
      <c r="AY207" s="27"/>
      <c r="AZ207" s="27"/>
      <c r="BA207" s="27"/>
      <c r="BB207" s="27"/>
      <c r="BC207" s="27"/>
      <c r="BD207" s="27"/>
      <c r="BE207" s="27"/>
      <c r="BF207" s="27"/>
      <c r="BG207" s="27"/>
      <c r="BH207" s="27"/>
      <c r="BI207" s="27"/>
      <c r="BJ207" s="27"/>
      <c r="BK207" s="27"/>
    </row>
    <row r="208" spans="20:63" s="9" customFormat="1">
      <c r="T208" s="56"/>
      <c r="U208" s="56"/>
      <c r="V208" s="111"/>
      <c r="W208" s="121"/>
      <c r="Y208" s="56"/>
      <c r="AD208" s="56"/>
      <c r="AE208" s="56"/>
      <c r="AG208" s="35"/>
      <c r="AH208" s="27"/>
      <c r="AI208" s="27"/>
      <c r="AJ208" s="27"/>
      <c r="AK208" s="27"/>
      <c r="AL208" s="27"/>
      <c r="AM208" s="27"/>
      <c r="AN208" s="27"/>
      <c r="AO208" s="27"/>
      <c r="AP208" s="27"/>
      <c r="AQ208" s="27"/>
      <c r="AR208" s="27"/>
      <c r="AS208" s="27"/>
      <c r="AT208" s="27"/>
      <c r="AU208" s="27"/>
      <c r="AV208" s="27"/>
      <c r="AW208" s="27"/>
      <c r="AX208" s="27"/>
      <c r="AY208" s="27"/>
      <c r="AZ208" s="27"/>
      <c r="BA208" s="27"/>
      <c r="BB208" s="27"/>
      <c r="BC208" s="27"/>
      <c r="BD208" s="27"/>
      <c r="BE208" s="27"/>
      <c r="BF208" s="27"/>
      <c r="BG208" s="27"/>
      <c r="BH208" s="27"/>
      <c r="BI208" s="27"/>
      <c r="BJ208" s="27"/>
      <c r="BK208" s="27"/>
    </row>
    <row r="209" spans="20:63" s="9" customFormat="1">
      <c r="T209" s="56"/>
      <c r="U209" s="56"/>
      <c r="V209" s="111"/>
      <c r="W209" s="121"/>
      <c r="Y209" s="56"/>
      <c r="AD209" s="56"/>
      <c r="AE209" s="56"/>
      <c r="AG209" s="35"/>
      <c r="AH209" s="27"/>
      <c r="AI209" s="27"/>
      <c r="AJ209" s="27"/>
      <c r="AK209" s="27"/>
      <c r="AL209" s="27"/>
      <c r="AM209" s="27"/>
      <c r="AN209" s="27"/>
      <c r="AO209" s="27"/>
      <c r="AP209" s="27"/>
      <c r="AQ209" s="27"/>
      <c r="AR209" s="27"/>
      <c r="AS209" s="27"/>
      <c r="AT209" s="27"/>
      <c r="AU209" s="27"/>
      <c r="AV209" s="27"/>
      <c r="AW209" s="27"/>
      <c r="AX209" s="27"/>
      <c r="AY209" s="27"/>
      <c r="AZ209" s="27"/>
      <c r="BA209" s="27"/>
      <c r="BB209" s="27"/>
      <c r="BC209" s="27"/>
      <c r="BD209" s="27"/>
      <c r="BE209" s="27"/>
      <c r="BF209" s="27"/>
      <c r="BG209" s="27"/>
      <c r="BH209" s="27"/>
      <c r="BI209" s="27"/>
      <c r="BJ209" s="27"/>
      <c r="BK209" s="27"/>
    </row>
    <row r="210" spans="20:63" s="9" customFormat="1">
      <c r="T210" s="56"/>
      <c r="U210" s="56"/>
      <c r="V210" s="111"/>
      <c r="W210" s="121"/>
      <c r="Y210" s="56"/>
      <c r="AD210" s="56"/>
      <c r="AE210" s="56"/>
      <c r="AG210" s="35"/>
      <c r="AH210" s="27"/>
      <c r="AI210" s="27"/>
      <c r="AJ210" s="27"/>
      <c r="AK210" s="27"/>
      <c r="AL210" s="27"/>
      <c r="AM210" s="27"/>
      <c r="AN210" s="27"/>
      <c r="AO210" s="27"/>
      <c r="AP210" s="27"/>
      <c r="AQ210" s="27"/>
      <c r="AR210" s="27"/>
      <c r="AS210" s="27"/>
      <c r="AT210" s="27"/>
      <c r="AU210" s="27"/>
      <c r="AV210" s="27"/>
      <c r="AW210" s="27"/>
      <c r="AX210" s="27"/>
      <c r="AY210" s="27"/>
      <c r="AZ210" s="27"/>
      <c r="BA210" s="27"/>
      <c r="BB210" s="27"/>
      <c r="BC210" s="27"/>
      <c r="BD210" s="27"/>
      <c r="BE210" s="27"/>
      <c r="BF210" s="27"/>
      <c r="BG210" s="27"/>
      <c r="BH210" s="27"/>
      <c r="BI210" s="27"/>
      <c r="BJ210" s="27"/>
      <c r="BK210" s="27"/>
    </row>
    <row r="211" spans="20:63" s="9" customFormat="1">
      <c r="T211" s="56"/>
      <c r="U211" s="56"/>
      <c r="V211" s="111"/>
      <c r="W211" s="121"/>
      <c r="Y211" s="56"/>
      <c r="AD211" s="56"/>
      <c r="AE211" s="56"/>
      <c r="AG211" s="35"/>
      <c r="AH211" s="27"/>
      <c r="AI211" s="27"/>
      <c r="AJ211" s="27"/>
      <c r="AK211" s="27"/>
      <c r="AL211" s="27"/>
      <c r="AM211" s="27"/>
      <c r="AN211" s="27"/>
      <c r="AO211" s="27"/>
      <c r="AP211" s="27"/>
      <c r="AQ211" s="27"/>
      <c r="AR211" s="27"/>
      <c r="AS211" s="27"/>
      <c r="AT211" s="27"/>
      <c r="AU211" s="27"/>
      <c r="AV211" s="27"/>
      <c r="AW211" s="27"/>
      <c r="AX211" s="27"/>
      <c r="AY211" s="27"/>
      <c r="AZ211" s="27"/>
      <c r="BA211" s="27"/>
      <c r="BB211" s="27"/>
      <c r="BC211" s="27"/>
      <c r="BD211" s="27"/>
      <c r="BE211" s="27"/>
      <c r="BF211" s="27"/>
      <c r="BG211" s="27"/>
      <c r="BH211" s="27"/>
      <c r="BI211" s="27"/>
      <c r="BJ211" s="27"/>
      <c r="BK211" s="27"/>
    </row>
    <row r="212" spans="20:63" s="9" customFormat="1">
      <c r="T212" s="56"/>
      <c r="U212" s="56"/>
      <c r="V212" s="111"/>
      <c r="W212" s="121"/>
      <c r="Y212" s="56"/>
      <c r="AD212" s="56"/>
      <c r="AE212" s="56"/>
      <c r="AG212" s="35"/>
      <c r="AH212" s="27"/>
      <c r="AI212" s="27"/>
      <c r="AJ212" s="27"/>
      <c r="AK212" s="27"/>
      <c r="AL212" s="27"/>
      <c r="AM212" s="27"/>
      <c r="AN212" s="27"/>
      <c r="AO212" s="27"/>
      <c r="AP212" s="27"/>
      <c r="AQ212" s="27"/>
      <c r="AR212" s="27"/>
      <c r="AS212" s="27"/>
      <c r="AT212" s="27"/>
      <c r="AU212" s="27"/>
      <c r="AV212" s="27"/>
      <c r="AW212" s="27"/>
      <c r="AX212" s="27"/>
      <c r="AY212" s="27"/>
      <c r="AZ212" s="27"/>
      <c r="BA212" s="27"/>
      <c r="BB212" s="27"/>
      <c r="BC212" s="27"/>
      <c r="BD212" s="27"/>
      <c r="BE212" s="27"/>
      <c r="BF212" s="27"/>
      <c r="BG212" s="27"/>
      <c r="BH212" s="27"/>
      <c r="BI212" s="27"/>
      <c r="BJ212" s="27"/>
      <c r="BK212" s="27"/>
    </row>
    <row r="213" spans="20:63" s="9" customFormat="1">
      <c r="T213" s="56"/>
      <c r="U213" s="56"/>
      <c r="V213" s="111"/>
      <c r="W213" s="121"/>
      <c r="Y213" s="56"/>
      <c r="AD213" s="56"/>
      <c r="AE213" s="56"/>
      <c r="AG213" s="35"/>
      <c r="AH213" s="27"/>
      <c r="AI213" s="27"/>
      <c r="AJ213" s="27"/>
      <c r="AK213" s="27"/>
      <c r="AL213" s="27"/>
      <c r="AM213" s="27"/>
      <c r="AN213" s="27"/>
      <c r="AO213" s="27"/>
      <c r="AP213" s="27"/>
      <c r="AQ213" s="27"/>
      <c r="AR213" s="27"/>
      <c r="AS213" s="27"/>
      <c r="AT213" s="27"/>
      <c r="AU213" s="27"/>
      <c r="AV213" s="27"/>
      <c r="AW213" s="27"/>
      <c r="AX213" s="27"/>
      <c r="AY213" s="27"/>
      <c r="AZ213" s="27"/>
      <c r="BA213" s="27"/>
      <c r="BB213" s="27"/>
      <c r="BC213" s="27"/>
      <c r="BD213" s="27"/>
      <c r="BE213" s="27"/>
      <c r="BF213" s="27"/>
      <c r="BG213" s="27"/>
      <c r="BH213" s="27"/>
      <c r="BI213" s="27"/>
      <c r="BJ213" s="27"/>
      <c r="BK213" s="27"/>
    </row>
    <row r="214" spans="20:63" s="9" customFormat="1">
      <c r="T214" s="56"/>
      <c r="U214" s="56"/>
      <c r="V214" s="111"/>
      <c r="W214" s="121"/>
      <c r="Y214" s="56"/>
      <c r="AD214" s="56"/>
      <c r="AE214" s="56"/>
      <c r="AG214" s="35"/>
      <c r="AH214" s="27"/>
      <c r="AI214" s="27"/>
      <c r="AJ214" s="27"/>
      <c r="AK214" s="27"/>
      <c r="AL214" s="27"/>
      <c r="AM214" s="27"/>
      <c r="AN214" s="27"/>
      <c r="AO214" s="27"/>
      <c r="AP214" s="27"/>
      <c r="AQ214" s="27"/>
      <c r="AR214" s="27"/>
      <c r="AS214" s="27"/>
      <c r="AT214" s="27"/>
      <c r="AU214" s="27"/>
      <c r="AV214" s="27"/>
      <c r="AW214" s="27"/>
      <c r="AX214" s="27"/>
      <c r="AY214" s="27"/>
      <c r="AZ214" s="27"/>
      <c r="BA214" s="27"/>
      <c r="BB214" s="27"/>
      <c r="BC214" s="27"/>
      <c r="BD214" s="27"/>
      <c r="BE214" s="27"/>
      <c r="BF214" s="27"/>
      <c r="BG214" s="27"/>
      <c r="BH214" s="27"/>
      <c r="BI214" s="27"/>
      <c r="BJ214" s="27"/>
      <c r="BK214" s="27"/>
    </row>
    <row r="215" spans="20:63" s="9" customFormat="1">
      <c r="T215" s="56"/>
      <c r="U215" s="56"/>
      <c r="V215" s="111"/>
      <c r="W215" s="121"/>
      <c r="Y215" s="56"/>
      <c r="AD215" s="56"/>
      <c r="AE215" s="56"/>
      <c r="AG215" s="35"/>
      <c r="AH215" s="27"/>
      <c r="AI215" s="27"/>
      <c r="AJ215" s="27"/>
      <c r="AK215" s="27"/>
      <c r="AL215" s="27"/>
      <c r="AM215" s="27"/>
      <c r="AN215" s="27"/>
      <c r="AO215" s="27"/>
      <c r="AP215" s="27"/>
      <c r="AQ215" s="27"/>
      <c r="AR215" s="27"/>
      <c r="AS215" s="27"/>
      <c r="AT215" s="27"/>
      <c r="AU215" s="27"/>
      <c r="AV215" s="27"/>
      <c r="AW215" s="27"/>
      <c r="AX215" s="27"/>
      <c r="AY215" s="27"/>
      <c r="AZ215" s="27"/>
      <c r="BA215" s="27"/>
      <c r="BB215" s="27"/>
      <c r="BC215" s="27"/>
      <c r="BD215" s="27"/>
      <c r="BE215" s="27"/>
      <c r="BF215" s="27"/>
      <c r="BG215" s="27"/>
      <c r="BH215" s="27"/>
      <c r="BI215" s="27"/>
      <c r="BJ215" s="27"/>
      <c r="BK215" s="27"/>
    </row>
    <row r="216" spans="20:63" s="9" customFormat="1">
      <c r="T216" s="56"/>
      <c r="U216" s="56"/>
      <c r="V216" s="111"/>
      <c r="W216" s="121"/>
      <c r="Y216" s="56"/>
      <c r="AD216" s="56"/>
      <c r="AE216" s="56"/>
      <c r="AG216" s="35"/>
      <c r="AH216" s="27"/>
      <c r="AI216" s="27"/>
      <c r="AJ216" s="27"/>
      <c r="AK216" s="27"/>
      <c r="AL216" s="27"/>
      <c r="AM216" s="27"/>
      <c r="AN216" s="27"/>
      <c r="AO216" s="27"/>
      <c r="AP216" s="27"/>
      <c r="AQ216" s="27"/>
      <c r="AR216" s="27"/>
      <c r="AS216" s="27"/>
      <c r="AT216" s="27"/>
      <c r="AU216" s="27"/>
      <c r="AV216" s="27"/>
      <c r="AW216" s="27"/>
      <c r="AX216" s="27"/>
      <c r="AY216" s="27"/>
      <c r="AZ216" s="27"/>
      <c r="BA216" s="27"/>
      <c r="BB216" s="27"/>
      <c r="BC216" s="27"/>
      <c r="BD216" s="27"/>
      <c r="BE216" s="27"/>
      <c r="BF216" s="27"/>
      <c r="BG216" s="27"/>
      <c r="BH216" s="27"/>
      <c r="BI216" s="27"/>
      <c r="BJ216" s="27"/>
      <c r="BK216" s="27"/>
    </row>
    <row r="217" spans="20:63" s="9" customFormat="1">
      <c r="T217" s="56"/>
      <c r="U217" s="56"/>
      <c r="V217" s="111"/>
      <c r="W217" s="121"/>
      <c r="Y217" s="56"/>
      <c r="AD217" s="56"/>
      <c r="AE217" s="56"/>
      <c r="AG217" s="35"/>
      <c r="AH217" s="27"/>
      <c r="AI217" s="27"/>
      <c r="AJ217" s="27"/>
      <c r="AK217" s="27"/>
      <c r="AL217" s="27"/>
      <c r="AM217" s="27"/>
      <c r="AN217" s="27"/>
      <c r="AO217" s="27"/>
      <c r="AP217" s="27"/>
      <c r="AQ217" s="27"/>
      <c r="AR217" s="27"/>
      <c r="AS217" s="27"/>
      <c r="AT217" s="27"/>
      <c r="AU217" s="27"/>
      <c r="AV217" s="27"/>
      <c r="AW217" s="27"/>
      <c r="AX217" s="27"/>
      <c r="AY217" s="27"/>
      <c r="AZ217" s="27"/>
      <c r="BA217" s="27"/>
      <c r="BB217" s="27"/>
      <c r="BC217" s="27"/>
      <c r="BD217" s="27"/>
      <c r="BE217" s="27"/>
      <c r="BF217" s="27"/>
      <c r="BG217" s="27"/>
      <c r="BH217" s="27"/>
      <c r="BI217" s="27"/>
      <c r="BJ217" s="27"/>
      <c r="BK217" s="27"/>
    </row>
    <row r="218" spans="20:63" s="9" customFormat="1">
      <c r="T218" s="56"/>
      <c r="U218" s="56"/>
      <c r="V218" s="111"/>
      <c r="W218" s="121"/>
      <c r="Y218" s="56"/>
      <c r="AD218" s="56"/>
      <c r="AE218" s="56"/>
      <c r="AG218" s="35"/>
      <c r="AH218" s="27"/>
      <c r="AI218" s="27"/>
      <c r="AJ218" s="27"/>
      <c r="AK218" s="27"/>
      <c r="AL218" s="27"/>
      <c r="AM218" s="27"/>
      <c r="AN218" s="27"/>
      <c r="AO218" s="27"/>
      <c r="AP218" s="27"/>
      <c r="AQ218" s="27"/>
      <c r="AR218" s="27"/>
      <c r="AS218" s="27"/>
      <c r="AT218" s="27"/>
      <c r="AU218" s="27"/>
      <c r="AV218" s="27"/>
      <c r="AW218" s="27"/>
      <c r="AX218" s="27"/>
      <c r="AY218" s="27"/>
      <c r="AZ218" s="27"/>
      <c r="BA218" s="27"/>
      <c r="BB218" s="27"/>
      <c r="BC218" s="27"/>
      <c r="BD218" s="27"/>
      <c r="BE218" s="27"/>
      <c r="BF218" s="27"/>
      <c r="BG218" s="27"/>
      <c r="BH218" s="27"/>
      <c r="BI218" s="27"/>
      <c r="BJ218" s="27"/>
      <c r="BK218" s="27"/>
    </row>
    <row r="219" spans="20:63" s="9" customFormat="1">
      <c r="T219" s="56"/>
      <c r="U219" s="56"/>
      <c r="V219" s="111"/>
      <c r="W219" s="121"/>
      <c r="Y219" s="56"/>
      <c r="AD219" s="56"/>
      <c r="AE219" s="56"/>
      <c r="AG219" s="35"/>
      <c r="AH219" s="27"/>
      <c r="AI219" s="27"/>
      <c r="AJ219" s="27"/>
      <c r="AK219" s="27"/>
      <c r="AL219" s="27"/>
      <c r="AM219" s="27"/>
      <c r="AN219" s="27"/>
      <c r="AO219" s="27"/>
      <c r="AP219" s="27"/>
      <c r="AQ219" s="27"/>
      <c r="AR219" s="27"/>
      <c r="AS219" s="27"/>
      <c r="AT219" s="27"/>
      <c r="AU219" s="27"/>
      <c r="AV219" s="27"/>
      <c r="AW219" s="27"/>
      <c r="AX219" s="27"/>
      <c r="AY219" s="27"/>
      <c r="AZ219" s="27"/>
      <c r="BA219" s="27"/>
      <c r="BB219" s="27"/>
      <c r="BC219" s="27"/>
      <c r="BD219" s="27"/>
      <c r="BE219" s="27"/>
      <c r="BF219" s="27"/>
      <c r="BG219" s="27"/>
      <c r="BH219" s="27"/>
      <c r="BI219" s="27"/>
      <c r="BJ219" s="27"/>
      <c r="BK219" s="27"/>
    </row>
    <row r="220" spans="20:63" s="9" customFormat="1">
      <c r="T220" s="56"/>
      <c r="U220" s="56"/>
      <c r="V220" s="111"/>
      <c r="W220" s="121"/>
      <c r="Y220" s="56"/>
      <c r="AD220" s="56"/>
      <c r="AE220" s="56"/>
      <c r="AG220" s="35"/>
      <c r="AH220" s="27"/>
      <c r="AI220" s="27"/>
      <c r="AJ220" s="27"/>
      <c r="AK220" s="27"/>
      <c r="AL220" s="27"/>
      <c r="AM220" s="27"/>
      <c r="AN220" s="27"/>
      <c r="AO220" s="27"/>
      <c r="AP220" s="27"/>
      <c r="AQ220" s="27"/>
      <c r="AR220" s="27"/>
      <c r="AS220" s="27"/>
      <c r="AT220" s="27"/>
      <c r="AU220" s="27"/>
      <c r="AV220" s="27"/>
      <c r="AW220" s="27"/>
      <c r="AX220" s="27"/>
      <c r="AY220" s="27"/>
      <c r="AZ220" s="27"/>
      <c r="BA220" s="27"/>
      <c r="BB220" s="27"/>
      <c r="BC220" s="27"/>
      <c r="BD220" s="27"/>
      <c r="BE220" s="27"/>
      <c r="BF220" s="27"/>
      <c r="BG220" s="27"/>
      <c r="BH220" s="27"/>
      <c r="BI220" s="27"/>
      <c r="BJ220" s="27"/>
      <c r="BK220" s="27"/>
    </row>
    <row r="221" spans="20:63" s="9" customFormat="1">
      <c r="T221" s="56"/>
      <c r="U221" s="56"/>
      <c r="V221" s="111"/>
      <c r="W221" s="121"/>
      <c r="Y221" s="56"/>
      <c r="AD221" s="56"/>
      <c r="AE221" s="56"/>
      <c r="AG221" s="35"/>
      <c r="AH221" s="27"/>
      <c r="AI221" s="27"/>
      <c r="AJ221" s="27"/>
      <c r="AK221" s="27"/>
      <c r="AL221" s="27"/>
      <c r="AM221" s="27"/>
      <c r="AN221" s="27"/>
      <c r="AO221" s="27"/>
      <c r="AP221" s="27"/>
      <c r="AQ221" s="27"/>
      <c r="AR221" s="27"/>
      <c r="AS221" s="27"/>
      <c r="AT221" s="27"/>
      <c r="AU221" s="27"/>
      <c r="AV221" s="27"/>
      <c r="AW221" s="27"/>
      <c r="AX221" s="27"/>
      <c r="AY221" s="27"/>
      <c r="AZ221" s="27"/>
      <c r="BA221" s="27"/>
      <c r="BB221" s="27"/>
      <c r="BC221" s="27"/>
      <c r="BD221" s="27"/>
      <c r="BE221" s="27"/>
      <c r="BF221" s="27"/>
      <c r="BG221" s="27"/>
      <c r="BH221" s="27"/>
      <c r="BI221" s="27"/>
      <c r="BJ221" s="27"/>
      <c r="BK221" s="27"/>
    </row>
    <row r="222" spans="20:63" s="9" customFormat="1">
      <c r="T222" s="56"/>
      <c r="U222" s="56"/>
      <c r="V222" s="111"/>
      <c r="W222" s="121"/>
      <c r="Y222" s="56"/>
      <c r="AD222" s="56"/>
      <c r="AE222" s="56"/>
      <c r="AG222" s="35"/>
      <c r="AH222" s="27"/>
      <c r="AI222" s="27"/>
      <c r="AJ222" s="27"/>
      <c r="AK222" s="27"/>
      <c r="AL222" s="27"/>
      <c r="AM222" s="27"/>
      <c r="AN222" s="27"/>
      <c r="AO222" s="27"/>
      <c r="AP222" s="27"/>
      <c r="AQ222" s="27"/>
      <c r="AR222" s="27"/>
      <c r="AS222" s="27"/>
      <c r="AT222" s="27"/>
      <c r="AU222" s="27"/>
      <c r="AV222" s="27"/>
      <c r="AW222" s="27"/>
      <c r="AX222" s="27"/>
      <c r="AY222" s="27"/>
      <c r="AZ222" s="27"/>
      <c r="BA222" s="27"/>
      <c r="BB222" s="27"/>
      <c r="BC222" s="27"/>
      <c r="BD222" s="27"/>
      <c r="BE222" s="27"/>
      <c r="BF222" s="27"/>
      <c r="BG222" s="27"/>
      <c r="BH222" s="27"/>
      <c r="BI222" s="27"/>
      <c r="BJ222" s="27"/>
      <c r="BK222" s="27"/>
    </row>
    <row r="223" spans="20:63" s="9" customFormat="1">
      <c r="T223" s="56"/>
      <c r="U223" s="56"/>
      <c r="V223" s="111"/>
      <c r="W223" s="121"/>
      <c r="Y223" s="56"/>
      <c r="AD223" s="56"/>
      <c r="AE223" s="56"/>
      <c r="AG223" s="35"/>
      <c r="AH223" s="27"/>
      <c r="AI223" s="27"/>
      <c r="AJ223" s="27"/>
      <c r="AK223" s="27"/>
      <c r="AL223" s="27"/>
      <c r="AM223" s="27"/>
      <c r="AN223" s="27"/>
      <c r="AO223" s="27"/>
      <c r="AP223" s="27"/>
      <c r="AQ223" s="27"/>
      <c r="AR223" s="27"/>
      <c r="AS223" s="27"/>
      <c r="AT223" s="27"/>
      <c r="AU223" s="27"/>
      <c r="AV223" s="27"/>
      <c r="AW223" s="27"/>
      <c r="AX223" s="27"/>
      <c r="AY223" s="27"/>
      <c r="AZ223" s="27"/>
      <c r="BA223" s="27"/>
      <c r="BB223" s="27"/>
      <c r="BC223" s="27"/>
      <c r="BD223" s="27"/>
      <c r="BE223" s="27"/>
      <c r="BF223" s="27"/>
      <c r="BG223" s="27"/>
      <c r="BH223" s="27"/>
      <c r="BI223" s="27"/>
      <c r="BJ223" s="27"/>
      <c r="BK223" s="27"/>
    </row>
    <row r="224" spans="20:63" s="9" customFormat="1">
      <c r="T224" s="56"/>
      <c r="U224" s="56"/>
      <c r="V224" s="111"/>
      <c r="W224" s="121"/>
      <c r="Y224" s="56"/>
      <c r="AD224" s="56"/>
      <c r="AE224" s="56"/>
      <c r="AG224" s="35"/>
      <c r="AH224" s="27"/>
      <c r="AI224" s="27"/>
      <c r="AJ224" s="27"/>
      <c r="AK224" s="27"/>
      <c r="AL224" s="27"/>
      <c r="AM224" s="27"/>
      <c r="AN224" s="27"/>
      <c r="AO224" s="27"/>
      <c r="AP224" s="27"/>
      <c r="AQ224" s="27"/>
      <c r="AR224" s="27"/>
      <c r="AS224" s="27"/>
      <c r="AT224" s="27"/>
      <c r="AU224" s="27"/>
      <c r="AV224" s="27"/>
      <c r="AW224" s="27"/>
      <c r="AX224" s="27"/>
      <c r="AY224" s="27"/>
      <c r="AZ224" s="27"/>
      <c r="BA224" s="27"/>
      <c r="BB224" s="27"/>
      <c r="BC224" s="27"/>
      <c r="BD224" s="27"/>
      <c r="BE224" s="27"/>
      <c r="BF224" s="27"/>
      <c r="BG224" s="27"/>
      <c r="BH224" s="27"/>
      <c r="BI224" s="27"/>
      <c r="BJ224" s="27"/>
      <c r="BK224" s="27"/>
    </row>
    <row r="225" spans="20:63" s="9" customFormat="1">
      <c r="T225" s="56"/>
      <c r="U225" s="56"/>
      <c r="V225" s="111"/>
      <c r="W225" s="121"/>
      <c r="Y225" s="56"/>
      <c r="AD225" s="56"/>
      <c r="AE225" s="56"/>
      <c r="AG225" s="35"/>
      <c r="AH225" s="27"/>
      <c r="AI225" s="27"/>
      <c r="AJ225" s="27"/>
      <c r="AK225" s="27"/>
      <c r="AL225" s="27"/>
      <c r="AM225" s="27"/>
      <c r="AN225" s="27"/>
      <c r="AO225" s="27"/>
      <c r="AP225" s="27"/>
      <c r="AQ225" s="27"/>
      <c r="AR225" s="27"/>
      <c r="AS225" s="27"/>
      <c r="AT225" s="27"/>
      <c r="AU225" s="27"/>
      <c r="AV225" s="27"/>
      <c r="AW225" s="27"/>
      <c r="AX225" s="27"/>
      <c r="AY225" s="27"/>
      <c r="AZ225" s="27"/>
      <c r="BA225" s="27"/>
      <c r="BB225" s="27"/>
      <c r="BC225" s="27"/>
      <c r="BD225" s="27"/>
      <c r="BE225" s="27"/>
      <c r="BF225" s="27"/>
      <c r="BG225" s="27"/>
      <c r="BH225" s="27"/>
      <c r="BI225" s="27"/>
      <c r="BJ225" s="27"/>
      <c r="BK225" s="27"/>
    </row>
    <row r="226" spans="20:63" s="9" customFormat="1">
      <c r="T226" s="56"/>
      <c r="U226" s="56"/>
      <c r="V226" s="111"/>
      <c r="W226" s="121"/>
      <c r="Y226" s="56"/>
      <c r="AD226" s="56"/>
      <c r="AE226" s="56"/>
      <c r="AG226" s="35"/>
      <c r="AH226" s="27"/>
      <c r="AI226" s="27"/>
      <c r="AJ226" s="27"/>
      <c r="AK226" s="27"/>
      <c r="AL226" s="27"/>
      <c r="AM226" s="27"/>
      <c r="AN226" s="27"/>
      <c r="AO226" s="27"/>
      <c r="AP226" s="27"/>
      <c r="AQ226" s="27"/>
      <c r="AR226" s="27"/>
      <c r="AS226" s="27"/>
      <c r="AT226" s="27"/>
      <c r="AU226" s="27"/>
      <c r="AV226" s="27"/>
      <c r="AW226" s="27"/>
      <c r="AX226" s="27"/>
      <c r="AY226" s="27"/>
      <c r="AZ226" s="27"/>
      <c r="BA226" s="27"/>
      <c r="BB226" s="27"/>
      <c r="BC226" s="27"/>
      <c r="BD226" s="27"/>
      <c r="BE226" s="27"/>
      <c r="BF226" s="27"/>
      <c r="BG226" s="27"/>
      <c r="BH226" s="27"/>
      <c r="BI226" s="27"/>
      <c r="BJ226" s="27"/>
      <c r="BK226" s="27"/>
    </row>
    <row r="227" spans="20:63" s="9" customFormat="1">
      <c r="T227" s="56"/>
      <c r="U227" s="56"/>
      <c r="V227" s="111"/>
      <c r="W227" s="121"/>
      <c r="Y227" s="56"/>
      <c r="AD227" s="56"/>
      <c r="AE227" s="56"/>
      <c r="AG227" s="35"/>
      <c r="AH227" s="27"/>
      <c r="AI227" s="27"/>
      <c r="AJ227" s="27"/>
      <c r="AK227" s="27"/>
      <c r="AL227" s="27"/>
      <c r="AM227" s="27"/>
      <c r="AN227" s="27"/>
      <c r="AO227" s="27"/>
      <c r="AP227" s="27"/>
      <c r="AQ227" s="27"/>
      <c r="AR227" s="27"/>
      <c r="AS227" s="27"/>
      <c r="AT227" s="27"/>
      <c r="AU227" s="27"/>
      <c r="AV227" s="27"/>
      <c r="AW227" s="27"/>
      <c r="AX227" s="27"/>
      <c r="AY227" s="27"/>
      <c r="AZ227" s="27"/>
      <c r="BA227" s="27"/>
      <c r="BB227" s="27"/>
      <c r="BC227" s="27"/>
      <c r="BD227" s="27"/>
      <c r="BE227" s="27"/>
      <c r="BF227" s="27"/>
      <c r="BG227" s="27"/>
      <c r="BH227" s="27"/>
      <c r="BI227" s="27"/>
      <c r="BJ227" s="27"/>
      <c r="BK227" s="27"/>
    </row>
    <row r="228" spans="20:63" s="9" customFormat="1">
      <c r="T228" s="56"/>
      <c r="U228" s="56"/>
      <c r="V228" s="111"/>
      <c r="W228" s="121"/>
      <c r="Y228" s="56"/>
      <c r="AD228" s="56"/>
      <c r="AE228" s="56"/>
      <c r="AG228" s="35"/>
      <c r="AH228" s="27"/>
      <c r="AI228" s="27"/>
      <c r="AJ228" s="27"/>
      <c r="AK228" s="27"/>
      <c r="AL228" s="27"/>
      <c r="AM228" s="27"/>
      <c r="AN228" s="27"/>
      <c r="AO228" s="27"/>
      <c r="AP228" s="27"/>
      <c r="AQ228" s="27"/>
      <c r="AR228" s="27"/>
      <c r="AS228" s="27"/>
      <c r="AT228" s="27"/>
      <c r="AU228" s="27"/>
      <c r="AV228" s="27"/>
      <c r="AW228" s="27"/>
      <c r="AX228" s="27"/>
      <c r="AY228" s="27"/>
      <c r="AZ228" s="27"/>
      <c r="BA228" s="27"/>
      <c r="BB228" s="27"/>
      <c r="BC228" s="27"/>
      <c r="BD228" s="27"/>
      <c r="BE228" s="27"/>
      <c r="BF228" s="27"/>
      <c r="BG228" s="27"/>
      <c r="BH228" s="27"/>
      <c r="BI228" s="27"/>
      <c r="BJ228" s="27"/>
      <c r="BK228" s="27"/>
    </row>
    <row r="229" spans="20:63" s="9" customFormat="1">
      <c r="T229" s="56"/>
      <c r="U229" s="56"/>
      <c r="V229" s="111"/>
      <c r="W229" s="121"/>
      <c r="Y229" s="56"/>
      <c r="AD229" s="56"/>
      <c r="AE229" s="56"/>
      <c r="AG229" s="35"/>
      <c r="AH229" s="27"/>
      <c r="AI229" s="27"/>
      <c r="AJ229" s="27"/>
      <c r="AK229" s="27"/>
      <c r="AL229" s="27"/>
      <c r="AM229" s="27"/>
      <c r="AN229" s="27"/>
      <c r="AO229" s="27"/>
      <c r="AP229" s="27"/>
      <c r="AQ229" s="27"/>
      <c r="AR229" s="27"/>
      <c r="AS229" s="27"/>
      <c r="AT229" s="27"/>
      <c r="AU229" s="27"/>
      <c r="AV229" s="27"/>
      <c r="AW229" s="27"/>
      <c r="AX229" s="27"/>
      <c r="AY229" s="27"/>
      <c r="AZ229" s="27"/>
      <c r="BA229" s="27"/>
      <c r="BB229" s="27"/>
      <c r="BC229" s="27"/>
      <c r="BD229" s="27"/>
      <c r="BE229" s="27"/>
      <c r="BF229" s="27"/>
      <c r="BG229" s="27"/>
      <c r="BH229" s="27"/>
      <c r="BI229" s="27"/>
      <c r="BJ229" s="27"/>
      <c r="BK229" s="27"/>
    </row>
    <row r="230" spans="20:63" s="9" customFormat="1">
      <c r="T230" s="56"/>
      <c r="U230" s="56"/>
      <c r="V230" s="111"/>
      <c r="W230" s="121"/>
      <c r="Y230" s="56"/>
      <c r="AD230" s="56"/>
      <c r="AE230" s="56"/>
      <c r="AG230" s="35"/>
      <c r="AH230" s="27"/>
      <c r="AI230" s="27"/>
      <c r="AJ230" s="27"/>
      <c r="AK230" s="27"/>
      <c r="AL230" s="27"/>
      <c r="AM230" s="27"/>
      <c r="AN230" s="27"/>
      <c r="AO230" s="27"/>
      <c r="AP230" s="27"/>
      <c r="AQ230" s="27"/>
      <c r="AR230" s="27"/>
      <c r="AS230" s="27"/>
      <c r="AT230" s="27"/>
      <c r="AU230" s="27"/>
      <c r="AV230" s="27"/>
      <c r="AW230" s="27"/>
      <c r="AX230" s="27"/>
      <c r="AY230" s="27"/>
      <c r="AZ230" s="27"/>
      <c r="BA230" s="27"/>
      <c r="BB230" s="27"/>
      <c r="BC230" s="27"/>
      <c r="BD230" s="27"/>
      <c r="BE230" s="27"/>
      <c r="BF230" s="27"/>
      <c r="BG230" s="27"/>
      <c r="BH230" s="27"/>
      <c r="BI230" s="27"/>
      <c r="BJ230" s="27"/>
      <c r="BK230" s="27"/>
    </row>
    <row r="231" spans="20:63" s="9" customFormat="1">
      <c r="T231" s="56"/>
      <c r="U231" s="56"/>
      <c r="V231" s="111"/>
      <c r="W231" s="121"/>
      <c r="Y231" s="56"/>
      <c r="AD231" s="56"/>
      <c r="AE231" s="56"/>
      <c r="AG231" s="35"/>
      <c r="AH231" s="27"/>
      <c r="AI231" s="27"/>
      <c r="AJ231" s="27"/>
      <c r="AK231" s="27"/>
      <c r="AL231" s="27"/>
      <c r="AM231" s="27"/>
      <c r="AN231" s="27"/>
      <c r="AO231" s="27"/>
      <c r="AP231" s="27"/>
      <c r="AQ231" s="27"/>
      <c r="AR231" s="27"/>
      <c r="AS231" s="27"/>
      <c r="AT231" s="27"/>
      <c r="AU231" s="27"/>
      <c r="AV231" s="27"/>
      <c r="AW231" s="27"/>
      <c r="AX231" s="27"/>
      <c r="AY231" s="27"/>
      <c r="AZ231" s="27"/>
      <c r="BA231" s="27"/>
      <c r="BB231" s="27"/>
      <c r="BC231" s="27"/>
      <c r="BD231" s="27"/>
      <c r="BE231" s="27"/>
      <c r="BF231" s="27"/>
      <c r="BG231" s="27"/>
      <c r="BH231" s="27"/>
      <c r="BI231" s="27"/>
      <c r="BJ231" s="27"/>
      <c r="BK231" s="27"/>
    </row>
    <row r="232" spans="20:63" s="9" customFormat="1">
      <c r="T232" s="56"/>
      <c r="U232" s="56"/>
      <c r="V232" s="111"/>
      <c r="W232" s="121"/>
      <c r="Y232" s="56"/>
      <c r="AD232" s="56"/>
      <c r="AE232" s="56"/>
      <c r="AG232" s="35"/>
      <c r="AH232" s="27"/>
      <c r="AI232" s="27"/>
      <c r="AJ232" s="27"/>
      <c r="AK232" s="27"/>
      <c r="AL232" s="27"/>
      <c r="AM232" s="27"/>
      <c r="AN232" s="27"/>
      <c r="AO232" s="27"/>
      <c r="AP232" s="27"/>
      <c r="AQ232" s="27"/>
      <c r="AR232" s="27"/>
      <c r="AS232" s="27"/>
      <c r="AT232" s="27"/>
      <c r="AU232" s="27"/>
      <c r="AV232" s="27"/>
      <c r="AW232" s="27"/>
      <c r="AX232" s="27"/>
      <c r="AY232" s="27"/>
      <c r="AZ232" s="27"/>
      <c r="BA232" s="27"/>
      <c r="BB232" s="27"/>
      <c r="BC232" s="27"/>
      <c r="BD232" s="27"/>
      <c r="BE232" s="27"/>
      <c r="BF232" s="27"/>
      <c r="BG232" s="27"/>
      <c r="BH232" s="27"/>
      <c r="BI232" s="27"/>
      <c r="BJ232" s="27"/>
      <c r="BK232" s="27"/>
    </row>
    <row r="233" spans="20:63" s="9" customFormat="1">
      <c r="T233" s="56"/>
      <c r="U233" s="56"/>
      <c r="V233" s="111"/>
      <c r="W233" s="121"/>
      <c r="Y233" s="56"/>
      <c r="AD233" s="56"/>
      <c r="AE233" s="56"/>
      <c r="AG233" s="35"/>
      <c r="AH233" s="27"/>
      <c r="AI233" s="27"/>
      <c r="AJ233" s="27"/>
      <c r="AK233" s="27"/>
      <c r="AL233" s="27"/>
      <c r="AM233" s="27"/>
      <c r="AN233" s="27"/>
      <c r="AO233" s="27"/>
      <c r="AP233" s="27"/>
      <c r="AQ233" s="27"/>
      <c r="AR233" s="27"/>
      <c r="AS233" s="27"/>
      <c r="AT233" s="27"/>
      <c r="AU233" s="27"/>
      <c r="AV233" s="27"/>
      <c r="AW233" s="27"/>
      <c r="AX233" s="27"/>
      <c r="AY233" s="27"/>
      <c r="AZ233" s="27"/>
      <c r="BA233" s="27"/>
      <c r="BB233" s="27"/>
      <c r="BC233" s="27"/>
      <c r="BD233" s="27"/>
      <c r="BE233" s="27"/>
      <c r="BF233" s="27"/>
      <c r="BG233" s="27"/>
      <c r="BH233" s="27"/>
      <c r="BI233" s="27"/>
      <c r="BJ233" s="27"/>
      <c r="BK233" s="27"/>
    </row>
    <row r="234" spans="20:63" s="9" customFormat="1">
      <c r="T234" s="56"/>
      <c r="U234" s="56"/>
      <c r="V234" s="111"/>
      <c r="W234" s="121"/>
      <c r="Y234" s="56"/>
      <c r="AD234" s="56"/>
      <c r="AE234" s="56"/>
      <c r="AG234" s="35"/>
      <c r="AH234" s="27"/>
      <c r="AI234" s="27"/>
      <c r="AJ234" s="27"/>
      <c r="AK234" s="27"/>
      <c r="AL234" s="27"/>
      <c r="AM234" s="27"/>
      <c r="AN234" s="27"/>
      <c r="AO234" s="27"/>
      <c r="AP234" s="27"/>
      <c r="AQ234" s="27"/>
      <c r="AR234" s="27"/>
      <c r="AS234" s="27"/>
      <c r="AT234" s="27"/>
      <c r="AU234" s="27"/>
      <c r="AV234" s="27"/>
      <c r="AW234" s="27"/>
      <c r="AX234" s="27"/>
      <c r="AY234" s="27"/>
      <c r="AZ234" s="27"/>
      <c r="BA234" s="27"/>
      <c r="BB234" s="27"/>
      <c r="BC234" s="27"/>
      <c r="BD234" s="27"/>
      <c r="BE234" s="27"/>
      <c r="BF234" s="27"/>
      <c r="BG234" s="27"/>
      <c r="BH234" s="27"/>
      <c r="BI234" s="27"/>
      <c r="BJ234" s="27"/>
      <c r="BK234" s="27"/>
    </row>
    <row r="235" spans="20:63" s="9" customFormat="1">
      <c r="T235" s="56"/>
      <c r="U235" s="56"/>
      <c r="V235" s="111"/>
      <c r="W235" s="121"/>
      <c r="Y235" s="56"/>
      <c r="AD235" s="56"/>
      <c r="AE235" s="56"/>
      <c r="AG235" s="35"/>
      <c r="AH235" s="27"/>
      <c r="AI235" s="27"/>
      <c r="AJ235" s="27"/>
      <c r="AK235" s="27"/>
      <c r="AL235" s="27"/>
      <c r="AM235" s="27"/>
      <c r="AN235" s="27"/>
      <c r="AO235" s="27"/>
      <c r="AP235" s="27"/>
      <c r="AQ235" s="27"/>
      <c r="AR235" s="27"/>
      <c r="AS235" s="27"/>
      <c r="AT235" s="27"/>
      <c r="AU235" s="27"/>
      <c r="AV235" s="27"/>
      <c r="AW235" s="27"/>
      <c r="AX235" s="27"/>
      <c r="AY235" s="27"/>
      <c r="AZ235" s="27"/>
      <c r="BA235" s="27"/>
      <c r="BB235" s="27"/>
      <c r="BC235" s="27"/>
      <c r="BD235" s="27"/>
      <c r="BE235" s="27"/>
      <c r="BF235" s="27"/>
      <c r="BG235" s="27"/>
      <c r="BH235" s="27"/>
      <c r="BI235" s="27"/>
      <c r="BJ235" s="27"/>
      <c r="BK235" s="27"/>
    </row>
    <row r="236" spans="20:63" s="9" customFormat="1">
      <c r="T236" s="56"/>
      <c r="U236" s="56"/>
      <c r="V236" s="111"/>
      <c r="W236" s="121"/>
      <c r="Y236" s="56"/>
      <c r="AD236" s="56"/>
      <c r="AE236" s="56"/>
      <c r="AG236" s="35"/>
      <c r="AH236" s="27"/>
      <c r="AI236" s="27"/>
      <c r="AJ236" s="27"/>
      <c r="AK236" s="27"/>
      <c r="AL236" s="27"/>
      <c r="AM236" s="27"/>
      <c r="AN236" s="27"/>
      <c r="AO236" s="27"/>
      <c r="AP236" s="27"/>
      <c r="AQ236" s="27"/>
      <c r="AR236" s="27"/>
      <c r="AS236" s="27"/>
      <c r="AT236" s="27"/>
      <c r="AU236" s="27"/>
      <c r="AV236" s="27"/>
      <c r="AW236" s="27"/>
      <c r="AX236" s="27"/>
      <c r="AY236" s="27"/>
      <c r="AZ236" s="27"/>
      <c r="BA236" s="27"/>
      <c r="BB236" s="27"/>
      <c r="BC236" s="27"/>
      <c r="BD236" s="27"/>
      <c r="BE236" s="27"/>
      <c r="BF236" s="27"/>
      <c r="BG236" s="27"/>
      <c r="BH236" s="27"/>
      <c r="BI236" s="27"/>
      <c r="BJ236" s="27"/>
      <c r="BK236" s="27"/>
    </row>
    <row r="237" spans="20:63" s="9" customFormat="1">
      <c r="T237" s="56"/>
      <c r="U237" s="56"/>
      <c r="V237" s="111"/>
      <c r="W237" s="121"/>
      <c r="Y237" s="56"/>
      <c r="AD237" s="56"/>
      <c r="AE237" s="56"/>
      <c r="AG237" s="35"/>
      <c r="AH237" s="27"/>
      <c r="AI237" s="27"/>
      <c r="AJ237" s="27"/>
      <c r="AK237" s="27"/>
      <c r="AL237" s="27"/>
      <c r="AM237" s="27"/>
      <c r="AN237" s="27"/>
      <c r="AO237" s="27"/>
      <c r="AP237" s="27"/>
      <c r="AQ237" s="27"/>
      <c r="AR237" s="27"/>
      <c r="AS237" s="27"/>
      <c r="AT237" s="27"/>
      <c r="AU237" s="27"/>
      <c r="AV237" s="27"/>
      <c r="AW237" s="27"/>
      <c r="AX237" s="27"/>
      <c r="AY237" s="27"/>
      <c r="AZ237" s="27"/>
      <c r="BA237" s="27"/>
      <c r="BB237" s="27"/>
      <c r="BC237" s="27"/>
      <c r="BD237" s="27"/>
      <c r="BE237" s="27"/>
      <c r="BF237" s="27"/>
      <c r="BG237" s="27"/>
      <c r="BH237" s="27"/>
      <c r="BI237" s="27"/>
      <c r="BJ237" s="27"/>
      <c r="BK237" s="27"/>
    </row>
    <row r="238" spans="20:63" s="9" customFormat="1">
      <c r="T238" s="56"/>
      <c r="U238" s="56"/>
      <c r="V238" s="111"/>
      <c r="W238" s="121"/>
      <c r="Y238" s="56"/>
      <c r="AD238" s="56"/>
      <c r="AE238" s="56"/>
      <c r="AG238" s="35"/>
      <c r="AH238" s="27"/>
      <c r="AI238" s="27"/>
      <c r="AJ238" s="27"/>
      <c r="AK238" s="27"/>
      <c r="AL238" s="27"/>
      <c r="AM238" s="27"/>
      <c r="AN238" s="27"/>
      <c r="AO238" s="27"/>
      <c r="AP238" s="27"/>
      <c r="AQ238" s="27"/>
      <c r="AR238" s="27"/>
      <c r="AS238" s="27"/>
      <c r="AT238" s="27"/>
      <c r="AU238" s="27"/>
      <c r="AV238" s="27"/>
      <c r="AW238" s="27"/>
      <c r="AX238" s="27"/>
      <c r="AY238" s="27"/>
      <c r="AZ238" s="27"/>
      <c r="BA238" s="27"/>
      <c r="BB238" s="27"/>
      <c r="BC238" s="27"/>
      <c r="BD238" s="27"/>
      <c r="BE238" s="27"/>
      <c r="BF238" s="27"/>
      <c r="BG238" s="27"/>
      <c r="BH238" s="27"/>
      <c r="BI238" s="27"/>
      <c r="BJ238" s="27"/>
      <c r="BK238" s="27"/>
    </row>
    <row r="239" spans="20:63" s="9" customFormat="1">
      <c r="T239" s="56"/>
      <c r="U239" s="56"/>
      <c r="V239" s="111"/>
      <c r="W239" s="121"/>
      <c r="Y239" s="56"/>
      <c r="AD239" s="56"/>
      <c r="AE239" s="56"/>
      <c r="AG239" s="35"/>
      <c r="AH239" s="27"/>
      <c r="AI239" s="27"/>
      <c r="AJ239" s="27"/>
      <c r="AK239" s="27"/>
      <c r="AL239" s="27"/>
      <c r="AM239" s="27"/>
      <c r="AN239" s="27"/>
      <c r="AO239" s="27"/>
      <c r="AP239" s="27"/>
      <c r="AQ239" s="27"/>
      <c r="AR239" s="27"/>
      <c r="AS239" s="27"/>
      <c r="AT239" s="27"/>
      <c r="AU239" s="27"/>
      <c r="AV239" s="27"/>
      <c r="AW239" s="27"/>
      <c r="AX239" s="27"/>
      <c r="AY239" s="27"/>
      <c r="AZ239" s="27"/>
      <c r="BA239" s="27"/>
      <c r="BB239" s="27"/>
      <c r="BC239" s="27"/>
      <c r="BD239" s="27"/>
      <c r="BE239" s="27"/>
      <c r="BF239" s="27"/>
      <c r="BG239" s="27"/>
      <c r="BH239" s="27"/>
      <c r="BI239" s="27"/>
      <c r="BJ239" s="27"/>
      <c r="BK239" s="27"/>
    </row>
    <row r="240" spans="20:63" s="9" customFormat="1">
      <c r="T240" s="56"/>
      <c r="U240" s="56"/>
      <c r="V240" s="111"/>
      <c r="W240" s="121"/>
      <c r="Y240" s="56"/>
      <c r="AD240" s="56"/>
      <c r="AE240" s="56"/>
      <c r="AG240" s="35"/>
      <c r="AH240" s="27"/>
      <c r="AI240" s="27"/>
      <c r="AJ240" s="27"/>
      <c r="AK240" s="27"/>
      <c r="AL240" s="27"/>
      <c r="AM240" s="27"/>
      <c r="AN240" s="27"/>
      <c r="AO240" s="27"/>
      <c r="AP240" s="27"/>
      <c r="AQ240" s="27"/>
      <c r="AR240" s="27"/>
      <c r="AS240" s="27"/>
      <c r="AT240" s="27"/>
      <c r="AU240" s="27"/>
      <c r="AV240" s="27"/>
      <c r="AW240" s="27"/>
      <c r="AX240" s="27"/>
      <c r="AY240" s="27"/>
      <c r="AZ240" s="27"/>
      <c r="BA240" s="27"/>
      <c r="BB240" s="27"/>
      <c r="BC240" s="27"/>
      <c r="BD240" s="27"/>
      <c r="BE240" s="27"/>
      <c r="BF240" s="27"/>
      <c r="BG240" s="27"/>
      <c r="BH240" s="27"/>
      <c r="BI240" s="27"/>
      <c r="BJ240" s="27"/>
      <c r="BK240" s="27"/>
    </row>
    <row r="241" spans="20:63" s="9" customFormat="1">
      <c r="T241" s="56"/>
      <c r="U241" s="56"/>
      <c r="V241" s="111"/>
      <c r="W241" s="121"/>
      <c r="Y241" s="56"/>
      <c r="AD241" s="56"/>
      <c r="AE241" s="56"/>
      <c r="AG241" s="35"/>
      <c r="AH241" s="27"/>
      <c r="AI241" s="27"/>
      <c r="AJ241" s="27"/>
      <c r="AK241" s="27"/>
      <c r="AL241" s="27"/>
      <c r="AM241" s="27"/>
      <c r="AN241" s="27"/>
      <c r="AO241" s="27"/>
      <c r="AP241" s="27"/>
      <c r="AQ241" s="27"/>
      <c r="AR241" s="27"/>
      <c r="AS241" s="27"/>
      <c r="AT241" s="27"/>
      <c r="AU241" s="27"/>
      <c r="AV241" s="27"/>
      <c r="AW241" s="27"/>
      <c r="AX241" s="27"/>
      <c r="AY241" s="27"/>
      <c r="AZ241" s="27"/>
      <c r="BA241" s="27"/>
      <c r="BB241" s="27"/>
      <c r="BC241" s="27"/>
      <c r="BD241" s="27"/>
      <c r="BE241" s="27"/>
      <c r="BF241" s="27"/>
      <c r="BG241" s="27"/>
      <c r="BH241" s="27"/>
      <c r="BI241" s="27"/>
      <c r="BJ241" s="27"/>
      <c r="BK241" s="27"/>
    </row>
    <row r="242" spans="20:63" s="9" customFormat="1">
      <c r="T242" s="56"/>
      <c r="U242" s="56"/>
      <c r="V242" s="111"/>
      <c r="W242" s="121"/>
      <c r="Y242" s="56"/>
      <c r="AD242" s="56"/>
      <c r="AE242" s="56"/>
      <c r="AG242" s="35"/>
      <c r="AH242" s="27"/>
      <c r="AI242" s="27"/>
      <c r="AJ242" s="27"/>
      <c r="AK242" s="27"/>
      <c r="AL242" s="27"/>
      <c r="AM242" s="27"/>
      <c r="AN242" s="27"/>
      <c r="AO242" s="27"/>
      <c r="AP242" s="27"/>
      <c r="AQ242" s="27"/>
      <c r="AR242" s="27"/>
      <c r="AS242" s="27"/>
      <c r="AT242" s="27"/>
      <c r="AU242" s="27"/>
      <c r="AV242" s="27"/>
      <c r="AW242" s="27"/>
      <c r="AX242" s="27"/>
      <c r="AY242" s="27"/>
      <c r="AZ242" s="27"/>
      <c r="BA242" s="27"/>
      <c r="BB242" s="27"/>
      <c r="BC242" s="27"/>
      <c r="BD242" s="27"/>
      <c r="BE242" s="27"/>
      <c r="BF242" s="27"/>
      <c r="BG242" s="27"/>
      <c r="BH242" s="27"/>
      <c r="BI242" s="27"/>
      <c r="BJ242" s="27"/>
      <c r="BK242" s="27"/>
    </row>
    <row r="243" spans="20:63" s="9" customFormat="1">
      <c r="T243" s="56"/>
      <c r="U243" s="56"/>
      <c r="V243" s="111"/>
      <c r="W243" s="121"/>
      <c r="Y243" s="56"/>
      <c r="AD243" s="56"/>
      <c r="AE243" s="56"/>
      <c r="AG243" s="35"/>
      <c r="AH243" s="27"/>
      <c r="AI243" s="27"/>
      <c r="AJ243" s="27"/>
      <c r="AK243" s="27"/>
      <c r="AL243" s="27"/>
      <c r="AM243" s="27"/>
      <c r="AN243" s="27"/>
      <c r="AO243" s="27"/>
      <c r="AP243" s="27"/>
      <c r="AQ243" s="27"/>
      <c r="AR243" s="27"/>
      <c r="AS243" s="27"/>
      <c r="AT243" s="27"/>
      <c r="AU243" s="27"/>
      <c r="AV243" s="27"/>
      <c r="AW243" s="27"/>
      <c r="AX243" s="27"/>
      <c r="AY243" s="27"/>
      <c r="AZ243" s="27"/>
      <c r="BA243" s="27"/>
      <c r="BB243" s="27"/>
      <c r="BC243" s="27"/>
      <c r="BD243" s="27"/>
      <c r="BE243" s="27"/>
      <c r="BF243" s="27"/>
      <c r="BG243" s="27"/>
      <c r="BH243" s="27"/>
      <c r="BI243" s="27"/>
      <c r="BJ243" s="27"/>
      <c r="BK243" s="27"/>
    </row>
    <row r="244" spans="20:63" s="9" customFormat="1">
      <c r="T244" s="56"/>
      <c r="U244" s="56"/>
      <c r="V244" s="111"/>
      <c r="W244" s="121"/>
      <c r="Y244" s="56"/>
      <c r="AD244" s="56"/>
      <c r="AE244" s="56"/>
      <c r="AG244" s="35"/>
      <c r="AH244" s="27"/>
      <c r="AI244" s="27"/>
      <c r="AJ244" s="27"/>
      <c r="AK244" s="27"/>
      <c r="AL244" s="27"/>
      <c r="AM244" s="27"/>
      <c r="AN244" s="27"/>
      <c r="AO244" s="27"/>
      <c r="AP244" s="27"/>
      <c r="AQ244" s="27"/>
      <c r="AR244" s="27"/>
      <c r="AS244" s="27"/>
      <c r="AT244" s="27"/>
      <c r="AU244" s="27"/>
      <c r="AV244" s="27"/>
      <c r="AW244" s="27"/>
      <c r="AX244" s="27"/>
      <c r="AY244" s="27"/>
      <c r="AZ244" s="27"/>
      <c r="BA244" s="27"/>
      <c r="BB244" s="27"/>
      <c r="BC244" s="27"/>
      <c r="BD244" s="27"/>
      <c r="BE244" s="27"/>
      <c r="BF244" s="27"/>
      <c r="BG244" s="27"/>
      <c r="BH244" s="27"/>
      <c r="BI244" s="27"/>
      <c r="BJ244" s="27"/>
      <c r="BK244" s="27"/>
    </row>
    <row r="245" spans="20:63" s="9" customFormat="1">
      <c r="T245" s="56"/>
      <c r="U245" s="56"/>
      <c r="V245" s="111"/>
      <c r="W245" s="121"/>
      <c r="Y245" s="56"/>
      <c r="AD245" s="56"/>
      <c r="AE245" s="56"/>
      <c r="AG245" s="35"/>
      <c r="AH245" s="27"/>
      <c r="AI245" s="27"/>
      <c r="AJ245" s="27"/>
      <c r="AK245" s="27"/>
      <c r="AL245" s="27"/>
      <c r="AM245" s="27"/>
      <c r="AN245" s="27"/>
      <c r="AO245" s="27"/>
      <c r="AP245" s="27"/>
      <c r="AQ245" s="27"/>
      <c r="AR245" s="27"/>
      <c r="AS245" s="27"/>
      <c r="AT245" s="27"/>
      <c r="AU245" s="27"/>
      <c r="AV245" s="27"/>
      <c r="AW245" s="27"/>
      <c r="AX245" s="27"/>
      <c r="AY245" s="27"/>
      <c r="AZ245" s="27"/>
      <c r="BA245" s="27"/>
      <c r="BB245" s="27"/>
      <c r="BC245" s="27"/>
      <c r="BD245" s="27"/>
      <c r="BE245" s="27"/>
      <c r="BF245" s="27"/>
      <c r="BG245" s="27"/>
      <c r="BH245" s="27"/>
      <c r="BI245" s="27"/>
      <c r="BJ245" s="27"/>
      <c r="BK245" s="27"/>
    </row>
    <row r="246" spans="20:63" s="9" customFormat="1">
      <c r="T246" s="56"/>
      <c r="U246" s="56"/>
      <c r="V246" s="111"/>
      <c r="W246" s="121"/>
      <c r="Y246" s="56"/>
      <c r="AD246" s="56"/>
      <c r="AE246" s="56"/>
      <c r="AG246" s="35"/>
      <c r="AH246" s="27"/>
      <c r="AI246" s="27"/>
      <c r="AJ246" s="27"/>
      <c r="AK246" s="27"/>
      <c r="AL246" s="27"/>
      <c r="AM246" s="27"/>
      <c r="AN246" s="27"/>
      <c r="AO246" s="27"/>
      <c r="AP246" s="27"/>
      <c r="AQ246" s="27"/>
      <c r="AR246" s="27"/>
      <c r="AS246" s="27"/>
      <c r="AT246" s="27"/>
      <c r="AU246" s="27"/>
      <c r="AV246" s="27"/>
      <c r="AW246" s="27"/>
      <c r="AX246" s="27"/>
      <c r="AY246" s="27"/>
      <c r="AZ246" s="27"/>
      <c r="BA246" s="27"/>
      <c r="BB246" s="27"/>
      <c r="BC246" s="27"/>
      <c r="BD246" s="27"/>
      <c r="BE246" s="27"/>
      <c r="BF246" s="27"/>
      <c r="BG246" s="27"/>
      <c r="BH246" s="27"/>
      <c r="BI246" s="27"/>
      <c r="BJ246" s="27"/>
      <c r="BK246" s="27"/>
    </row>
    <row r="247" spans="20:63" s="9" customFormat="1">
      <c r="T247" s="56"/>
      <c r="U247" s="56"/>
      <c r="V247" s="111"/>
      <c r="W247" s="121"/>
      <c r="Y247" s="56"/>
      <c r="AD247" s="56"/>
      <c r="AE247" s="56"/>
      <c r="AG247" s="35"/>
      <c r="AH247" s="27"/>
      <c r="AI247" s="27"/>
      <c r="AJ247" s="27"/>
      <c r="AK247" s="27"/>
      <c r="AL247" s="27"/>
      <c r="AM247" s="27"/>
      <c r="AN247" s="27"/>
      <c r="AO247" s="27"/>
      <c r="AP247" s="27"/>
      <c r="AQ247" s="27"/>
      <c r="AR247" s="27"/>
      <c r="AS247" s="27"/>
      <c r="AT247" s="27"/>
      <c r="AU247" s="27"/>
      <c r="AV247" s="27"/>
      <c r="AW247" s="27"/>
      <c r="AX247" s="27"/>
      <c r="AY247" s="27"/>
      <c r="AZ247" s="27"/>
      <c r="BA247" s="27"/>
      <c r="BB247" s="27"/>
      <c r="BC247" s="27"/>
      <c r="BD247" s="27"/>
      <c r="BE247" s="27"/>
      <c r="BF247" s="27"/>
      <c r="BG247" s="27"/>
      <c r="BH247" s="27"/>
      <c r="BI247" s="27"/>
      <c r="BJ247" s="27"/>
      <c r="BK247" s="27"/>
    </row>
    <row r="248" spans="20:63" s="9" customFormat="1">
      <c r="T248" s="56"/>
      <c r="U248" s="56"/>
      <c r="V248" s="111"/>
      <c r="W248" s="121"/>
      <c r="Y248" s="56"/>
      <c r="AD248" s="56"/>
      <c r="AE248" s="56"/>
      <c r="AG248" s="35"/>
      <c r="AH248" s="27"/>
      <c r="AI248" s="27"/>
      <c r="AJ248" s="27"/>
      <c r="AK248" s="27"/>
      <c r="AL248" s="27"/>
      <c r="AM248" s="27"/>
      <c r="AN248" s="27"/>
      <c r="AO248" s="27"/>
      <c r="AP248" s="27"/>
      <c r="AQ248" s="27"/>
      <c r="AR248" s="27"/>
      <c r="AS248" s="27"/>
      <c r="AT248" s="27"/>
      <c r="AU248" s="27"/>
      <c r="AV248" s="27"/>
      <c r="AW248" s="27"/>
      <c r="AX248" s="27"/>
      <c r="AY248" s="27"/>
      <c r="AZ248" s="27"/>
      <c r="BA248" s="27"/>
      <c r="BB248" s="27"/>
      <c r="BC248" s="27"/>
      <c r="BD248" s="27"/>
      <c r="BE248" s="27"/>
      <c r="BF248" s="27"/>
      <c r="BG248" s="27"/>
      <c r="BH248" s="27"/>
      <c r="BI248" s="27"/>
      <c r="BJ248" s="27"/>
      <c r="BK248" s="27"/>
    </row>
    <row r="249" spans="20:63" s="9" customFormat="1">
      <c r="T249" s="56"/>
      <c r="U249" s="56"/>
      <c r="V249" s="111"/>
      <c r="W249" s="121"/>
      <c r="Y249" s="56"/>
      <c r="AD249" s="56"/>
      <c r="AE249" s="56"/>
      <c r="AG249" s="35"/>
      <c r="AH249" s="27"/>
      <c r="AI249" s="27"/>
      <c r="AJ249" s="27"/>
      <c r="AK249" s="27"/>
      <c r="AL249" s="27"/>
      <c r="AM249" s="27"/>
      <c r="AN249" s="27"/>
      <c r="AO249" s="27"/>
      <c r="AP249" s="27"/>
      <c r="AQ249" s="27"/>
      <c r="AR249" s="27"/>
      <c r="AS249" s="27"/>
      <c r="AT249" s="27"/>
      <c r="AU249" s="27"/>
      <c r="AV249" s="27"/>
      <c r="AW249" s="27"/>
      <c r="AX249" s="27"/>
      <c r="AY249" s="27"/>
      <c r="AZ249" s="27"/>
      <c r="BA249" s="27"/>
      <c r="BB249" s="27"/>
      <c r="BC249" s="27"/>
      <c r="BD249" s="27"/>
      <c r="BE249" s="27"/>
      <c r="BF249" s="27"/>
      <c r="BG249" s="27"/>
      <c r="BH249" s="27"/>
      <c r="BI249" s="27"/>
      <c r="BJ249" s="27"/>
      <c r="BK249" s="27"/>
    </row>
    <row r="250" spans="20:63" s="9" customFormat="1">
      <c r="T250" s="56"/>
      <c r="U250" s="56"/>
      <c r="V250" s="111"/>
      <c r="W250" s="121"/>
      <c r="Y250" s="56"/>
      <c r="AD250" s="56"/>
      <c r="AE250" s="56"/>
      <c r="AG250" s="35"/>
      <c r="AH250" s="27"/>
      <c r="AI250" s="27"/>
      <c r="AJ250" s="27"/>
      <c r="AK250" s="27"/>
      <c r="AL250" s="27"/>
      <c r="AM250" s="27"/>
      <c r="AN250" s="27"/>
      <c r="AO250" s="27"/>
      <c r="AP250" s="27"/>
      <c r="AQ250" s="27"/>
      <c r="AR250" s="27"/>
      <c r="AS250" s="27"/>
      <c r="AT250" s="27"/>
      <c r="AU250" s="27"/>
      <c r="AV250" s="27"/>
      <c r="AW250" s="27"/>
      <c r="AX250" s="27"/>
      <c r="AY250" s="27"/>
      <c r="AZ250" s="27"/>
      <c r="BA250" s="27"/>
      <c r="BB250" s="27"/>
      <c r="BC250" s="27"/>
      <c r="BD250" s="27"/>
      <c r="BE250" s="27"/>
      <c r="BF250" s="27"/>
      <c r="BG250" s="27"/>
      <c r="BH250" s="27"/>
      <c r="BI250" s="27"/>
      <c r="BJ250" s="27"/>
      <c r="BK250" s="27"/>
    </row>
    <row r="251" spans="20:63" s="9" customFormat="1">
      <c r="T251" s="56"/>
      <c r="U251" s="56"/>
      <c r="V251" s="111"/>
      <c r="W251" s="121"/>
      <c r="Y251" s="56"/>
      <c r="AD251" s="56"/>
      <c r="AE251" s="56"/>
      <c r="AG251" s="35"/>
      <c r="AH251" s="27"/>
      <c r="AI251" s="27"/>
      <c r="AJ251" s="27"/>
      <c r="AK251" s="27"/>
      <c r="AL251" s="27"/>
      <c r="AM251" s="27"/>
      <c r="AN251" s="27"/>
      <c r="AO251" s="27"/>
      <c r="AP251" s="27"/>
      <c r="AQ251" s="27"/>
      <c r="AR251" s="27"/>
      <c r="AS251" s="27"/>
      <c r="AT251" s="27"/>
      <c r="AU251" s="27"/>
      <c r="AV251" s="27"/>
      <c r="AW251" s="27"/>
      <c r="AX251" s="27"/>
      <c r="AY251" s="27"/>
      <c r="AZ251" s="27"/>
      <c r="BA251" s="27"/>
      <c r="BB251" s="27"/>
      <c r="BC251" s="27"/>
      <c r="BD251" s="27"/>
      <c r="BE251" s="27"/>
      <c r="BF251" s="27"/>
      <c r="BG251" s="27"/>
      <c r="BH251" s="27"/>
      <c r="BI251" s="27"/>
      <c r="BJ251" s="27"/>
      <c r="BK251" s="27"/>
    </row>
    <row r="252" spans="20:63" s="9" customFormat="1">
      <c r="T252" s="56"/>
      <c r="U252" s="56"/>
      <c r="V252" s="111"/>
      <c r="W252" s="121"/>
      <c r="Y252" s="56"/>
      <c r="AD252" s="56"/>
      <c r="AE252" s="56"/>
      <c r="AG252" s="35"/>
      <c r="AH252" s="27"/>
      <c r="AI252" s="27"/>
      <c r="AJ252" s="27"/>
      <c r="AK252" s="27"/>
      <c r="AL252" s="27"/>
      <c r="AM252" s="27"/>
      <c r="AN252" s="27"/>
      <c r="AO252" s="27"/>
      <c r="AP252" s="27"/>
      <c r="AQ252" s="27"/>
      <c r="AR252" s="27"/>
      <c r="AS252" s="27"/>
      <c r="AT252" s="27"/>
      <c r="AU252" s="27"/>
      <c r="AV252" s="27"/>
      <c r="AW252" s="27"/>
      <c r="AX252" s="27"/>
      <c r="AY252" s="27"/>
      <c r="AZ252" s="27"/>
      <c r="BA252" s="27"/>
      <c r="BB252" s="27"/>
      <c r="BC252" s="27"/>
      <c r="BD252" s="27"/>
      <c r="BE252" s="27"/>
      <c r="BF252" s="27"/>
      <c r="BG252" s="27"/>
      <c r="BH252" s="27"/>
      <c r="BI252" s="27"/>
      <c r="BJ252" s="27"/>
      <c r="BK252" s="27"/>
    </row>
    <row r="253" spans="20:63" s="9" customFormat="1">
      <c r="T253" s="56"/>
      <c r="U253" s="56"/>
      <c r="V253" s="111"/>
      <c r="W253" s="121"/>
      <c r="Y253" s="56"/>
      <c r="AD253" s="56"/>
      <c r="AE253" s="56"/>
      <c r="AG253" s="35"/>
      <c r="AH253" s="27"/>
      <c r="AI253" s="27"/>
      <c r="AJ253" s="27"/>
      <c r="AK253" s="27"/>
      <c r="AL253" s="27"/>
      <c r="AM253" s="27"/>
      <c r="AN253" s="27"/>
      <c r="AO253" s="27"/>
      <c r="AP253" s="27"/>
      <c r="AQ253" s="27"/>
      <c r="AR253" s="27"/>
      <c r="AS253" s="27"/>
      <c r="AT253" s="27"/>
      <c r="AU253" s="27"/>
      <c r="AV253" s="27"/>
      <c r="AW253" s="27"/>
      <c r="AX253" s="27"/>
      <c r="AY253" s="27"/>
      <c r="AZ253" s="27"/>
      <c r="BA253" s="27"/>
      <c r="BB253" s="27"/>
      <c r="BC253" s="27"/>
      <c r="BD253" s="27"/>
      <c r="BE253" s="27"/>
      <c r="BF253" s="27"/>
      <c r="BG253" s="27"/>
      <c r="BH253" s="27"/>
      <c r="BI253" s="27"/>
      <c r="BJ253" s="27"/>
      <c r="BK253" s="27"/>
    </row>
    <row r="254" spans="20:63" s="9" customFormat="1">
      <c r="T254" s="56"/>
      <c r="U254" s="56"/>
      <c r="V254" s="111"/>
      <c r="W254" s="121"/>
      <c r="Y254" s="56"/>
      <c r="AD254" s="56"/>
      <c r="AE254" s="56"/>
      <c r="AG254" s="35"/>
      <c r="AH254" s="27"/>
      <c r="AI254" s="27"/>
      <c r="AJ254" s="27"/>
      <c r="AK254" s="27"/>
      <c r="AL254" s="27"/>
      <c r="AM254" s="27"/>
      <c r="AN254" s="27"/>
      <c r="AO254" s="27"/>
      <c r="AP254" s="27"/>
      <c r="AQ254" s="27"/>
      <c r="AR254" s="27"/>
      <c r="AS254" s="27"/>
      <c r="AT254" s="27"/>
      <c r="AU254" s="27"/>
      <c r="AV254" s="27"/>
      <c r="AW254" s="27"/>
      <c r="AX254" s="27"/>
      <c r="AY254" s="27"/>
      <c r="AZ254" s="27"/>
      <c r="BA254" s="27"/>
      <c r="BB254" s="27"/>
      <c r="BC254" s="27"/>
      <c r="BD254" s="27"/>
      <c r="BE254" s="27"/>
      <c r="BF254" s="27"/>
      <c r="BG254" s="27"/>
      <c r="BH254" s="27"/>
      <c r="BI254" s="27"/>
      <c r="BJ254" s="27"/>
      <c r="BK254" s="27"/>
    </row>
    <row r="255" spans="20:63" s="9" customFormat="1">
      <c r="T255" s="56"/>
      <c r="U255" s="56"/>
      <c r="V255" s="111"/>
      <c r="W255" s="121"/>
      <c r="Y255" s="56"/>
      <c r="AD255" s="56"/>
      <c r="AE255" s="56"/>
      <c r="AG255" s="35"/>
      <c r="AH255" s="27"/>
      <c r="AI255" s="27"/>
      <c r="AJ255" s="27"/>
      <c r="AK255" s="27"/>
      <c r="AL255" s="27"/>
      <c r="AM255" s="27"/>
      <c r="AN255" s="27"/>
      <c r="AO255" s="27"/>
      <c r="AP255" s="27"/>
      <c r="AQ255" s="27"/>
      <c r="AR255" s="27"/>
      <c r="AS255" s="27"/>
      <c r="AT255" s="27"/>
      <c r="AU255" s="27"/>
      <c r="AV255" s="27"/>
      <c r="AW255" s="27"/>
      <c r="AX255" s="27"/>
      <c r="AY255" s="27"/>
      <c r="AZ255" s="27"/>
      <c r="BA255" s="27"/>
      <c r="BB255" s="27"/>
      <c r="BC255" s="27"/>
      <c r="BD255" s="27"/>
      <c r="BE255" s="27"/>
      <c r="BF255" s="27"/>
      <c r="BG255" s="27"/>
      <c r="BH255" s="27"/>
      <c r="BI255" s="27"/>
      <c r="BJ255" s="27"/>
      <c r="BK255" s="27"/>
    </row>
    <row r="256" spans="20:63" s="9" customFormat="1">
      <c r="T256" s="56"/>
      <c r="U256" s="56"/>
      <c r="V256" s="111"/>
      <c r="W256" s="121"/>
      <c r="Y256" s="56"/>
      <c r="AD256" s="56"/>
      <c r="AE256" s="56"/>
      <c r="AG256" s="35"/>
      <c r="AH256" s="27"/>
      <c r="AI256" s="27"/>
      <c r="AJ256" s="27"/>
      <c r="AK256" s="27"/>
      <c r="AL256" s="27"/>
      <c r="AM256" s="27"/>
      <c r="AN256" s="27"/>
      <c r="AO256" s="27"/>
      <c r="AP256" s="27"/>
      <c r="AQ256" s="27"/>
      <c r="AR256" s="27"/>
      <c r="AS256" s="27"/>
      <c r="AT256" s="27"/>
      <c r="AU256" s="27"/>
      <c r="AV256" s="27"/>
      <c r="AW256" s="27"/>
      <c r="AX256" s="27"/>
      <c r="AY256" s="27"/>
      <c r="AZ256" s="27"/>
      <c r="BA256" s="27"/>
      <c r="BB256" s="27"/>
      <c r="BC256" s="27"/>
      <c r="BD256" s="27"/>
      <c r="BE256" s="27"/>
      <c r="BF256" s="27"/>
      <c r="BG256" s="27"/>
      <c r="BH256" s="27"/>
      <c r="BI256" s="27"/>
      <c r="BJ256" s="27"/>
      <c r="BK256" s="27"/>
    </row>
    <row r="257" spans="20:63" s="9" customFormat="1">
      <c r="T257" s="56"/>
      <c r="U257" s="56"/>
      <c r="V257" s="111"/>
      <c r="W257" s="121"/>
      <c r="Y257" s="56"/>
      <c r="AD257" s="56"/>
      <c r="AE257" s="56"/>
      <c r="AG257" s="35"/>
      <c r="AH257" s="27"/>
      <c r="AI257" s="27"/>
      <c r="AJ257" s="27"/>
      <c r="AK257" s="27"/>
      <c r="AL257" s="27"/>
      <c r="AM257" s="27"/>
      <c r="AN257" s="27"/>
      <c r="AO257" s="27"/>
      <c r="AP257" s="27"/>
      <c r="AQ257" s="27"/>
      <c r="AR257" s="27"/>
      <c r="AS257" s="27"/>
      <c r="AT257" s="27"/>
      <c r="AU257" s="27"/>
      <c r="AV257" s="27"/>
      <c r="AW257" s="27"/>
      <c r="AX257" s="27"/>
      <c r="AY257" s="27"/>
      <c r="AZ257" s="27"/>
      <c r="BA257" s="27"/>
      <c r="BB257" s="27"/>
      <c r="BC257" s="27"/>
      <c r="BD257" s="27"/>
      <c r="BE257" s="27"/>
      <c r="BF257" s="27"/>
      <c r="BG257" s="27"/>
      <c r="BH257" s="27"/>
      <c r="BI257" s="27"/>
      <c r="BJ257" s="27"/>
      <c r="BK257" s="27"/>
    </row>
    <row r="258" spans="20:63" s="9" customFormat="1">
      <c r="T258" s="56"/>
      <c r="U258" s="56"/>
      <c r="V258" s="111"/>
      <c r="W258" s="121"/>
      <c r="Y258" s="56"/>
      <c r="AD258" s="56"/>
      <c r="AE258" s="56"/>
      <c r="AG258" s="35"/>
      <c r="AH258" s="27"/>
      <c r="AI258" s="27"/>
      <c r="AJ258" s="27"/>
      <c r="AK258" s="27"/>
      <c r="AL258" s="27"/>
      <c r="AM258" s="27"/>
      <c r="AN258" s="27"/>
      <c r="AO258" s="27"/>
      <c r="AP258" s="27"/>
      <c r="AQ258" s="27"/>
      <c r="AR258" s="27"/>
      <c r="AS258" s="27"/>
      <c r="AT258" s="27"/>
      <c r="AU258" s="27"/>
      <c r="AV258" s="27"/>
      <c r="AW258" s="27"/>
      <c r="AX258" s="27"/>
      <c r="AY258" s="27"/>
      <c r="AZ258" s="27"/>
      <c r="BA258" s="27"/>
      <c r="BB258" s="27"/>
      <c r="BC258" s="27"/>
      <c r="BD258" s="27"/>
      <c r="BE258" s="27"/>
      <c r="BF258" s="27"/>
      <c r="BG258" s="27"/>
      <c r="BH258" s="27"/>
      <c r="BI258" s="27"/>
      <c r="BJ258" s="27"/>
      <c r="BK258" s="27"/>
    </row>
    <row r="259" spans="20:63" s="9" customFormat="1">
      <c r="T259" s="56"/>
      <c r="U259" s="56"/>
      <c r="V259" s="111"/>
      <c r="W259" s="121"/>
      <c r="Y259" s="56"/>
      <c r="AD259" s="56"/>
      <c r="AE259" s="56"/>
      <c r="AG259" s="35"/>
      <c r="AH259" s="27"/>
      <c r="AI259" s="27"/>
      <c r="AJ259" s="27"/>
      <c r="AK259" s="27"/>
      <c r="AL259" s="27"/>
      <c r="AM259" s="27"/>
      <c r="AN259" s="27"/>
      <c r="AO259" s="27"/>
      <c r="AP259" s="27"/>
      <c r="AQ259" s="27"/>
      <c r="AR259" s="27"/>
      <c r="AS259" s="27"/>
      <c r="AT259" s="27"/>
      <c r="AU259" s="27"/>
      <c r="AV259" s="27"/>
      <c r="AW259" s="27"/>
      <c r="AX259" s="27"/>
      <c r="AY259" s="27"/>
      <c r="AZ259" s="27"/>
      <c r="BA259" s="27"/>
      <c r="BB259" s="27"/>
      <c r="BC259" s="27"/>
      <c r="BD259" s="27"/>
      <c r="BE259" s="27"/>
      <c r="BF259" s="27"/>
      <c r="BG259" s="27"/>
      <c r="BH259" s="27"/>
      <c r="BI259" s="27"/>
      <c r="BJ259" s="27"/>
      <c r="BK259" s="27"/>
    </row>
    <row r="260" spans="20:63" s="9" customFormat="1">
      <c r="T260" s="56"/>
      <c r="U260" s="56"/>
      <c r="V260" s="111"/>
      <c r="W260" s="121"/>
      <c r="Y260" s="56"/>
      <c r="AD260" s="56"/>
      <c r="AE260" s="56"/>
      <c r="AG260" s="35"/>
      <c r="AH260" s="27"/>
      <c r="AI260" s="27"/>
      <c r="AJ260" s="27"/>
      <c r="AK260" s="27"/>
      <c r="AL260" s="27"/>
      <c r="AM260" s="27"/>
      <c r="AN260" s="27"/>
      <c r="AO260" s="27"/>
      <c r="AP260" s="27"/>
      <c r="AQ260" s="27"/>
      <c r="AR260" s="27"/>
      <c r="AS260" s="27"/>
      <c r="AT260" s="27"/>
      <c r="AU260" s="27"/>
      <c r="AV260" s="27"/>
      <c r="AW260" s="27"/>
      <c r="AX260" s="27"/>
      <c r="AY260" s="27"/>
      <c r="AZ260" s="27"/>
      <c r="BA260" s="27"/>
      <c r="BB260" s="27"/>
      <c r="BC260" s="27"/>
      <c r="BD260" s="27"/>
      <c r="BE260" s="27"/>
      <c r="BF260" s="27"/>
      <c r="BG260" s="27"/>
      <c r="BH260" s="27"/>
      <c r="BI260" s="27"/>
      <c r="BJ260" s="27"/>
      <c r="BK260" s="27"/>
    </row>
    <row r="261" spans="20:63" s="9" customFormat="1">
      <c r="T261" s="56"/>
      <c r="U261" s="56"/>
      <c r="V261" s="111"/>
      <c r="W261" s="121"/>
      <c r="Y261" s="56"/>
      <c r="AD261" s="56"/>
      <c r="AE261" s="56"/>
      <c r="AG261" s="35"/>
      <c r="AH261" s="27"/>
      <c r="AI261" s="27"/>
      <c r="AJ261" s="27"/>
      <c r="AK261" s="27"/>
      <c r="AL261" s="27"/>
      <c r="AM261" s="27"/>
      <c r="AN261" s="27"/>
      <c r="AO261" s="27"/>
      <c r="AP261" s="27"/>
      <c r="AQ261" s="27"/>
      <c r="AR261" s="27"/>
      <c r="AS261" s="27"/>
      <c r="AT261" s="27"/>
      <c r="AU261" s="27"/>
      <c r="AV261" s="27"/>
      <c r="AW261" s="27"/>
      <c r="AX261" s="27"/>
      <c r="AY261" s="27"/>
      <c r="AZ261" s="27"/>
      <c r="BA261" s="27"/>
      <c r="BB261" s="27"/>
      <c r="BC261" s="27"/>
      <c r="BD261" s="27"/>
      <c r="BE261" s="27"/>
      <c r="BF261" s="27"/>
      <c r="BG261" s="27"/>
      <c r="BH261" s="27"/>
      <c r="BI261" s="27"/>
      <c r="BJ261" s="27"/>
      <c r="BK261" s="27"/>
    </row>
    <row r="262" spans="20:63" s="9" customFormat="1">
      <c r="T262" s="56"/>
      <c r="U262" s="56"/>
      <c r="V262" s="111"/>
      <c r="W262" s="121"/>
      <c r="Y262" s="56"/>
      <c r="AD262" s="56"/>
      <c r="AE262" s="56"/>
      <c r="AG262" s="35"/>
      <c r="AH262" s="27"/>
      <c r="AI262" s="27"/>
      <c r="AJ262" s="27"/>
      <c r="AK262" s="27"/>
      <c r="AL262" s="27"/>
      <c r="AM262" s="27"/>
      <c r="AN262" s="27"/>
      <c r="AO262" s="27"/>
      <c r="AP262" s="27"/>
      <c r="AQ262" s="27"/>
      <c r="AR262" s="27"/>
      <c r="AS262" s="27"/>
      <c r="AT262" s="27"/>
      <c r="AU262" s="27"/>
      <c r="AV262" s="27"/>
      <c r="AW262" s="27"/>
      <c r="AX262" s="27"/>
      <c r="AY262" s="27"/>
      <c r="AZ262" s="27"/>
      <c r="BA262" s="27"/>
      <c r="BB262" s="27"/>
      <c r="BC262" s="27"/>
      <c r="BD262" s="27"/>
      <c r="BE262" s="27"/>
      <c r="BF262" s="27"/>
      <c r="BG262" s="27"/>
      <c r="BH262" s="27"/>
      <c r="BI262" s="27"/>
      <c r="BJ262" s="27"/>
      <c r="BK262" s="27"/>
    </row>
    <row r="263" spans="20:63" s="9" customFormat="1">
      <c r="T263" s="56"/>
      <c r="U263" s="56"/>
      <c r="V263" s="111"/>
      <c r="W263" s="121"/>
      <c r="Y263" s="56"/>
      <c r="AD263" s="56"/>
      <c r="AE263" s="56"/>
      <c r="AG263" s="35"/>
      <c r="AH263" s="27"/>
      <c r="AI263" s="27"/>
      <c r="AJ263" s="27"/>
      <c r="AK263" s="27"/>
      <c r="AL263" s="27"/>
      <c r="AM263" s="27"/>
      <c r="AN263" s="27"/>
      <c r="AO263" s="27"/>
      <c r="AP263" s="27"/>
      <c r="AQ263" s="27"/>
      <c r="AR263" s="27"/>
      <c r="AS263" s="27"/>
      <c r="AT263" s="27"/>
      <c r="AU263" s="27"/>
      <c r="AV263" s="27"/>
      <c r="AW263" s="27"/>
      <c r="AX263" s="27"/>
      <c r="AY263" s="27"/>
      <c r="AZ263" s="27"/>
      <c r="BA263" s="27"/>
      <c r="BB263" s="27"/>
      <c r="BC263" s="27"/>
      <c r="BD263" s="27"/>
      <c r="BE263" s="27"/>
      <c r="BF263" s="27"/>
      <c r="BG263" s="27"/>
      <c r="BH263" s="27"/>
      <c r="BI263" s="27"/>
      <c r="BJ263" s="27"/>
      <c r="BK263" s="27"/>
    </row>
    <row r="264" spans="20:63" s="9" customFormat="1">
      <c r="T264" s="56"/>
      <c r="U264" s="56"/>
      <c r="V264" s="111"/>
      <c r="W264" s="121"/>
      <c r="Y264" s="56"/>
      <c r="AD264" s="56"/>
      <c r="AE264" s="56"/>
      <c r="AG264" s="35"/>
      <c r="AH264" s="27"/>
      <c r="AI264" s="27"/>
      <c r="AJ264" s="27"/>
      <c r="AK264" s="27"/>
      <c r="AL264" s="27"/>
      <c r="AM264" s="27"/>
      <c r="AN264" s="27"/>
      <c r="AO264" s="27"/>
      <c r="AP264" s="27"/>
      <c r="AQ264" s="27"/>
      <c r="AR264" s="27"/>
      <c r="AS264" s="27"/>
      <c r="AT264" s="27"/>
      <c r="AU264" s="27"/>
      <c r="AV264" s="27"/>
      <c r="AW264" s="27"/>
      <c r="AX264" s="27"/>
      <c r="AY264" s="27"/>
      <c r="AZ264" s="27"/>
      <c r="BA264" s="27"/>
      <c r="BB264" s="27"/>
      <c r="BC264" s="27"/>
      <c r="BD264" s="27"/>
      <c r="BE264" s="27"/>
      <c r="BF264" s="27"/>
      <c r="BG264" s="27"/>
      <c r="BH264" s="27"/>
      <c r="BI264" s="27"/>
      <c r="BJ264" s="27"/>
      <c r="BK264" s="27"/>
    </row>
    <row r="265" spans="20:63" s="9" customFormat="1">
      <c r="T265" s="56"/>
      <c r="U265" s="56"/>
      <c r="V265" s="111"/>
      <c r="W265" s="121"/>
      <c r="Y265" s="56"/>
      <c r="AD265" s="56"/>
      <c r="AE265" s="56"/>
      <c r="AG265" s="35"/>
      <c r="AH265" s="27"/>
      <c r="AI265" s="27"/>
      <c r="AJ265" s="27"/>
      <c r="AK265" s="27"/>
      <c r="AL265" s="27"/>
      <c r="AM265" s="27"/>
      <c r="AN265" s="27"/>
      <c r="AO265" s="27"/>
      <c r="AP265" s="27"/>
      <c r="AQ265" s="27"/>
      <c r="AR265" s="27"/>
      <c r="AS265" s="27"/>
      <c r="AT265" s="27"/>
      <c r="AU265" s="27"/>
      <c r="AV265" s="27"/>
      <c r="AW265" s="27"/>
      <c r="AX265" s="27"/>
      <c r="AY265" s="27"/>
      <c r="AZ265" s="27"/>
      <c r="BA265" s="27"/>
      <c r="BB265" s="27"/>
      <c r="BC265" s="27"/>
      <c r="BD265" s="27"/>
      <c r="BE265" s="27"/>
      <c r="BF265" s="27"/>
      <c r="BG265" s="27"/>
      <c r="BH265" s="27"/>
      <c r="BI265" s="27"/>
      <c r="BJ265" s="27"/>
      <c r="BK265" s="27"/>
    </row>
    <row r="266" spans="20:63" s="9" customFormat="1">
      <c r="T266" s="56"/>
      <c r="U266" s="56"/>
      <c r="V266" s="111"/>
      <c r="W266" s="121"/>
      <c r="Y266" s="56"/>
      <c r="AD266" s="56"/>
      <c r="AE266" s="56"/>
      <c r="AG266" s="35"/>
      <c r="AH266" s="27"/>
      <c r="AI266" s="27"/>
      <c r="AJ266" s="27"/>
      <c r="AK266" s="27"/>
      <c r="AL266" s="27"/>
      <c r="AM266" s="27"/>
      <c r="AN266" s="27"/>
      <c r="AO266" s="27"/>
      <c r="AP266" s="27"/>
      <c r="AQ266" s="27"/>
      <c r="AR266" s="27"/>
      <c r="AS266" s="27"/>
      <c r="AT266" s="27"/>
      <c r="AU266" s="27"/>
      <c r="AV266" s="27"/>
      <c r="AW266" s="27"/>
      <c r="AX266" s="27"/>
      <c r="AY266" s="27"/>
      <c r="AZ266" s="27"/>
      <c r="BA266" s="27"/>
      <c r="BB266" s="27"/>
      <c r="BC266" s="27"/>
      <c r="BD266" s="27"/>
      <c r="BE266" s="27"/>
      <c r="BF266" s="27"/>
      <c r="BG266" s="27"/>
      <c r="BH266" s="27"/>
      <c r="BI266" s="27"/>
      <c r="BJ266" s="27"/>
      <c r="BK266" s="27"/>
    </row>
    <row r="267" spans="20:63" s="9" customFormat="1">
      <c r="T267" s="56"/>
      <c r="U267" s="56"/>
      <c r="V267" s="111"/>
      <c r="W267" s="121"/>
      <c r="Y267" s="56"/>
      <c r="AD267" s="56"/>
      <c r="AE267" s="56"/>
      <c r="AG267" s="35"/>
      <c r="AH267" s="27"/>
      <c r="AI267" s="27"/>
      <c r="AJ267" s="27"/>
      <c r="AK267" s="27"/>
      <c r="AL267" s="27"/>
      <c r="AM267" s="27"/>
      <c r="AN267" s="27"/>
      <c r="AO267" s="27"/>
      <c r="AP267" s="27"/>
      <c r="AQ267" s="27"/>
      <c r="AR267" s="27"/>
      <c r="AS267" s="27"/>
      <c r="AT267" s="27"/>
      <c r="AU267" s="27"/>
      <c r="AV267" s="27"/>
      <c r="AW267" s="27"/>
      <c r="AX267" s="27"/>
      <c r="AY267" s="27"/>
      <c r="AZ267" s="27"/>
      <c r="BA267" s="27"/>
      <c r="BB267" s="27"/>
      <c r="BC267" s="27"/>
      <c r="BD267" s="27"/>
      <c r="BE267" s="27"/>
      <c r="BF267" s="27"/>
      <c r="BG267" s="27"/>
      <c r="BH267" s="27"/>
      <c r="BI267" s="27"/>
      <c r="BJ267" s="27"/>
      <c r="BK267" s="27"/>
    </row>
    <row r="268" spans="20:63" s="9" customFormat="1">
      <c r="T268" s="56"/>
      <c r="U268" s="56"/>
      <c r="V268" s="111"/>
      <c r="W268" s="121"/>
      <c r="Y268" s="56"/>
      <c r="AD268" s="56"/>
      <c r="AE268" s="56"/>
      <c r="AG268" s="35"/>
      <c r="AH268" s="27"/>
      <c r="AI268" s="27"/>
      <c r="AJ268" s="27"/>
      <c r="AK268" s="27"/>
      <c r="AL268" s="27"/>
      <c r="AM268" s="27"/>
      <c r="AN268" s="27"/>
      <c r="AO268" s="27"/>
      <c r="AP268" s="27"/>
      <c r="AQ268" s="27"/>
      <c r="AR268" s="27"/>
      <c r="AS268" s="27"/>
      <c r="AT268" s="27"/>
      <c r="AU268" s="27"/>
      <c r="AV268" s="27"/>
      <c r="AW268" s="27"/>
      <c r="AX268" s="27"/>
      <c r="AY268" s="27"/>
      <c r="AZ268" s="27"/>
      <c r="BA268" s="27"/>
      <c r="BB268" s="27"/>
      <c r="BC268" s="27"/>
      <c r="BD268" s="27"/>
      <c r="BE268" s="27"/>
      <c r="BF268" s="27"/>
      <c r="BG268" s="27"/>
      <c r="BH268" s="27"/>
      <c r="BI268" s="27"/>
      <c r="BJ268" s="27"/>
      <c r="BK268" s="27"/>
    </row>
    <row r="269" spans="20:63" s="9" customFormat="1">
      <c r="T269" s="56"/>
      <c r="U269" s="56"/>
      <c r="V269" s="111"/>
      <c r="W269" s="121"/>
      <c r="Y269" s="56"/>
      <c r="AD269" s="56"/>
      <c r="AE269" s="56"/>
      <c r="AG269" s="35"/>
      <c r="AH269" s="27"/>
      <c r="AI269" s="27"/>
      <c r="AJ269" s="27"/>
      <c r="AK269" s="27"/>
      <c r="AL269" s="27"/>
      <c r="AM269" s="27"/>
      <c r="AN269" s="27"/>
      <c r="AO269" s="27"/>
      <c r="AP269" s="27"/>
      <c r="AQ269" s="27"/>
      <c r="AR269" s="27"/>
      <c r="AS269" s="27"/>
      <c r="AT269" s="27"/>
      <c r="AU269" s="27"/>
      <c r="AV269" s="27"/>
      <c r="AW269" s="27"/>
      <c r="AX269" s="27"/>
      <c r="AY269" s="27"/>
      <c r="AZ269" s="27"/>
      <c r="BA269" s="27"/>
      <c r="BB269" s="27"/>
      <c r="BC269" s="27"/>
      <c r="BD269" s="27"/>
      <c r="BE269" s="27"/>
      <c r="BF269" s="27"/>
      <c r="BG269" s="27"/>
      <c r="BH269" s="27"/>
      <c r="BI269" s="27"/>
      <c r="BJ269" s="27"/>
      <c r="BK269" s="27"/>
    </row>
    <row r="270" spans="20:63" s="9" customFormat="1">
      <c r="T270" s="56"/>
      <c r="U270" s="56"/>
      <c r="V270" s="111"/>
      <c r="W270" s="121"/>
      <c r="Y270" s="56"/>
      <c r="AD270" s="56"/>
      <c r="AE270" s="56"/>
      <c r="AG270" s="35"/>
      <c r="AH270" s="27"/>
      <c r="AI270" s="27"/>
      <c r="AJ270" s="27"/>
      <c r="AK270" s="27"/>
      <c r="AL270" s="27"/>
      <c r="AM270" s="27"/>
      <c r="AN270" s="27"/>
      <c r="AO270" s="27"/>
      <c r="AP270" s="27"/>
      <c r="AQ270" s="27"/>
      <c r="AR270" s="27"/>
      <c r="AS270" s="27"/>
      <c r="AT270" s="27"/>
      <c r="AU270" s="27"/>
      <c r="AV270" s="27"/>
      <c r="AW270" s="27"/>
      <c r="AX270" s="27"/>
      <c r="AY270" s="27"/>
      <c r="AZ270" s="27"/>
      <c r="BA270" s="27"/>
      <c r="BB270" s="27"/>
      <c r="BC270" s="27"/>
      <c r="BD270" s="27"/>
      <c r="BE270" s="27"/>
      <c r="BF270" s="27"/>
      <c r="BG270" s="27"/>
      <c r="BH270" s="27"/>
      <c r="BI270" s="27"/>
      <c r="BJ270" s="27"/>
      <c r="BK270" s="27"/>
    </row>
    <row r="271" spans="20:63" s="9" customFormat="1">
      <c r="T271" s="56"/>
      <c r="U271" s="56"/>
      <c r="V271" s="111"/>
      <c r="W271" s="121"/>
      <c r="Y271" s="56"/>
      <c r="AD271" s="56"/>
      <c r="AE271" s="56"/>
      <c r="AG271" s="35"/>
      <c r="AH271" s="27"/>
      <c r="AI271" s="27"/>
      <c r="AJ271" s="27"/>
      <c r="AK271" s="27"/>
      <c r="AL271" s="27"/>
      <c r="AM271" s="27"/>
      <c r="AN271" s="27"/>
      <c r="AO271" s="27"/>
      <c r="AP271" s="27"/>
      <c r="AQ271" s="27"/>
      <c r="AR271" s="27"/>
      <c r="AS271" s="27"/>
      <c r="AT271" s="27"/>
      <c r="AU271" s="27"/>
      <c r="AV271" s="27"/>
      <c r="AW271" s="27"/>
      <c r="AX271" s="27"/>
      <c r="AY271" s="27"/>
      <c r="AZ271" s="27"/>
      <c r="BA271" s="27"/>
      <c r="BB271" s="27"/>
      <c r="BC271" s="27"/>
      <c r="BD271" s="27"/>
      <c r="BE271" s="27"/>
      <c r="BF271" s="27"/>
      <c r="BG271" s="27"/>
      <c r="BH271" s="27"/>
      <c r="BI271" s="27"/>
      <c r="BJ271" s="27"/>
      <c r="BK271" s="27"/>
    </row>
    <row r="272" spans="20:63" s="9" customFormat="1">
      <c r="T272" s="56"/>
      <c r="U272" s="56"/>
      <c r="V272" s="111"/>
      <c r="W272" s="121"/>
      <c r="Y272" s="56"/>
      <c r="AD272" s="56"/>
      <c r="AE272" s="56"/>
      <c r="AG272" s="35"/>
      <c r="AH272" s="27"/>
      <c r="AI272" s="27"/>
      <c r="AJ272" s="27"/>
      <c r="AK272" s="27"/>
      <c r="AL272" s="27"/>
      <c r="AM272" s="27"/>
      <c r="AN272" s="27"/>
      <c r="AO272" s="27"/>
      <c r="AP272" s="27"/>
      <c r="AQ272" s="27"/>
      <c r="AR272" s="27"/>
      <c r="AS272" s="27"/>
      <c r="AT272" s="27"/>
      <c r="AU272" s="27"/>
      <c r="AV272" s="27"/>
      <c r="AW272" s="27"/>
      <c r="AX272" s="27"/>
      <c r="AY272" s="27"/>
      <c r="AZ272" s="27"/>
      <c r="BA272" s="27"/>
      <c r="BB272" s="27"/>
      <c r="BC272" s="27"/>
      <c r="BD272" s="27"/>
      <c r="BE272" s="27"/>
      <c r="BF272" s="27"/>
      <c r="BG272" s="27"/>
      <c r="BH272" s="27"/>
      <c r="BI272" s="27"/>
      <c r="BJ272" s="27"/>
      <c r="BK272" s="27"/>
    </row>
    <row r="273" spans="20:63" s="9" customFormat="1">
      <c r="T273" s="56"/>
      <c r="U273" s="56"/>
      <c r="V273" s="111"/>
      <c r="W273" s="121"/>
      <c r="Y273" s="56"/>
      <c r="AD273" s="56"/>
      <c r="AE273" s="56"/>
      <c r="AG273" s="35"/>
      <c r="AH273" s="27"/>
      <c r="AI273" s="27"/>
      <c r="AJ273" s="27"/>
      <c r="AK273" s="27"/>
      <c r="AL273" s="27"/>
      <c r="AM273" s="27"/>
      <c r="AN273" s="27"/>
      <c r="AO273" s="27"/>
      <c r="AP273" s="27"/>
      <c r="AQ273" s="27"/>
      <c r="AR273" s="27"/>
      <c r="AS273" s="27"/>
      <c r="AT273" s="27"/>
      <c r="AU273" s="27"/>
      <c r="AV273" s="27"/>
      <c r="AW273" s="27"/>
      <c r="AX273" s="27"/>
      <c r="AY273" s="27"/>
      <c r="AZ273" s="27"/>
      <c r="BA273" s="27"/>
      <c r="BB273" s="27"/>
      <c r="BC273" s="27"/>
      <c r="BD273" s="27"/>
      <c r="BE273" s="27"/>
      <c r="BF273" s="27"/>
      <c r="BG273" s="27"/>
      <c r="BH273" s="27"/>
      <c r="BI273" s="27"/>
      <c r="BJ273" s="27"/>
      <c r="BK273" s="27"/>
    </row>
    <row r="274" spans="20:63" s="9" customFormat="1">
      <c r="T274" s="56"/>
      <c r="U274" s="56"/>
      <c r="V274" s="111"/>
      <c r="W274" s="121"/>
      <c r="Y274" s="56"/>
      <c r="AD274" s="56"/>
      <c r="AE274" s="56"/>
      <c r="AG274" s="35"/>
      <c r="AH274" s="27"/>
      <c r="AI274" s="27"/>
      <c r="AJ274" s="27"/>
      <c r="AK274" s="27"/>
      <c r="AL274" s="27"/>
      <c r="AM274" s="27"/>
      <c r="AN274" s="27"/>
      <c r="AO274" s="27"/>
      <c r="AP274" s="27"/>
      <c r="AQ274" s="27"/>
      <c r="AR274" s="27"/>
      <c r="AS274" s="27"/>
      <c r="AT274" s="27"/>
      <c r="AU274" s="27"/>
      <c r="AV274" s="27"/>
      <c r="AW274" s="27"/>
      <c r="AX274" s="27"/>
      <c r="AY274" s="27"/>
      <c r="AZ274" s="27"/>
      <c r="BA274" s="27"/>
      <c r="BB274" s="27"/>
      <c r="BC274" s="27"/>
      <c r="BD274" s="27"/>
      <c r="BE274" s="27"/>
      <c r="BF274" s="27"/>
      <c r="BG274" s="27"/>
      <c r="BH274" s="27"/>
      <c r="BI274" s="27"/>
      <c r="BJ274" s="27"/>
      <c r="BK274" s="27"/>
    </row>
    <row r="275" spans="20:63" s="9" customFormat="1">
      <c r="T275" s="56"/>
      <c r="U275" s="56"/>
      <c r="V275" s="111"/>
      <c r="W275" s="121"/>
      <c r="Y275" s="56"/>
      <c r="AD275" s="56"/>
      <c r="AE275" s="56"/>
      <c r="AG275" s="35"/>
      <c r="AH275" s="27"/>
      <c r="AI275" s="27"/>
      <c r="AJ275" s="27"/>
      <c r="AK275" s="27"/>
      <c r="AL275" s="27"/>
      <c r="AM275" s="27"/>
      <c r="AN275" s="27"/>
      <c r="AO275" s="27"/>
      <c r="AP275" s="27"/>
      <c r="AQ275" s="27"/>
      <c r="AR275" s="27"/>
      <c r="AS275" s="27"/>
      <c r="AT275" s="27"/>
      <c r="AU275" s="27"/>
      <c r="AV275" s="27"/>
      <c r="AW275" s="27"/>
      <c r="AX275" s="27"/>
      <c r="AY275" s="27"/>
      <c r="AZ275" s="27"/>
      <c r="BA275" s="27"/>
      <c r="BB275" s="27"/>
      <c r="BC275" s="27"/>
      <c r="BD275" s="27"/>
      <c r="BE275" s="27"/>
      <c r="BF275" s="27"/>
      <c r="BG275" s="27"/>
      <c r="BH275" s="27"/>
      <c r="BI275" s="27"/>
      <c r="BJ275" s="27"/>
      <c r="BK275" s="27"/>
    </row>
    <row r="276" spans="20:63" s="9" customFormat="1">
      <c r="T276" s="56"/>
      <c r="U276" s="56"/>
      <c r="V276" s="111"/>
      <c r="W276" s="121"/>
      <c r="Y276" s="56"/>
      <c r="AD276" s="56"/>
      <c r="AE276" s="56"/>
      <c r="AG276" s="35"/>
      <c r="AH276" s="27"/>
      <c r="AI276" s="27"/>
      <c r="AJ276" s="27"/>
      <c r="AK276" s="27"/>
      <c r="AL276" s="27"/>
      <c r="AM276" s="27"/>
      <c r="AN276" s="27"/>
      <c r="AO276" s="27"/>
      <c r="AP276" s="27"/>
      <c r="AQ276" s="27"/>
      <c r="AR276" s="27"/>
      <c r="AS276" s="27"/>
      <c r="AT276" s="27"/>
      <c r="AU276" s="27"/>
      <c r="AV276" s="27"/>
      <c r="AW276" s="27"/>
      <c r="AX276" s="27"/>
      <c r="AY276" s="27"/>
      <c r="AZ276" s="27"/>
      <c r="BA276" s="27"/>
      <c r="BB276" s="27"/>
      <c r="BC276" s="27"/>
      <c r="BD276" s="27"/>
      <c r="BE276" s="27"/>
      <c r="BF276" s="27"/>
      <c r="BG276" s="27"/>
      <c r="BH276" s="27"/>
      <c r="BI276" s="27"/>
      <c r="BJ276" s="27"/>
      <c r="BK276" s="27"/>
    </row>
    <row r="277" spans="20:63" s="9" customFormat="1">
      <c r="T277" s="56"/>
      <c r="U277" s="56"/>
      <c r="V277" s="111"/>
      <c r="W277" s="121"/>
      <c r="Y277" s="56"/>
      <c r="AD277" s="56"/>
      <c r="AE277" s="56"/>
      <c r="AG277" s="35"/>
      <c r="AH277" s="27"/>
      <c r="AI277" s="27"/>
      <c r="AJ277" s="27"/>
      <c r="AK277" s="27"/>
      <c r="AL277" s="27"/>
      <c r="AM277" s="27"/>
      <c r="AN277" s="27"/>
      <c r="AO277" s="27"/>
      <c r="AP277" s="27"/>
      <c r="AQ277" s="27"/>
      <c r="AR277" s="27"/>
      <c r="AS277" s="27"/>
      <c r="AT277" s="27"/>
      <c r="AU277" s="27"/>
      <c r="AV277" s="27"/>
      <c r="AW277" s="27"/>
      <c r="AX277" s="27"/>
      <c r="AY277" s="27"/>
      <c r="AZ277" s="27"/>
      <c r="BA277" s="27"/>
      <c r="BB277" s="27"/>
      <c r="BC277" s="27"/>
      <c r="BD277" s="27"/>
      <c r="BE277" s="27"/>
      <c r="BF277" s="27"/>
      <c r="BG277" s="27"/>
      <c r="BH277" s="27"/>
      <c r="BI277" s="27"/>
      <c r="BJ277" s="27"/>
      <c r="BK277" s="27"/>
    </row>
    <row r="278" spans="20:63" s="9" customFormat="1">
      <c r="T278" s="56"/>
      <c r="U278" s="56"/>
      <c r="V278" s="111"/>
      <c r="W278" s="121"/>
      <c r="Y278" s="56"/>
      <c r="AD278" s="56"/>
      <c r="AE278" s="56"/>
      <c r="AG278" s="35"/>
      <c r="AH278" s="27"/>
      <c r="AI278" s="27"/>
      <c r="AJ278" s="27"/>
      <c r="AK278" s="27"/>
      <c r="AL278" s="27"/>
      <c r="AM278" s="27"/>
      <c r="AN278" s="27"/>
      <c r="AO278" s="27"/>
      <c r="AP278" s="27"/>
      <c r="AQ278" s="27"/>
      <c r="AR278" s="27"/>
      <c r="AS278" s="27"/>
      <c r="AT278" s="27"/>
      <c r="AU278" s="27"/>
      <c r="AV278" s="27"/>
      <c r="AW278" s="27"/>
      <c r="AX278" s="27"/>
      <c r="AY278" s="27"/>
      <c r="AZ278" s="27"/>
      <c r="BA278" s="27"/>
      <c r="BB278" s="27"/>
      <c r="BC278" s="27"/>
      <c r="BD278" s="27"/>
      <c r="BE278" s="27"/>
      <c r="BF278" s="27"/>
      <c r="BG278" s="27"/>
      <c r="BH278" s="27"/>
      <c r="BI278" s="27"/>
      <c r="BJ278" s="27"/>
      <c r="BK278" s="27"/>
    </row>
    <row r="279" spans="20:63" s="9" customFormat="1">
      <c r="T279" s="56"/>
      <c r="U279" s="56"/>
      <c r="V279" s="111"/>
      <c r="W279" s="121"/>
      <c r="Y279" s="56"/>
      <c r="AD279" s="56"/>
      <c r="AE279" s="56"/>
      <c r="AG279" s="35"/>
      <c r="AH279" s="27"/>
      <c r="AI279" s="27"/>
      <c r="AJ279" s="27"/>
      <c r="AK279" s="27"/>
      <c r="AL279" s="27"/>
      <c r="AM279" s="27"/>
      <c r="AN279" s="27"/>
      <c r="AO279" s="27"/>
      <c r="AP279" s="27"/>
      <c r="AQ279" s="27"/>
      <c r="AR279" s="27"/>
      <c r="AS279" s="27"/>
      <c r="AT279" s="27"/>
      <c r="AU279" s="27"/>
      <c r="AV279" s="27"/>
      <c r="AW279" s="27"/>
      <c r="AX279" s="27"/>
      <c r="AY279" s="27"/>
      <c r="AZ279" s="27"/>
      <c r="BA279" s="27"/>
      <c r="BB279" s="27"/>
      <c r="BC279" s="27"/>
      <c r="BD279" s="27"/>
      <c r="BE279" s="27"/>
      <c r="BF279" s="27"/>
      <c r="BG279" s="27"/>
      <c r="BH279" s="27"/>
      <c r="BI279" s="27"/>
      <c r="BJ279" s="27"/>
      <c r="BK279" s="27"/>
    </row>
    <row r="280" spans="20:63" s="9" customFormat="1">
      <c r="T280" s="56"/>
      <c r="U280" s="56"/>
      <c r="V280" s="111"/>
      <c r="W280" s="121"/>
      <c r="Y280" s="56"/>
      <c r="AD280" s="56"/>
      <c r="AE280" s="56"/>
      <c r="AG280" s="35"/>
      <c r="AH280" s="27"/>
      <c r="AI280" s="27"/>
      <c r="AJ280" s="27"/>
      <c r="AK280" s="27"/>
      <c r="AL280" s="27"/>
      <c r="AM280" s="27"/>
      <c r="AN280" s="27"/>
      <c r="AO280" s="27"/>
      <c r="AP280" s="27"/>
      <c r="AQ280" s="27"/>
      <c r="AR280" s="27"/>
      <c r="AS280" s="27"/>
      <c r="AT280" s="27"/>
      <c r="AU280" s="27"/>
      <c r="AV280" s="27"/>
      <c r="AW280" s="27"/>
      <c r="AX280" s="27"/>
      <c r="AY280" s="27"/>
      <c r="AZ280" s="27"/>
      <c r="BA280" s="27"/>
      <c r="BB280" s="27"/>
      <c r="BC280" s="27"/>
      <c r="BD280" s="27"/>
      <c r="BE280" s="27"/>
      <c r="BF280" s="27"/>
      <c r="BG280" s="27"/>
      <c r="BH280" s="27"/>
      <c r="BI280" s="27"/>
      <c r="BJ280" s="27"/>
      <c r="BK280" s="27"/>
    </row>
    <row r="281" spans="20:63" s="9" customFormat="1">
      <c r="T281" s="56"/>
      <c r="U281" s="56"/>
      <c r="V281" s="111"/>
      <c r="W281" s="121"/>
      <c r="Y281" s="56"/>
      <c r="AD281" s="56"/>
      <c r="AE281" s="56"/>
      <c r="AG281" s="35"/>
      <c r="AH281" s="27"/>
      <c r="AI281" s="27"/>
      <c r="AJ281" s="27"/>
      <c r="AK281" s="27"/>
      <c r="AL281" s="27"/>
      <c r="AM281" s="27"/>
      <c r="AN281" s="27"/>
      <c r="AO281" s="27"/>
      <c r="AP281" s="27"/>
      <c r="AQ281" s="27"/>
      <c r="AR281" s="27"/>
      <c r="AS281" s="27"/>
      <c r="AT281" s="27"/>
      <c r="AU281" s="27"/>
      <c r="AV281" s="27"/>
      <c r="AW281" s="27"/>
      <c r="AX281" s="27"/>
      <c r="AY281" s="27"/>
      <c r="AZ281" s="27"/>
      <c r="BA281" s="27"/>
      <c r="BB281" s="27"/>
      <c r="BC281" s="27"/>
      <c r="BD281" s="27"/>
      <c r="BE281" s="27"/>
      <c r="BF281" s="27"/>
      <c r="BG281" s="27"/>
      <c r="BH281" s="27"/>
      <c r="BI281" s="27"/>
      <c r="BJ281" s="27"/>
      <c r="BK281" s="27"/>
    </row>
    <row r="282" spans="20:63" s="9" customFormat="1">
      <c r="T282" s="56"/>
      <c r="U282" s="56"/>
      <c r="V282" s="111"/>
      <c r="W282" s="121"/>
      <c r="Y282" s="56"/>
      <c r="AD282" s="56"/>
      <c r="AE282" s="56"/>
      <c r="AG282" s="35"/>
      <c r="AH282" s="27"/>
      <c r="AI282" s="27"/>
      <c r="AJ282" s="27"/>
      <c r="AK282" s="27"/>
      <c r="AL282" s="27"/>
      <c r="AM282" s="27"/>
      <c r="AN282" s="27"/>
      <c r="AO282" s="27"/>
      <c r="AP282" s="27"/>
      <c r="AQ282" s="27"/>
      <c r="AR282" s="27"/>
      <c r="AS282" s="27"/>
      <c r="AT282" s="27"/>
      <c r="AU282" s="27"/>
      <c r="AV282" s="27"/>
      <c r="AW282" s="27"/>
      <c r="AX282" s="27"/>
      <c r="AY282" s="27"/>
      <c r="AZ282" s="27"/>
      <c r="BA282" s="27"/>
      <c r="BB282" s="27"/>
      <c r="BC282" s="27"/>
      <c r="BD282" s="27"/>
      <c r="BE282" s="27"/>
      <c r="BF282" s="27"/>
      <c r="BG282" s="27"/>
      <c r="BH282" s="27"/>
      <c r="BI282" s="27"/>
      <c r="BJ282" s="27"/>
      <c r="BK282" s="27"/>
    </row>
    <row r="283" spans="20:63" s="9" customFormat="1">
      <c r="T283" s="56"/>
      <c r="U283" s="56"/>
      <c r="V283" s="111"/>
      <c r="W283" s="121"/>
      <c r="Y283" s="56"/>
      <c r="AD283" s="56"/>
      <c r="AE283" s="56"/>
      <c r="AG283" s="35"/>
      <c r="AH283" s="27"/>
      <c r="AI283" s="27"/>
      <c r="AJ283" s="27"/>
      <c r="AK283" s="27"/>
      <c r="AL283" s="27"/>
      <c r="AM283" s="27"/>
      <c r="AN283" s="27"/>
      <c r="AO283" s="27"/>
      <c r="AP283" s="27"/>
      <c r="AQ283" s="27"/>
      <c r="AR283" s="27"/>
      <c r="AS283" s="27"/>
      <c r="AT283" s="27"/>
      <c r="AU283" s="27"/>
      <c r="AV283" s="27"/>
      <c r="AW283" s="27"/>
      <c r="AX283" s="27"/>
      <c r="AY283" s="27"/>
      <c r="AZ283" s="27"/>
      <c r="BA283" s="27"/>
      <c r="BB283" s="27"/>
      <c r="BC283" s="27"/>
      <c r="BD283" s="27"/>
      <c r="BE283" s="27"/>
      <c r="BF283" s="27"/>
      <c r="BG283" s="27"/>
      <c r="BH283" s="27"/>
      <c r="BI283" s="27"/>
      <c r="BJ283" s="27"/>
      <c r="BK283" s="27"/>
    </row>
    <row r="284" spans="20:63" s="9" customFormat="1">
      <c r="T284" s="56"/>
      <c r="U284" s="56"/>
      <c r="V284" s="111"/>
      <c r="W284" s="121"/>
      <c r="Y284" s="56"/>
      <c r="AD284" s="56"/>
      <c r="AE284" s="56"/>
      <c r="AG284" s="35"/>
      <c r="AH284" s="27"/>
      <c r="AI284" s="27"/>
      <c r="AJ284" s="27"/>
      <c r="AK284" s="27"/>
      <c r="AL284" s="27"/>
      <c r="AM284" s="27"/>
      <c r="AN284" s="27"/>
      <c r="AO284" s="27"/>
      <c r="AP284" s="27"/>
      <c r="AQ284" s="27"/>
      <c r="AR284" s="27"/>
      <c r="AS284" s="27"/>
      <c r="AT284" s="27"/>
      <c r="AU284" s="27"/>
      <c r="AV284" s="27"/>
      <c r="AW284" s="27"/>
      <c r="AX284" s="27"/>
      <c r="AY284" s="27"/>
      <c r="AZ284" s="27"/>
      <c r="BA284" s="27"/>
      <c r="BB284" s="27"/>
      <c r="BC284" s="27"/>
      <c r="BD284" s="27"/>
      <c r="BE284" s="27"/>
      <c r="BF284" s="27"/>
      <c r="BG284" s="27"/>
      <c r="BH284" s="27"/>
      <c r="BI284" s="27"/>
      <c r="BJ284" s="27"/>
      <c r="BK284" s="27"/>
    </row>
    <row r="285" spans="20:63" s="9" customFormat="1">
      <c r="T285" s="56"/>
      <c r="U285" s="56"/>
      <c r="V285" s="111"/>
      <c r="W285" s="121"/>
      <c r="Y285" s="56"/>
      <c r="AD285" s="56"/>
      <c r="AE285" s="56"/>
      <c r="AG285" s="35"/>
      <c r="AH285" s="27"/>
      <c r="AI285" s="27"/>
      <c r="AJ285" s="27"/>
      <c r="AK285" s="27"/>
      <c r="AL285" s="27"/>
      <c r="AM285" s="27"/>
      <c r="AN285" s="27"/>
      <c r="AO285" s="27"/>
      <c r="AP285" s="27"/>
      <c r="AQ285" s="27"/>
      <c r="AR285" s="27"/>
      <c r="AS285" s="27"/>
      <c r="AT285" s="27"/>
      <c r="AU285" s="27"/>
      <c r="AV285" s="27"/>
      <c r="AW285" s="27"/>
      <c r="AX285" s="27"/>
      <c r="AY285" s="27"/>
      <c r="AZ285" s="27"/>
      <c r="BA285" s="27"/>
      <c r="BB285" s="27"/>
      <c r="BC285" s="27"/>
      <c r="BD285" s="27"/>
      <c r="BE285" s="27"/>
      <c r="BF285" s="27"/>
      <c r="BG285" s="27"/>
      <c r="BH285" s="27"/>
      <c r="BI285" s="27"/>
      <c r="BJ285" s="27"/>
      <c r="BK285" s="27"/>
    </row>
    <row r="286" spans="20:63" s="9" customFormat="1">
      <c r="T286" s="56"/>
      <c r="U286" s="56"/>
      <c r="V286" s="111"/>
      <c r="W286" s="121"/>
      <c r="Y286" s="56"/>
      <c r="AD286" s="56"/>
      <c r="AE286" s="56"/>
      <c r="AG286" s="35"/>
      <c r="AH286" s="27"/>
      <c r="AI286" s="27"/>
      <c r="AJ286" s="27"/>
      <c r="AK286" s="27"/>
      <c r="AL286" s="27"/>
      <c r="AM286" s="27"/>
      <c r="AN286" s="27"/>
      <c r="AO286" s="27"/>
      <c r="AP286" s="27"/>
      <c r="AQ286" s="27"/>
      <c r="AR286" s="27"/>
      <c r="AS286" s="27"/>
      <c r="AT286" s="27"/>
      <c r="AU286" s="27"/>
      <c r="AV286" s="27"/>
      <c r="AW286" s="27"/>
      <c r="AX286" s="27"/>
      <c r="AY286" s="27"/>
      <c r="AZ286" s="27"/>
      <c r="BA286" s="27"/>
      <c r="BB286" s="27"/>
      <c r="BC286" s="27"/>
      <c r="BD286" s="27"/>
      <c r="BE286" s="27"/>
      <c r="BF286" s="27"/>
      <c r="BG286" s="27"/>
      <c r="BH286" s="27"/>
      <c r="BI286" s="27"/>
      <c r="BJ286" s="27"/>
      <c r="BK286" s="27"/>
    </row>
    <row r="287" spans="20:63" s="9" customFormat="1">
      <c r="T287" s="56"/>
      <c r="U287" s="56"/>
      <c r="V287" s="111"/>
      <c r="W287" s="121"/>
      <c r="Y287" s="56"/>
      <c r="AD287" s="56"/>
      <c r="AE287" s="56"/>
      <c r="AG287" s="35"/>
      <c r="AH287" s="27"/>
      <c r="AI287" s="27"/>
      <c r="AJ287" s="27"/>
      <c r="AK287" s="27"/>
      <c r="AL287" s="27"/>
      <c r="AM287" s="27"/>
      <c r="AN287" s="27"/>
      <c r="AO287" s="27"/>
      <c r="AP287" s="27"/>
      <c r="AQ287" s="27"/>
      <c r="AR287" s="27"/>
      <c r="AS287" s="27"/>
      <c r="AT287" s="27"/>
      <c r="AU287" s="27"/>
      <c r="AV287" s="27"/>
      <c r="AW287" s="27"/>
      <c r="AX287" s="27"/>
      <c r="AY287" s="27"/>
      <c r="AZ287" s="27"/>
      <c r="BA287" s="27"/>
      <c r="BB287" s="27"/>
      <c r="BC287" s="27"/>
      <c r="BD287" s="27"/>
      <c r="BE287" s="27"/>
      <c r="BF287" s="27"/>
      <c r="BG287" s="27"/>
      <c r="BH287" s="27"/>
      <c r="BI287" s="27"/>
      <c r="BJ287" s="27"/>
      <c r="BK287" s="27"/>
    </row>
    <row r="288" spans="20:63" s="9" customFormat="1">
      <c r="T288" s="56"/>
      <c r="U288" s="56"/>
      <c r="V288" s="111"/>
      <c r="W288" s="121"/>
      <c r="Y288" s="56"/>
      <c r="AD288" s="56"/>
      <c r="AE288" s="56"/>
      <c r="AG288" s="35"/>
      <c r="AH288" s="27"/>
      <c r="AI288" s="27"/>
      <c r="AJ288" s="27"/>
      <c r="AK288" s="27"/>
      <c r="AL288" s="27"/>
      <c r="AM288" s="27"/>
      <c r="AN288" s="27"/>
      <c r="AO288" s="27"/>
      <c r="AP288" s="27"/>
      <c r="AQ288" s="27"/>
      <c r="AR288" s="27"/>
      <c r="AS288" s="27"/>
      <c r="AT288" s="27"/>
      <c r="AU288" s="27"/>
      <c r="AV288" s="27"/>
      <c r="AW288" s="27"/>
      <c r="AX288" s="27"/>
      <c r="AY288" s="27"/>
      <c r="AZ288" s="27"/>
      <c r="BA288" s="27"/>
      <c r="BB288" s="27"/>
      <c r="BC288" s="27"/>
      <c r="BD288" s="27"/>
      <c r="BE288" s="27"/>
      <c r="BF288" s="27"/>
      <c r="BG288" s="27"/>
      <c r="BH288" s="27"/>
      <c r="BI288" s="27"/>
      <c r="BJ288" s="27"/>
      <c r="BK288" s="27"/>
    </row>
    <row r="289" spans="20:63" s="9" customFormat="1">
      <c r="T289" s="56"/>
      <c r="U289" s="56"/>
      <c r="V289" s="111"/>
      <c r="W289" s="121"/>
      <c r="Y289" s="56"/>
      <c r="AD289" s="56"/>
      <c r="AE289" s="56"/>
      <c r="AG289" s="35"/>
      <c r="AH289" s="27"/>
      <c r="AI289" s="27"/>
      <c r="AJ289" s="27"/>
      <c r="AK289" s="27"/>
      <c r="AL289" s="27"/>
      <c r="AM289" s="27"/>
      <c r="AN289" s="27"/>
      <c r="AO289" s="27"/>
      <c r="AP289" s="27"/>
      <c r="AQ289" s="27"/>
      <c r="AR289" s="27"/>
      <c r="AS289" s="27"/>
      <c r="AT289" s="27"/>
      <c r="AU289" s="27"/>
      <c r="AV289" s="27"/>
      <c r="AW289" s="27"/>
      <c r="AX289" s="27"/>
      <c r="AY289" s="27"/>
      <c r="AZ289" s="27"/>
      <c r="BA289" s="27"/>
      <c r="BB289" s="27"/>
      <c r="BC289" s="27"/>
      <c r="BD289" s="27"/>
      <c r="BE289" s="27"/>
      <c r="BF289" s="27"/>
      <c r="BG289" s="27"/>
      <c r="BH289" s="27"/>
      <c r="BI289" s="27"/>
      <c r="BJ289" s="27"/>
      <c r="BK289" s="27"/>
    </row>
    <row r="290" spans="20:63" s="9" customFormat="1">
      <c r="T290" s="56"/>
      <c r="U290" s="56"/>
      <c r="V290" s="111"/>
      <c r="W290" s="121"/>
      <c r="Y290" s="56"/>
      <c r="AD290" s="56"/>
      <c r="AE290" s="56"/>
      <c r="AG290" s="35"/>
      <c r="AH290" s="27"/>
      <c r="AI290" s="27"/>
      <c r="AJ290" s="27"/>
      <c r="AK290" s="27"/>
      <c r="AL290" s="27"/>
      <c r="AM290" s="27"/>
      <c r="AN290" s="27"/>
      <c r="AO290" s="27"/>
      <c r="AP290" s="27"/>
      <c r="AQ290" s="27"/>
      <c r="AR290" s="27"/>
      <c r="AS290" s="27"/>
      <c r="AT290" s="27"/>
      <c r="AU290" s="27"/>
      <c r="AV290" s="27"/>
      <c r="AW290" s="27"/>
      <c r="AX290" s="27"/>
      <c r="AY290" s="27"/>
      <c r="AZ290" s="27"/>
      <c r="BA290" s="27"/>
      <c r="BB290" s="27"/>
      <c r="BC290" s="27"/>
      <c r="BD290" s="27"/>
      <c r="BE290" s="27"/>
      <c r="BF290" s="27"/>
      <c r="BG290" s="27"/>
      <c r="BH290" s="27"/>
      <c r="BI290" s="27"/>
      <c r="BJ290" s="27"/>
      <c r="BK290" s="27"/>
    </row>
    <row r="291" spans="20:63" s="9" customFormat="1">
      <c r="T291" s="56"/>
      <c r="U291" s="56"/>
      <c r="V291" s="111"/>
      <c r="W291" s="121"/>
      <c r="Y291" s="56"/>
      <c r="AD291" s="56"/>
      <c r="AE291" s="56"/>
      <c r="AG291" s="35"/>
      <c r="AH291" s="27"/>
      <c r="AI291" s="27"/>
      <c r="AJ291" s="27"/>
      <c r="AK291" s="27"/>
      <c r="AL291" s="27"/>
      <c r="AM291" s="27"/>
      <c r="AN291" s="27"/>
      <c r="AO291" s="27"/>
      <c r="AP291" s="27"/>
      <c r="AQ291" s="27"/>
      <c r="AR291" s="27"/>
      <c r="AS291" s="27"/>
      <c r="AT291" s="27"/>
      <c r="AU291" s="27"/>
      <c r="AV291" s="27"/>
      <c r="AW291" s="27"/>
      <c r="AX291" s="27"/>
      <c r="AY291" s="27"/>
      <c r="AZ291" s="27"/>
      <c r="BA291" s="27"/>
      <c r="BB291" s="27"/>
      <c r="BC291" s="27"/>
      <c r="BD291" s="27"/>
      <c r="BE291" s="27"/>
      <c r="BF291" s="27"/>
      <c r="BG291" s="27"/>
      <c r="BH291" s="27"/>
      <c r="BI291" s="27"/>
      <c r="BJ291" s="27"/>
      <c r="BK291" s="27"/>
    </row>
    <row r="292" spans="20:63" s="9" customFormat="1">
      <c r="T292" s="56"/>
      <c r="U292" s="56"/>
      <c r="V292" s="111"/>
      <c r="W292" s="121"/>
      <c r="Y292" s="56"/>
      <c r="AD292" s="56"/>
      <c r="AE292" s="56"/>
      <c r="AG292" s="35"/>
      <c r="AH292" s="27"/>
      <c r="AI292" s="27"/>
      <c r="AJ292" s="27"/>
      <c r="AK292" s="27"/>
      <c r="AL292" s="27"/>
      <c r="AM292" s="27"/>
      <c r="AN292" s="27"/>
      <c r="AO292" s="27"/>
      <c r="AP292" s="27"/>
      <c r="AQ292" s="27"/>
      <c r="AR292" s="27"/>
      <c r="AS292" s="27"/>
      <c r="AT292" s="27"/>
      <c r="AU292" s="27"/>
      <c r="AV292" s="27"/>
      <c r="AW292" s="27"/>
      <c r="AX292" s="27"/>
      <c r="AY292" s="27"/>
      <c r="AZ292" s="27"/>
      <c r="BA292" s="27"/>
      <c r="BB292" s="27"/>
      <c r="BC292" s="27"/>
      <c r="BD292" s="27"/>
      <c r="BE292" s="27"/>
      <c r="BF292" s="27"/>
      <c r="BG292" s="27"/>
      <c r="BH292" s="27"/>
      <c r="BI292" s="27"/>
      <c r="BJ292" s="27"/>
      <c r="BK292" s="27"/>
    </row>
    <row r="293" spans="20:63" s="9" customFormat="1">
      <c r="T293" s="56"/>
      <c r="U293" s="56"/>
      <c r="V293" s="111"/>
      <c r="W293" s="121"/>
      <c r="Y293" s="56"/>
      <c r="AD293" s="56"/>
      <c r="AE293" s="56"/>
      <c r="AG293" s="35"/>
      <c r="AH293" s="27"/>
      <c r="AI293" s="27"/>
      <c r="AJ293" s="27"/>
      <c r="AK293" s="27"/>
      <c r="AL293" s="27"/>
      <c r="AM293" s="27"/>
      <c r="AN293" s="27"/>
      <c r="AO293" s="27"/>
      <c r="AP293" s="27"/>
      <c r="AQ293" s="27"/>
      <c r="AR293" s="27"/>
      <c r="AS293" s="27"/>
      <c r="AT293" s="27"/>
      <c r="AU293" s="27"/>
      <c r="AV293" s="27"/>
      <c r="AW293" s="27"/>
      <c r="AX293" s="27"/>
      <c r="AY293" s="27"/>
      <c r="AZ293" s="27"/>
      <c r="BA293" s="27"/>
      <c r="BB293" s="27"/>
      <c r="BC293" s="27"/>
      <c r="BD293" s="27"/>
      <c r="BE293" s="27"/>
      <c r="BF293" s="27"/>
      <c r="BG293" s="27"/>
      <c r="BH293" s="27"/>
      <c r="BI293" s="27"/>
      <c r="BJ293" s="27"/>
      <c r="BK293" s="27"/>
    </row>
    <row r="294" spans="20:63" s="9" customFormat="1">
      <c r="T294" s="56"/>
      <c r="U294" s="56"/>
      <c r="V294" s="111"/>
      <c r="W294" s="121"/>
      <c r="Y294" s="56"/>
      <c r="AD294" s="56"/>
      <c r="AE294" s="56"/>
      <c r="AG294" s="35"/>
      <c r="AH294" s="27"/>
      <c r="AI294" s="27"/>
      <c r="AJ294" s="27"/>
      <c r="AK294" s="27"/>
      <c r="AL294" s="27"/>
      <c r="AM294" s="27"/>
      <c r="AN294" s="27"/>
      <c r="AO294" s="27"/>
      <c r="AP294" s="27"/>
      <c r="AQ294" s="27"/>
      <c r="AR294" s="27"/>
      <c r="AS294" s="27"/>
      <c r="AT294" s="27"/>
      <c r="AU294" s="27"/>
      <c r="AV294" s="27"/>
      <c r="AW294" s="27"/>
      <c r="AX294" s="27"/>
      <c r="AY294" s="27"/>
      <c r="AZ294" s="27"/>
      <c r="BA294" s="27"/>
      <c r="BB294" s="27"/>
      <c r="BC294" s="27"/>
      <c r="BD294" s="27"/>
      <c r="BE294" s="27"/>
      <c r="BF294" s="27"/>
      <c r="BG294" s="27"/>
      <c r="BH294" s="27"/>
      <c r="BI294" s="27"/>
      <c r="BJ294" s="27"/>
      <c r="BK294" s="27"/>
    </row>
    <row r="295" spans="20:63" s="9" customFormat="1">
      <c r="T295" s="56"/>
      <c r="U295" s="56"/>
      <c r="V295" s="111"/>
      <c r="W295" s="121"/>
      <c r="Y295" s="56"/>
      <c r="AD295" s="56"/>
      <c r="AE295" s="56"/>
      <c r="AG295" s="35"/>
      <c r="AH295" s="27"/>
      <c r="AI295" s="27"/>
      <c r="AJ295" s="27"/>
      <c r="AK295" s="27"/>
      <c r="AL295" s="27"/>
      <c r="AM295" s="27"/>
      <c r="AN295" s="27"/>
      <c r="AO295" s="27"/>
      <c r="AP295" s="27"/>
      <c r="AQ295" s="27"/>
      <c r="AR295" s="27"/>
      <c r="AS295" s="27"/>
      <c r="AT295" s="27"/>
      <c r="AU295" s="27"/>
      <c r="AV295" s="27"/>
      <c r="AW295" s="27"/>
      <c r="AX295" s="27"/>
      <c r="AY295" s="27"/>
      <c r="AZ295" s="27"/>
      <c r="BA295" s="27"/>
      <c r="BB295" s="27"/>
      <c r="BC295" s="27"/>
      <c r="BD295" s="27"/>
      <c r="BE295" s="27"/>
      <c r="BF295" s="27"/>
      <c r="BG295" s="27"/>
      <c r="BH295" s="27"/>
      <c r="BI295" s="27"/>
      <c r="BJ295" s="27"/>
      <c r="BK295" s="27"/>
    </row>
    <row r="296" spans="20:63" s="9" customFormat="1">
      <c r="T296" s="56"/>
      <c r="U296" s="56"/>
      <c r="V296" s="111"/>
      <c r="W296" s="121"/>
      <c r="Y296" s="56"/>
      <c r="AD296" s="56"/>
      <c r="AE296" s="56"/>
      <c r="AG296" s="35"/>
      <c r="AH296" s="27"/>
      <c r="AI296" s="27"/>
      <c r="AJ296" s="27"/>
      <c r="AK296" s="27"/>
      <c r="AL296" s="27"/>
      <c r="AM296" s="27"/>
      <c r="AN296" s="27"/>
      <c r="AO296" s="27"/>
      <c r="AP296" s="27"/>
      <c r="AQ296" s="27"/>
      <c r="AR296" s="27"/>
      <c r="AS296" s="27"/>
      <c r="AT296" s="27"/>
      <c r="AU296" s="27"/>
      <c r="AV296" s="27"/>
      <c r="AW296" s="27"/>
      <c r="AX296" s="27"/>
      <c r="AY296" s="27"/>
      <c r="AZ296" s="27"/>
      <c r="BA296" s="27"/>
      <c r="BB296" s="27"/>
      <c r="BC296" s="27"/>
      <c r="BD296" s="27"/>
      <c r="BE296" s="27"/>
      <c r="BF296" s="27"/>
      <c r="BG296" s="27"/>
      <c r="BH296" s="27"/>
      <c r="BI296" s="27"/>
      <c r="BJ296" s="27"/>
      <c r="BK296" s="27"/>
    </row>
    <row r="297" spans="20:63" s="9" customFormat="1">
      <c r="T297" s="56"/>
      <c r="U297" s="56"/>
      <c r="V297" s="111"/>
      <c r="W297" s="121"/>
      <c r="Y297" s="56"/>
      <c r="AD297" s="56"/>
      <c r="AE297" s="56"/>
      <c r="AG297" s="35"/>
      <c r="AH297" s="27"/>
      <c r="AI297" s="27"/>
      <c r="AJ297" s="27"/>
      <c r="AK297" s="27"/>
      <c r="AL297" s="27"/>
      <c r="AM297" s="27"/>
      <c r="AN297" s="27"/>
      <c r="AO297" s="27"/>
      <c r="AP297" s="27"/>
      <c r="AQ297" s="27"/>
      <c r="AR297" s="27"/>
      <c r="AS297" s="27"/>
      <c r="AT297" s="27"/>
      <c r="AU297" s="27"/>
      <c r="AV297" s="27"/>
      <c r="AW297" s="27"/>
      <c r="AX297" s="27"/>
      <c r="AY297" s="27"/>
      <c r="AZ297" s="27"/>
      <c r="BA297" s="27"/>
      <c r="BB297" s="27"/>
      <c r="BC297" s="27"/>
      <c r="BD297" s="27"/>
      <c r="BE297" s="27"/>
      <c r="BF297" s="27"/>
      <c r="BG297" s="27"/>
      <c r="BH297" s="27"/>
      <c r="BI297" s="27"/>
      <c r="BJ297" s="27"/>
      <c r="BK297" s="27"/>
    </row>
    <row r="298" spans="20:63" s="9" customFormat="1">
      <c r="T298" s="56"/>
      <c r="U298" s="56"/>
      <c r="V298" s="111"/>
      <c r="W298" s="121"/>
      <c r="Y298" s="56"/>
      <c r="AD298" s="56"/>
      <c r="AE298" s="56"/>
      <c r="AG298" s="35"/>
      <c r="AH298" s="27"/>
      <c r="AI298" s="27"/>
      <c r="AJ298" s="27"/>
      <c r="AK298" s="27"/>
      <c r="AL298" s="27"/>
      <c r="AM298" s="27"/>
      <c r="AN298" s="27"/>
      <c r="AO298" s="27"/>
      <c r="AP298" s="27"/>
      <c r="AQ298" s="27"/>
      <c r="AR298" s="27"/>
      <c r="AS298" s="27"/>
      <c r="AT298" s="27"/>
      <c r="AU298" s="27"/>
      <c r="AV298" s="27"/>
      <c r="AW298" s="27"/>
      <c r="AX298" s="27"/>
      <c r="AY298" s="27"/>
      <c r="AZ298" s="27"/>
      <c r="BA298" s="27"/>
      <c r="BB298" s="27"/>
      <c r="BC298" s="27"/>
      <c r="BD298" s="27"/>
      <c r="BE298" s="27"/>
      <c r="BF298" s="27"/>
      <c r="BG298" s="27"/>
      <c r="BH298" s="27"/>
      <c r="BI298" s="27"/>
      <c r="BJ298" s="27"/>
      <c r="BK298" s="27"/>
    </row>
    <row r="299" spans="20:63" s="9" customFormat="1">
      <c r="T299" s="56"/>
      <c r="U299" s="56"/>
      <c r="V299" s="111"/>
      <c r="W299" s="121"/>
      <c r="Y299" s="56"/>
      <c r="AD299" s="56"/>
      <c r="AE299" s="56"/>
      <c r="AG299" s="35"/>
      <c r="AH299" s="27"/>
      <c r="AI299" s="27"/>
      <c r="AJ299" s="27"/>
      <c r="AK299" s="27"/>
      <c r="AL299" s="27"/>
      <c r="AM299" s="27"/>
      <c r="AN299" s="27"/>
      <c r="AO299" s="27"/>
      <c r="AP299" s="27"/>
      <c r="AQ299" s="27"/>
      <c r="AR299" s="27"/>
      <c r="AS299" s="27"/>
      <c r="AT299" s="27"/>
      <c r="AU299" s="27"/>
      <c r="AV299" s="27"/>
      <c r="AW299" s="27"/>
      <c r="AX299" s="27"/>
      <c r="AY299" s="27"/>
      <c r="AZ299" s="27"/>
      <c r="BA299" s="27"/>
      <c r="BB299" s="27"/>
      <c r="BC299" s="27"/>
      <c r="BD299" s="27"/>
      <c r="BE299" s="27"/>
      <c r="BF299" s="27"/>
      <c r="BG299" s="27"/>
      <c r="BH299" s="27"/>
      <c r="BI299" s="27"/>
      <c r="BJ299" s="27"/>
      <c r="BK299" s="27"/>
    </row>
    <row r="300" spans="20:63" s="9" customFormat="1">
      <c r="T300" s="56"/>
      <c r="U300" s="56"/>
      <c r="V300" s="111"/>
      <c r="W300" s="121"/>
      <c r="Y300" s="56"/>
      <c r="AD300" s="56"/>
      <c r="AE300" s="56"/>
      <c r="AG300" s="35"/>
      <c r="AH300" s="27"/>
      <c r="AI300" s="27"/>
      <c r="AJ300" s="27"/>
      <c r="AK300" s="27"/>
      <c r="AL300" s="27"/>
      <c r="AM300" s="27"/>
      <c r="AN300" s="27"/>
      <c r="AO300" s="27"/>
      <c r="AP300" s="27"/>
      <c r="AQ300" s="27"/>
      <c r="AR300" s="27"/>
      <c r="AS300" s="27"/>
      <c r="AT300" s="27"/>
      <c r="AU300" s="27"/>
      <c r="AV300" s="27"/>
      <c r="AW300" s="27"/>
      <c r="AX300" s="27"/>
      <c r="AY300" s="27"/>
      <c r="AZ300" s="27"/>
      <c r="BA300" s="27"/>
      <c r="BB300" s="27"/>
      <c r="BC300" s="27"/>
      <c r="BD300" s="27"/>
      <c r="BE300" s="27"/>
      <c r="BF300" s="27"/>
      <c r="BG300" s="27"/>
      <c r="BH300" s="27"/>
      <c r="BI300" s="27"/>
      <c r="BJ300" s="27"/>
      <c r="BK300" s="27"/>
    </row>
    <row r="301" spans="20:63" s="9" customFormat="1">
      <c r="T301" s="56"/>
      <c r="U301" s="56"/>
      <c r="V301" s="111"/>
      <c r="W301" s="121"/>
      <c r="Y301" s="56"/>
      <c r="AD301" s="56"/>
      <c r="AE301" s="56"/>
      <c r="AG301" s="35"/>
      <c r="AH301" s="27"/>
      <c r="AI301" s="27"/>
      <c r="AJ301" s="27"/>
      <c r="AK301" s="27"/>
      <c r="AL301" s="27"/>
      <c r="AM301" s="27"/>
      <c r="AN301" s="27"/>
      <c r="AO301" s="27"/>
      <c r="AP301" s="27"/>
      <c r="AQ301" s="27"/>
      <c r="AR301" s="27"/>
      <c r="AS301" s="27"/>
      <c r="AT301" s="27"/>
      <c r="AU301" s="27"/>
      <c r="AV301" s="27"/>
      <c r="AW301" s="27"/>
      <c r="AX301" s="27"/>
      <c r="AY301" s="27"/>
      <c r="AZ301" s="27"/>
      <c r="BA301" s="27"/>
      <c r="BB301" s="27"/>
      <c r="BC301" s="27"/>
      <c r="BD301" s="27"/>
      <c r="BE301" s="27"/>
      <c r="BF301" s="27"/>
      <c r="BG301" s="27"/>
      <c r="BH301" s="27"/>
      <c r="BI301" s="27"/>
      <c r="BJ301" s="27"/>
      <c r="BK301" s="27"/>
    </row>
    <row r="302" spans="20:63" s="9" customFormat="1">
      <c r="T302" s="56"/>
      <c r="U302" s="56"/>
      <c r="V302" s="111"/>
      <c r="W302" s="121"/>
      <c r="Y302" s="56"/>
      <c r="AD302" s="56"/>
      <c r="AE302" s="56"/>
      <c r="AG302" s="35"/>
      <c r="AH302" s="27"/>
      <c r="AI302" s="27"/>
      <c r="AJ302" s="27"/>
      <c r="AK302" s="27"/>
      <c r="AL302" s="27"/>
      <c r="AM302" s="27"/>
      <c r="AN302" s="27"/>
      <c r="AO302" s="27"/>
      <c r="AP302" s="27"/>
      <c r="AQ302" s="27"/>
      <c r="AR302" s="27"/>
      <c r="AS302" s="27"/>
      <c r="AT302" s="27"/>
      <c r="AU302" s="27"/>
      <c r="AV302" s="27"/>
      <c r="AW302" s="27"/>
      <c r="AX302" s="27"/>
      <c r="AY302" s="27"/>
      <c r="AZ302" s="27"/>
      <c r="BA302" s="27"/>
      <c r="BB302" s="27"/>
      <c r="BC302" s="27"/>
      <c r="BD302" s="27"/>
      <c r="BE302" s="27"/>
      <c r="BF302" s="27"/>
      <c r="BG302" s="27"/>
      <c r="BH302" s="27"/>
      <c r="BI302" s="27"/>
      <c r="BJ302" s="27"/>
      <c r="BK302" s="27"/>
    </row>
    <row r="303" spans="20:63" s="9" customFormat="1">
      <c r="T303" s="56"/>
      <c r="U303" s="56"/>
      <c r="V303" s="111"/>
      <c r="W303" s="121"/>
      <c r="Y303" s="56"/>
      <c r="AD303" s="56"/>
      <c r="AE303" s="56"/>
      <c r="AG303" s="35"/>
      <c r="AH303" s="27"/>
      <c r="AI303" s="27"/>
      <c r="AJ303" s="27"/>
      <c r="AK303" s="27"/>
      <c r="AL303" s="27"/>
      <c r="AM303" s="27"/>
      <c r="AN303" s="27"/>
      <c r="AO303" s="27"/>
      <c r="AP303" s="27"/>
      <c r="AQ303" s="27"/>
      <c r="AR303" s="27"/>
      <c r="AS303" s="27"/>
      <c r="AT303" s="27"/>
      <c r="AU303" s="27"/>
      <c r="AV303" s="27"/>
      <c r="AW303" s="27"/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  <c r="BK303" s="27"/>
    </row>
    <row r="304" spans="20:63" s="9" customFormat="1">
      <c r="T304" s="56"/>
      <c r="U304" s="56"/>
      <c r="V304" s="111"/>
      <c r="W304" s="121"/>
      <c r="Y304" s="56"/>
      <c r="AD304" s="56"/>
      <c r="AE304" s="56"/>
      <c r="AG304" s="35"/>
      <c r="AH304" s="27"/>
      <c r="AI304" s="27"/>
      <c r="AJ304" s="27"/>
      <c r="AK304" s="27"/>
      <c r="AL304" s="27"/>
      <c r="AM304" s="27"/>
      <c r="AN304" s="27"/>
      <c r="AO304" s="27"/>
      <c r="AP304" s="27"/>
      <c r="AQ304" s="27"/>
      <c r="AR304" s="27"/>
      <c r="AS304" s="27"/>
      <c r="AT304" s="27"/>
      <c r="AU304" s="27"/>
      <c r="AV304" s="27"/>
      <c r="AW304" s="27"/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  <c r="BK304" s="27"/>
    </row>
    <row r="305" spans="20:63" s="9" customFormat="1">
      <c r="T305" s="56"/>
      <c r="U305" s="56"/>
      <c r="V305" s="111"/>
      <c r="W305" s="121"/>
      <c r="Y305" s="56"/>
      <c r="AD305" s="56"/>
      <c r="AE305" s="56"/>
      <c r="AG305" s="35"/>
      <c r="AH305" s="27"/>
      <c r="AI305" s="27"/>
      <c r="AJ305" s="27"/>
      <c r="AK305" s="27"/>
      <c r="AL305" s="27"/>
      <c r="AM305" s="27"/>
      <c r="AN305" s="27"/>
      <c r="AO305" s="27"/>
      <c r="AP305" s="27"/>
      <c r="AQ305" s="27"/>
      <c r="AR305" s="27"/>
      <c r="AS305" s="27"/>
      <c r="AT305" s="27"/>
      <c r="AU305" s="27"/>
      <c r="AV305" s="27"/>
      <c r="AW305" s="27"/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  <c r="BK305" s="27"/>
    </row>
    <row r="306" spans="20:63" s="9" customFormat="1">
      <c r="T306" s="56"/>
      <c r="U306" s="56"/>
      <c r="V306" s="111"/>
      <c r="W306" s="121"/>
      <c r="Y306" s="56"/>
      <c r="AD306" s="56"/>
      <c r="AE306" s="56"/>
      <c r="AG306" s="35"/>
      <c r="AH306" s="27"/>
      <c r="AI306" s="27"/>
      <c r="AJ306" s="27"/>
      <c r="AK306" s="27"/>
      <c r="AL306" s="27"/>
      <c r="AM306" s="27"/>
      <c r="AN306" s="27"/>
      <c r="AO306" s="27"/>
      <c r="AP306" s="27"/>
      <c r="AQ306" s="27"/>
      <c r="AR306" s="27"/>
      <c r="AS306" s="27"/>
      <c r="AT306" s="27"/>
      <c r="AU306" s="27"/>
      <c r="AV306" s="27"/>
      <c r="AW306" s="27"/>
      <c r="AX306" s="27"/>
      <c r="AY306" s="27"/>
      <c r="AZ306" s="27"/>
      <c r="BA306" s="27"/>
      <c r="BB306" s="27"/>
      <c r="BC306" s="27"/>
      <c r="BD306" s="27"/>
      <c r="BE306" s="27"/>
      <c r="BF306" s="27"/>
      <c r="BG306" s="27"/>
      <c r="BH306" s="27"/>
      <c r="BI306" s="27"/>
      <c r="BJ306" s="27"/>
      <c r="BK306" s="27"/>
    </row>
    <row r="307" spans="20:63" s="9" customFormat="1">
      <c r="T307" s="56"/>
      <c r="U307" s="56"/>
      <c r="V307" s="111"/>
      <c r="W307" s="121"/>
      <c r="Y307" s="56"/>
      <c r="AD307" s="56"/>
      <c r="AE307" s="56"/>
      <c r="AG307" s="35"/>
      <c r="AH307" s="27"/>
      <c r="AI307" s="27"/>
      <c r="AJ307" s="27"/>
      <c r="AK307" s="27"/>
      <c r="AL307" s="27"/>
      <c r="AM307" s="27"/>
      <c r="AN307" s="27"/>
      <c r="AO307" s="27"/>
      <c r="AP307" s="27"/>
      <c r="AQ307" s="27"/>
      <c r="AR307" s="27"/>
      <c r="AS307" s="27"/>
      <c r="AT307" s="27"/>
      <c r="AU307" s="27"/>
      <c r="AV307" s="27"/>
      <c r="AW307" s="27"/>
      <c r="AX307" s="27"/>
      <c r="AY307" s="27"/>
      <c r="AZ307" s="27"/>
      <c r="BA307" s="27"/>
      <c r="BB307" s="27"/>
      <c r="BC307" s="27"/>
      <c r="BD307" s="27"/>
      <c r="BE307" s="27"/>
      <c r="BF307" s="27"/>
      <c r="BG307" s="27"/>
      <c r="BH307" s="27"/>
      <c r="BI307" s="27"/>
      <c r="BJ307" s="27"/>
      <c r="BK307" s="27"/>
    </row>
    <row r="308" spans="20:63" s="9" customFormat="1">
      <c r="T308" s="56"/>
      <c r="U308" s="56"/>
      <c r="V308" s="111"/>
      <c r="W308" s="121"/>
      <c r="Y308" s="56"/>
      <c r="AD308" s="56"/>
      <c r="AE308" s="56"/>
      <c r="AG308" s="35"/>
      <c r="AH308" s="27"/>
      <c r="AI308" s="27"/>
      <c r="AJ308" s="27"/>
      <c r="AK308" s="27"/>
      <c r="AL308" s="27"/>
      <c r="AM308" s="27"/>
      <c r="AN308" s="27"/>
      <c r="AO308" s="27"/>
      <c r="AP308" s="27"/>
      <c r="AQ308" s="27"/>
      <c r="AR308" s="27"/>
      <c r="AS308" s="27"/>
      <c r="AT308" s="27"/>
      <c r="AU308" s="27"/>
      <c r="AV308" s="27"/>
      <c r="AW308" s="27"/>
      <c r="AX308" s="27"/>
      <c r="AY308" s="27"/>
      <c r="AZ308" s="27"/>
      <c r="BA308" s="27"/>
      <c r="BB308" s="27"/>
      <c r="BC308" s="27"/>
      <c r="BD308" s="27"/>
      <c r="BE308" s="27"/>
      <c r="BF308" s="27"/>
      <c r="BG308" s="27"/>
      <c r="BH308" s="27"/>
      <c r="BI308" s="27"/>
      <c r="BJ308" s="27"/>
      <c r="BK308" s="27"/>
    </row>
    <row r="309" spans="20:63" s="9" customFormat="1">
      <c r="T309" s="56"/>
      <c r="U309" s="56"/>
      <c r="V309" s="111"/>
      <c r="W309" s="121"/>
      <c r="Y309" s="56"/>
      <c r="AD309" s="56"/>
      <c r="AE309" s="56"/>
      <c r="AG309" s="35"/>
      <c r="AH309" s="27"/>
      <c r="AI309" s="27"/>
      <c r="AJ309" s="27"/>
      <c r="AK309" s="27"/>
      <c r="AL309" s="27"/>
      <c r="AM309" s="27"/>
      <c r="AN309" s="27"/>
      <c r="AO309" s="27"/>
      <c r="AP309" s="27"/>
      <c r="AQ309" s="27"/>
      <c r="AR309" s="27"/>
      <c r="AS309" s="27"/>
      <c r="AT309" s="27"/>
      <c r="AU309" s="27"/>
      <c r="AV309" s="27"/>
      <c r="AW309" s="27"/>
      <c r="AX309" s="27"/>
      <c r="AY309" s="27"/>
      <c r="AZ309" s="27"/>
      <c r="BA309" s="27"/>
      <c r="BB309" s="27"/>
      <c r="BC309" s="27"/>
      <c r="BD309" s="27"/>
      <c r="BE309" s="27"/>
      <c r="BF309" s="27"/>
      <c r="BG309" s="27"/>
      <c r="BH309" s="27"/>
      <c r="BI309" s="27"/>
      <c r="BJ309" s="27"/>
      <c r="BK309" s="27"/>
    </row>
    <row r="310" spans="20:63" s="9" customFormat="1">
      <c r="T310" s="56"/>
      <c r="U310" s="56"/>
      <c r="V310" s="111"/>
      <c r="W310" s="121"/>
      <c r="Y310" s="56"/>
      <c r="AD310" s="56"/>
      <c r="AE310" s="56"/>
      <c r="AG310" s="35"/>
      <c r="AH310" s="27"/>
      <c r="AI310" s="27"/>
      <c r="AJ310" s="27"/>
      <c r="AK310" s="27"/>
      <c r="AL310" s="27"/>
      <c r="AM310" s="27"/>
      <c r="AN310" s="27"/>
      <c r="AO310" s="27"/>
      <c r="AP310" s="27"/>
      <c r="AQ310" s="27"/>
      <c r="AR310" s="27"/>
      <c r="AS310" s="27"/>
      <c r="AT310" s="27"/>
      <c r="AU310" s="27"/>
      <c r="AV310" s="27"/>
      <c r="AW310" s="27"/>
      <c r="AX310" s="27"/>
      <c r="AY310" s="27"/>
      <c r="AZ310" s="27"/>
      <c r="BA310" s="27"/>
      <c r="BB310" s="27"/>
      <c r="BC310" s="27"/>
      <c r="BD310" s="27"/>
      <c r="BE310" s="27"/>
      <c r="BF310" s="27"/>
      <c r="BG310" s="27"/>
      <c r="BH310" s="27"/>
      <c r="BI310" s="27"/>
      <c r="BJ310" s="27"/>
      <c r="BK310" s="27"/>
    </row>
    <row r="311" spans="20:63" s="9" customFormat="1">
      <c r="T311" s="56"/>
      <c r="U311" s="56"/>
      <c r="V311" s="111"/>
      <c r="W311" s="121"/>
      <c r="Y311" s="56"/>
      <c r="AD311" s="56"/>
      <c r="AE311" s="56"/>
      <c r="AG311" s="35"/>
      <c r="AH311" s="27"/>
      <c r="AI311" s="27"/>
      <c r="AJ311" s="27"/>
      <c r="AK311" s="27"/>
      <c r="AL311" s="27"/>
      <c r="AM311" s="27"/>
      <c r="AN311" s="27"/>
      <c r="AO311" s="27"/>
      <c r="AP311" s="27"/>
      <c r="AQ311" s="27"/>
      <c r="AR311" s="27"/>
      <c r="AS311" s="27"/>
      <c r="AT311" s="27"/>
      <c r="AU311" s="27"/>
      <c r="AV311" s="27"/>
      <c r="AW311" s="27"/>
      <c r="AX311" s="27"/>
      <c r="AY311" s="27"/>
      <c r="AZ311" s="27"/>
      <c r="BA311" s="27"/>
      <c r="BB311" s="27"/>
      <c r="BC311" s="27"/>
      <c r="BD311" s="27"/>
      <c r="BE311" s="27"/>
      <c r="BF311" s="27"/>
      <c r="BG311" s="27"/>
      <c r="BH311" s="27"/>
      <c r="BI311" s="27"/>
      <c r="BJ311" s="27"/>
      <c r="BK311" s="27"/>
    </row>
    <row r="312" spans="20:63" s="9" customFormat="1">
      <c r="T312" s="56"/>
      <c r="U312" s="56"/>
      <c r="V312" s="111"/>
      <c r="W312" s="121"/>
      <c r="Y312" s="56"/>
      <c r="AD312" s="56"/>
      <c r="AE312" s="56"/>
      <c r="AG312" s="35"/>
      <c r="AH312" s="27"/>
      <c r="AI312" s="27"/>
      <c r="AJ312" s="27"/>
      <c r="AK312" s="27"/>
      <c r="AL312" s="27"/>
      <c r="AM312" s="27"/>
      <c r="AN312" s="27"/>
      <c r="AO312" s="27"/>
      <c r="AP312" s="27"/>
      <c r="AQ312" s="27"/>
      <c r="AR312" s="27"/>
      <c r="AS312" s="27"/>
      <c r="AT312" s="27"/>
      <c r="AU312" s="27"/>
      <c r="AV312" s="27"/>
      <c r="AW312" s="27"/>
      <c r="AX312" s="27"/>
      <c r="AY312" s="27"/>
      <c r="AZ312" s="27"/>
      <c r="BA312" s="27"/>
      <c r="BB312" s="27"/>
      <c r="BC312" s="27"/>
      <c r="BD312" s="27"/>
      <c r="BE312" s="27"/>
      <c r="BF312" s="27"/>
      <c r="BG312" s="27"/>
      <c r="BH312" s="27"/>
      <c r="BI312" s="27"/>
      <c r="BJ312" s="27"/>
      <c r="BK312" s="27"/>
    </row>
    <row r="313" spans="20:63" s="9" customFormat="1">
      <c r="T313" s="56"/>
      <c r="U313" s="56"/>
      <c r="V313" s="111"/>
      <c r="W313" s="121"/>
      <c r="Y313" s="56"/>
      <c r="AD313" s="56"/>
      <c r="AE313" s="56"/>
      <c r="AG313" s="35"/>
      <c r="AH313" s="27"/>
      <c r="AI313" s="27"/>
      <c r="AJ313" s="27"/>
      <c r="AK313" s="27"/>
      <c r="AL313" s="27"/>
      <c r="AM313" s="27"/>
      <c r="AN313" s="27"/>
      <c r="AO313" s="27"/>
      <c r="AP313" s="27"/>
      <c r="AQ313" s="27"/>
      <c r="AR313" s="27"/>
      <c r="AS313" s="27"/>
      <c r="AT313" s="27"/>
      <c r="AU313" s="27"/>
      <c r="AV313" s="27"/>
      <c r="AW313" s="27"/>
      <c r="AX313" s="27"/>
      <c r="AY313" s="27"/>
      <c r="AZ313" s="27"/>
      <c r="BA313" s="27"/>
      <c r="BB313" s="27"/>
      <c r="BC313" s="27"/>
      <c r="BD313" s="27"/>
      <c r="BE313" s="27"/>
      <c r="BF313" s="27"/>
      <c r="BG313" s="27"/>
      <c r="BH313" s="27"/>
      <c r="BI313" s="27"/>
      <c r="BJ313" s="27"/>
      <c r="BK313" s="27"/>
    </row>
    <row r="314" spans="20:63" s="9" customFormat="1">
      <c r="T314" s="56"/>
      <c r="U314" s="56"/>
      <c r="V314" s="111"/>
      <c r="W314" s="121"/>
      <c r="Y314" s="56"/>
      <c r="AD314" s="56"/>
      <c r="AE314" s="56"/>
      <c r="AG314" s="35"/>
      <c r="AH314" s="27"/>
      <c r="AI314" s="27"/>
      <c r="AJ314" s="27"/>
      <c r="AK314" s="27"/>
      <c r="AL314" s="27"/>
      <c r="AM314" s="27"/>
      <c r="AN314" s="27"/>
      <c r="AO314" s="27"/>
      <c r="AP314" s="27"/>
      <c r="AQ314" s="27"/>
      <c r="AR314" s="27"/>
      <c r="AS314" s="27"/>
      <c r="AT314" s="27"/>
      <c r="AU314" s="27"/>
      <c r="AV314" s="27"/>
      <c r="AW314" s="27"/>
      <c r="AX314" s="27"/>
      <c r="AY314" s="27"/>
      <c r="AZ314" s="27"/>
      <c r="BA314" s="27"/>
      <c r="BB314" s="27"/>
      <c r="BC314" s="27"/>
      <c r="BD314" s="27"/>
      <c r="BE314" s="27"/>
      <c r="BF314" s="27"/>
      <c r="BG314" s="27"/>
      <c r="BH314" s="27"/>
      <c r="BI314" s="27"/>
      <c r="BJ314" s="27"/>
      <c r="BK314" s="27"/>
    </row>
    <row r="315" spans="20:63" s="9" customFormat="1">
      <c r="T315" s="56"/>
      <c r="U315" s="56"/>
      <c r="V315" s="111"/>
      <c r="W315" s="121"/>
      <c r="Y315" s="56"/>
      <c r="AD315" s="56"/>
      <c r="AE315" s="56"/>
      <c r="AG315" s="35"/>
      <c r="AH315" s="27"/>
      <c r="AI315" s="27"/>
      <c r="AJ315" s="27"/>
      <c r="AK315" s="27"/>
      <c r="AL315" s="27"/>
      <c r="AM315" s="27"/>
      <c r="AN315" s="27"/>
      <c r="AO315" s="27"/>
      <c r="AP315" s="27"/>
      <c r="AQ315" s="27"/>
      <c r="AR315" s="27"/>
      <c r="AS315" s="27"/>
      <c r="AT315" s="27"/>
      <c r="AU315" s="27"/>
      <c r="AV315" s="27"/>
      <c r="AW315" s="27"/>
      <c r="AX315" s="27"/>
      <c r="AY315" s="27"/>
      <c r="AZ315" s="27"/>
      <c r="BA315" s="27"/>
      <c r="BB315" s="27"/>
      <c r="BC315" s="27"/>
      <c r="BD315" s="27"/>
      <c r="BE315" s="27"/>
      <c r="BF315" s="27"/>
      <c r="BG315" s="27"/>
      <c r="BH315" s="27"/>
      <c r="BI315" s="27"/>
      <c r="BJ315" s="27"/>
      <c r="BK315" s="27"/>
    </row>
    <row r="316" spans="20:63" s="9" customFormat="1">
      <c r="T316" s="56"/>
      <c r="U316" s="56"/>
      <c r="V316" s="111"/>
      <c r="W316" s="121"/>
      <c r="Y316" s="56"/>
      <c r="AD316" s="56"/>
      <c r="AE316" s="56"/>
      <c r="AG316" s="35"/>
      <c r="AH316" s="27"/>
      <c r="AI316" s="27"/>
      <c r="AJ316" s="27"/>
      <c r="AK316" s="27"/>
      <c r="AL316" s="27"/>
      <c r="AM316" s="27"/>
      <c r="AN316" s="27"/>
      <c r="AO316" s="27"/>
      <c r="AP316" s="27"/>
      <c r="AQ316" s="27"/>
      <c r="AR316" s="27"/>
      <c r="AS316" s="27"/>
      <c r="AT316" s="27"/>
      <c r="AU316" s="27"/>
      <c r="AV316" s="27"/>
      <c r="AW316" s="27"/>
      <c r="AX316" s="27"/>
      <c r="AY316" s="27"/>
      <c r="AZ316" s="27"/>
      <c r="BA316" s="27"/>
      <c r="BB316" s="27"/>
      <c r="BC316" s="27"/>
      <c r="BD316" s="27"/>
      <c r="BE316" s="27"/>
      <c r="BF316" s="27"/>
      <c r="BG316" s="27"/>
      <c r="BH316" s="27"/>
      <c r="BI316" s="27"/>
      <c r="BJ316" s="27"/>
      <c r="BK316" s="27"/>
    </row>
    <row r="317" spans="20:63" s="9" customFormat="1">
      <c r="T317" s="56"/>
      <c r="U317" s="56"/>
      <c r="V317" s="111"/>
      <c r="W317" s="121"/>
      <c r="Y317" s="56"/>
      <c r="AD317" s="56"/>
      <c r="AE317" s="56"/>
      <c r="AG317" s="35"/>
      <c r="AH317" s="27"/>
      <c r="AI317" s="27"/>
      <c r="AJ317" s="27"/>
      <c r="AK317" s="27"/>
      <c r="AL317" s="27"/>
      <c r="AM317" s="27"/>
      <c r="AN317" s="27"/>
      <c r="AO317" s="27"/>
      <c r="AP317" s="27"/>
      <c r="AQ317" s="27"/>
      <c r="AR317" s="27"/>
      <c r="AS317" s="27"/>
      <c r="AT317" s="27"/>
      <c r="AU317" s="27"/>
      <c r="AV317" s="27"/>
      <c r="AW317" s="27"/>
      <c r="AX317" s="27"/>
      <c r="AY317" s="27"/>
      <c r="AZ317" s="27"/>
      <c r="BA317" s="27"/>
      <c r="BB317" s="27"/>
      <c r="BC317" s="27"/>
      <c r="BD317" s="27"/>
      <c r="BE317" s="27"/>
      <c r="BF317" s="27"/>
      <c r="BG317" s="27"/>
      <c r="BH317" s="27"/>
      <c r="BI317" s="27"/>
      <c r="BJ317" s="27"/>
      <c r="BK317" s="27"/>
    </row>
    <row r="318" spans="20:63" s="9" customFormat="1">
      <c r="T318" s="56"/>
      <c r="U318" s="56"/>
      <c r="V318" s="111"/>
      <c r="W318" s="121"/>
      <c r="Y318" s="56"/>
      <c r="AD318" s="56"/>
      <c r="AE318" s="56"/>
      <c r="AG318" s="35"/>
      <c r="AH318" s="27"/>
      <c r="AI318" s="27"/>
      <c r="AJ318" s="27"/>
      <c r="AK318" s="27"/>
      <c r="AL318" s="27"/>
      <c r="AM318" s="27"/>
      <c r="AN318" s="27"/>
      <c r="AO318" s="27"/>
      <c r="AP318" s="27"/>
      <c r="AQ318" s="27"/>
      <c r="AR318" s="27"/>
      <c r="AS318" s="27"/>
      <c r="AT318" s="27"/>
      <c r="AU318" s="27"/>
      <c r="AV318" s="27"/>
      <c r="AW318" s="27"/>
      <c r="AX318" s="27"/>
      <c r="AY318" s="27"/>
      <c r="AZ318" s="27"/>
      <c r="BA318" s="27"/>
      <c r="BB318" s="27"/>
      <c r="BC318" s="27"/>
      <c r="BD318" s="27"/>
      <c r="BE318" s="27"/>
      <c r="BF318" s="27"/>
      <c r="BG318" s="27"/>
      <c r="BH318" s="27"/>
      <c r="BI318" s="27"/>
      <c r="BJ318" s="27"/>
      <c r="BK318" s="27"/>
    </row>
    <row r="319" spans="20:63" s="9" customFormat="1">
      <c r="T319" s="56"/>
      <c r="U319" s="56"/>
      <c r="V319" s="111"/>
      <c r="W319" s="121"/>
      <c r="Y319" s="56"/>
      <c r="AD319" s="56"/>
      <c r="AE319" s="56"/>
      <c r="AG319" s="35"/>
      <c r="AH319" s="27"/>
      <c r="AI319" s="27"/>
      <c r="AJ319" s="27"/>
      <c r="AK319" s="27"/>
      <c r="AL319" s="27"/>
      <c r="AM319" s="27"/>
      <c r="AN319" s="27"/>
      <c r="AO319" s="27"/>
      <c r="AP319" s="27"/>
      <c r="AQ319" s="27"/>
      <c r="AR319" s="27"/>
      <c r="AS319" s="27"/>
      <c r="AT319" s="27"/>
      <c r="AU319" s="27"/>
      <c r="AV319" s="27"/>
      <c r="AW319" s="27"/>
      <c r="AX319" s="27"/>
      <c r="AY319" s="27"/>
      <c r="AZ319" s="27"/>
      <c r="BA319" s="27"/>
      <c r="BB319" s="27"/>
      <c r="BC319" s="27"/>
      <c r="BD319" s="27"/>
      <c r="BE319" s="27"/>
      <c r="BF319" s="27"/>
      <c r="BG319" s="27"/>
      <c r="BH319" s="27"/>
      <c r="BI319" s="27"/>
      <c r="BJ319" s="27"/>
      <c r="BK319" s="27"/>
    </row>
    <row r="320" spans="20:63" s="9" customFormat="1">
      <c r="T320" s="56"/>
      <c r="U320" s="56"/>
      <c r="V320" s="111"/>
      <c r="W320" s="121"/>
      <c r="Y320" s="56"/>
      <c r="AD320" s="56"/>
      <c r="AE320" s="56"/>
      <c r="AG320" s="35"/>
      <c r="AH320" s="27"/>
      <c r="AI320" s="27"/>
      <c r="AJ320" s="27"/>
      <c r="AK320" s="27"/>
      <c r="AL320" s="27"/>
      <c r="AM320" s="27"/>
      <c r="AN320" s="27"/>
      <c r="AO320" s="27"/>
      <c r="AP320" s="27"/>
      <c r="AQ320" s="27"/>
      <c r="AR320" s="27"/>
      <c r="AS320" s="27"/>
      <c r="AT320" s="27"/>
      <c r="AU320" s="27"/>
      <c r="AV320" s="27"/>
      <c r="AW320" s="27"/>
      <c r="AX320" s="27"/>
      <c r="AY320" s="27"/>
      <c r="AZ320" s="27"/>
      <c r="BA320" s="27"/>
      <c r="BB320" s="27"/>
      <c r="BC320" s="27"/>
      <c r="BD320" s="27"/>
      <c r="BE320" s="27"/>
      <c r="BF320" s="27"/>
      <c r="BG320" s="27"/>
      <c r="BH320" s="27"/>
      <c r="BI320" s="27"/>
      <c r="BJ320" s="27"/>
      <c r="BK320" s="27"/>
    </row>
    <row r="321" spans="20:63" s="9" customFormat="1">
      <c r="T321" s="56"/>
      <c r="U321" s="56"/>
      <c r="V321" s="111"/>
      <c r="W321" s="121"/>
      <c r="Y321" s="56"/>
      <c r="AD321" s="56"/>
      <c r="AE321" s="56"/>
      <c r="AG321" s="35"/>
      <c r="AH321" s="27"/>
      <c r="AI321" s="27"/>
      <c r="AJ321" s="27"/>
      <c r="AK321" s="27"/>
      <c r="AL321" s="27"/>
      <c r="AM321" s="27"/>
      <c r="AN321" s="27"/>
      <c r="AO321" s="27"/>
      <c r="AP321" s="27"/>
      <c r="AQ321" s="27"/>
      <c r="AR321" s="27"/>
      <c r="AS321" s="27"/>
      <c r="AT321" s="27"/>
      <c r="AU321" s="27"/>
      <c r="AV321" s="27"/>
      <c r="AW321" s="27"/>
      <c r="AX321" s="27"/>
      <c r="AY321" s="27"/>
      <c r="AZ321" s="27"/>
      <c r="BA321" s="27"/>
      <c r="BB321" s="27"/>
      <c r="BC321" s="27"/>
      <c r="BD321" s="27"/>
      <c r="BE321" s="27"/>
      <c r="BF321" s="27"/>
      <c r="BG321" s="27"/>
      <c r="BH321" s="27"/>
      <c r="BI321" s="27"/>
      <c r="BJ321" s="27"/>
      <c r="BK321" s="27"/>
    </row>
    <row r="322" spans="20:63" s="9" customFormat="1">
      <c r="T322" s="56"/>
      <c r="U322" s="56"/>
      <c r="V322" s="111"/>
      <c r="W322" s="121"/>
      <c r="Y322" s="56"/>
      <c r="AD322" s="56"/>
      <c r="AE322" s="56"/>
      <c r="AG322" s="35"/>
      <c r="AH322" s="27"/>
      <c r="AI322" s="27"/>
      <c r="AJ322" s="27"/>
      <c r="AK322" s="27"/>
      <c r="AL322" s="27"/>
      <c r="AM322" s="27"/>
      <c r="AN322" s="27"/>
      <c r="AO322" s="27"/>
      <c r="AP322" s="27"/>
      <c r="AQ322" s="27"/>
      <c r="AR322" s="27"/>
      <c r="AS322" s="27"/>
      <c r="AT322" s="27"/>
      <c r="AU322" s="27"/>
      <c r="AV322" s="27"/>
      <c r="AW322" s="27"/>
      <c r="AX322" s="27"/>
      <c r="AY322" s="27"/>
      <c r="AZ322" s="27"/>
      <c r="BA322" s="27"/>
      <c r="BB322" s="27"/>
      <c r="BC322" s="27"/>
      <c r="BD322" s="27"/>
      <c r="BE322" s="27"/>
      <c r="BF322" s="27"/>
      <c r="BG322" s="27"/>
      <c r="BH322" s="27"/>
      <c r="BI322" s="27"/>
      <c r="BJ322" s="27"/>
      <c r="BK322" s="27"/>
    </row>
    <row r="323" spans="20:63" s="9" customFormat="1">
      <c r="T323" s="56"/>
      <c r="U323" s="56"/>
      <c r="V323" s="111"/>
      <c r="W323" s="121"/>
      <c r="Y323" s="56"/>
      <c r="AD323" s="56"/>
      <c r="AE323" s="56"/>
      <c r="AG323" s="35"/>
      <c r="AH323" s="27"/>
      <c r="AI323" s="27"/>
      <c r="AJ323" s="27"/>
      <c r="AK323" s="27"/>
      <c r="AL323" s="27"/>
      <c r="AM323" s="27"/>
      <c r="AN323" s="27"/>
      <c r="AO323" s="27"/>
      <c r="AP323" s="27"/>
      <c r="AQ323" s="27"/>
      <c r="AR323" s="27"/>
      <c r="AS323" s="27"/>
      <c r="AT323" s="27"/>
      <c r="AU323" s="27"/>
      <c r="AV323" s="27"/>
      <c r="AW323" s="27"/>
      <c r="AX323" s="27"/>
      <c r="AY323" s="27"/>
      <c r="AZ323" s="27"/>
      <c r="BA323" s="27"/>
      <c r="BB323" s="27"/>
      <c r="BC323" s="27"/>
      <c r="BD323" s="27"/>
      <c r="BE323" s="27"/>
      <c r="BF323" s="27"/>
      <c r="BG323" s="27"/>
      <c r="BH323" s="27"/>
      <c r="BI323" s="27"/>
      <c r="BJ323" s="27"/>
      <c r="BK323" s="27"/>
    </row>
    <row r="324" spans="20:63" s="9" customFormat="1">
      <c r="T324" s="56"/>
      <c r="U324" s="56"/>
      <c r="V324" s="111"/>
      <c r="W324" s="121"/>
      <c r="Y324" s="56"/>
      <c r="AD324" s="56"/>
      <c r="AE324" s="56"/>
      <c r="AG324" s="35"/>
      <c r="AH324" s="27"/>
      <c r="AI324" s="27"/>
      <c r="AJ324" s="27"/>
      <c r="AK324" s="27"/>
      <c r="AL324" s="27"/>
      <c r="AM324" s="27"/>
      <c r="AN324" s="27"/>
      <c r="AO324" s="27"/>
      <c r="AP324" s="27"/>
      <c r="AQ324" s="27"/>
      <c r="AR324" s="27"/>
      <c r="AS324" s="27"/>
      <c r="AT324" s="27"/>
      <c r="AU324" s="27"/>
      <c r="AV324" s="27"/>
      <c r="AW324" s="27"/>
      <c r="AX324" s="27"/>
      <c r="AY324" s="27"/>
      <c r="AZ324" s="27"/>
      <c r="BA324" s="27"/>
      <c r="BB324" s="27"/>
      <c r="BC324" s="27"/>
      <c r="BD324" s="27"/>
      <c r="BE324" s="27"/>
      <c r="BF324" s="27"/>
      <c r="BG324" s="27"/>
      <c r="BH324" s="27"/>
      <c r="BI324" s="27"/>
      <c r="BJ324" s="27"/>
      <c r="BK324" s="27"/>
    </row>
    <row r="325" spans="20:63" s="9" customFormat="1">
      <c r="T325" s="56"/>
      <c r="U325" s="56"/>
      <c r="V325" s="111"/>
      <c r="W325" s="121"/>
      <c r="Y325" s="56"/>
      <c r="AD325" s="56"/>
      <c r="AE325" s="56"/>
      <c r="AG325" s="35"/>
      <c r="AH325" s="27"/>
      <c r="AI325" s="27"/>
      <c r="AJ325" s="27"/>
      <c r="AK325" s="27"/>
      <c r="AL325" s="27"/>
      <c r="AM325" s="27"/>
      <c r="AN325" s="27"/>
      <c r="AO325" s="27"/>
      <c r="AP325" s="27"/>
      <c r="AQ325" s="27"/>
      <c r="AR325" s="27"/>
      <c r="AS325" s="27"/>
      <c r="AT325" s="27"/>
      <c r="AU325" s="27"/>
      <c r="AV325" s="27"/>
      <c r="AW325" s="27"/>
      <c r="AX325" s="27"/>
      <c r="AY325" s="27"/>
      <c r="AZ325" s="27"/>
      <c r="BA325" s="27"/>
      <c r="BB325" s="27"/>
      <c r="BC325" s="27"/>
      <c r="BD325" s="27"/>
      <c r="BE325" s="27"/>
      <c r="BF325" s="27"/>
      <c r="BG325" s="27"/>
      <c r="BH325" s="27"/>
      <c r="BI325" s="27"/>
      <c r="BJ325" s="27"/>
      <c r="BK325" s="27"/>
    </row>
    <row r="326" spans="20:63" s="9" customFormat="1">
      <c r="T326" s="56"/>
      <c r="U326" s="56"/>
      <c r="V326" s="111"/>
      <c r="W326" s="121"/>
      <c r="Y326" s="56"/>
      <c r="AD326" s="56"/>
      <c r="AE326" s="56"/>
      <c r="AG326" s="35"/>
      <c r="AH326" s="27"/>
      <c r="AI326" s="27"/>
      <c r="AJ326" s="27"/>
      <c r="AK326" s="27"/>
      <c r="AL326" s="27"/>
      <c r="AM326" s="27"/>
      <c r="AN326" s="27"/>
      <c r="AO326" s="27"/>
      <c r="AP326" s="27"/>
      <c r="AQ326" s="27"/>
      <c r="AR326" s="27"/>
      <c r="AS326" s="27"/>
      <c r="AT326" s="27"/>
      <c r="AU326" s="27"/>
      <c r="AV326" s="27"/>
      <c r="AW326" s="27"/>
      <c r="AX326" s="27"/>
      <c r="AY326" s="27"/>
      <c r="AZ326" s="27"/>
      <c r="BA326" s="27"/>
      <c r="BB326" s="27"/>
      <c r="BC326" s="27"/>
      <c r="BD326" s="27"/>
      <c r="BE326" s="27"/>
      <c r="BF326" s="27"/>
      <c r="BG326" s="27"/>
      <c r="BH326" s="27"/>
      <c r="BI326" s="27"/>
      <c r="BJ326" s="27"/>
      <c r="BK326" s="27"/>
    </row>
    <row r="327" spans="20:63" s="9" customFormat="1">
      <c r="T327" s="56"/>
      <c r="U327" s="56"/>
      <c r="V327" s="111"/>
      <c r="W327" s="121"/>
      <c r="Y327" s="56"/>
      <c r="AD327" s="56"/>
      <c r="AE327" s="56"/>
      <c r="AG327" s="35"/>
      <c r="AH327" s="27"/>
      <c r="AI327" s="27"/>
      <c r="AJ327" s="27"/>
      <c r="AK327" s="27"/>
      <c r="AL327" s="27"/>
      <c r="AM327" s="27"/>
      <c r="AN327" s="27"/>
      <c r="AO327" s="27"/>
      <c r="AP327" s="27"/>
      <c r="AQ327" s="27"/>
      <c r="AR327" s="27"/>
      <c r="AS327" s="27"/>
      <c r="AT327" s="27"/>
      <c r="AU327" s="27"/>
      <c r="AV327" s="27"/>
      <c r="AW327" s="27"/>
      <c r="AX327" s="27"/>
      <c r="AY327" s="27"/>
      <c r="AZ327" s="27"/>
      <c r="BA327" s="27"/>
      <c r="BB327" s="27"/>
      <c r="BC327" s="27"/>
      <c r="BD327" s="27"/>
      <c r="BE327" s="27"/>
      <c r="BF327" s="27"/>
      <c r="BG327" s="27"/>
      <c r="BH327" s="27"/>
      <c r="BI327" s="27"/>
      <c r="BJ327" s="27"/>
      <c r="BK327" s="27"/>
    </row>
    <row r="328" spans="20:63" s="9" customFormat="1">
      <c r="T328" s="56"/>
      <c r="U328" s="56"/>
      <c r="V328" s="111"/>
      <c r="W328" s="121"/>
      <c r="Y328" s="56"/>
      <c r="AD328" s="56"/>
      <c r="AE328" s="56"/>
      <c r="AG328" s="35"/>
      <c r="AH328" s="27"/>
      <c r="AI328" s="27"/>
      <c r="AJ328" s="27"/>
      <c r="AK328" s="27"/>
      <c r="AL328" s="27"/>
      <c r="AM328" s="27"/>
      <c r="AN328" s="27"/>
      <c r="AO328" s="27"/>
      <c r="AP328" s="27"/>
      <c r="AQ328" s="27"/>
      <c r="AR328" s="27"/>
      <c r="AS328" s="27"/>
      <c r="AT328" s="27"/>
      <c r="AU328" s="27"/>
      <c r="AV328" s="27"/>
      <c r="AW328" s="27"/>
      <c r="AX328" s="27"/>
      <c r="AY328" s="27"/>
      <c r="AZ328" s="27"/>
      <c r="BA328" s="27"/>
      <c r="BB328" s="27"/>
      <c r="BC328" s="27"/>
      <c r="BD328" s="27"/>
      <c r="BE328" s="27"/>
      <c r="BF328" s="27"/>
      <c r="BG328" s="27"/>
      <c r="BH328" s="27"/>
      <c r="BI328" s="27"/>
      <c r="BJ328" s="27"/>
      <c r="BK328" s="27"/>
    </row>
    <row r="329" spans="20:63" s="9" customFormat="1">
      <c r="T329" s="56"/>
      <c r="U329" s="56"/>
      <c r="V329" s="111"/>
      <c r="W329" s="121"/>
      <c r="Y329" s="56"/>
      <c r="AD329" s="56"/>
      <c r="AE329" s="56"/>
      <c r="AG329" s="35"/>
      <c r="AH329" s="27"/>
      <c r="AI329" s="27"/>
      <c r="AJ329" s="27"/>
      <c r="AK329" s="27"/>
      <c r="AL329" s="27"/>
      <c r="AM329" s="27"/>
      <c r="AN329" s="27"/>
      <c r="AO329" s="27"/>
      <c r="AP329" s="27"/>
      <c r="AQ329" s="27"/>
      <c r="AR329" s="27"/>
      <c r="AS329" s="27"/>
      <c r="AT329" s="27"/>
      <c r="AU329" s="27"/>
      <c r="AV329" s="27"/>
      <c r="AW329" s="27"/>
      <c r="AX329" s="27"/>
      <c r="AY329" s="27"/>
      <c r="AZ329" s="27"/>
      <c r="BA329" s="27"/>
      <c r="BB329" s="27"/>
      <c r="BC329" s="27"/>
      <c r="BD329" s="27"/>
      <c r="BE329" s="27"/>
      <c r="BF329" s="27"/>
      <c r="BG329" s="27"/>
      <c r="BH329" s="27"/>
      <c r="BI329" s="27"/>
      <c r="BJ329" s="27"/>
      <c r="BK329" s="27"/>
    </row>
    <row r="330" spans="20:63" s="9" customFormat="1">
      <c r="T330" s="56"/>
      <c r="U330" s="56"/>
      <c r="V330" s="111"/>
      <c r="W330" s="121"/>
      <c r="Y330" s="56"/>
      <c r="AD330" s="56"/>
      <c r="AE330" s="56"/>
      <c r="AG330" s="35"/>
      <c r="AH330" s="27"/>
      <c r="AI330" s="27"/>
      <c r="AJ330" s="27"/>
      <c r="AK330" s="27"/>
      <c r="AL330" s="27"/>
      <c r="AM330" s="27"/>
      <c r="AN330" s="27"/>
      <c r="AO330" s="27"/>
      <c r="AP330" s="27"/>
      <c r="AQ330" s="27"/>
      <c r="AR330" s="27"/>
      <c r="AS330" s="27"/>
      <c r="AT330" s="27"/>
      <c r="AU330" s="27"/>
      <c r="AV330" s="27"/>
      <c r="AW330" s="27"/>
      <c r="AX330" s="27"/>
      <c r="AY330" s="27"/>
      <c r="AZ330" s="27"/>
      <c r="BA330" s="27"/>
      <c r="BB330" s="27"/>
      <c r="BC330" s="27"/>
      <c r="BD330" s="27"/>
      <c r="BE330" s="27"/>
      <c r="BF330" s="27"/>
      <c r="BG330" s="27"/>
      <c r="BH330" s="27"/>
      <c r="BI330" s="27"/>
      <c r="BJ330" s="27"/>
      <c r="BK330" s="27"/>
    </row>
    <row r="331" spans="20:63" s="9" customFormat="1">
      <c r="T331" s="56"/>
      <c r="U331" s="56"/>
      <c r="V331" s="111"/>
      <c r="W331" s="121"/>
      <c r="Y331" s="56"/>
      <c r="AD331" s="56"/>
      <c r="AE331" s="56"/>
      <c r="AG331" s="35"/>
      <c r="AH331" s="27"/>
      <c r="AI331" s="27"/>
      <c r="AJ331" s="27"/>
      <c r="AK331" s="27"/>
      <c r="AL331" s="27"/>
      <c r="AM331" s="27"/>
      <c r="AN331" s="27"/>
      <c r="AO331" s="27"/>
      <c r="AP331" s="27"/>
      <c r="AQ331" s="27"/>
      <c r="AR331" s="27"/>
      <c r="AS331" s="27"/>
      <c r="AT331" s="27"/>
      <c r="AU331" s="27"/>
      <c r="AV331" s="27"/>
      <c r="AW331" s="27"/>
      <c r="AX331" s="27"/>
      <c r="AY331" s="27"/>
      <c r="AZ331" s="27"/>
      <c r="BA331" s="27"/>
      <c r="BB331" s="27"/>
      <c r="BC331" s="27"/>
      <c r="BD331" s="27"/>
      <c r="BE331" s="27"/>
      <c r="BF331" s="27"/>
      <c r="BG331" s="27"/>
      <c r="BH331" s="27"/>
      <c r="BI331" s="27"/>
      <c r="BJ331" s="27"/>
      <c r="BK331" s="27"/>
    </row>
    <row r="332" spans="20:63" s="9" customFormat="1">
      <c r="T332" s="56"/>
      <c r="U332" s="56"/>
      <c r="V332" s="111"/>
      <c r="W332" s="121"/>
      <c r="Y332" s="56"/>
      <c r="AD332" s="56"/>
      <c r="AE332" s="56"/>
      <c r="AG332" s="35"/>
      <c r="AH332" s="27"/>
      <c r="AI332" s="27"/>
      <c r="AJ332" s="27"/>
      <c r="AK332" s="27"/>
      <c r="AL332" s="27"/>
      <c r="AM332" s="27"/>
      <c r="AN332" s="27"/>
      <c r="AO332" s="27"/>
      <c r="AP332" s="27"/>
      <c r="AQ332" s="27"/>
      <c r="AR332" s="27"/>
      <c r="AS332" s="27"/>
      <c r="AT332" s="27"/>
      <c r="AU332" s="27"/>
      <c r="AV332" s="27"/>
      <c r="AW332" s="27"/>
      <c r="AX332" s="27"/>
      <c r="AY332" s="27"/>
      <c r="AZ332" s="27"/>
      <c r="BA332" s="27"/>
      <c r="BB332" s="27"/>
      <c r="BC332" s="27"/>
      <c r="BD332" s="27"/>
      <c r="BE332" s="27"/>
      <c r="BF332" s="27"/>
      <c r="BG332" s="27"/>
      <c r="BH332" s="27"/>
      <c r="BI332" s="27"/>
      <c r="BJ332" s="27"/>
      <c r="BK332" s="27"/>
    </row>
    <row r="333" spans="20:63" s="9" customFormat="1">
      <c r="T333" s="56"/>
      <c r="U333" s="56"/>
      <c r="V333" s="111"/>
      <c r="W333" s="121"/>
      <c r="Y333" s="56"/>
      <c r="AD333" s="56"/>
      <c r="AE333" s="56"/>
      <c r="AG333" s="35"/>
      <c r="AH333" s="27"/>
      <c r="AI333" s="27"/>
      <c r="AJ333" s="27"/>
      <c r="AK333" s="27"/>
      <c r="AL333" s="27"/>
      <c r="AM333" s="27"/>
      <c r="AN333" s="27"/>
      <c r="AO333" s="27"/>
      <c r="AP333" s="27"/>
      <c r="AQ333" s="27"/>
      <c r="AR333" s="27"/>
      <c r="AS333" s="27"/>
      <c r="AT333" s="27"/>
      <c r="AU333" s="27"/>
      <c r="AV333" s="27"/>
      <c r="AW333" s="27"/>
      <c r="AX333" s="27"/>
      <c r="AY333" s="27"/>
      <c r="AZ333" s="27"/>
      <c r="BA333" s="27"/>
      <c r="BB333" s="27"/>
      <c r="BC333" s="27"/>
      <c r="BD333" s="27"/>
      <c r="BE333" s="27"/>
      <c r="BF333" s="27"/>
      <c r="BG333" s="27"/>
      <c r="BH333" s="27"/>
      <c r="BI333" s="27"/>
      <c r="BJ333" s="27"/>
      <c r="BK333" s="27"/>
    </row>
    <row r="334" spans="20:63" s="9" customFormat="1">
      <c r="T334" s="56"/>
      <c r="U334" s="56"/>
      <c r="V334" s="111"/>
      <c r="W334" s="121"/>
      <c r="Y334" s="56"/>
      <c r="AD334" s="56"/>
      <c r="AE334" s="56"/>
      <c r="AG334" s="35"/>
      <c r="AH334" s="27"/>
      <c r="AI334" s="27"/>
      <c r="AJ334" s="27"/>
      <c r="AK334" s="27"/>
      <c r="AL334" s="27"/>
      <c r="AM334" s="27"/>
      <c r="AN334" s="27"/>
      <c r="AO334" s="27"/>
      <c r="AP334" s="27"/>
      <c r="AQ334" s="27"/>
      <c r="AR334" s="27"/>
      <c r="AS334" s="27"/>
      <c r="AT334" s="27"/>
      <c r="AU334" s="27"/>
      <c r="AV334" s="27"/>
      <c r="AW334" s="27"/>
      <c r="AX334" s="27"/>
      <c r="AY334" s="27"/>
      <c r="AZ334" s="27"/>
      <c r="BA334" s="27"/>
      <c r="BB334" s="27"/>
      <c r="BC334" s="27"/>
      <c r="BD334" s="27"/>
      <c r="BE334" s="27"/>
      <c r="BF334" s="27"/>
      <c r="BG334" s="27"/>
      <c r="BH334" s="27"/>
      <c r="BI334" s="27"/>
      <c r="BJ334" s="27"/>
      <c r="BK334" s="27"/>
    </row>
    <row r="335" spans="20:63" s="9" customFormat="1">
      <c r="T335" s="56"/>
      <c r="U335" s="56"/>
      <c r="V335" s="111"/>
      <c r="W335" s="121"/>
      <c r="Y335" s="56"/>
      <c r="AD335" s="56"/>
      <c r="AE335" s="56"/>
      <c r="AG335" s="35"/>
      <c r="AH335" s="27"/>
      <c r="AI335" s="27"/>
      <c r="AJ335" s="27"/>
      <c r="AK335" s="27"/>
      <c r="AL335" s="27"/>
      <c r="AM335" s="27"/>
      <c r="AN335" s="27"/>
      <c r="AO335" s="27"/>
      <c r="AP335" s="27"/>
      <c r="AQ335" s="27"/>
      <c r="AR335" s="27"/>
      <c r="AS335" s="27"/>
      <c r="AT335" s="27"/>
      <c r="AU335" s="27"/>
      <c r="AV335" s="27"/>
      <c r="AW335" s="27"/>
      <c r="AX335" s="27"/>
      <c r="AY335" s="27"/>
      <c r="AZ335" s="27"/>
      <c r="BA335" s="27"/>
      <c r="BB335" s="27"/>
      <c r="BC335" s="27"/>
      <c r="BD335" s="27"/>
      <c r="BE335" s="27"/>
      <c r="BF335" s="27"/>
      <c r="BG335" s="27"/>
      <c r="BH335" s="27"/>
      <c r="BI335" s="27"/>
      <c r="BJ335" s="27"/>
      <c r="BK335" s="27"/>
    </row>
    <row r="336" spans="20:63" s="9" customFormat="1">
      <c r="T336" s="56"/>
      <c r="U336" s="56"/>
      <c r="V336" s="111"/>
      <c r="W336" s="121"/>
      <c r="Y336" s="56"/>
      <c r="AD336" s="56"/>
      <c r="AE336" s="56"/>
      <c r="AG336" s="35"/>
      <c r="AH336" s="27"/>
      <c r="AI336" s="27"/>
      <c r="AJ336" s="27"/>
      <c r="AK336" s="27"/>
      <c r="AL336" s="27"/>
      <c r="AM336" s="27"/>
      <c r="AN336" s="27"/>
      <c r="AO336" s="27"/>
      <c r="AP336" s="27"/>
      <c r="AQ336" s="27"/>
      <c r="AR336" s="27"/>
      <c r="AS336" s="27"/>
      <c r="AT336" s="27"/>
      <c r="AU336" s="27"/>
      <c r="AV336" s="27"/>
      <c r="AW336" s="27"/>
      <c r="AX336" s="27"/>
      <c r="AY336" s="27"/>
      <c r="AZ336" s="27"/>
      <c r="BA336" s="27"/>
      <c r="BB336" s="27"/>
      <c r="BC336" s="27"/>
      <c r="BD336" s="27"/>
      <c r="BE336" s="27"/>
      <c r="BF336" s="27"/>
      <c r="BG336" s="27"/>
      <c r="BH336" s="27"/>
      <c r="BI336" s="27"/>
      <c r="BJ336" s="27"/>
      <c r="BK336" s="27"/>
    </row>
    <row r="337" spans="20:63" s="9" customFormat="1">
      <c r="T337" s="56"/>
      <c r="U337" s="56"/>
      <c r="V337" s="111"/>
      <c r="W337" s="121"/>
      <c r="Y337" s="56"/>
      <c r="AD337" s="56"/>
      <c r="AE337" s="56"/>
      <c r="AG337" s="35"/>
      <c r="AH337" s="27"/>
      <c r="AI337" s="27"/>
      <c r="AJ337" s="27"/>
      <c r="AK337" s="27"/>
      <c r="AL337" s="27"/>
      <c r="AM337" s="27"/>
      <c r="AN337" s="27"/>
      <c r="AO337" s="27"/>
      <c r="AP337" s="27"/>
      <c r="AQ337" s="27"/>
      <c r="AR337" s="27"/>
      <c r="AS337" s="27"/>
      <c r="AT337" s="27"/>
      <c r="AU337" s="27"/>
      <c r="AV337" s="27"/>
      <c r="AW337" s="27"/>
      <c r="AX337" s="27"/>
      <c r="AY337" s="27"/>
      <c r="AZ337" s="27"/>
      <c r="BA337" s="27"/>
      <c r="BB337" s="27"/>
      <c r="BC337" s="27"/>
      <c r="BD337" s="27"/>
      <c r="BE337" s="27"/>
      <c r="BF337" s="27"/>
      <c r="BG337" s="27"/>
      <c r="BH337" s="27"/>
      <c r="BI337" s="27"/>
      <c r="BJ337" s="27"/>
      <c r="BK337" s="27"/>
    </row>
    <row r="338" spans="20:63" s="9" customFormat="1">
      <c r="T338" s="56"/>
      <c r="U338" s="56"/>
      <c r="V338" s="111"/>
      <c r="W338" s="121"/>
      <c r="Y338" s="56"/>
      <c r="AD338" s="56"/>
      <c r="AE338" s="56"/>
      <c r="AG338" s="35"/>
      <c r="AH338" s="27"/>
      <c r="AI338" s="27"/>
      <c r="AJ338" s="27"/>
      <c r="AK338" s="27"/>
      <c r="AL338" s="27"/>
      <c r="AM338" s="27"/>
      <c r="AN338" s="27"/>
      <c r="AO338" s="27"/>
      <c r="AP338" s="27"/>
      <c r="AQ338" s="27"/>
      <c r="AR338" s="27"/>
      <c r="AS338" s="27"/>
      <c r="AT338" s="27"/>
      <c r="AU338" s="27"/>
      <c r="AV338" s="27"/>
      <c r="AW338" s="27"/>
      <c r="AX338" s="27"/>
      <c r="AY338" s="27"/>
      <c r="AZ338" s="27"/>
      <c r="BA338" s="27"/>
      <c r="BB338" s="27"/>
      <c r="BC338" s="27"/>
      <c r="BD338" s="27"/>
      <c r="BE338" s="27"/>
      <c r="BF338" s="27"/>
      <c r="BG338" s="27"/>
      <c r="BH338" s="27"/>
      <c r="BI338" s="27"/>
      <c r="BJ338" s="27"/>
      <c r="BK338" s="27"/>
    </row>
    <row r="339" spans="20:63" s="9" customFormat="1">
      <c r="T339" s="56"/>
      <c r="U339" s="56"/>
      <c r="V339" s="111"/>
      <c r="W339" s="121"/>
      <c r="Y339" s="56"/>
      <c r="AD339" s="56"/>
      <c r="AE339" s="56"/>
      <c r="AG339" s="35"/>
      <c r="AH339" s="27"/>
      <c r="AI339" s="27"/>
      <c r="AJ339" s="27"/>
      <c r="AK339" s="27"/>
      <c r="AL339" s="27"/>
      <c r="AM339" s="27"/>
      <c r="AN339" s="27"/>
      <c r="AO339" s="27"/>
      <c r="AP339" s="27"/>
      <c r="AQ339" s="27"/>
      <c r="AR339" s="27"/>
      <c r="AS339" s="27"/>
      <c r="AT339" s="27"/>
      <c r="AU339" s="27"/>
      <c r="AV339" s="27"/>
      <c r="AW339" s="27"/>
      <c r="AX339" s="27"/>
      <c r="AY339" s="27"/>
      <c r="AZ339" s="27"/>
      <c r="BA339" s="27"/>
      <c r="BB339" s="27"/>
      <c r="BC339" s="27"/>
      <c r="BD339" s="27"/>
      <c r="BE339" s="27"/>
      <c r="BF339" s="27"/>
      <c r="BG339" s="27"/>
      <c r="BH339" s="27"/>
      <c r="BI339" s="27"/>
      <c r="BJ339" s="27"/>
      <c r="BK339" s="27"/>
    </row>
    <row r="340" spans="20:63" s="9" customFormat="1">
      <c r="T340" s="56"/>
      <c r="U340" s="56"/>
      <c r="V340" s="111"/>
      <c r="W340" s="121"/>
      <c r="Y340" s="56"/>
      <c r="AD340" s="56"/>
      <c r="AE340" s="56"/>
      <c r="AG340" s="35"/>
      <c r="AH340" s="27"/>
      <c r="AI340" s="27"/>
      <c r="AJ340" s="27"/>
      <c r="AK340" s="27"/>
      <c r="AL340" s="27"/>
      <c r="AM340" s="27"/>
      <c r="AN340" s="27"/>
      <c r="AO340" s="27"/>
      <c r="AP340" s="27"/>
      <c r="AQ340" s="27"/>
      <c r="AR340" s="27"/>
      <c r="AS340" s="27"/>
      <c r="AT340" s="27"/>
      <c r="AU340" s="27"/>
      <c r="AV340" s="27"/>
      <c r="AW340" s="27"/>
      <c r="AX340" s="27"/>
      <c r="AY340" s="27"/>
      <c r="AZ340" s="27"/>
      <c r="BA340" s="27"/>
      <c r="BB340" s="27"/>
      <c r="BC340" s="27"/>
      <c r="BD340" s="27"/>
      <c r="BE340" s="27"/>
      <c r="BF340" s="27"/>
      <c r="BG340" s="27"/>
      <c r="BH340" s="27"/>
      <c r="BI340" s="27"/>
      <c r="BJ340" s="27"/>
      <c r="BK340" s="27"/>
    </row>
    <row r="341" spans="20:63" s="9" customFormat="1">
      <c r="T341" s="56"/>
      <c r="U341" s="56"/>
      <c r="V341" s="111"/>
      <c r="W341" s="121"/>
      <c r="Y341" s="56"/>
      <c r="AD341" s="56"/>
      <c r="AE341" s="56"/>
      <c r="AG341" s="35"/>
      <c r="AH341" s="27"/>
      <c r="AI341" s="27"/>
      <c r="AJ341" s="27"/>
      <c r="AK341" s="27"/>
      <c r="AL341" s="27"/>
      <c r="AM341" s="27"/>
      <c r="AN341" s="27"/>
      <c r="AO341" s="27"/>
      <c r="AP341" s="27"/>
      <c r="AQ341" s="27"/>
      <c r="AR341" s="27"/>
      <c r="AS341" s="27"/>
      <c r="AT341" s="27"/>
      <c r="AU341" s="27"/>
      <c r="AV341" s="27"/>
      <c r="AW341" s="27"/>
      <c r="AX341" s="27"/>
      <c r="AY341" s="27"/>
      <c r="AZ341" s="27"/>
      <c r="BA341" s="27"/>
      <c r="BB341" s="27"/>
      <c r="BC341" s="27"/>
      <c r="BD341" s="27"/>
      <c r="BE341" s="27"/>
      <c r="BF341" s="27"/>
      <c r="BG341" s="27"/>
      <c r="BH341" s="27"/>
      <c r="BI341" s="27"/>
      <c r="BJ341" s="27"/>
      <c r="BK341" s="27"/>
    </row>
    <row r="342" spans="20:63" s="9" customFormat="1">
      <c r="T342" s="56"/>
      <c r="U342" s="56"/>
      <c r="V342" s="111"/>
      <c r="W342" s="121"/>
      <c r="Y342" s="56"/>
      <c r="AD342" s="56"/>
      <c r="AE342" s="56"/>
      <c r="AG342" s="35"/>
      <c r="AH342" s="27"/>
      <c r="AI342" s="27"/>
      <c r="AJ342" s="27"/>
      <c r="AK342" s="27"/>
      <c r="AL342" s="27"/>
      <c r="AM342" s="27"/>
      <c r="AN342" s="27"/>
      <c r="AO342" s="27"/>
      <c r="AP342" s="27"/>
      <c r="AQ342" s="27"/>
      <c r="AR342" s="27"/>
      <c r="AS342" s="27"/>
      <c r="AT342" s="27"/>
      <c r="AU342" s="27"/>
      <c r="AV342" s="27"/>
      <c r="AW342" s="27"/>
      <c r="AX342" s="27"/>
      <c r="AY342" s="27"/>
      <c r="AZ342" s="27"/>
      <c r="BA342" s="27"/>
      <c r="BB342" s="27"/>
      <c r="BC342" s="27"/>
      <c r="BD342" s="27"/>
      <c r="BE342" s="27"/>
      <c r="BF342" s="27"/>
      <c r="BG342" s="27"/>
      <c r="BH342" s="27"/>
      <c r="BI342" s="27"/>
      <c r="BJ342" s="27"/>
      <c r="BK342" s="27"/>
    </row>
    <row r="343" spans="20:63" s="9" customFormat="1">
      <c r="T343" s="56"/>
      <c r="U343" s="56"/>
      <c r="V343" s="111"/>
      <c r="W343" s="121"/>
      <c r="Y343" s="56"/>
      <c r="AD343" s="56"/>
      <c r="AE343" s="56"/>
      <c r="AG343" s="35"/>
      <c r="AH343" s="27"/>
      <c r="AI343" s="27"/>
      <c r="AJ343" s="27"/>
      <c r="AK343" s="27"/>
      <c r="AL343" s="27"/>
      <c r="AM343" s="27"/>
      <c r="AN343" s="27"/>
      <c r="AO343" s="27"/>
      <c r="AP343" s="27"/>
      <c r="AQ343" s="27"/>
      <c r="AR343" s="27"/>
      <c r="AS343" s="27"/>
      <c r="AT343" s="27"/>
      <c r="AU343" s="27"/>
      <c r="AV343" s="27"/>
      <c r="AW343" s="27"/>
      <c r="AX343" s="27"/>
      <c r="AY343" s="27"/>
      <c r="AZ343" s="27"/>
      <c r="BA343" s="27"/>
      <c r="BB343" s="27"/>
      <c r="BC343" s="27"/>
      <c r="BD343" s="27"/>
      <c r="BE343" s="27"/>
      <c r="BF343" s="27"/>
      <c r="BG343" s="27"/>
      <c r="BH343" s="27"/>
      <c r="BI343" s="27"/>
      <c r="BJ343" s="27"/>
      <c r="BK343" s="27"/>
    </row>
    <row r="344" spans="20:63" s="9" customFormat="1">
      <c r="T344" s="56"/>
      <c r="U344" s="56"/>
      <c r="V344" s="111"/>
      <c r="W344" s="121"/>
      <c r="Y344" s="56"/>
      <c r="AD344" s="56"/>
      <c r="AE344" s="56"/>
      <c r="AG344" s="35"/>
      <c r="AH344" s="27"/>
      <c r="AI344" s="27"/>
      <c r="AJ344" s="27"/>
      <c r="AK344" s="27"/>
      <c r="AL344" s="27"/>
      <c r="AM344" s="27"/>
      <c r="AN344" s="27"/>
      <c r="AO344" s="27"/>
      <c r="AP344" s="27"/>
      <c r="AQ344" s="27"/>
      <c r="AR344" s="27"/>
      <c r="AS344" s="27"/>
      <c r="AT344" s="27"/>
      <c r="AU344" s="27"/>
      <c r="AV344" s="27"/>
      <c r="AW344" s="27"/>
      <c r="AX344" s="27"/>
      <c r="AY344" s="27"/>
      <c r="AZ344" s="27"/>
      <c r="BA344" s="27"/>
      <c r="BB344" s="27"/>
      <c r="BC344" s="27"/>
      <c r="BD344" s="27"/>
      <c r="BE344" s="27"/>
      <c r="BF344" s="27"/>
      <c r="BG344" s="27"/>
      <c r="BH344" s="27"/>
      <c r="BI344" s="27"/>
      <c r="BJ344" s="27"/>
      <c r="BK344" s="27"/>
    </row>
    <row r="345" spans="20:63" s="9" customFormat="1">
      <c r="T345" s="56"/>
      <c r="U345" s="56"/>
      <c r="V345" s="111"/>
      <c r="W345" s="121"/>
      <c r="Y345" s="56"/>
      <c r="AD345" s="56"/>
      <c r="AE345" s="56"/>
      <c r="AG345" s="35"/>
      <c r="AH345" s="27"/>
      <c r="AI345" s="27"/>
      <c r="AJ345" s="27"/>
      <c r="AK345" s="27"/>
      <c r="AL345" s="27"/>
      <c r="AM345" s="27"/>
      <c r="AN345" s="27"/>
      <c r="AO345" s="27"/>
      <c r="AP345" s="27"/>
      <c r="AQ345" s="27"/>
      <c r="AR345" s="27"/>
      <c r="AS345" s="27"/>
      <c r="AT345" s="27"/>
      <c r="AU345" s="27"/>
      <c r="AV345" s="27"/>
      <c r="AW345" s="27"/>
      <c r="AX345" s="27"/>
      <c r="AY345" s="27"/>
      <c r="AZ345" s="27"/>
      <c r="BA345" s="27"/>
      <c r="BB345" s="27"/>
      <c r="BC345" s="27"/>
      <c r="BD345" s="27"/>
      <c r="BE345" s="27"/>
      <c r="BF345" s="27"/>
      <c r="BG345" s="27"/>
      <c r="BH345" s="27"/>
      <c r="BI345" s="27"/>
      <c r="BJ345" s="27"/>
      <c r="BK345" s="27"/>
    </row>
    <row r="346" spans="20:63" s="9" customFormat="1">
      <c r="T346" s="56"/>
      <c r="U346" s="56"/>
      <c r="V346" s="111"/>
      <c r="W346" s="121"/>
      <c r="Y346" s="56"/>
      <c r="AD346" s="56"/>
      <c r="AE346" s="56"/>
      <c r="AG346" s="35"/>
      <c r="AH346" s="27"/>
      <c r="AI346" s="27"/>
      <c r="AJ346" s="27"/>
      <c r="AK346" s="27"/>
      <c r="AL346" s="27"/>
      <c r="AM346" s="27"/>
      <c r="AN346" s="27"/>
      <c r="AO346" s="27"/>
      <c r="AP346" s="27"/>
      <c r="AQ346" s="27"/>
      <c r="AR346" s="27"/>
      <c r="AS346" s="27"/>
      <c r="AT346" s="27"/>
      <c r="AU346" s="27"/>
      <c r="AV346" s="27"/>
      <c r="AW346" s="27"/>
      <c r="AX346" s="27"/>
      <c r="AY346" s="27"/>
      <c r="AZ346" s="27"/>
      <c r="BA346" s="27"/>
      <c r="BB346" s="27"/>
      <c r="BC346" s="27"/>
      <c r="BD346" s="27"/>
      <c r="BE346" s="27"/>
      <c r="BF346" s="27"/>
      <c r="BG346" s="27"/>
      <c r="BH346" s="27"/>
      <c r="BI346" s="27"/>
      <c r="BJ346" s="27"/>
      <c r="BK346" s="27"/>
    </row>
    <row r="347" spans="20:63" s="9" customFormat="1">
      <c r="T347" s="56"/>
      <c r="U347" s="56"/>
      <c r="V347" s="111"/>
      <c r="W347" s="121"/>
      <c r="Y347" s="56"/>
      <c r="AD347" s="56"/>
      <c r="AE347" s="56"/>
      <c r="AG347" s="35"/>
      <c r="AH347" s="27"/>
      <c r="AI347" s="27"/>
      <c r="AJ347" s="27"/>
      <c r="AK347" s="27"/>
      <c r="AL347" s="27"/>
      <c r="AM347" s="27"/>
      <c r="AN347" s="27"/>
      <c r="AO347" s="27"/>
      <c r="AP347" s="27"/>
      <c r="AQ347" s="27"/>
      <c r="AR347" s="27"/>
      <c r="AS347" s="27"/>
      <c r="AT347" s="27"/>
      <c r="AU347" s="27"/>
      <c r="AV347" s="27"/>
      <c r="AW347" s="27"/>
      <c r="AX347" s="27"/>
      <c r="AY347" s="27"/>
      <c r="AZ347" s="27"/>
      <c r="BA347" s="27"/>
      <c r="BB347" s="27"/>
      <c r="BC347" s="27"/>
      <c r="BD347" s="27"/>
      <c r="BE347" s="27"/>
      <c r="BF347" s="27"/>
      <c r="BG347" s="27"/>
      <c r="BH347" s="27"/>
      <c r="BI347" s="27"/>
      <c r="BJ347" s="27"/>
      <c r="BK347" s="27"/>
    </row>
    <row r="348" spans="20:63" s="9" customFormat="1">
      <c r="T348" s="56"/>
      <c r="U348" s="56"/>
      <c r="V348" s="111"/>
      <c r="W348" s="121"/>
      <c r="Y348" s="56"/>
      <c r="AD348" s="56"/>
      <c r="AE348" s="56"/>
      <c r="AG348" s="35"/>
      <c r="AH348" s="27"/>
      <c r="AI348" s="27"/>
      <c r="AJ348" s="27"/>
      <c r="AK348" s="27"/>
      <c r="AL348" s="27"/>
      <c r="AM348" s="27"/>
      <c r="AN348" s="27"/>
      <c r="AO348" s="27"/>
      <c r="AP348" s="27"/>
      <c r="AQ348" s="27"/>
      <c r="AR348" s="27"/>
      <c r="AS348" s="27"/>
      <c r="AT348" s="27"/>
      <c r="AU348" s="27"/>
      <c r="AV348" s="27"/>
      <c r="AW348" s="27"/>
      <c r="AX348" s="27"/>
      <c r="AY348" s="27"/>
      <c r="AZ348" s="27"/>
      <c r="BA348" s="27"/>
      <c r="BB348" s="27"/>
      <c r="BC348" s="27"/>
      <c r="BD348" s="27"/>
      <c r="BE348" s="27"/>
      <c r="BF348" s="27"/>
      <c r="BG348" s="27"/>
      <c r="BH348" s="27"/>
      <c r="BI348" s="27"/>
      <c r="BJ348" s="27"/>
      <c r="BK348" s="27"/>
    </row>
    <row r="349" spans="20:63" s="9" customFormat="1">
      <c r="T349" s="56"/>
      <c r="U349" s="56"/>
      <c r="V349" s="111"/>
      <c r="W349" s="121"/>
      <c r="Y349" s="56"/>
      <c r="AD349" s="56"/>
      <c r="AE349" s="56"/>
      <c r="AG349" s="35"/>
      <c r="AH349" s="27"/>
      <c r="AI349" s="27"/>
      <c r="AJ349" s="27"/>
      <c r="AK349" s="27"/>
      <c r="AL349" s="27"/>
      <c r="AM349" s="27"/>
      <c r="AN349" s="27"/>
      <c r="AO349" s="27"/>
      <c r="AP349" s="27"/>
      <c r="AQ349" s="27"/>
      <c r="AR349" s="27"/>
      <c r="AS349" s="27"/>
      <c r="AT349" s="27"/>
      <c r="AU349" s="27"/>
      <c r="AV349" s="27"/>
      <c r="AW349" s="27"/>
      <c r="AX349" s="27"/>
      <c r="AY349" s="27"/>
      <c r="AZ349" s="27"/>
      <c r="BA349" s="27"/>
      <c r="BB349" s="27"/>
      <c r="BC349" s="27"/>
      <c r="BD349" s="27"/>
      <c r="BE349" s="27"/>
      <c r="BF349" s="27"/>
      <c r="BG349" s="27"/>
      <c r="BH349" s="27"/>
      <c r="BI349" s="27"/>
      <c r="BJ349" s="27"/>
      <c r="BK349" s="27"/>
    </row>
    <row r="350" spans="20:63" s="9" customFormat="1">
      <c r="T350" s="56"/>
      <c r="U350" s="56"/>
      <c r="V350" s="111"/>
      <c r="W350" s="121"/>
      <c r="Y350" s="56"/>
      <c r="AD350" s="56"/>
      <c r="AE350" s="56"/>
      <c r="AG350" s="35"/>
      <c r="AH350" s="27"/>
      <c r="AI350" s="27"/>
      <c r="AJ350" s="27"/>
      <c r="AK350" s="27"/>
      <c r="AL350" s="27"/>
      <c r="AM350" s="27"/>
      <c r="AN350" s="27"/>
      <c r="AO350" s="27"/>
      <c r="AP350" s="27"/>
      <c r="AQ350" s="27"/>
      <c r="AR350" s="27"/>
      <c r="AS350" s="27"/>
      <c r="AT350" s="27"/>
      <c r="AU350" s="27"/>
      <c r="AV350" s="27"/>
      <c r="AW350" s="27"/>
      <c r="AX350" s="27"/>
      <c r="AY350" s="27"/>
      <c r="AZ350" s="27"/>
      <c r="BA350" s="27"/>
      <c r="BB350" s="27"/>
      <c r="BC350" s="27"/>
      <c r="BD350" s="27"/>
      <c r="BE350" s="27"/>
      <c r="BF350" s="27"/>
      <c r="BG350" s="27"/>
      <c r="BH350" s="27"/>
      <c r="BI350" s="27"/>
      <c r="BJ350" s="27"/>
      <c r="BK350" s="27"/>
    </row>
    <row r="351" spans="20:63" s="9" customFormat="1">
      <c r="T351" s="56"/>
      <c r="U351" s="56"/>
      <c r="V351" s="111"/>
      <c r="W351" s="121"/>
      <c r="Y351" s="56"/>
      <c r="AD351" s="56"/>
      <c r="AE351" s="56"/>
      <c r="AG351" s="35"/>
      <c r="AH351" s="27"/>
      <c r="AI351" s="27"/>
      <c r="AJ351" s="27"/>
      <c r="AK351" s="27"/>
      <c r="AL351" s="27"/>
      <c r="AM351" s="27"/>
      <c r="AN351" s="27"/>
      <c r="AO351" s="27"/>
      <c r="AP351" s="27"/>
      <c r="AQ351" s="27"/>
      <c r="AR351" s="27"/>
      <c r="AS351" s="27"/>
      <c r="AT351" s="27"/>
      <c r="AU351" s="27"/>
      <c r="AV351" s="27"/>
      <c r="AW351" s="27"/>
      <c r="AX351" s="27"/>
      <c r="AY351" s="27"/>
      <c r="AZ351" s="27"/>
      <c r="BA351" s="27"/>
      <c r="BB351" s="27"/>
      <c r="BC351" s="27"/>
      <c r="BD351" s="27"/>
      <c r="BE351" s="27"/>
      <c r="BF351" s="27"/>
      <c r="BG351" s="27"/>
      <c r="BH351" s="27"/>
      <c r="BI351" s="27"/>
      <c r="BJ351" s="27"/>
      <c r="BK351" s="27"/>
    </row>
    <row r="352" spans="20:63" s="9" customFormat="1">
      <c r="T352" s="56"/>
      <c r="U352" s="56"/>
      <c r="V352" s="111"/>
      <c r="W352" s="121"/>
      <c r="Y352" s="56"/>
      <c r="AD352" s="56"/>
      <c r="AE352" s="56"/>
      <c r="AG352" s="35"/>
      <c r="AH352" s="27"/>
      <c r="AI352" s="27"/>
      <c r="AJ352" s="27"/>
      <c r="AK352" s="27"/>
      <c r="AL352" s="27"/>
      <c r="AM352" s="27"/>
      <c r="AN352" s="27"/>
      <c r="AO352" s="27"/>
      <c r="AP352" s="27"/>
      <c r="AQ352" s="27"/>
      <c r="AR352" s="27"/>
      <c r="AS352" s="27"/>
      <c r="AT352" s="27"/>
      <c r="AU352" s="27"/>
      <c r="AV352" s="27"/>
      <c r="AW352" s="27"/>
      <c r="AX352" s="27"/>
      <c r="AY352" s="27"/>
      <c r="AZ352" s="27"/>
      <c r="BA352" s="27"/>
      <c r="BB352" s="27"/>
      <c r="BC352" s="27"/>
      <c r="BD352" s="27"/>
      <c r="BE352" s="27"/>
      <c r="BF352" s="27"/>
      <c r="BG352" s="27"/>
      <c r="BH352" s="27"/>
      <c r="BI352" s="27"/>
      <c r="BJ352" s="27"/>
      <c r="BK352" s="27"/>
    </row>
    <row r="353" spans="20:63" s="9" customFormat="1">
      <c r="T353" s="56"/>
      <c r="U353" s="56"/>
      <c r="V353" s="111"/>
      <c r="W353" s="121"/>
      <c r="Y353" s="56"/>
      <c r="AD353" s="56"/>
      <c r="AE353" s="56"/>
      <c r="AG353" s="35"/>
      <c r="AH353" s="27"/>
      <c r="AI353" s="27"/>
      <c r="AJ353" s="27"/>
      <c r="AK353" s="27"/>
      <c r="AL353" s="27"/>
      <c r="AM353" s="27"/>
      <c r="AN353" s="27"/>
      <c r="AO353" s="27"/>
      <c r="AP353" s="27"/>
      <c r="AQ353" s="27"/>
      <c r="AR353" s="27"/>
      <c r="AS353" s="27"/>
      <c r="AT353" s="27"/>
      <c r="AU353" s="27"/>
      <c r="AV353" s="27"/>
      <c r="AW353" s="27"/>
      <c r="AX353" s="27"/>
      <c r="AY353" s="27"/>
      <c r="AZ353" s="27"/>
      <c r="BA353" s="27"/>
      <c r="BB353" s="27"/>
      <c r="BC353" s="27"/>
      <c r="BD353" s="27"/>
      <c r="BE353" s="27"/>
      <c r="BF353" s="27"/>
      <c r="BG353" s="27"/>
      <c r="BH353" s="27"/>
      <c r="BI353" s="27"/>
      <c r="BJ353" s="27"/>
      <c r="BK353" s="27"/>
    </row>
    <row r="354" spans="20:63" s="9" customFormat="1">
      <c r="T354" s="56"/>
      <c r="U354" s="56"/>
      <c r="V354" s="111"/>
      <c r="W354" s="121"/>
      <c r="Y354" s="56"/>
      <c r="AD354" s="56"/>
      <c r="AE354" s="56"/>
      <c r="AG354" s="35"/>
      <c r="AH354" s="27"/>
      <c r="AI354" s="27"/>
      <c r="AJ354" s="27"/>
      <c r="AK354" s="27"/>
      <c r="AL354" s="27"/>
      <c r="AM354" s="27"/>
      <c r="AN354" s="27"/>
      <c r="AO354" s="27"/>
      <c r="AP354" s="27"/>
      <c r="AQ354" s="27"/>
      <c r="AR354" s="27"/>
      <c r="AS354" s="27"/>
      <c r="AT354" s="27"/>
      <c r="AU354" s="27"/>
      <c r="AV354" s="27"/>
      <c r="AW354" s="27"/>
      <c r="AX354" s="27"/>
      <c r="AY354" s="27"/>
      <c r="AZ354" s="27"/>
      <c r="BA354" s="27"/>
      <c r="BB354" s="27"/>
      <c r="BC354" s="27"/>
      <c r="BD354" s="27"/>
      <c r="BE354" s="27"/>
      <c r="BF354" s="27"/>
      <c r="BG354" s="27"/>
      <c r="BH354" s="27"/>
      <c r="BI354" s="27"/>
      <c r="BJ354" s="27"/>
      <c r="BK354" s="27"/>
    </row>
    <row r="355" spans="20:63" s="9" customFormat="1">
      <c r="T355" s="56"/>
      <c r="U355" s="56"/>
      <c r="V355" s="111"/>
      <c r="W355" s="121"/>
      <c r="Y355" s="56"/>
      <c r="AD355" s="56"/>
      <c r="AE355" s="56"/>
      <c r="AG355" s="35"/>
      <c r="AH355" s="27"/>
      <c r="AI355" s="27"/>
      <c r="AJ355" s="27"/>
      <c r="AK355" s="27"/>
      <c r="AL355" s="27"/>
      <c r="AM355" s="27"/>
      <c r="AN355" s="27"/>
      <c r="AO355" s="27"/>
      <c r="AP355" s="27"/>
      <c r="AQ355" s="27"/>
      <c r="AR355" s="27"/>
      <c r="AS355" s="27"/>
      <c r="AT355" s="27"/>
      <c r="AU355" s="27"/>
      <c r="AV355" s="27"/>
      <c r="AW355" s="27"/>
      <c r="AX355" s="27"/>
      <c r="AY355" s="27"/>
      <c r="AZ355" s="27"/>
      <c r="BA355" s="27"/>
      <c r="BB355" s="27"/>
      <c r="BC355" s="27"/>
      <c r="BD355" s="27"/>
      <c r="BE355" s="27"/>
      <c r="BF355" s="27"/>
      <c r="BG355" s="27"/>
      <c r="BH355" s="27"/>
      <c r="BI355" s="27"/>
      <c r="BJ355" s="27"/>
      <c r="BK355" s="27"/>
    </row>
    <row r="356" spans="20:63" s="9" customFormat="1">
      <c r="T356" s="56"/>
      <c r="U356" s="56"/>
      <c r="V356" s="111"/>
      <c r="W356" s="121"/>
      <c r="Y356" s="56"/>
      <c r="AD356" s="56"/>
      <c r="AE356" s="56"/>
      <c r="AG356" s="35"/>
      <c r="AH356" s="27"/>
      <c r="AI356" s="27"/>
      <c r="AJ356" s="27"/>
      <c r="AK356" s="27"/>
      <c r="AL356" s="27"/>
      <c r="AM356" s="27"/>
      <c r="AN356" s="27"/>
      <c r="AO356" s="27"/>
      <c r="AP356" s="27"/>
      <c r="AQ356" s="27"/>
      <c r="AR356" s="27"/>
      <c r="AS356" s="27"/>
      <c r="AT356" s="27"/>
      <c r="AU356" s="27"/>
      <c r="AV356" s="27"/>
      <c r="AW356" s="27"/>
      <c r="AX356" s="27"/>
      <c r="AY356" s="27"/>
      <c r="AZ356" s="27"/>
      <c r="BA356" s="27"/>
      <c r="BB356" s="27"/>
      <c r="BC356" s="27"/>
      <c r="BD356" s="27"/>
      <c r="BE356" s="27"/>
      <c r="BF356" s="27"/>
      <c r="BG356" s="27"/>
      <c r="BH356" s="27"/>
      <c r="BI356" s="27"/>
      <c r="BJ356" s="27"/>
      <c r="BK356" s="27"/>
    </row>
    <row r="357" spans="20:63" s="9" customFormat="1">
      <c r="T357" s="56"/>
      <c r="U357" s="56"/>
      <c r="V357" s="111"/>
      <c r="W357" s="121"/>
      <c r="Y357" s="56"/>
      <c r="AD357" s="56"/>
      <c r="AE357" s="56"/>
      <c r="AG357" s="35"/>
      <c r="AH357" s="27"/>
      <c r="AI357" s="27"/>
      <c r="AJ357" s="27"/>
      <c r="AK357" s="27"/>
      <c r="AL357" s="27"/>
      <c r="AM357" s="27"/>
      <c r="AN357" s="27"/>
      <c r="AO357" s="27"/>
      <c r="AP357" s="27"/>
      <c r="AQ357" s="27"/>
      <c r="AR357" s="27"/>
      <c r="AS357" s="27"/>
      <c r="AT357" s="27"/>
      <c r="AU357" s="27"/>
      <c r="AV357" s="27"/>
      <c r="AW357" s="27"/>
      <c r="AX357" s="27"/>
      <c r="AY357" s="27"/>
      <c r="AZ357" s="27"/>
      <c r="BA357" s="27"/>
      <c r="BB357" s="27"/>
      <c r="BC357" s="27"/>
      <c r="BD357" s="27"/>
      <c r="BE357" s="27"/>
      <c r="BF357" s="27"/>
      <c r="BG357" s="27"/>
      <c r="BH357" s="27"/>
      <c r="BI357" s="27"/>
      <c r="BJ357" s="27"/>
      <c r="BK357" s="27"/>
    </row>
    <row r="358" spans="20:63" s="9" customFormat="1">
      <c r="T358" s="56"/>
      <c r="U358" s="56"/>
      <c r="V358" s="111"/>
      <c r="W358" s="121"/>
      <c r="Y358" s="56"/>
      <c r="AD358" s="56"/>
      <c r="AE358" s="56"/>
      <c r="AG358" s="35"/>
      <c r="AH358" s="27"/>
      <c r="AI358" s="27"/>
      <c r="AJ358" s="27"/>
      <c r="AK358" s="27"/>
      <c r="AL358" s="27"/>
      <c r="AM358" s="27"/>
      <c r="AN358" s="27"/>
      <c r="AO358" s="27"/>
      <c r="AP358" s="27"/>
      <c r="AQ358" s="27"/>
      <c r="AR358" s="27"/>
      <c r="AS358" s="27"/>
      <c r="AT358" s="27"/>
      <c r="AU358" s="27"/>
      <c r="AV358" s="27"/>
      <c r="AW358" s="27"/>
      <c r="AX358" s="27"/>
      <c r="AY358" s="27"/>
      <c r="AZ358" s="27"/>
      <c r="BA358" s="27"/>
      <c r="BB358" s="27"/>
      <c r="BC358" s="27"/>
      <c r="BD358" s="27"/>
      <c r="BE358" s="27"/>
      <c r="BF358" s="27"/>
      <c r="BG358" s="27"/>
      <c r="BH358" s="27"/>
      <c r="BI358" s="27"/>
      <c r="BJ358" s="27"/>
      <c r="BK358" s="27"/>
    </row>
    <row r="359" spans="20:63" s="9" customFormat="1">
      <c r="T359" s="56"/>
      <c r="U359" s="56"/>
      <c r="V359" s="111"/>
      <c r="W359" s="121"/>
      <c r="Y359" s="56"/>
      <c r="AD359" s="56"/>
      <c r="AE359" s="56"/>
      <c r="AG359" s="35"/>
      <c r="AH359" s="27"/>
      <c r="AI359" s="27"/>
      <c r="AJ359" s="27"/>
      <c r="AK359" s="27"/>
      <c r="AL359" s="27"/>
      <c r="AM359" s="27"/>
      <c r="AN359" s="27"/>
      <c r="AO359" s="27"/>
      <c r="AP359" s="27"/>
      <c r="AQ359" s="27"/>
      <c r="AR359" s="27"/>
      <c r="AS359" s="27"/>
      <c r="AT359" s="27"/>
      <c r="AU359" s="27"/>
      <c r="AV359" s="27"/>
      <c r="AW359" s="27"/>
      <c r="AX359" s="27"/>
      <c r="AY359" s="27"/>
      <c r="AZ359" s="27"/>
      <c r="BA359" s="27"/>
      <c r="BB359" s="27"/>
      <c r="BC359" s="27"/>
      <c r="BD359" s="27"/>
      <c r="BE359" s="27"/>
      <c r="BF359" s="27"/>
      <c r="BG359" s="27"/>
      <c r="BH359" s="27"/>
      <c r="BI359" s="27"/>
      <c r="BJ359" s="27"/>
      <c r="BK359" s="27"/>
    </row>
    <row r="360" spans="20:63" s="9" customFormat="1">
      <c r="T360" s="56"/>
      <c r="U360" s="56"/>
      <c r="V360" s="111"/>
      <c r="W360" s="121"/>
      <c r="Y360" s="56"/>
      <c r="AD360" s="56"/>
      <c r="AE360" s="56"/>
      <c r="AG360" s="35"/>
      <c r="AH360" s="27"/>
      <c r="AI360" s="27"/>
      <c r="AJ360" s="27"/>
      <c r="AK360" s="27"/>
      <c r="AL360" s="27"/>
      <c r="AM360" s="27"/>
      <c r="AN360" s="27"/>
      <c r="AO360" s="27"/>
      <c r="AP360" s="27"/>
      <c r="AQ360" s="27"/>
      <c r="AR360" s="27"/>
      <c r="AS360" s="27"/>
      <c r="AT360" s="27"/>
      <c r="AU360" s="27"/>
      <c r="AV360" s="27"/>
      <c r="AW360" s="27"/>
      <c r="AX360" s="27"/>
      <c r="AY360" s="27"/>
      <c r="AZ360" s="27"/>
      <c r="BA360" s="27"/>
      <c r="BB360" s="27"/>
      <c r="BC360" s="27"/>
      <c r="BD360" s="27"/>
      <c r="BE360" s="27"/>
      <c r="BF360" s="27"/>
      <c r="BG360" s="27"/>
      <c r="BH360" s="27"/>
      <c r="BI360" s="27"/>
      <c r="BJ360" s="27"/>
      <c r="BK360" s="27"/>
    </row>
    <row r="361" spans="20:63" s="9" customFormat="1">
      <c r="T361" s="56"/>
      <c r="U361" s="56"/>
      <c r="V361" s="111"/>
      <c r="W361" s="121"/>
      <c r="Y361" s="56"/>
      <c r="AD361" s="56"/>
      <c r="AE361" s="56"/>
      <c r="AG361" s="35"/>
      <c r="AH361" s="27"/>
      <c r="AI361" s="27"/>
      <c r="AJ361" s="27"/>
      <c r="AK361" s="27"/>
      <c r="AL361" s="27"/>
      <c r="AM361" s="27"/>
      <c r="AN361" s="27"/>
      <c r="AO361" s="27"/>
      <c r="AP361" s="27"/>
      <c r="AQ361" s="27"/>
      <c r="AR361" s="27"/>
      <c r="AS361" s="27"/>
      <c r="AT361" s="27"/>
      <c r="AU361" s="27"/>
      <c r="AV361" s="27"/>
      <c r="AW361" s="27"/>
      <c r="AX361" s="27"/>
      <c r="AY361" s="27"/>
      <c r="AZ361" s="27"/>
      <c r="BA361" s="27"/>
      <c r="BB361" s="27"/>
      <c r="BC361" s="27"/>
      <c r="BD361" s="27"/>
      <c r="BE361" s="27"/>
      <c r="BF361" s="27"/>
      <c r="BG361" s="27"/>
      <c r="BH361" s="27"/>
      <c r="BI361" s="27"/>
      <c r="BJ361" s="27"/>
      <c r="BK361" s="27"/>
    </row>
    <row r="362" spans="20:63" s="9" customFormat="1">
      <c r="T362" s="56"/>
      <c r="U362" s="56"/>
      <c r="V362" s="111"/>
      <c r="W362" s="121"/>
      <c r="Y362" s="56"/>
      <c r="AD362" s="56"/>
      <c r="AE362" s="56"/>
      <c r="AG362" s="35"/>
      <c r="AH362" s="27"/>
      <c r="AI362" s="27"/>
      <c r="AJ362" s="27"/>
      <c r="AK362" s="27"/>
      <c r="AL362" s="27"/>
      <c r="AM362" s="27"/>
      <c r="AN362" s="27"/>
      <c r="AO362" s="27"/>
      <c r="AP362" s="27"/>
      <c r="AQ362" s="27"/>
      <c r="AR362" s="27"/>
      <c r="AS362" s="27"/>
      <c r="AT362" s="27"/>
      <c r="AU362" s="27"/>
      <c r="AV362" s="27"/>
      <c r="AW362" s="27"/>
      <c r="AX362" s="27"/>
      <c r="AY362" s="27"/>
      <c r="AZ362" s="27"/>
      <c r="BA362" s="27"/>
      <c r="BB362" s="27"/>
      <c r="BC362" s="27"/>
      <c r="BD362" s="27"/>
      <c r="BE362" s="27"/>
      <c r="BF362" s="27"/>
      <c r="BG362" s="27"/>
      <c r="BH362" s="27"/>
      <c r="BI362" s="27"/>
      <c r="BJ362" s="27"/>
      <c r="BK362" s="27"/>
    </row>
    <row r="363" spans="20:63" s="9" customFormat="1">
      <c r="T363" s="56"/>
      <c r="U363" s="56"/>
      <c r="V363" s="111"/>
      <c r="W363" s="121"/>
      <c r="Y363" s="56"/>
      <c r="AD363" s="56"/>
      <c r="AE363" s="56"/>
      <c r="AG363" s="35"/>
      <c r="AH363" s="27"/>
      <c r="AI363" s="27"/>
      <c r="AJ363" s="27"/>
      <c r="AK363" s="27"/>
      <c r="AL363" s="27"/>
      <c r="AM363" s="27"/>
      <c r="AN363" s="27"/>
      <c r="AO363" s="27"/>
      <c r="AP363" s="27"/>
      <c r="AQ363" s="27"/>
      <c r="AR363" s="27"/>
      <c r="AS363" s="27"/>
      <c r="AT363" s="27"/>
      <c r="AU363" s="27"/>
      <c r="AV363" s="27"/>
      <c r="AW363" s="27"/>
      <c r="AX363" s="27"/>
      <c r="AY363" s="27"/>
      <c r="AZ363" s="27"/>
      <c r="BA363" s="27"/>
      <c r="BB363" s="27"/>
      <c r="BC363" s="27"/>
      <c r="BD363" s="27"/>
      <c r="BE363" s="27"/>
      <c r="BF363" s="27"/>
      <c r="BG363" s="27"/>
      <c r="BH363" s="27"/>
      <c r="BI363" s="27"/>
      <c r="BJ363" s="27"/>
      <c r="BK363" s="27"/>
    </row>
    <row r="364" spans="20:63" s="9" customFormat="1">
      <c r="T364" s="56"/>
      <c r="U364" s="56"/>
      <c r="V364" s="111"/>
      <c r="W364" s="121"/>
      <c r="Y364" s="56"/>
      <c r="AD364" s="56"/>
      <c r="AE364" s="56"/>
      <c r="AG364" s="35"/>
      <c r="AH364" s="27"/>
      <c r="AI364" s="27"/>
      <c r="AJ364" s="27"/>
      <c r="AK364" s="27"/>
      <c r="AL364" s="27"/>
      <c r="AM364" s="27"/>
      <c r="AN364" s="27"/>
      <c r="AO364" s="27"/>
      <c r="AP364" s="27"/>
      <c r="AQ364" s="27"/>
      <c r="AR364" s="27"/>
      <c r="AS364" s="27"/>
      <c r="AT364" s="27"/>
      <c r="AU364" s="27"/>
      <c r="AV364" s="27"/>
      <c r="AW364" s="27"/>
      <c r="AX364" s="27"/>
      <c r="AY364" s="27"/>
      <c r="AZ364" s="27"/>
      <c r="BA364" s="27"/>
      <c r="BB364" s="27"/>
      <c r="BC364" s="27"/>
      <c r="BD364" s="27"/>
      <c r="BE364" s="27"/>
      <c r="BF364" s="27"/>
      <c r="BG364" s="27"/>
      <c r="BH364" s="27"/>
      <c r="BI364" s="27"/>
      <c r="BJ364" s="27"/>
      <c r="BK364" s="27"/>
    </row>
    <row r="365" spans="20:63" s="9" customFormat="1">
      <c r="T365" s="56"/>
      <c r="U365" s="56"/>
      <c r="V365" s="111"/>
      <c r="W365" s="121"/>
      <c r="Y365" s="56"/>
      <c r="AD365" s="56"/>
      <c r="AE365" s="56"/>
      <c r="AG365" s="35"/>
      <c r="AH365" s="27"/>
      <c r="AI365" s="27"/>
      <c r="AJ365" s="27"/>
      <c r="AK365" s="27"/>
      <c r="AL365" s="27"/>
      <c r="AM365" s="27"/>
      <c r="AN365" s="27"/>
      <c r="AO365" s="27"/>
      <c r="AP365" s="27"/>
      <c r="AQ365" s="27"/>
      <c r="AR365" s="27"/>
      <c r="AS365" s="27"/>
      <c r="AT365" s="27"/>
      <c r="AU365" s="27"/>
      <c r="AV365" s="27"/>
      <c r="AW365" s="27"/>
      <c r="AX365" s="27"/>
      <c r="AY365" s="27"/>
      <c r="AZ365" s="27"/>
      <c r="BA365" s="27"/>
      <c r="BB365" s="27"/>
      <c r="BC365" s="27"/>
      <c r="BD365" s="27"/>
      <c r="BE365" s="27"/>
      <c r="BF365" s="27"/>
      <c r="BG365" s="27"/>
      <c r="BH365" s="27"/>
      <c r="BI365" s="27"/>
      <c r="BJ365" s="27"/>
      <c r="BK365" s="27"/>
    </row>
    <row r="366" spans="20:63" s="9" customFormat="1">
      <c r="T366" s="56"/>
      <c r="U366" s="56"/>
      <c r="V366" s="111"/>
      <c r="W366" s="121"/>
      <c r="Y366" s="56"/>
      <c r="AD366" s="56"/>
      <c r="AE366" s="56"/>
      <c r="AG366" s="35"/>
      <c r="AH366" s="27"/>
      <c r="AI366" s="27"/>
      <c r="AJ366" s="27"/>
      <c r="AK366" s="27"/>
      <c r="AL366" s="27"/>
      <c r="AM366" s="27"/>
      <c r="AN366" s="27"/>
      <c r="AO366" s="27"/>
      <c r="AP366" s="27"/>
      <c r="AQ366" s="27"/>
      <c r="AR366" s="27"/>
      <c r="AS366" s="27"/>
      <c r="AT366" s="27"/>
      <c r="AU366" s="27"/>
      <c r="AV366" s="27"/>
      <c r="AW366" s="27"/>
      <c r="AX366" s="27"/>
      <c r="AY366" s="27"/>
      <c r="AZ366" s="27"/>
      <c r="BA366" s="27"/>
      <c r="BB366" s="27"/>
      <c r="BC366" s="27"/>
      <c r="BD366" s="27"/>
      <c r="BE366" s="27"/>
      <c r="BF366" s="27"/>
      <c r="BG366" s="27"/>
      <c r="BH366" s="27"/>
      <c r="BI366" s="27"/>
      <c r="BJ366" s="27"/>
      <c r="BK366" s="27"/>
    </row>
    <row r="367" spans="20:63" s="9" customFormat="1">
      <c r="T367" s="56"/>
      <c r="U367" s="56"/>
      <c r="V367" s="111"/>
      <c r="W367" s="121"/>
      <c r="Y367" s="56"/>
      <c r="AD367" s="56"/>
      <c r="AE367" s="56"/>
      <c r="AG367" s="35"/>
      <c r="AH367" s="27"/>
      <c r="AI367" s="27"/>
      <c r="AJ367" s="27"/>
      <c r="AK367" s="27"/>
      <c r="AL367" s="27"/>
      <c r="AM367" s="27"/>
      <c r="AN367" s="27"/>
      <c r="AO367" s="27"/>
      <c r="AP367" s="27"/>
      <c r="AQ367" s="27"/>
      <c r="AR367" s="27"/>
      <c r="AS367" s="27"/>
      <c r="AT367" s="27"/>
      <c r="AU367" s="27"/>
      <c r="AV367" s="27"/>
      <c r="AW367" s="27"/>
      <c r="AX367" s="27"/>
      <c r="AY367" s="27"/>
      <c r="AZ367" s="27"/>
      <c r="BA367" s="27"/>
      <c r="BB367" s="27"/>
      <c r="BC367" s="27"/>
      <c r="BD367" s="27"/>
      <c r="BE367" s="27"/>
      <c r="BF367" s="27"/>
      <c r="BG367" s="27"/>
      <c r="BH367" s="27"/>
      <c r="BI367" s="27"/>
      <c r="BJ367" s="27"/>
      <c r="BK367" s="27"/>
    </row>
    <row r="368" spans="20:63" s="9" customFormat="1">
      <c r="T368" s="56"/>
      <c r="U368" s="56"/>
      <c r="V368" s="111"/>
      <c r="W368" s="121"/>
      <c r="Y368" s="56"/>
      <c r="AD368" s="56"/>
      <c r="AE368" s="56"/>
      <c r="AG368" s="35"/>
      <c r="AH368" s="27"/>
      <c r="AI368" s="27"/>
      <c r="AJ368" s="27"/>
      <c r="AK368" s="27"/>
      <c r="AL368" s="27"/>
      <c r="AM368" s="27"/>
      <c r="AN368" s="27"/>
      <c r="AO368" s="27"/>
      <c r="AP368" s="27"/>
      <c r="AQ368" s="27"/>
      <c r="AR368" s="27"/>
      <c r="AS368" s="27"/>
      <c r="AT368" s="27"/>
      <c r="AU368" s="27"/>
      <c r="AV368" s="27"/>
      <c r="AW368" s="27"/>
      <c r="AX368" s="27"/>
      <c r="AY368" s="27"/>
      <c r="AZ368" s="27"/>
      <c r="BA368" s="27"/>
      <c r="BB368" s="27"/>
      <c r="BC368" s="27"/>
      <c r="BD368" s="27"/>
      <c r="BE368" s="27"/>
      <c r="BF368" s="27"/>
      <c r="BG368" s="27"/>
      <c r="BH368" s="27"/>
      <c r="BI368" s="27"/>
      <c r="BJ368" s="27"/>
      <c r="BK368" s="27"/>
    </row>
    <row r="369" spans="20:63" s="9" customFormat="1">
      <c r="T369" s="56"/>
      <c r="U369" s="56"/>
      <c r="V369" s="111"/>
      <c r="W369" s="121"/>
      <c r="Y369" s="56"/>
      <c r="AD369" s="56"/>
      <c r="AE369" s="56"/>
      <c r="AG369" s="35"/>
      <c r="AH369" s="27"/>
      <c r="AI369" s="27"/>
      <c r="AJ369" s="27"/>
      <c r="AK369" s="27"/>
      <c r="AL369" s="27"/>
      <c r="AM369" s="27"/>
      <c r="AN369" s="27"/>
      <c r="AO369" s="27"/>
      <c r="AP369" s="27"/>
      <c r="AQ369" s="27"/>
      <c r="AR369" s="27"/>
      <c r="AS369" s="27"/>
      <c r="AT369" s="27"/>
      <c r="AU369" s="27"/>
      <c r="AV369" s="27"/>
      <c r="AW369" s="27"/>
      <c r="AX369" s="27"/>
      <c r="AY369" s="27"/>
      <c r="AZ369" s="27"/>
      <c r="BA369" s="27"/>
      <c r="BB369" s="27"/>
      <c r="BC369" s="27"/>
      <c r="BD369" s="27"/>
      <c r="BE369" s="27"/>
      <c r="BF369" s="27"/>
      <c r="BG369" s="27"/>
      <c r="BH369" s="27"/>
      <c r="BI369" s="27"/>
      <c r="BJ369" s="27"/>
      <c r="BK369" s="27"/>
    </row>
    <row r="370" spans="20:63" s="9" customFormat="1">
      <c r="T370" s="56"/>
      <c r="U370" s="56"/>
      <c r="V370" s="111"/>
      <c r="W370" s="121"/>
      <c r="Y370" s="56"/>
      <c r="AD370" s="56"/>
      <c r="AE370" s="56"/>
      <c r="AG370" s="35"/>
      <c r="AH370" s="27"/>
      <c r="AI370" s="27"/>
      <c r="AJ370" s="27"/>
      <c r="AK370" s="27"/>
      <c r="AL370" s="27"/>
      <c r="AM370" s="27"/>
      <c r="AN370" s="27"/>
      <c r="AO370" s="27"/>
      <c r="AP370" s="27"/>
      <c r="AQ370" s="27"/>
      <c r="AR370" s="27"/>
      <c r="AS370" s="27"/>
      <c r="AT370" s="27"/>
      <c r="AU370" s="27"/>
      <c r="AV370" s="27"/>
      <c r="AW370" s="27"/>
      <c r="AX370" s="27"/>
      <c r="AY370" s="27"/>
      <c r="AZ370" s="27"/>
      <c r="BA370" s="27"/>
      <c r="BB370" s="27"/>
      <c r="BC370" s="27"/>
      <c r="BD370" s="27"/>
      <c r="BE370" s="27"/>
      <c r="BF370" s="27"/>
      <c r="BG370" s="27"/>
      <c r="BH370" s="27"/>
      <c r="BI370" s="27"/>
      <c r="BJ370" s="27"/>
      <c r="BK370" s="27"/>
    </row>
    <row r="371" spans="20:63" s="9" customFormat="1">
      <c r="T371" s="56"/>
      <c r="U371" s="56"/>
      <c r="V371" s="111"/>
      <c r="W371" s="121"/>
      <c r="Y371" s="56"/>
      <c r="AD371" s="56"/>
      <c r="AE371" s="56"/>
      <c r="AG371" s="35"/>
      <c r="AH371" s="27"/>
      <c r="AI371" s="27"/>
      <c r="AJ371" s="27"/>
      <c r="AK371" s="27"/>
      <c r="AL371" s="27"/>
      <c r="AM371" s="27"/>
      <c r="AN371" s="27"/>
      <c r="AO371" s="27"/>
      <c r="AP371" s="27"/>
      <c r="AQ371" s="27"/>
      <c r="AR371" s="27"/>
      <c r="AS371" s="27"/>
      <c r="AT371" s="27"/>
      <c r="AU371" s="27"/>
      <c r="AV371" s="27"/>
      <c r="AW371" s="27"/>
      <c r="AX371" s="27"/>
      <c r="AY371" s="27"/>
      <c r="AZ371" s="27"/>
      <c r="BA371" s="27"/>
      <c r="BB371" s="27"/>
      <c r="BC371" s="27"/>
      <c r="BD371" s="27"/>
      <c r="BE371" s="27"/>
      <c r="BF371" s="27"/>
      <c r="BG371" s="27"/>
      <c r="BH371" s="27"/>
      <c r="BI371" s="27"/>
      <c r="BJ371" s="27"/>
      <c r="BK371" s="27"/>
    </row>
    <row r="372" spans="20:63" s="9" customFormat="1">
      <c r="T372" s="56"/>
      <c r="U372" s="56"/>
      <c r="V372" s="111"/>
      <c r="W372" s="121"/>
      <c r="Y372" s="56"/>
      <c r="AD372" s="56"/>
      <c r="AE372" s="56"/>
      <c r="AG372" s="35"/>
      <c r="AH372" s="27"/>
      <c r="AI372" s="27"/>
      <c r="AJ372" s="27"/>
      <c r="AK372" s="27"/>
      <c r="AL372" s="27"/>
      <c r="AM372" s="27"/>
      <c r="AN372" s="27"/>
      <c r="AO372" s="27"/>
      <c r="AP372" s="27"/>
      <c r="AQ372" s="27"/>
      <c r="AR372" s="27"/>
      <c r="AS372" s="27"/>
      <c r="AT372" s="27"/>
      <c r="AU372" s="27"/>
      <c r="AV372" s="27"/>
      <c r="AW372" s="27"/>
      <c r="AX372" s="27"/>
      <c r="AY372" s="27"/>
      <c r="AZ372" s="27"/>
      <c r="BA372" s="27"/>
      <c r="BB372" s="27"/>
      <c r="BC372" s="27"/>
      <c r="BD372" s="27"/>
      <c r="BE372" s="27"/>
      <c r="BF372" s="27"/>
      <c r="BG372" s="27"/>
      <c r="BH372" s="27"/>
      <c r="BI372" s="27"/>
      <c r="BJ372" s="27"/>
      <c r="BK372" s="27"/>
    </row>
    <row r="373" spans="20:63" s="9" customFormat="1">
      <c r="T373" s="56"/>
      <c r="U373" s="56"/>
      <c r="V373" s="111"/>
      <c r="W373" s="121"/>
      <c r="Y373" s="56"/>
      <c r="AD373" s="56"/>
      <c r="AE373" s="56"/>
      <c r="AG373" s="35"/>
      <c r="AH373" s="27"/>
      <c r="AI373" s="27"/>
      <c r="AJ373" s="27"/>
      <c r="AK373" s="27"/>
      <c r="AL373" s="27"/>
      <c r="AM373" s="27"/>
      <c r="AN373" s="27"/>
      <c r="AO373" s="27"/>
      <c r="AP373" s="27"/>
      <c r="AQ373" s="27"/>
      <c r="AR373" s="27"/>
      <c r="AS373" s="27"/>
      <c r="AT373" s="27"/>
      <c r="AU373" s="27"/>
      <c r="AV373" s="27"/>
      <c r="AW373" s="27"/>
      <c r="AX373" s="27"/>
      <c r="AY373" s="27"/>
      <c r="AZ373" s="27"/>
      <c r="BA373" s="27"/>
      <c r="BB373" s="27"/>
      <c r="BC373" s="27"/>
      <c r="BD373" s="27"/>
      <c r="BE373" s="27"/>
      <c r="BF373" s="27"/>
      <c r="BG373" s="27"/>
      <c r="BH373" s="27"/>
      <c r="BI373" s="27"/>
      <c r="BJ373" s="27"/>
      <c r="BK373" s="27"/>
    </row>
    <row r="374" spans="20:63" s="9" customFormat="1">
      <c r="T374" s="56"/>
      <c r="U374" s="56"/>
      <c r="V374" s="111"/>
      <c r="W374" s="121"/>
      <c r="Y374" s="56"/>
      <c r="AD374" s="56"/>
      <c r="AE374" s="56"/>
      <c r="AG374" s="35"/>
      <c r="AH374" s="27"/>
      <c r="AI374" s="27"/>
      <c r="AJ374" s="27"/>
      <c r="AK374" s="27"/>
      <c r="AL374" s="27"/>
      <c r="AM374" s="27"/>
      <c r="AN374" s="27"/>
      <c r="AO374" s="27"/>
      <c r="AP374" s="27"/>
      <c r="AQ374" s="27"/>
      <c r="AR374" s="27"/>
      <c r="AS374" s="27"/>
      <c r="AT374" s="27"/>
      <c r="AU374" s="27"/>
      <c r="AV374" s="27"/>
      <c r="AW374" s="27"/>
      <c r="AX374" s="27"/>
      <c r="AY374" s="27"/>
      <c r="AZ374" s="27"/>
      <c r="BA374" s="27"/>
      <c r="BB374" s="27"/>
      <c r="BC374" s="27"/>
      <c r="BD374" s="27"/>
      <c r="BE374" s="27"/>
      <c r="BF374" s="27"/>
      <c r="BG374" s="27"/>
      <c r="BH374" s="27"/>
      <c r="BI374" s="27"/>
      <c r="BJ374" s="27"/>
      <c r="BK374" s="27"/>
    </row>
    <row r="375" spans="20:63" s="9" customFormat="1">
      <c r="T375" s="56"/>
      <c r="U375" s="56"/>
      <c r="V375" s="111"/>
      <c r="W375" s="121"/>
      <c r="Y375" s="56"/>
      <c r="AD375" s="56"/>
      <c r="AE375" s="56"/>
      <c r="AG375" s="35"/>
      <c r="AH375" s="27"/>
      <c r="AI375" s="27"/>
      <c r="AJ375" s="27"/>
      <c r="AK375" s="27"/>
      <c r="AL375" s="27"/>
      <c r="AM375" s="27"/>
      <c r="AN375" s="27"/>
      <c r="AO375" s="27"/>
      <c r="AP375" s="27"/>
      <c r="AQ375" s="27"/>
      <c r="AR375" s="27"/>
      <c r="AS375" s="27"/>
      <c r="AT375" s="27"/>
      <c r="AU375" s="27"/>
      <c r="AV375" s="27"/>
      <c r="AW375" s="27"/>
      <c r="AX375" s="27"/>
      <c r="AY375" s="27"/>
      <c r="AZ375" s="27"/>
      <c r="BA375" s="27"/>
      <c r="BB375" s="27"/>
      <c r="BC375" s="27"/>
      <c r="BD375" s="27"/>
      <c r="BE375" s="27"/>
      <c r="BF375" s="27"/>
      <c r="BG375" s="27"/>
      <c r="BH375" s="27"/>
      <c r="BI375" s="27"/>
      <c r="BJ375" s="27"/>
      <c r="BK375" s="27"/>
    </row>
    <row r="376" spans="20:63" s="9" customFormat="1">
      <c r="T376" s="56"/>
      <c r="U376" s="56"/>
      <c r="V376" s="111"/>
      <c r="W376" s="121"/>
      <c r="Y376" s="56"/>
      <c r="AD376" s="56"/>
      <c r="AE376" s="56"/>
      <c r="AG376" s="35"/>
      <c r="AH376" s="27"/>
      <c r="AI376" s="27"/>
      <c r="AJ376" s="27"/>
      <c r="AK376" s="27"/>
      <c r="AL376" s="27"/>
      <c r="AM376" s="27"/>
      <c r="AN376" s="27"/>
      <c r="AO376" s="27"/>
      <c r="AP376" s="27"/>
      <c r="AQ376" s="27"/>
      <c r="AR376" s="27"/>
      <c r="AS376" s="27"/>
      <c r="AT376" s="27"/>
      <c r="AU376" s="27"/>
      <c r="AV376" s="27"/>
      <c r="AW376" s="27"/>
      <c r="AX376" s="27"/>
      <c r="AY376" s="27"/>
      <c r="AZ376" s="27"/>
      <c r="BA376" s="27"/>
      <c r="BB376" s="27"/>
      <c r="BC376" s="27"/>
      <c r="BD376" s="27"/>
      <c r="BE376" s="27"/>
      <c r="BF376" s="27"/>
      <c r="BG376" s="27"/>
      <c r="BH376" s="27"/>
      <c r="BI376" s="27"/>
      <c r="BJ376" s="27"/>
      <c r="BK376" s="27"/>
    </row>
    <row r="377" spans="20:63" s="9" customFormat="1">
      <c r="T377" s="56"/>
      <c r="U377" s="56"/>
      <c r="V377" s="111"/>
      <c r="W377" s="121"/>
      <c r="Y377" s="56"/>
      <c r="AD377" s="56"/>
      <c r="AE377" s="56"/>
      <c r="AG377" s="35"/>
      <c r="AH377" s="27"/>
      <c r="AI377" s="27"/>
      <c r="AJ377" s="27"/>
      <c r="AK377" s="27"/>
      <c r="AL377" s="27"/>
      <c r="AM377" s="27"/>
      <c r="AN377" s="27"/>
      <c r="AO377" s="27"/>
      <c r="AP377" s="27"/>
      <c r="AQ377" s="27"/>
      <c r="AR377" s="27"/>
      <c r="AS377" s="27"/>
      <c r="AT377" s="27"/>
      <c r="AU377" s="27"/>
      <c r="AV377" s="27"/>
      <c r="AW377" s="27"/>
      <c r="AX377" s="27"/>
      <c r="AY377" s="27"/>
      <c r="AZ377" s="27"/>
      <c r="BA377" s="27"/>
      <c r="BB377" s="27"/>
      <c r="BC377" s="27"/>
      <c r="BD377" s="27"/>
      <c r="BE377" s="27"/>
      <c r="BF377" s="27"/>
      <c r="BG377" s="27"/>
      <c r="BH377" s="27"/>
      <c r="BI377" s="27"/>
      <c r="BJ377" s="27"/>
      <c r="BK377" s="27"/>
    </row>
    <row r="378" spans="20:63" s="9" customFormat="1">
      <c r="T378" s="56"/>
      <c r="U378" s="56"/>
      <c r="V378" s="111"/>
      <c r="W378" s="121"/>
      <c r="Y378" s="56"/>
      <c r="AD378" s="56"/>
      <c r="AE378" s="56"/>
      <c r="AG378" s="35"/>
      <c r="AH378" s="27"/>
      <c r="AI378" s="27"/>
      <c r="AJ378" s="27"/>
      <c r="AK378" s="27"/>
      <c r="AL378" s="27"/>
      <c r="AM378" s="27"/>
      <c r="AN378" s="27"/>
      <c r="AO378" s="27"/>
      <c r="AP378" s="27"/>
      <c r="AQ378" s="27"/>
      <c r="AR378" s="27"/>
      <c r="AS378" s="27"/>
      <c r="AT378" s="27"/>
      <c r="AU378" s="27"/>
      <c r="AV378" s="27"/>
      <c r="AW378" s="27"/>
      <c r="AX378" s="27"/>
      <c r="AY378" s="27"/>
      <c r="AZ378" s="27"/>
      <c r="BA378" s="27"/>
      <c r="BB378" s="27"/>
      <c r="BC378" s="27"/>
      <c r="BD378" s="27"/>
      <c r="BE378" s="27"/>
      <c r="BF378" s="27"/>
      <c r="BG378" s="27"/>
      <c r="BH378" s="27"/>
      <c r="BI378" s="27"/>
      <c r="BJ378" s="27"/>
      <c r="BK378" s="27"/>
    </row>
  </sheetData>
  <mergeCells count="85">
    <mergeCell ref="NE5:NK5"/>
    <mergeCell ref="NL5:NR5"/>
    <mergeCell ref="NS5:NY5"/>
    <mergeCell ref="NZ5:OF5"/>
    <mergeCell ref="LV5:MB5"/>
    <mergeCell ref="MC5:MI5"/>
    <mergeCell ref="MJ5:MP5"/>
    <mergeCell ref="MQ5:MW5"/>
    <mergeCell ref="MX5:ND5"/>
    <mergeCell ref="KM5:KS5"/>
    <mergeCell ref="KT5:KZ5"/>
    <mergeCell ref="LA5:LG5"/>
    <mergeCell ref="LH5:LN5"/>
    <mergeCell ref="LO5:LU5"/>
    <mergeCell ref="JD5:JJ5"/>
    <mergeCell ref="JK5:JQ5"/>
    <mergeCell ref="JR5:JX5"/>
    <mergeCell ref="JY5:KE5"/>
    <mergeCell ref="KF5:KL5"/>
    <mergeCell ref="HU5:IA5"/>
    <mergeCell ref="IB5:IH5"/>
    <mergeCell ref="II5:IO5"/>
    <mergeCell ref="IP5:IV5"/>
    <mergeCell ref="IW5:JC5"/>
    <mergeCell ref="GL5:GR5"/>
    <mergeCell ref="GS5:GY5"/>
    <mergeCell ref="GZ5:HF5"/>
    <mergeCell ref="HG5:HM5"/>
    <mergeCell ref="HN5:HT5"/>
    <mergeCell ref="FC5:FI5"/>
    <mergeCell ref="FJ5:FP5"/>
    <mergeCell ref="FQ5:FW5"/>
    <mergeCell ref="FX5:GD5"/>
    <mergeCell ref="GE5:GK5"/>
    <mergeCell ref="DT5:DZ5"/>
    <mergeCell ref="EA5:EG5"/>
    <mergeCell ref="EH5:EN5"/>
    <mergeCell ref="EO5:EU5"/>
    <mergeCell ref="EV5:FB5"/>
    <mergeCell ref="CK5:CQ5"/>
    <mergeCell ref="CR5:CX5"/>
    <mergeCell ref="CY5:DE5"/>
    <mergeCell ref="DF5:DL5"/>
    <mergeCell ref="DM5:DS5"/>
    <mergeCell ref="BB5:BH5"/>
    <mergeCell ref="BI5:BO5"/>
    <mergeCell ref="BP5:BV5"/>
    <mergeCell ref="BW5:CC5"/>
    <mergeCell ref="CD5:CJ5"/>
    <mergeCell ref="E17:E25"/>
    <mergeCell ref="F17:I17"/>
    <mergeCell ref="F18:I18"/>
    <mergeCell ref="F19:I19"/>
    <mergeCell ref="F20:I20"/>
    <mergeCell ref="F21:I21"/>
    <mergeCell ref="F22:I22"/>
    <mergeCell ref="F23:I23"/>
    <mergeCell ref="F24:I24"/>
    <mergeCell ref="F25:I25"/>
    <mergeCell ref="S2:U3"/>
    <mergeCell ref="F13:I13"/>
    <mergeCell ref="F14:I14"/>
    <mergeCell ref="F15:I15"/>
    <mergeCell ref="B7:E7"/>
    <mergeCell ref="F7:J7"/>
    <mergeCell ref="K7:O7"/>
    <mergeCell ref="P7:Q7"/>
    <mergeCell ref="E13:E15"/>
    <mergeCell ref="S7:V7"/>
    <mergeCell ref="AF2:AJ3"/>
    <mergeCell ref="LX6:NA6"/>
    <mergeCell ref="NB6:OF6"/>
    <mergeCell ref="EV6:FZ6"/>
    <mergeCell ref="GA6:HD6"/>
    <mergeCell ref="HE6:II6"/>
    <mergeCell ref="IJ6:JN6"/>
    <mergeCell ref="JO6:KR6"/>
    <mergeCell ref="KS6:LW6"/>
    <mergeCell ref="AF6:BJ6"/>
    <mergeCell ref="BK6:CL6"/>
    <mergeCell ref="CM6:DQ6"/>
    <mergeCell ref="DR6:EU6"/>
    <mergeCell ref="AG5:AM5"/>
    <mergeCell ref="AN5:AT5"/>
    <mergeCell ref="AU5:BA5"/>
  </mergeCells>
  <conditionalFormatting sqref="S9:S10 K9:M10 O9:O10">
    <cfRule type="cellIs" dxfId="16" priority="20" operator="lessThan">
      <formula>TODAY()</formula>
    </cfRule>
  </conditionalFormatting>
  <conditionalFormatting sqref="J9:J10">
    <cfRule type="cellIs" dxfId="15" priority="14" operator="equal">
      <formula>$A$1</formula>
    </cfRule>
    <cfRule type="cellIs" dxfId="14" priority="15" operator="lessThan">
      <formula>TODAY()</formula>
    </cfRule>
  </conditionalFormatting>
  <conditionalFormatting sqref="AF13:OF1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F17:OF17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9:T10">
    <cfRule type="cellIs" dxfId="13" priority="17" operator="equal">
      <formula>$A$1</formula>
    </cfRule>
    <cfRule type="cellIs" dxfId="12" priority="18" operator="lessThan">
      <formula>TODAY()</formula>
    </cfRule>
  </conditionalFormatting>
  <conditionalFormatting sqref="U9:U10">
    <cfRule type="cellIs" dxfId="11" priority="1" operator="lessThan">
      <formula>TODAY()</formula>
    </cfRule>
  </conditionalFormatting>
  <hyperlinks>
    <hyperlink ref="W9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1" operator="lessThan" id="{B71995A9-7D0F-4DC4-BF9B-BEFF0149D096}">
            <xm:f>TODAY()+Administrateur!$D$17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S9:S10</xm:sqref>
        </x14:conditionalFormatting>
        <x14:conditionalFormatting xmlns:xm="http://schemas.microsoft.com/office/excel/2006/main">
          <x14:cfRule type="cellIs" priority="16" operator="lessThan" id="{6490C9B5-4086-43E1-90B5-ECAE2C9777AA}">
            <xm:f>TODAY()+Administrateur!$D$21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J9:J10</xm:sqref>
        </x14:conditionalFormatting>
        <x14:conditionalFormatting xmlns:xm="http://schemas.microsoft.com/office/excel/2006/main">
          <x14:cfRule type="cellIs" priority="13" operator="lessThan" id="{96FA3B03-3984-48B5-AD71-FBDDB7BB784E}">
            <xm:f>TODAY()+Administrateur!$D$22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K9:K10</xm:sqref>
        </x14:conditionalFormatting>
        <x14:conditionalFormatting xmlns:xm="http://schemas.microsoft.com/office/excel/2006/main">
          <x14:cfRule type="cellIs" priority="8" operator="lessThan" id="{F4D87BAE-2435-4346-9394-E1E599FDCF3E}">
            <xm:f>TODAY()+Administrateur!$D$23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L9:L10</xm:sqref>
        </x14:conditionalFormatting>
        <x14:conditionalFormatting xmlns:xm="http://schemas.microsoft.com/office/excel/2006/main">
          <x14:cfRule type="cellIs" priority="6" operator="lessThan" id="{29EF6003-8D0C-4FB1-9AED-3A8ABEC62526}">
            <xm:f>TODAY()+Administrateur!$D$24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M9:M10</xm:sqref>
        </x14:conditionalFormatting>
        <x14:conditionalFormatting xmlns:xm="http://schemas.microsoft.com/office/excel/2006/main">
          <x14:cfRule type="cellIs" priority="4" operator="lessThan" id="{7754D1A4-647F-476A-B566-6DB8DAB3E696}">
            <xm:f>TODAY()+Administrateur!$D$25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O9:O10</xm:sqref>
        </x14:conditionalFormatting>
        <x14:conditionalFormatting xmlns:xm="http://schemas.microsoft.com/office/excel/2006/main">
          <x14:cfRule type="cellIs" priority="19" operator="lessThan" id="{FB44BBB2-F5CB-4178-9B51-54219F7A3073}">
            <xm:f>TODAY()+Administrateur!$D$19</xm:f>
            <x14:dxf>
              <fill>
                <patternFill>
                  <bgColor theme="7" tint="0.39994506668294322"/>
                </patternFill>
              </fill>
            </x14:dxf>
          </x14:cfRule>
          <xm:sqref>T9:T10</xm:sqref>
        </x14:conditionalFormatting>
        <x14:conditionalFormatting xmlns:xm="http://schemas.microsoft.com/office/excel/2006/main">
          <x14:cfRule type="cellIs" priority="2" operator="lessThan" id="{10A289B5-BBD7-4E24-A0E3-41CDC1FC5962}">
            <xm:f>TODAY()+Administrateur!$D$18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U9:U10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Administrateur</vt:lpstr>
      <vt:lpstr>DRH</vt:lpstr>
      <vt:lpstr>Planning B737-800</vt:lpstr>
    </vt:vector>
  </TitlesOfParts>
  <Company>BOD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PETREMANN, Franck</dc:creator>
  <cp:lastModifiedBy>FRANCK PETREMANN</cp:lastModifiedBy>
  <dcterms:created xsi:type="dcterms:W3CDTF">2017-03-23T01:21:59Z</dcterms:created>
  <dcterms:modified xsi:type="dcterms:W3CDTF">2017-03-26T21:03:24Z</dcterms:modified>
</cp:coreProperties>
</file>